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sco\Dropbox\BiomassDensity\Biodiversity and Dead plants\"/>
    </mc:Choice>
  </mc:AlternateContent>
  <xr:revisionPtr revIDLastSave="0" documentId="13_ncr:1_{9EAF97DA-C2E9-4F3B-A8E4-FBC41814732E}" xr6:coauthVersionLast="47" xr6:coauthVersionMax="47" xr10:uidLastSave="{00000000-0000-0000-0000-000000000000}"/>
  <bookViews>
    <workbookView xWindow="-120" yWindow="-120" windowWidth="29040" windowHeight="15840" activeTab="9" xr2:uid="{6351BE4F-E0EE-4A9F-ABB8-3E2FCC88F49B}"/>
  </bookViews>
  <sheets>
    <sheet name="Raw" sheetId="1" r:id="rId1"/>
    <sheet name="Analyzed" sheetId="2" r:id="rId2"/>
    <sheet name="IBL" sheetId="3" r:id="rId3"/>
    <sheet name="p" sheetId="4" r:id="rId4"/>
    <sheet name="p^2" sheetId="7" r:id="rId5"/>
    <sheet name="Shannon-Weiner" sheetId="6" r:id="rId6"/>
    <sheet name="p_B" sheetId="9" r:id="rId7"/>
    <sheet name="p_B^2" sheetId="10" r:id="rId8"/>
    <sheet name="Shannon-Weiner_B" sheetId="11" r:id="rId9"/>
    <sheet name="Other Authors" sheetId="12" r:id="rId10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H4" i="2" l="1"/>
  <c r="DH5" i="2"/>
  <c r="DH6" i="2"/>
  <c r="DH7" i="2"/>
  <c r="DH8" i="2"/>
  <c r="DH9" i="2"/>
  <c r="DH10" i="2"/>
  <c r="DH11" i="2"/>
  <c r="DH12" i="2"/>
  <c r="DH13" i="2"/>
  <c r="DH14" i="2"/>
  <c r="DH15" i="2"/>
  <c r="DH16" i="2"/>
  <c r="DH17" i="2"/>
  <c r="DH18" i="2"/>
  <c r="DH19" i="2"/>
  <c r="DH20" i="2"/>
  <c r="DH21" i="2"/>
  <c r="DH22" i="2"/>
  <c r="DH23" i="2"/>
  <c r="DH24" i="2"/>
  <c r="DH25" i="2"/>
  <c r="DH26" i="2"/>
  <c r="DH27" i="2"/>
  <c r="DH28" i="2"/>
  <c r="DH29" i="2"/>
  <c r="DH30" i="2"/>
  <c r="DH31" i="2"/>
  <c r="DH32" i="2"/>
  <c r="DH33" i="2"/>
  <c r="DH34" i="2"/>
  <c r="DH35" i="2"/>
  <c r="DH36" i="2"/>
  <c r="DH37" i="2"/>
  <c r="DH38" i="2"/>
  <c r="DH39" i="2"/>
  <c r="DH40" i="2"/>
  <c r="DH41" i="2"/>
  <c r="DH42" i="2"/>
  <c r="DH43" i="2"/>
  <c r="DH44" i="2"/>
  <c r="DH45" i="2"/>
  <c r="DH46" i="2"/>
  <c r="DH47" i="2"/>
  <c r="DH48" i="2"/>
  <c r="DH49" i="2"/>
  <c r="DH50" i="2"/>
  <c r="DH51" i="2"/>
  <c r="DH52" i="2"/>
  <c r="DH53" i="2"/>
  <c r="DH54" i="2"/>
  <c r="DH55" i="2"/>
  <c r="DH56" i="2"/>
  <c r="DH57" i="2"/>
  <c r="DH58" i="2"/>
  <c r="DH59" i="2"/>
  <c r="DH60" i="2"/>
  <c r="DH61" i="2"/>
  <c r="DH62" i="2"/>
  <c r="DH63" i="2"/>
  <c r="DH64" i="2"/>
  <c r="DH65" i="2"/>
  <c r="DH66" i="2"/>
  <c r="DH67" i="2"/>
  <c r="DH68" i="2"/>
  <c r="DH69" i="2"/>
  <c r="DH70" i="2"/>
  <c r="DH71" i="2"/>
  <c r="DH72" i="2"/>
  <c r="DH73" i="2"/>
  <c r="DH74" i="2"/>
  <c r="DH75" i="2"/>
  <c r="DH76" i="2"/>
  <c r="DH77" i="2"/>
  <c r="DH78" i="2"/>
  <c r="DH79" i="2"/>
  <c r="DH80" i="2"/>
  <c r="DH81" i="2"/>
  <c r="DH82" i="2"/>
  <c r="DH83" i="2"/>
  <c r="DH84" i="2"/>
  <c r="DH85" i="2"/>
  <c r="DH86" i="2"/>
  <c r="DH87" i="2"/>
  <c r="DH88" i="2"/>
  <c r="DH89" i="2"/>
  <c r="DH90" i="2"/>
  <c r="DH91" i="2"/>
  <c r="DH92" i="2"/>
  <c r="DH93" i="2"/>
  <c r="DH94" i="2"/>
  <c r="DH95" i="2"/>
  <c r="DH96" i="2"/>
  <c r="DH97" i="2"/>
  <c r="DH98" i="2"/>
  <c r="DH99" i="2"/>
  <c r="DH100" i="2"/>
  <c r="DH101" i="2"/>
  <c r="DH102" i="2"/>
  <c r="DH103" i="2"/>
  <c r="DH104" i="2"/>
  <c r="DH105" i="2"/>
  <c r="DH106" i="2"/>
  <c r="DH107" i="2"/>
  <c r="DH108" i="2"/>
  <c r="DH109" i="2"/>
  <c r="DH110" i="2"/>
  <c r="DH111" i="2"/>
  <c r="DH112" i="2"/>
  <c r="DH113" i="2"/>
  <c r="DH114" i="2"/>
  <c r="DH115" i="2"/>
  <c r="DH116" i="2"/>
  <c r="DH117" i="2"/>
  <c r="DH118" i="2"/>
  <c r="DH119" i="2"/>
  <c r="DH120" i="2"/>
  <c r="DH121" i="2"/>
  <c r="DH122" i="2"/>
  <c r="DH123" i="2"/>
  <c r="DH124" i="2"/>
  <c r="DH125" i="2"/>
  <c r="DH126" i="2"/>
  <c r="DH127" i="2"/>
  <c r="DH128" i="2"/>
  <c r="DH129" i="2"/>
  <c r="DH130" i="2"/>
  <c r="DH131" i="2"/>
  <c r="DH132" i="2"/>
  <c r="DH133" i="2"/>
  <c r="DH134" i="2"/>
  <c r="DH3" i="2"/>
  <c r="CR4" i="2"/>
  <c r="CS4" i="2"/>
  <c r="CR5" i="2"/>
  <c r="CS5" i="2"/>
  <c r="CR6" i="2"/>
  <c r="CS6" i="2"/>
  <c r="CR7" i="2"/>
  <c r="CS7" i="2"/>
  <c r="CR8" i="2"/>
  <c r="CS8" i="2"/>
  <c r="CR9" i="2"/>
  <c r="CS9" i="2"/>
  <c r="CR10" i="2"/>
  <c r="CS10" i="2"/>
  <c r="CR11" i="2"/>
  <c r="CS11" i="2"/>
  <c r="CR12" i="2"/>
  <c r="CS12" i="2"/>
  <c r="CR13" i="2"/>
  <c r="CS13" i="2"/>
  <c r="CR14" i="2"/>
  <c r="CS14" i="2"/>
  <c r="CR15" i="2"/>
  <c r="CS15" i="2"/>
  <c r="CR16" i="2"/>
  <c r="CS16" i="2"/>
  <c r="CR17" i="2"/>
  <c r="CS17" i="2"/>
  <c r="CR18" i="2"/>
  <c r="CS18" i="2"/>
  <c r="CR19" i="2"/>
  <c r="CS19" i="2"/>
  <c r="CR20" i="2"/>
  <c r="CS20" i="2"/>
  <c r="CR21" i="2"/>
  <c r="CS21" i="2"/>
  <c r="CR22" i="2"/>
  <c r="CS22" i="2"/>
  <c r="CR23" i="2"/>
  <c r="CS23" i="2"/>
  <c r="CR24" i="2"/>
  <c r="CS24" i="2"/>
  <c r="CR25" i="2"/>
  <c r="CS25" i="2"/>
  <c r="CR26" i="2"/>
  <c r="CS26" i="2"/>
  <c r="CR27" i="2"/>
  <c r="CS27" i="2"/>
  <c r="CR28" i="2"/>
  <c r="CS28" i="2"/>
  <c r="CR29" i="2"/>
  <c r="CS29" i="2"/>
  <c r="CR30" i="2"/>
  <c r="CS30" i="2"/>
  <c r="CR31" i="2"/>
  <c r="CS31" i="2"/>
  <c r="CR32" i="2"/>
  <c r="CS32" i="2"/>
  <c r="CR33" i="2"/>
  <c r="CS33" i="2"/>
  <c r="CR34" i="2"/>
  <c r="CS34" i="2"/>
  <c r="CR35" i="2"/>
  <c r="CS35" i="2"/>
  <c r="CR36" i="2"/>
  <c r="CS36" i="2"/>
  <c r="CR37" i="2"/>
  <c r="CS37" i="2"/>
  <c r="CR38" i="2"/>
  <c r="CS38" i="2"/>
  <c r="CR39" i="2"/>
  <c r="CS39" i="2"/>
  <c r="CR40" i="2"/>
  <c r="CS40" i="2"/>
  <c r="CR41" i="2"/>
  <c r="CS41" i="2"/>
  <c r="CR42" i="2"/>
  <c r="CS42" i="2"/>
  <c r="CR43" i="2"/>
  <c r="CS43" i="2"/>
  <c r="CR44" i="2"/>
  <c r="CS44" i="2"/>
  <c r="CR45" i="2"/>
  <c r="CS45" i="2"/>
  <c r="CR46" i="2"/>
  <c r="CS46" i="2"/>
  <c r="CR47" i="2"/>
  <c r="CS47" i="2"/>
  <c r="CR48" i="2"/>
  <c r="CS48" i="2"/>
  <c r="CR49" i="2"/>
  <c r="CS49" i="2"/>
  <c r="CR50" i="2"/>
  <c r="CS50" i="2"/>
  <c r="CR51" i="2"/>
  <c r="CS51" i="2"/>
  <c r="CR52" i="2"/>
  <c r="CS52" i="2"/>
  <c r="CR53" i="2"/>
  <c r="CS53" i="2"/>
  <c r="CR54" i="2"/>
  <c r="CS54" i="2"/>
  <c r="CR55" i="2"/>
  <c r="CS55" i="2"/>
  <c r="CR56" i="2"/>
  <c r="CS56" i="2"/>
  <c r="CR57" i="2"/>
  <c r="CS57" i="2"/>
  <c r="CR58" i="2"/>
  <c r="CS58" i="2"/>
  <c r="CR59" i="2"/>
  <c r="CS59" i="2"/>
  <c r="CR60" i="2"/>
  <c r="CS60" i="2"/>
  <c r="CR61" i="2"/>
  <c r="CS61" i="2"/>
  <c r="CR62" i="2"/>
  <c r="CS62" i="2"/>
  <c r="CR63" i="2"/>
  <c r="CS63" i="2"/>
  <c r="CR64" i="2"/>
  <c r="CS64" i="2"/>
  <c r="CR65" i="2"/>
  <c r="CS65" i="2"/>
  <c r="CR66" i="2"/>
  <c r="CS66" i="2"/>
  <c r="CR67" i="2"/>
  <c r="CS67" i="2"/>
  <c r="CR68" i="2"/>
  <c r="CS68" i="2"/>
  <c r="CR69" i="2"/>
  <c r="CS69" i="2"/>
  <c r="CR70" i="2"/>
  <c r="CS70" i="2"/>
  <c r="CR71" i="2"/>
  <c r="CS71" i="2"/>
  <c r="CR72" i="2"/>
  <c r="CS72" i="2"/>
  <c r="CR73" i="2"/>
  <c r="CS73" i="2"/>
  <c r="CR74" i="2"/>
  <c r="CS74" i="2"/>
  <c r="CR75" i="2"/>
  <c r="CS75" i="2"/>
  <c r="CR76" i="2"/>
  <c r="CS76" i="2"/>
  <c r="CR77" i="2"/>
  <c r="CS77" i="2"/>
  <c r="CR78" i="2"/>
  <c r="CS78" i="2"/>
  <c r="CR79" i="2"/>
  <c r="CS79" i="2"/>
  <c r="CR80" i="2"/>
  <c r="CS80" i="2"/>
  <c r="CR81" i="2"/>
  <c r="CS81" i="2"/>
  <c r="CR82" i="2"/>
  <c r="CS82" i="2"/>
  <c r="CR83" i="2"/>
  <c r="CS83" i="2"/>
  <c r="CR84" i="2"/>
  <c r="CS84" i="2"/>
  <c r="CR85" i="2"/>
  <c r="CS85" i="2"/>
  <c r="CR86" i="2"/>
  <c r="CS86" i="2"/>
  <c r="CR87" i="2"/>
  <c r="CS87" i="2"/>
  <c r="CR88" i="2"/>
  <c r="CS88" i="2"/>
  <c r="CR89" i="2"/>
  <c r="CS89" i="2"/>
  <c r="CR90" i="2"/>
  <c r="CS90" i="2"/>
  <c r="CR91" i="2"/>
  <c r="CS91" i="2"/>
  <c r="CR92" i="2"/>
  <c r="CS92" i="2"/>
  <c r="CR93" i="2"/>
  <c r="CS93" i="2"/>
  <c r="CR94" i="2"/>
  <c r="CS94" i="2"/>
  <c r="CR95" i="2"/>
  <c r="CS95" i="2"/>
  <c r="CR96" i="2"/>
  <c r="CS96" i="2"/>
  <c r="CR97" i="2"/>
  <c r="CS97" i="2"/>
  <c r="CR98" i="2"/>
  <c r="CS98" i="2"/>
  <c r="CR99" i="2"/>
  <c r="CS99" i="2"/>
  <c r="CR100" i="2"/>
  <c r="CS100" i="2"/>
  <c r="CR101" i="2"/>
  <c r="CS101" i="2"/>
  <c r="CR102" i="2"/>
  <c r="CS102" i="2"/>
  <c r="CR103" i="2"/>
  <c r="CS103" i="2"/>
  <c r="CR104" i="2"/>
  <c r="CS104" i="2"/>
  <c r="CR105" i="2"/>
  <c r="CS105" i="2"/>
  <c r="I104" i="9" s="1"/>
  <c r="CR106" i="2"/>
  <c r="CS106" i="2"/>
  <c r="B105" i="9" s="1"/>
  <c r="CR107" i="2"/>
  <c r="CS107" i="2"/>
  <c r="K106" i="9" s="1"/>
  <c r="CR108" i="2"/>
  <c r="CS108" i="2"/>
  <c r="D107" i="9" s="1"/>
  <c r="CR109" i="2"/>
  <c r="CS109" i="2"/>
  <c r="L108" i="9" s="1"/>
  <c r="CR110" i="2"/>
  <c r="CS110" i="2"/>
  <c r="B109" i="9" s="1"/>
  <c r="CR111" i="2"/>
  <c r="CS111" i="2"/>
  <c r="C110" i="9" s="1"/>
  <c r="CR112" i="2"/>
  <c r="CS112" i="2"/>
  <c r="D111" i="9" s="1"/>
  <c r="CR113" i="2"/>
  <c r="CS113" i="2"/>
  <c r="CR114" i="2"/>
  <c r="CS114" i="2"/>
  <c r="B113" i="9" s="1"/>
  <c r="CR115" i="2"/>
  <c r="CS115" i="2"/>
  <c r="U114" i="9" s="1"/>
  <c r="CR116" i="2"/>
  <c r="CS116" i="2"/>
  <c r="D115" i="9" s="1"/>
  <c r="CR117" i="2"/>
  <c r="CS117" i="2"/>
  <c r="CR118" i="2"/>
  <c r="CS118" i="2"/>
  <c r="B117" i="9" s="1"/>
  <c r="B117" i="11" s="1"/>
  <c r="CR119" i="2"/>
  <c r="CS119" i="2"/>
  <c r="Y118" i="9" s="1"/>
  <c r="CR120" i="2"/>
  <c r="CS120" i="2"/>
  <c r="CR121" i="2"/>
  <c r="CS121" i="2"/>
  <c r="AA120" i="9" s="1"/>
  <c r="CR122" i="2"/>
  <c r="CS122" i="2"/>
  <c r="CR123" i="2"/>
  <c r="CS123" i="2"/>
  <c r="M122" i="9" s="1"/>
  <c r="CR124" i="2"/>
  <c r="CS124" i="2"/>
  <c r="CR125" i="2"/>
  <c r="CS125" i="2"/>
  <c r="CR126" i="2"/>
  <c r="CS126" i="2"/>
  <c r="CR127" i="2"/>
  <c r="CS127" i="2"/>
  <c r="CR128" i="2"/>
  <c r="CS128" i="2"/>
  <c r="CR129" i="2"/>
  <c r="CS129" i="2"/>
  <c r="CR130" i="2"/>
  <c r="CS130" i="2"/>
  <c r="CR131" i="2"/>
  <c r="CS131" i="2"/>
  <c r="CR132" i="2"/>
  <c r="CS132" i="2"/>
  <c r="CR133" i="2"/>
  <c r="CS133" i="2"/>
  <c r="U132" i="9" s="1"/>
  <c r="CR134" i="2"/>
  <c r="CS134" i="2"/>
  <c r="D102" i="4"/>
  <c r="D102" i="7" s="1"/>
  <c r="D104" i="4"/>
  <c r="D106" i="4"/>
  <c r="D106" i="7" s="1"/>
  <c r="D108" i="4"/>
  <c r="D110" i="4"/>
  <c r="D110" i="7" s="1"/>
  <c r="O112" i="9"/>
  <c r="CR3" i="2"/>
  <c r="CS3" i="2"/>
  <c r="N119" i="11"/>
  <c r="O121" i="10"/>
  <c r="B101" i="9"/>
  <c r="C101" i="9"/>
  <c r="D101" i="9"/>
  <c r="E101" i="9"/>
  <c r="F101" i="9"/>
  <c r="G101" i="9"/>
  <c r="H101" i="9"/>
  <c r="H101" i="11" s="1"/>
  <c r="I101" i="9"/>
  <c r="J101" i="9"/>
  <c r="K101" i="9"/>
  <c r="L101" i="9"/>
  <c r="M101" i="9"/>
  <c r="N101" i="9"/>
  <c r="O101" i="9"/>
  <c r="P101" i="9"/>
  <c r="P101" i="11" s="1"/>
  <c r="Q101" i="9"/>
  <c r="Q101" i="10" s="1"/>
  <c r="R101" i="9"/>
  <c r="S101" i="9"/>
  <c r="T101" i="9"/>
  <c r="U101" i="9"/>
  <c r="V101" i="9"/>
  <c r="W101" i="9"/>
  <c r="X101" i="9"/>
  <c r="X101" i="11" s="1"/>
  <c r="Y101" i="9"/>
  <c r="Z101" i="9"/>
  <c r="AA101" i="9"/>
  <c r="AA101" i="11" s="1"/>
  <c r="B103" i="9"/>
  <c r="C103" i="9"/>
  <c r="D103" i="9"/>
  <c r="E103" i="9"/>
  <c r="E103" i="11" s="1"/>
  <c r="F103" i="9"/>
  <c r="G103" i="9"/>
  <c r="H103" i="9"/>
  <c r="I103" i="9"/>
  <c r="J103" i="9"/>
  <c r="K103" i="9"/>
  <c r="L103" i="9"/>
  <c r="M103" i="9"/>
  <c r="N103" i="9"/>
  <c r="O103" i="9"/>
  <c r="P103" i="9"/>
  <c r="Q103" i="9"/>
  <c r="R103" i="9"/>
  <c r="S103" i="9"/>
  <c r="T103" i="9"/>
  <c r="U103" i="9"/>
  <c r="V103" i="9"/>
  <c r="W103" i="9"/>
  <c r="X103" i="9"/>
  <c r="Y103" i="9"/>
  <c r="Z103" i="9"/>
  <c r="AA103" i="9"/>
  <c r="C105" i="9"/>
  <c r="D105" i="9"/>
  <c r="E105" i="9"/>
  <c r="G105" i="9"/>
  <c r="H105" i="9"/>
  <c r="I105" i="9"/>
  <c r="J105" i="9"/>
  <c r="K105" i="9"/>
  <c r="L105" i="9"/>
  <c r="M105" i="9"/>
  <c r="N105" i="9"/>
  <c r="O105" i="9"/>
  <c r="P105" i="9"/>
  <c r="Q105" i="9"/>
  <c r="Q105" i="11" s="1"/>
  <c r="R105" i="9"/>
  <c r="S105" i="9"/>
  <c r="T105" i="9"/>
  <c r="U105" i="9"/>
  <c r="V105" i="9"/>
  <c r="W105" i="9"/>
  <c r="X105" i="9"/>
  <c r="Y105" i="9"/>
  <c r="Y105" i="11" s="1"/>
  <c r="Z105" i="9"/>
  <c r="AA105" i="9"/>
  <c r="B107" i="9"/>
  <c r="C107" i="9"/>
  <c r="E107" i="9"/>
  <c r="F107" i="9"/>
  <c r="G107" i="9"/>
  <c r="I107" i="9"/>
  <c r="J107" i="9"/>
  <c r="K107" i="9"/>
  <c r="M107" i="9"/>
  <c r="N107" i="9"/>
  <c r="O107" i="9"/>
  <c r="P107" i="9"/>
  <c r="Q107" i="9"/>
  <c r="R107" i="9"/>
  <c r="S107" i="9"/>
  <c r="T107" i="9"/>
  <c r="U107" i="9"/>
  <c r="U107" i="10" s="1"/>
  <c r="V107" i="9"/>
  <c r="W107" i="9"/>
  <c r="X107" i="9"/>
  <c r="Y107" i="9"/>
  <c r="Z107" i="9"/>
  <c r="AA107" i="9"/>
  <c r="C109" i="9"/>
  <c r="D109" i="9"/>
  <c r="E109" i="9"/>
  <c r="G109" i="9"/>
  <c r="H109" i="9"/>
  <c r="I109" i="9"/>
  <c r="K109" i="9"/>
  <c r="L109" i="9"/>
  <c r="M109" i="9"/>
  <c r="O109" i="9"/>
  <c r="P109" i="9"/>
  <c r="Q109" i="9"/>
  <c r="Q109" i="11" s="1"/>
  <c r="S109" i="9"/>
  <c r="T109" i="9"/>
  <c r="U109" i="9"/>
  <c r="V109" i="9"/>
  <c r="W109" i="9"/>
  <c r="X109" i="9"/>
  <c r="Y109" i="9"/>
  <c r="Y109" i="11" s="1"/>
  <c r="Z109" i="9"/>
  <c r="AA109" i="9"/>
  <c r="B111" i="9"/>
  <c r="C111" i="9"/>
  <c r="E111" i="9"/>
  <c r="F111" i="9"/>
  <c r="G111" i="9"/>
  <c r="I111" i="9"/>
  <c r="J111" i="9"/>
  <c r="K111" i="9"/>
  <c r="M111" i="9"/>
  <c r="N111" i="9"/>
  <c r="O111" i="9"/>
  <c r="Q111" i="9"/>
  <c r="R111" i="9"/>
  <c r="S111" i="9"/>
  <c r="U111" i="9"/>
  <c r="U111" i="11" s="1"/>
  <c r="V111" i="9"/>
  <c r="W111" i="9"/>
  <c r="Y111" i="9"/>
  <c r="Z111" i="9"/>
  <c r="AA111" i="9"/>
  <c r="C113" i="9"/>
  <c r="D113" i="9"/>
  <c r="E113" i="9"/>
  <c r="G113" i="9"/>
  <c r="H113" i="9"/>
  <c r="I113" i="9"/>
  <c r="I113" i="11" s="1"/>
  <c r="K113" i="9"/>
  <c r="L113" i="9"/>
  <c r="M113" i="9"/>
  <c r="O113" i="9"/>
  <c r="P113" i="9"/>
  <c r="Q113" i="9"/>
  <c r="Q113" i="11" s="1"/>
  <c r="S113" i="9"/>
  <c r="T113" i="9"/>
  <c r="U113" i="9"/>
  <c r="W113" i="9"/>
  <c r="X113" i="9"/>
  <c r="Y113" i="9"/>
  <c r="Y113" i="11" s="1"/>
  <c r="AA113" i="9"/>
  <c r="B115" i="9"/>
  <c r="C115" i="9"/>
  <c r="E115" i="9"/>
  <c r="F115" i="9"/>
  <c r="F115" i="11" s="1"/>
  <c r="G115" i="9"/>
  <c r="I115" i="9"/>
  <c r="J115" i="9"/>
  <c r="K115" i="9"/>
  <c r="M115" i="9"/>
  <c r="N115" i="9"/>
  <c r="N115" i="11" s="1"/>
  <c r="O115" i="9"/>
  <c r="Q115" i="9"/>
  <c r="R115" i="9"/>
  <c r="S115" i="9"/>
  <c r="U115" i="9"/>
  <c r="V115" i="9"/>
  <c r="V115" i="11" s="1"/>
  <c r="W115" i="9"/>
  <c r="Y115" i="9"/>
  <c r="Z115" i="9"/>
  <c r="AA115" i="9"/>
  <c r="C117" i="9"/>
  <c r="D117" i="9"/>
  <c r="E117" i="9"/>
  <c r="G117" i="9"/>
  <c r="H117" i="9"/>
  <c r="I117" i="9"/>
  <c r="K117" i="9"/>
  <c r="L117" i="9"/>
  <c r="M117" i="9"/>
  <c r="M117" i="11" s="1"/>
  <c r="O117" i="9"/>
  <c r="P117" i="9"/>
  <c r="Q117" i="9"/>
  <c r="S117" i="9"/>
  <c r="T117" i="9"/>
  <c r="U117" i="9"/>
  <c r="W117" i="9"/>
  <c r="X117" i="9"/>
  <c r="Y117" i="9"/>
  <c r="Z117" i="9"/>
  <c r="Z117" i="11" s="1"/>
  <c r="AA117" i="9"/>
  <c r="B119" i="9"/>
  <c r="C119" i="9"/>
  <c r="D119" i="9"/>
  <c r="E119" i="9"/>
  <c r="F119" i="9"/>
  <c r="F119" i="11" s="1"/>
  <c r="G119" i="9"/>
  <c r="H119" i="9"/>
  <c r="I119" i="9"/>
  <c r="J119" i="9"/>
  <c r="K119" i="9"/>
  <c r="L119" i="9"/>
  <c r="M119" i="9"/>
  <c r="N119" i="9"/>
  <c r="N119" i="10" s="1"/>
  <c r="O119" i="9"/>
  <c r="P119" i="9"/>
  <c r="Q119" i="9"/>
  <c r="R119" i="9"/>
  <c r="S119" i="9"/>
  <c r="T119" i="9"/>
  <c r="U119" i="9"/>
  <c r="V119" i="9"/>
  <c r="V119" i="11" s="1"/>
  <c r="W119" i="9"/>
  <c r="X119" i="9"/>
  <c r="Y119" i="9"/>
  <c r="Z119" i="9"/>
  <c r="AA119" i="9"/>
  <c r="B121" i="9"/>
  <c r="B121" i="11" s="1"/>
  <c r="C121" i="9"/>
  <c r="D121" i="9"/>
  <c r="E121" i="9"/>
  <c r="F121" i="9"/>
  <c r="G121" i="9"/>
  <c r="H121" i="9"/>
  <c r="I121" i="9"/>
  <c r="J121" i="9"/>
  <c r="J121" i="10" s="1"/>
  <c r="K121" i="9"/>
  <c r="L121" i="9"/>
  <c r="M121" i="9"/>
  <c r="N121" i="9"/>
  <c r="O121" i="9"/>
  <c r="O121" i="11" s="1"/>
  <c r="P121" i="9"/>
  <c r="Q121" i="9"/>
  <c r="R121" i="9"/>
  <c r="R121" i="11" s="1"/>
  <c r="S121" i="9"/>
  <c r="T121" i="9"/>
  <c r="U121" i="9"/>
  <c r="V121" i="9"/>
  <c r="W121" i="9"/>
  <c r="X121" i="9"/>
  <c r="Y121" i="9"/>
  <c r="Z121" i="9"/>
  <c r="Z121" i="10" s="1"/>
  <c r="AA121" i="9"/>
  <c r="B123" i="9"/>
  <c r="C123" i="9"/>
  <c r="D123" i="9"/>
  <c r="E123" i="9"/>
  <c r="F123" i="9"/>
  <c r="F123" i="10" s="1"/>
  <c r="G123" i="9"/>
  <c r="H123" i="9"/>
  <c r="I123" i="9"/>
  <c r="J123" i="9"/>
  <c r="K123" i="9"/>
  <c r="K123" i="11" s="1"/>
  <c r="L123" i="9"/>
  <c r="M123" i="9"/>
  <c r="N123" i="9"/>
  <c r="O123" i="9"/>
  <c r="P123" i="9"/>
  <c r="Q123" i="9"/>
  <c r="R123" i="9"/>
  <c r="S123" i="9"/>
  <c r="T123" i="9"/>
  <c r="U123" i="9"/>
  <c r="V123" i="9"/>
  <c r="V123" i="10" s="1"/>
  <c r="W123" i="9"/>
  <c r="X123" i="9"/>
  <c r="Y123" i="9"/>
  <c r="Z123" i="9"/>
  <c r="AA123" i="9"/>
  <c r="AA123" i="11" s="1"/>
  <c r="B125" i="9"/>
  <c r="B125" i="10" s="1"/>
  <c r="C125" i="9"/>
  <c r="D125" i="9"/>
  <c r="E125" i="9"/>
  <c r="F125" i="9"/>
  <c r="G125" i="9"/>
  <c r="H125" i="9"/>
  <c r="I125" i="9"/>
  <c r="J125" i="9"/>
  <c r="K125" i="9"/>
  <c r="L125" i="9"/>
  <c r="M125" i="9"/>
  <c r="N125" i="9"/>
  <c r="O125" i="9"/>
  <c r="O125" i="11" s="1"/>
  <c r="P125" i="9"/>
  <c r="Q125" i="9"/>
  <c r="R125" i="9"/>
  <c r="R125" i="10" s="1"/>
  <c r="S125" i="9"/>
  <c r="T125" i="9"/>
  <c r="U125" i="9"/>
  <c r="V125" i="9"/>
  <c r="W125" i="9"/>
  <c r="X125" i="9"/>
  <c r="Y125" i="9"/>
  <c r="Z125" i="9"/>
  <c r="AA125" i="9"/>
  <c r="B127" i="9"/>
  <c r="C127" i="9"/>
  <c r="C127" i="11" s="1"/>
  <c r="D127" i="9"/>
  <c r="E127" i="9"/>
  <c r="F127" i="9"/>
  <c r="G127" i="9"/>
  <c r="H127" i="9"/>
  <c r="I127" i="9"/>
  <c r="J127" i="9"/>
  <c r="K127" i="9"/>
  <c r="K127" i="11" s="1"/>
  <c r="L127" i="9"/>
  <c r="L127" i="10" s="1"/>
  <c r="M127" i="9"/>
  <c r="N127" i="9"/>
  <c r="O127" i="9"/>
  <c r="P127" i="9"/>
  <c r="Q127" i="9"/>
  <c r="R127" i="9"/>
  <c r="S127" i="9"/>
  <c r="S127" i="11" s="1"/>
  <c r="T127" i="9"/>
  <c r="U127" i="9"/>
  <c r="V127" i="9"/>
  <c r="W127" i="9"/>
  <c r="X127" i="9"/>
  <c r="Y127" i="9"/>
  <c r="Z127" i="9"/>
  <c r="AA127" i="9"/>
  <c r="AA127" i="11" s="1"/>
  <c r="B129" i="9"/>
  <c r="C129" i="9"/>
  <c r="D129" i="9"/>
  <c r="E129" i="9"/>
  <c r="F129" i="9"/>
  <c r="G129" i="9"/>
  <c r="H129" i="9"/>
  <c r="I129" i="9"/>
  <c r="J129" i="9"/>
  <c r="K129" i="9"/>
  <c r="L129" i="9"/>
  <c r="M129" i="9"/>
  <c r="N129" i="9"/>
  <c r="N129" i="10" s="1"/>
  <c r="O129" i="9"/>
  <c r="O129" i="11" s="1"/>
  <c r="P129" i="9"/>
  <c r="Q129" i="9"/>
  <c r="R129" i="9"/>
  <c r="S129" i="9"/>
  <c r="T129" i="9"/>
  <c r="U129" i="9"/>
  <c r="V129" i="9"/>
  <c r="W129" i="9"/>
  <c r="W129" i="11" s="1"/>
  <c r="X129" i="9"/>
  <c r="X129" i="10" s="1"/>
  <c r="Y129" i="9"/>
  <c r="Z129" i="9"/>
  <c r="AA129" i="9"/>
  <c r="B131" i="9"/>
  <c r="C131" i="9"/>
  <c r="C131" i="11" s="1"/>
  <c r="D131" i="9"/>
  <c r="D131" i="10" s="1"/>
  <c r="E131" i="9"/>
  <c r="F131" i="9"/>
  <c r="G131" i="9"/>
  <c r="H131" i="9"/>
  <c r="I131" i="9"/>
  <c r="J131" i="9"/>
  <c r="K131" i="9"/>
  <c r="K131" i="11" s="1"/>
  <c r="L131" i="9"/>
  <c r="M131" i="9"/>
  <c r="N131" i="9"/>
  <c r="O131" i="9"/>
  <c r="P131" i="9"/>
  <c r="Q131" i="9"/>
  <c r="R131" i="9"/>
  <c r="S131" i="9"/>
  <c r="S131" i="11" s="1"/>
  <c r="T131" i="9"/>
  <c r="U131" i="9"/>
  <c r="V131" i="9"/>
  <c r="W131" i="9"/>
  <c r="X131" i="9"/>
  <c r="Y131" i="9"/>
  <c r="Z131" i="9"/>
  <c r="AA131" i="9"/>
  <c r="AA131" i="11" s="1"/>
  <c r="B133" i="9"/>
  <c r="C133" i="9"/>
  <c r="D133" i="9"/>
  <c r="E133" i="9"/>
  <c r="F133" i="9"/>
  <c r="G133" i="9"/>
  <c r="H133" i="9"/>
  <c r="I133" i="9"/>
  <c r="J133" i="9"/>
  <c r="K133" i="9"/>
  <c r="L133" i="9"/>
  <c r="M133" i="9"/>
  <c r="N133" i="9"/>
  <c r="O133" i="9"/>
  <c r="P133" i="9"/>
  <c r="Q133" i="9"/>
  <c r="R133" i="9"/>
  <c r="S133" i="9"/>
  <c r="T133" i="9"/>
  <c r="U133" i="9"/>
  <c r="V133" i="9"/>
  <c r="W133" i="9"/>
  <c r="X133" i="9"/>
  <c r="Y133" i="9"/>
  <c r="Z133" i="9"/>
  <c r="AA133" i="9"/>
  <c r="X103" i="7"/>
  <c r="AA120" i="7"/>
  <c r="Q125" i="7"/>
  <c r="B133" i="7"/>
  <c r="F133" i="7"/>
  <c r="J133" i="7"/>
  <c r="N133" i="7"/>
  <c r="R133" i="7"/>
  <c r="V133" i="7"/>
  <c r="Z133" i="7"/>
  <c r="B101" i="4"/>
  <c r="B101" i="7" s="1"/>
  <c r="C101" i="4"/>
  <c r="C101" i="7" s="1"/>
  <c r="D101" i="4"/>
  <c r="E101" i="4"/>
  <c r="E101" i="7" s="1"/>
  <c r="F101" i="4"/>
  <c r="F101" i="7" s="1"/>
  <c r="G101" i="4"/>
  <c r="G101" i="7" s="1"/>
  <c r="H101" i="4"/>
  <c r="H101" i="7" s="1"/>
  <c r="I101" i="4"/>
  <c r="I101" i="7" s="1"/>
  <c r="J101" i="4"/>
  <c r="J101" i="7" s="1"/>
  <c r="K101" i="4"/>
  <c r="K101" i="7" s="1"/>
  <c r="L101" i="4"/>
  <c r="L101" i="7" s="1"/>
  <c r="M101" i="4"/>
  <c r="M101" i="7" s="1"/>
  <c r="N101" i="4"/>
  <c r="N101" i="7" s="1"/>
  <c r="O101" i="4"/>
  <c r="O101" i="6" s="1"/>
  <c r="P101" i="4"/>
  <c r="Q101" i="4"/>
  <c r="Q101" i="7" s="1"/>
  <c r="R101" i="4"/>
  <c r="R101" i="7" s="1"/>
  <c r="S101" i="4"/>
  <c r="S101" i="7" s="1"/>
  <c r="T101" i="4"/>
  <c r="T101" i="7" s="1"/>
  <c r="U101" i="4"/>
  <c r="U101" i="7" s="1"/>
  <c r="V101" i="4"/>
  <c r="V101" i="7" s="1"/>
  <c r="W101" i="4"/>
  <c r="W101" i="7" s="1"/>
  <c r="X101" i="4"/>
  <c r="X101" i="7" s="1"/>
  <c r="Y101" i="4"/>
  <c r="Y101" i="7" s="1"/>
  <c r="Z101" i="4"/>
  <c r="Z101" i="7" s="1"/>
  <c r="AA101" i="4"/>
  <c r="AA101" i="7" s="1"/>
  <c r="B102" i="4"/>
  <c r="C102" i="4"/>
  <c r="C102" i="7" s="1"/>
  <c r="E102" i="4"/>
  <c r="E102" i="6" s="1"/>
  <c r="F102" i="4"/>
  <c r="G102" i="4"/>
  <c r="I102" i="4"/>
  <c r="I102" i="7" s="1"/>
  <c r="J102" i="4"/>
  <c r="J102" i="7" s="1"/>
  <c r="K102" i="4"/>
  <c r="K102" i="7" s="1"/>
  <c r="M102" i="4"/>
  <c r="M102" i="7" s="1"/>
  <c r="N102" i="4"/>
  <c r="N102" i="7" s="1"/>
  <c r="O102" i="4"/>
  <c r="O102" i="7" s="1"/>
  <c r="Q102" i="4"/>
  <c r="Q102" i="7" s="1"/>
  <c r="R102" i="4"/>
  <c r="S102" i="4"/>
  <c r="S102" i="7" s="1"/>
  <c r="U102" i="4"/>
  <c r="U102" i="6" s="1"/>
  <c r="V102" i="4"/>
  <c r="W102" i="4"/>
  <c r="W102" i="7" s="1"/>
  <c r="Y102" i="4"/>
  <c r="Y102" i="7" s="1"/>
  <c r="Z102" i="4"/>
  <c r="Z102" i="7" s="1"/>
  <c r="AA102" i="4"/>
  <c r="AA102" i="7" s="1"/>
  <c r="B103" i="4"/>
  <c r="C103" i="4"/>
  <c r="C103" i="7" s="1"/>
  <c r="D103" i="4"/>
  <c r="D103" i="7" s="1"/>
  <c r="E103" i="4"/>
  <c r="E103" i="7" s="1"/>
  <c r="F103" i="4"/>
  <c r="G103" i="4"/>
  <c r="G103" i="7" s="1"/>
  <c r="H103" i="4"/>
  <c r="H103" i="7" s="1"/>
  <c r="I103" i="4"/>
  <c r="I103" i="7" s="1"/>
  <c r="J103" i="4"/>
  <c r="J103" i="7" s="1"/>
  <c r="K103" i="4"/>
  <c r="K103" i="6" s="1"/>
  <c r="L103" i="4"/>
  <c r="M103" i="4"/>
  <c r="M103" i="7" s="1"/>
  <c r="N103" i="4"/>
  <c r="O103" i="4"/>
  <c r="O103" i="7" s="1"/>
  <c r="P103" i="4"/>
  <c r="P103" i="7" s="1"/>
  <c r="Q103" i="4"/>
  <c r="Q103" i="7" s="1"/>
  <c r="R103" i="4"/>
  <c r="S103" i="4"/>
  <c r="S103" i="7" s="1"/>
  <c r="T103" i="4"/>
  <c r="T103" i="7" s="1"/>
  <c r="U103" i="4"/>
  <c r="U103" i="7" s="1"/>
  <c r="V103" i="4"/>
  <c r="V103" i="7" s="1"/>
  <c r="W103" i="4"/>
  <c r="W103" i="7" s="1"/>
  <c r="X103" i="4"/>
  <c r="Y103" i="4"/>
  <c r="Y103" i="7" s="1"/>
  <c r="Z103" i="4"/>
  <c r="Z103" i="7" s="1"/>
  <c r="AA103" i="4"/>
  <c r="AA103" i="6" s="1"/>
  <c r="B104" i="4"/>
  <c r="C104" i="4"/>
  <c r="C104" i="7" s="1"/>
  <c r="E104" i="4"/>
  <c r="E104" i="7" s="1"/>
  <c r="F104" i="4"/>
  <c r="F104" i="7" s="1"/>
  <c r="G104" i="4"/>
  <c r="G104" i="7" s="1"/>
  <c r="I104" i="4"/>
  <c r="I104" i="7" s="1"/>
  <c r="J104" i="4"/>
  <c r="J104" i="7" s="1"/>
  <c r="K104" i="4"/>
  <c r="K104" i="7" s="1"/>
  <c r="M104" i="4"/>
  <c r="M104" i="7" s="1"/>
  <c r="N104" i="4"/>
  <c r="N104" i="7" s="1"/>
  <c r="O104" i="4"/>
  <c r="Q104" i="4"/>
  <c r="Q104" i="6" s="1"/>
  <c r="R104" i="4"/>
  <c r="S104" i="4"/>
  <c r="S104" i="7" s="1"/>
  <c r="U104" i="4"/>
  <c r="U104" i="7" s="1"/>
  <c r="V104" i="4"/>
  <c r="V104" i="7" s="1"/>
  <c r="W104" i="4"/>
  <c r="W104" i="7" s="1"/>
  <c r="Y104" i="4"/>
  <c r="Y104" i="7" s="1"/>
  <c r="Z104" i="4"/>
  <c r="AA104" i="4"/>
  <c r="AA104" i="7" s="1"/>
  <c r="B105" i="4"/>
  <c r="B105" i="7" s="1"/>
  <c r="C105" i="4"/>
  <c r="C105" i="7" s="1"/>
  <c r="D105" i="4"/>
  <c r="E105" i="4"/>
  <c r="E105" i="7" s="1"/>
  <c r="F105" i="4"/>
  <c r="F105" i="7" s="1"/>
  <c r="G105" i="4"/>
  <c r="G105" i="6" s="1"/>
  <c r="H105" i="4"/>
  <c r="I105" i="4"/>
  <c r="I105" i="7" s="1"/>
  <c r="J105" i="4"/>
  <c r="J105" i="7" s="1"/>
  <c r="K105" i="4"/>
  <c r="K105" i="7" s="1"/>
  <c r="L105" i="4"/>
  <c r="M105" i="4"/>
  <c r="M105" i="7" s="1"/>
  <c r="N105" i="4"/>
  <c r="N105" i="7" s="1"/>
  <c r="O105" i="4"/>
  <c r="O105" i="7" s="1"/>
  <c r="P105" i="4"/>
  <c r="Q105" i="4"/>
  <c r="Q105" i="7" s="1"/>
  <c r="R105" i="4"/>
  <c r="R105" i="7" s="1"/>
  <c r="S105" i="4"/>
  <c r="S105" i="7" s="1"/>
  <c r="T105" i="4"/>
  <c r="T105" i="7" s="1"/>
  <c r="U105" i="4"/>
  <c r="U105" i="7" s="1"/>
  <c r="V105" i="4"/>
  <c r="V105" i="7" s="1"/>
  <c r="W105" i="4"/>
  <c r="W105" i="6" s="1"/>
  <c r="X105" i="4"/>
  <c r="Y105" i="4"/>
  <c r="Y105" i="7" s="1"/>
  <c r="Z105" i="4"/>
  <c r="Z105" i="7" s="1"/>
  <c r="AA105" i="4"/>
  <c r="AA105" i="7" s="1"/>
  <c r="B106" i="4"/>
  <c r="C106" i="4"/>
  <c r="C106" i="7" s="1"/>
  <c r="E106" i="4"/>
  <c r="E106" i="7" s="1"/>
  <c r="F106" i="4"/>
  <c r="F106" i="7" s="1"/>
  <c r="G106" i="4"/>
  <c r="G106" i="7" s="1"/>
  <c r="I106" i="4"/>
  <c r="I106" i="7" s="1"/>
  <c r="J106" i="4"/>
  <c r="J106" i="7" s="1"/>
  <c r="K106" i="4"/>
  <c r="K106" i="7" s="1"/>
  <c r="M106" i="4"/>
  <c r="M106" i="6" s="1"/>
  <c r="N106" i="4"/>
  <c r="O106" i="4"/>
  <c r="O106" i="7" s="1"/>
  <c r="Q106" i="4"/>
  <c r="Q106" i="7" s="1"/>
  <c r="R106" i="4"/>
  <c r="R106" i="7" s="1"/>
  <c r="S106" i="4"/>
  <c r="S106" i="7" s="1"/>
  <c r="U106" i="4"/>
  <c r="U106" i="7" s="1"/>
  <c r="V106" i="4"/>
  <c r="V106" i="7" s="1"/>
  <c r="W106" i="4"/>
  <c r="Y106" i="4"/>
  <c r="Y106" i="7" s="1"/>
  <c r="Z106" i="4"/>
  <c r="Z106" i="7" s="1"/>
  <c r="AA106" i="4"/>
  <c r="AA106" i="7" s="1"/>
  <c r="B107" i="4"/>
  <c r="C107" i="4"/>
  <c r="C107" i="6" s="1"/>
  <c r="D107" i="4"/>
  <c r="E107" i="4"/>
  <c r="E107" i="7" s="1"/>
  <c r="F107" i="4"/>
  <c r="F107" i="7" s="1"/>
  <c r="G107" i="4"/>
  <c r="G107" i="7" s="1"/>
  <c r="H107" i="4"/>
  <c r="H107" i="7" s="1"/>
  <c r="I107" i="4"/>
  <c r="I107" i="7" s="1"/>
  <c r="J107" i="4"/>
  <c r="K107" i="4"/>
  <c r="K107" i="7" s="1"/>
  <c r="L107" i="4"/>
  <c r="L107" i="7" s="1"/>
  <c r="M107" i="4"/>
  <c r="M107" i="7" s="1"/>
  <c r="N107" i="4"/>
  <c r="O107" i="4"/>
  <c r="O107" i="7" s="1"/>
  <c r="P107" i="4"/>
  <c r="P107" i="7" s="1"/>
  <c r="Q107" i="4"/>
  <c r="Q107" i="7" s="1"/>
  <c r="R107" i="4"/>
  <c r="R107" i="7" s="1"/>
  <c r="S107" i="4"/>
  <c r="S107" i="6" s="1"/>
  <c r="T107" i="4"/>
  <c r="U107" i="4"/>
  <c r="U107" i="7" s="1"/>
  <c r="V107" i="4"/>
  <c r="W107" i="4"/>
  <c r="W107" i="7" s="1"/>
  <c r="X107" i="4"/>
  <c r="X107" i="7" s="1"/>
  <c r="Y107" i="4"/>
  <c r="Y107" i="7" s="1"/>
  <c r="Z107" i="4"/>
  <c r="AA107" i="4"/>
  <c r="AA107" i="7" s="1"/>
  <c r="B108" i="4"/>
  <c r="B108" i="7" s="1"/>
  <c r="C108" i="4"/>
  <c r="C108" i="7" s="1"/>
  <c r="E108" i="4"/>
  <c r="E108" i="7" s="1"/>
  <c r="F108" i="4"/>
  <c r="F108" i="7" s="1"/>
  <c r="G108" i="4"/>
  <c r="G108" i="7" s="1"/>
  <c r="I108" i="4"/>
  <c r="I108" i="6" s="1"/>
  <c r="J108" i="4"/>
  <c r="K108" i="4"/>
  <c r="K108" i="7" s="1"/>
  <c r="M108" i="4"/>
  <c r="M108" i="7" s="1"/>
  <c r="N108" i="4"/>
  <c r="N108" i="7" s="1"/>
  <c r="O108" i="4"/>
  <c r="O108" i="7" s="1"/>
  <c r="Q108" i="4"/>
  <c r="Q108" i="7" s="1"/>
  <c r="R108" i="4"/>
  <c r="R108" i="7" s="1"/>
  <c r="S108" i="4"/>
  <c r="S108" i="7" s="1"/>
  <c r="U108" i="4"/>
  <c r="U108" i="7" s="1"/>
  <c r="V108" i="4"/>
  <c r="V108" i="7" s="1"/>
  <c r="W108" i="4"/>
  <c r="W108" i="7" s="1"/>
  <c r="Y108" i="4"/>
  <c r="Y108" i="6" s="1"/>
  <c r="Z108" i="4"/>
  <c r="AA108" i="4"/>
  <c r="AA108" i="7" s="1"/>
  <c r="B109" i="4"/>
  <c r="B109" i="7" s="1"/>
  <c r="C109" i="4"/>
  <c r="C109" i="7" s="1"/>
  <c r="D109" i="4"/>
  <c r="E109" i="4"/>
  <c r="E109" i="7" s="1"/>
  <c r="F109" i="4"/>
  <c r="F109" i="7" s="1"/>
  <c r="G109" i="4"/>
  <c r="G109" i="7" s="1"/>
  <c r="H109" i="4"/>
  <c r="I109" i="4"/>
  <c r="I109" i="7" s="1"/>
  <c r="J109" i="4"/>
  <c r="J109" i="7" s="1"/>
  <c r="K109" i="4"/>
  <c r="K109" i="7" s="1"/>
  <c r="L109" i="4"/>
  <c r="L109" i="7" s="1"/>
  <c r="M109" i="4"/>
  <c r="M109" i="7" s="1"/>
  <c r="N109" i="4"/>
  <c r="N109" i="7" s="1"/>
  <c r="O109" i="4"/>
  <c r="O109" i="6" s="1"/>
  <c r="P109" i="4"/>
  <c r="Q109" i="4"/>
  <c r="Q109" i="7" s="1"/>
  <c r="R109" i="4"/>
  <c r="R109" i="7" s="1"/>
  <c r="S109" i="4"/>
  <c r="S109" i="7" s="1"/>
  <c r="T109" i="4"/>
  <c r="U109" i="4"/>
  <c r="U109" i="7" s="1"/>
  <c r="V109" i="4"/>
  <c r="V109" i="7" s="1"/>
  <c r="W109" i="4"/>
  <c r="W109" i="7" s="1"/>
  <c r="X109" i="4"/>
  <c r="X109" i="7" s="1"/>
  <c r="Y109" i="4"/>
  <c r="Y109" i="7" s="1"/>
  <c r="Z109" i="4"/>
  <c r="Z109" i="7" s="1"/>
  <c r="AA109" i="4"/>
  <c r="AA109" i="7" s="1"/>
  <c r="B110" i="4"/>
  <c r="B110" i="7" s="1"/>
  <c r="C110" i="4"/>
  <c r="C110" i="7" s="1"/>
  <c r="E110" i="4"/>
  <c r="E110" i="6" s="1"/>
  <c r="F110" i="4"/>
  <c r="G110" i="4"/>
  <c r="I110" i="4"/>
  <c r="I110" i="7" s="1"/>
  <c r="J110" i="4"/>
  <c r="J110" i="7" s="1"/>
  <c r="K110" i="4"/>
  <c r="K110" i="7" s="1"/>
  <c r="M110" i="4"/>
  <c r="M110" i="7" s="1"/>
  <c r="N110" i="4"/>
  <c r="N110" i="7" s="1"/>
  <c r="O110" i="4"/>
  <c r="O110" i="7" s="1"/>
  <c r="Q110" i="4"/>
  <c r="Q110" i="7" s="1"/>
  <c r="R110" i="4"/>
  <c r="R110" i="7" s="1"/>
  <c r="S110" i="4"/>
  <c r="S110" i="7" s="1"/>
  <c r="T110" i="4"/>
  <c r="T110" i="7" s="1"/>
  <c r="U110" i="4"/>
  <c r="U110" i="6" s="1"/>
  <c r="V110" i="4"/>
  <c r="W110" i="4"/>
  <c r="W110" i="7" s="1"/>
  <c r="X110" i="4"/>
  <c r="X110" i="7" s="1"/>
  <c r="Y110" i="4"/>
  <c r="Y110" i="7" s="1"/>
  <c r="Z110" i="4"/>
  <c r="AA110" i="4"/>
  <c r="AA110" i="7" s="1"/>
  <c r="B111" i="4"/>
  <c r="B111" i="7" s="1"/>
  <c r="C111" i="4"/>
  <c r="C111" i="7" s="1"/>
  <c r="D111" i="4"/>
  <c r="D111" i="7" s="1"/>
  <c r="E111" i="4"/>
  <c r="E111" i="7" s="1"/>
  <c r="F111" i="4"/>
  <c r="F111" i="7" s="1"/>
  <c r="G111" i="4"/>
  <c r="G111" i="7" s="1"/>
  <c r="H111" i="4"/>
  <c r="H111" i="7" s="1"/>
  <c r="I111" i="4"/>
  <c r="I111" i="7" s="1"/>
  <c r="J111" i="4"/>
  <c r="J111" i="7" s="1"/>
  <c r="K111" i="4"/>
  <c r="K111" i="6" s="1"/>
  <c r="L111" i="4"/>
  <c r="M111" i="4"/>
  <c r="M111" i="7" s="1"/>
  <c r="N111" i="4"/>
  <c r="N111" i="7" s="1"/>
  <c r="O111" i="4"/>
  <c r="O111" i="7" s="1"/>
  <c r="P111" i="4"/>
  <c r="Q111" i="4"/>
  <c r="Q111" i="7" s="1"/>
  <c r="R111" i="4"/>
  <c r="R111" i="7" s="1"/>
  <c r="S111" i="4"/>
  <c r="S111" i="7" s="1"/>
  <c r="T111" i="4"/>
  <c r="T111" i="7" s="1"/>
  <c r="U111" i="4"/>
  <c r="U111" i="7" s="1"/>
  <c r="V111" i="4"/>
  <c r="V111" i="7" s="1"/>
  <c r="W111" i="4"/>
  <c r="W111" i="7" s="1"/>
  <c r="X111" i="4"/>
  <c r="X111" i="7" s="1"/>
  <c r="Y111" i="4"/>
  <c r="Y111" i="7" s="1"/>
  <c r="Z111" i="4"/>
  <c r="Z111" i="7" s="1"/>
  <c r="AA111" i="4"/>
  <c r="AA111" i="6" s="1"/>
  <c r="B112" i="4"/>
  <c r="C112" i="4"/>
  <c r="C112" i="7" s="1"/>
  <c r="D112" i="4"/>
  <c r="D112" i="7" s="1"/>
  <c r="E112" i="4"/>
  <c r="E112" i="7" s="1"/>
  <c r="F112" i="4"/>
  <c r="G112" i="4"/>
  <c r="G112" i="7" s="1"/>
  <c r="H112" i="4"/>
  <c r="H112" i="7" s="1"/>
  <c r="I112" i="4"/>
  <c r="I112" i="7" s="1"/>
  <c r="J112" i="4"/>
  <c r="J112" i="7" s="1"/>
  <c r="K112" i="4"/>
  <c r="K112" i="7" s="1"/>
  <c r="L112" i="4"/>
  <c r="L112" i="7" s="1"/>
  <c r="M112" i="4"/>
  <c r="M112" i="7" s="1"/>
  <c r="N112" i="4"/>
  <c r="N112" i="7" s="1"/>
  <c r="O112" i="4"/>
  <c r="O112" i="7" s="1"/>
  <c r="P112" i="4"/>
  <c r="P112" i="7" s="1"/>
  <c r="Q112" i="4"/>
  <c r="Q112" i="6" s="1"/>
  <c r="R112" i="4"/>
  <c r="S112" i="4"/>
  <c r="S112" i="7" s="1"/>
  <c r="T112" i="4"/>
  <c r="T112" i="7" s="1"/>
  <c r="U112" i="4"/>
  <c r="U112" i="7" s="1"/>
  <c r="V112" i="4"/>
  <c r="W112" i="4"/>
  <c r="W112" i="7" s="1"/>
  <c r="X112" i="4"/>
  <c r="X112" i="7" s="1"/>
  <c r="Y112" i="4"/>
  <c r="Y112" i="7" s="1"/>
  <c r="Z112" i="4"/>
  <c r="Z112" i="7" s="1"/>
  <c r="AA112" i="4"/>
  <c r="AA112" i="7" s="1"/>
  <c r="B113" i="4"/>
  <c r="B113" i="7" s="1"/>
  <c r="C113" i="4"/>
  <c r="C113" i="7" s="1"/>
  <c r="D113" i="4"/>
  <c r="D113" i="7" s="1"/>
  <c r="E113" i="4"/>
  <c r="E113" i="7" s="1"/>
  <c r="F113" i="4"/>
  <c r="F113" i="7" s="1"/>
  <c r="G113" i="4"/>
  <c r="G113" i="6" s="1"/>
  <c r="H113" i="4"/>
  <c r="I113" i="4"/>
  <c r="I113" i="7" s="1"/>
  <c r="J113" i="4"/>
  <c r="J113" i="7" s="1"/>
  <c r="K113" i="4"/>
  <c r="K113" i="7" s="1"/>
  <c r="L113" i="4"/>
  <c r="M113" i="4"/>
  <c r="M113" i="7" s="1"/>
  <c r="N113" i="4"/>
  <c r="N113" i="7" s="1"/>
  <c r="O113" i="4"/>
  <c r="O113" i="7" s="1"/>
  <c r="P113" i="4"/>
  <c r="P113" i="7" s="1"/>
  <c r="Q113" i="4"/>
  <c r="Q113" i="7" s="1"/>
  <c r="R113" i="4"/>
  <c r="R113" i="7" s="1"/>
  <c r="S113" i="4"/>
  <c r="S113" i="7" s="1"/>
  <c r="T113" i="4"/>
  <c r="T113" i="7" s="1"/>
  <c r="U113" i="4"/>
  <c r="U113" i="7" s="1"/>
  <c r="V113" i="4"/>
  <c r="V113" i="7" s="1"/>
  <c r="W113" i="4"/>
  <c r="W113" i="6" s="1"/>
  <c r="X113" i="4"/>
  <c r="X113" i="7" s="1"/>
  <c r="Y113" i="4"/>
  <c r="Y113" i="7" s="1"/>
  <c r="Z113" i="4"/>
  <c r="Z113" i="7" s="1"/>
  <c r="AA113" i="4"/>
  <c r="AA113" i="7" s="1"/>
  <c r="B114" i="4"/>
  <c r="C114" i="4"/>
  <c r="C114" i="7" s="1"/>
  <c r="D114" i="4"/>
  <c r="D114" i="7" s="1"/>
  <c r="E114" i="4"/>
  <c r="E114" i="7" s="1"/>
  <c r="F114" i="4"/>
  <c r="F114" i="7" s="1"/>
  <c r="G114" i="4"/>
  <c r="G114" i="7" s="1"/>
  <c r="H114" i="4"/>
  <c r="H114" i="7" s="1"/>
  <c r="I114" i="4"/>
  <c r="I114" i="7" s="1"/>
  <c r="J114" i="4"/>
  <c r="J114" i="7" s="1"/>
  <c r="K114" i="4"/>
  <c r="K114" i="7" s="1"/>
  <c r="L114" i="4"/>
  <c r="L114" i="7" s="1"/>
  <c r="M114" i="4"/>
  <c r="M114" i="6" s="1"/>
  <c r="N114" i="4"/>
  <c r="N114" i="7" s="1"/>
  <c r="O114" i="4"/>
  <c r="O114" i="7" s="1"/>
  <c r="P114" i="4"/>
  <c r="P114" i="7" s="1"/>
  <c r="Q114" i="4"/>
  <c r="Q114" i="7" s="1"/>
  <c r="R114" i="4"/>
  <c r="S114" i="4"/>
  <c r="S114" i="7" s="1"/>
  <c r="T114" i="4"/>
  <c r="T114" i="7" s="1"/>
  <c r="U114" i="4"/>
  <c r="U114" i="7" s="1"/>
  <c r="V114" i="4"/>
  <c r="V114" i="7" s="1"/>
  <c r="W114" i="4"/>
  <c r="W114" i="7" s="1"/>
  <c r="X114" i="4"/>
  <c r="X114" i="7" s="1"/>
  <c r="Y114" i="4"/>
  <c r="Y114" i="7" s="1"/>
  <c r="Z114" i="4"/>
  <c r="Z114" i="7" s="1"/>
  <c r="AA114" i="4"/>
  <c r="AA114" i="7" s="1"/>
  <c r="B115" i="4"/>
  <c r="B115" i="7" s="1"/>
  <c r="C115" i="4"/>
  <c r="C115" i="6" s="1"/>
  <c r="D115" i="4"/>
  <c r="D115" i="7" s="1"/>
  <c r="E115" i="4"/>
  <c r="E115" i="7" s="1"/>
  <c r="F115" i="4"/>
  <c r="F115" i="7" s="1"/>
  <c r="G115" i="4"/>
  <c r="G115" i="7" s="1"/>
  <c r="H115" i="4"/>
  <c r="I115" i="4"/>
  <c r="I115" i="7" s="1"/>
  <c r="J115" i="4"/>
  <c r="J115" i="7" s="1"/>
  <c r="K115" i="4"/>
  <c r="K115" i="7" s="1"/>
  <c r="L115" i="4"/>
  <c r="L115" i="7" s="1"/>
  <c r="M115" i="4"/>
  <c r="M115" i="7" s="1"/>
  <c r="N115" i="4"/>
  <c r="N115" i="7" s="1"/>
  <c r="O115" i="4"/>
  <c r="O115" i="7" s="1"/>
  <c r="P115" i="4"/>
  <c r="P115" i="7" s="1"/>
  <c r="Q115" i="4"/>
  <c r="Q115" i="7" s="1"/>
  <c r="R115" i="4"/>
  <c r="R115" i="7" s="1"/>
  <c r="S115" i="4"/>
  <c r="S115" i="6" s="1"/>
  <c r="T115" i="4"/>
  <c r="T115" i="7" s="1"/>
  <c r="U115" i="4"/>
  <c r="U115" i="7" s="1"/>
  <c r="V115" i="4"/>
  <c r="V115" i="7" s="1"/>
  <c r="W115" i="4"/>
  <c r="W115" i="7" s="1"/>
  <c r="X115" i="4"/>
  <c r="X115" i="6" s="1"/>
  <c r="Y115" i="4"/>
  <c r="Y115" i="7" s="1"/>
  <c r="Z115" i="4"/>
  <c r="Z115" i="7" s="1"/>
  <c r="AA115" i="4"/>
  <c r="AA115" i="7" s="1"/>
  <c r="B116" i="4"/>
  <c r="B116" i="7" s="1"/>
  <c r="C116" i="4"/>
  <c r="C116" i="7" s="1"/>
  <c r="D116" i="4"/>
  <c r="D116" i="7" s="1"/>
  <c r="E116" i="4"/>
  <c r="E116" i="7" s="1"/>
  <c r="F116" i="4"/>
  <c r="F116" i="7" s="1"/>
  <c r="G116" i="4"/>
  <c r="G116" i="7" s="1"/>
  <c r="H116" i="4"/>
  <c r="H116" i="7" s="1"/>
  <c r="I116" i="4"/>
  <c r="I116" i="6" s="1"/>
  <c r="J116" i="4"/>
  <c r="J116" i="7" s="1"/>
  <c r="K116" i="4"/>
  <c r="K116" i="7" s="1"/>
  <c r="L116" i="4"/>
  <c r="L116" i="7" s="1"/>
  <c r="M116" i="4"/>
  <c r="M116" i="7" s="1"/>
  <c r="N116" i="4"/>
  <c r="O116" i="4"/>
  <c r="O116" i="7" s="1"/>
  <c r="P116" i="4"/>
  <c r="P116" i="7" s="1"/>
  <c r="Q116" i="4"/>
  <c r="Q116" i="7" s="1"/>
  <c r="R116" i="4"/>
  <c r="R116" i="7" s="1"/>
  <c r="S116" i="4"/>
  <c r="S116" i="7" s="1"/>
  <c r="T116" i="4"/>
  <c r="T116" i="7" s="1"/>
  <c r="U116" i="4"/>
  <c r="U116" i="7" s="1"/>
  <c r="V116" i="4"/>
  <c r="V116" i="7" s="1"/>
  <c r="W116" i="4"/>
  <c r="W116" i="7" s="1"/>
  <c r="X116" i="4"/>
  <c r="X116" i="7" s="1"/>
  <c r="Y116" i="4"/>
  <c r="Y116" i="6" s="1"/>
  <c r="Z116" i="4"/>
  <c r="Z116" i="7" s="1"/>
  <c r="AA116" i="4"/>
  <c r="AA116" i="7" s="1"/>
  <c r="B117" i="4"/>
  <c r="B117" i="7" s="1"/>
  <c r="C117" i="4"/>
  <c r="C117" i="7" s="1"/>
  <c r="D117" i="4"/>
  <c r="E117" i="4"/>
  <c r="E117" i="7" s="1"/>
  <c r="F117" i="4"/>
  <c r="F117" i="7" s="1"/>
  <c r="G117" i="4"/>
  <c r="G117" i="7" s="1"/>
  <c r="H117" i="4"/>
  <c r="H117" i="7" s="1"/>
  <c r="I117" i="4"/>
  <c r="I117" i="7" s="1"/>
  <c r="J117" i="4"/>
  <c r="J117" i="7" s="1"/>
  <c r="K117" i="4"/>
  <c r="K117" i="7" s="1"/>
  <c r="L117" i="4"/>
  <c r="L117" i="7" s="1"/>
  <c r="M117" i="4"/>
  <c r="M117" i="7" s="1"/>
  <c r="N117" i="4"/>
  <c r="N117" i="7" s="1"/>
  <c r="O117" i="4"/>
  <c r="O117" i="6" s="1"/>
  <c r="P117" i="4"/>
  <c r="P117" i="7" s="1"/>
  <c r="Q117" i="4"/>
  <c r="Q117" i="7" s="1"/>
  <c r="R117" i="4"/>
  <c r="R117" i="7" s="1"/>
  <c r="S117" i="4"/>
  <c r="S117" i="7" s="1"/>
  <c r="T117" i="4"/>
  <c r="U117" i="4"/>
  <c r="U117" i="7" s="1"/>
  <c r="V117" i="4"/>
  <c r="V117" i="7" s="1"/>
  <c r="W117" i="4"/>
  <c r="W117" i="7" s="1"/>
  <c r="X117" i="4"/>
  <c r="X117" i="7" s="1"/>
  <c r="Y117" i="4"/>
  <c r="Y117" i="7" s="1"/>
  <c r="Z117" i="4"/>
  <c r="Z117" i="7" s="1"/>
  <c r="AA117" i="4"/>
  <c r="AA117" i="7" s="1"/>
  <c r="B118" i="4"/>
  <c r="B118" i="7" s="1"/>
  <c r="C118" i="4"/>
  <c r="C118" i="7" s="1"/>
  <c r="D118" i="4"/>
  <c r="D118" i="7" s="1"/>
  <c r="E118" i="4"/>
  <c r="E118" i="7" s="1"/>
  <c r="F118" i="4"/>
  <c r="F118" i="7" s="1"/>
  <c r="G118" i="4"/>
  <c r="G118" i="7" s="1"/>
  <c r="H118" i="4"/>
  <c r="H118" i="7" s="1"/>
  <c r="I118" i="4"/>
  <c r="I118" i="7" s="1"/>
  <c r="J118" i="4"/>
  <c r="K118" i="4"/>
  <c r="K118" i="7" s="1"/>
  <c r="L118" i="4"/>
  <c r="L118" i="7" s="1"/>
  <c r="M118" i="4"/>
  <c r="M118" i="7" s="1"/>
  <c r="N118" i="4"/>
  <c r="N118" i="7" s="1"/>
  <c r="O118" i="4"/>
  <c r="O118" i="7" s="1"/>
  <c r="P118" i="4"/>
  <c r="P118" i="7" s="1"/>
  <c r="Q118" i="4"/>
  <c r="Q118" i="7" s="1"/>
  <c r="R118" i="4"/>
  <c r="R118" i="7" s="1"/>
  <c r="S118" i="4"/>
  <c r="S118" i="7" s="1"/>
  <c r="T118" i="4"/>
  <c r="T118" i="7" s="1"/>
  <c r="U118" i="4"/>
  <c r="U118" i="7" s="1"/>
  <c r="V118" i="4"/>
  <c r="V118" i="7" s="1"/>
  <c r="W118" i="4"/>
  <c r="W118" i="7" s="1"/>
  <c r="X118" i="4"/>
  <c r="X118" i="7" s="1"/>
  <c r="Y118" i="4"/>
  <c r="Y118" i="7" s="1"/>
  <c r="Z118" i="4"/>
  <c r="AA118" i="4"/>
  <c r="AA118" i="7" s="1"/>
  <c r="B119" i="4"/>
  <c r="B119" i="7" s="1"/>
  <c r="C119" i="4"/>
  <c r="C119" i="7" s="1"/>
  <c r="D119" i="4"/>
  <c r="D119" i="7" s="1"/>
  <c r="E119" i="4"/>
  <c r="E119" i="7" s="1"/>
  <c r="F119" i="4"/>
  <c r="F119" i="7" s="1"/>
  <c r="G119" i="4"/>
  <c r="G119" i="7" s="1"/>
  <c r="H119" i="4"/>
  <c r="H119" i="7" s="1"/>
  <c r="I119" i="4"/>
  <c r="I119" i="7" s="1"/>
  <c r="J119" i="4"/>
  <c r="J119" i="7" s="1"/>
  <c r="K119" i="4"/>
  <c r="K119" i="6" s="1"/>
  <c r="L119" i="4"/>
  <c r="L119" i="7" s="1"/>
  <c r="M119" i="4"/>
  <c r="M119" i="7" s="1"/>
  <c r="N119" i="4"/>
  <c r="N119" i="7" s="1"/>
  <c r="O119" i="4"/>
  <c r="O119" i="7" s="1"/>
  <c r="P119" i="4"/>
  <c r="Q119" i="4"/>
  <c r="Q119" i="7" s="1"/>
  <c r="R119" i="4"/>
  <c r="R119" i="7" s="1"/>
  <c r="S119" i="4"/>
  <c r="S119" i="7" s="1"/>
  <c r="T119" i="4"/>
  <c r="T119" i="7" s="1"/>
  <c r="U119" i="4"/>
  <c r="U119" i="7" s="1"/>
  <c r="V119" i="4"/>
  <c r="V119" i="7" s="1"/>
  <c r="W119" i="4"/>
  <c r="W119" i="7" s="1"/>
  <c r="X119" i="4"/>
  <c r="X119" i="7" s="1"/>
  <c r="Y119" i="4"/>
  <c r="Y119" i="7" s="1"/>
  <c r="Z119" i="4"/>
  <c r="Z119" i="7" s="1"/>
  <c r="AA119" i="4"/>
  <c r="AA119" i="6" s="1"/>
  <c r="B120" i="4"/>
  <c r="B120" i="7" s="1"/>
  <c r="C120" i="4"/>
  <c r="C120" i="7" s="1"/>
  <c r="D120" i="4"/>
  <c r="D120" i="7" s="1"/>
  <c r="E120" i="4"/>
  <c r="E120" i="7" s="1"/>
  <c r="F120" i="4"/>
  <c r="F120" i="7" s="1"/>
  <c r="G120" i="4"/>
  <c r="G120" i="7" s="1"/>
  <c r="H120" i="4"/>
  <c r="H120" i="7" s="1"/>
  <c r="I120" i="4"/>
  <c r="I120" i="7" s="1"/>
  <c r="J120" i="4"/>
  <c r="J120" i="7" s="1"/>
  <c r="K120" i="4"/>
  <c r="K120" i="7" s="1"/>
  <c r="L120" i="4"/>
  <c r="L120" i="7" s="1"/>
  <c r="M120" i="4"/>
  <c r="M120" i="7" s="1"/>
  <c r="N120" i="4"/>
  <c r="N120" i="7" s="1"/>
  <c r="O120" i="4"/>
  <c r="O120" i="7" s="1"/>
  <c r="P120" i="4"/>
  <c r="P120" i="7" s="1"/>
  <c r="Q120" i="4"/>
  <c r="Q120" i="7" s="1"/>
  <c r="R120" i="4"/>
  <c r="R120" i="7" s="1"/>
  <c r="S120" i="4"/>
  <c r="S120" i="7" s="1"/>
  <c r="T120" i="4"/>
  <c r="T120" i="7" s="1"/>
  <c r="U120" i="4"/>
  <c r="U120" i="7" s="1"/>
  <c r="V120" i="4"/>
  <c r="V120" i="7" s="1"/>
  <c r="W120" i="4"/>
  <c r="W120" i="7" s="1"/>
  <c r="X120" i="4"/>
  <c r="X120" i="7" s="1"/>
  <c r="Y120" i="4"/>
  <c r="Y120" i="7" s="1"/>
  <c r="Z120" i="4"/>
  <c r="Z120" i="7" s="1"/>
  <c r="AA120" i="4"/>
  <c r="B121" i="4"/>
  <c r="B121" i="7" s="1"/>
  <c r="C121" i="4"/>
  <c r="C121" i="7" s="1"/>
  <c r="D121" i="4"/>
  <c r="D121" i="7" s="1"/>
  <c r="E121" i="4"/>
  <c r="E121" i="7" s="1"/>
  <c r="F121" i="4"/>
  <c r="F121" i="7" s="1"/>
  <c r="G121" i="4"/>
  <c r="G121" i="7" s="1"/>
  <c r="H121" i="4"/>
  <c r="H121" i="7" s="1"/>
  <c r="I121" i="4"/>
  <c r="I121" i="7" s="1"/>
  <c r="J121" i="4"/>
  <c r="J121" i="7" s="1"/>
  <c r="K121" i="4"/>
  <c r="K121" i="7" s="1"/>
  <c r="L121" i="4"/>
  <c r="L121" i="7" s="1"/>
  <c r="M121" i="4"/>
  <c r="M121" i="7" s="1"/>
  <c r="N121" i="4"/>
  <c r="N121" i="7" s="1"/>
  <c r="O121" i="4"/>
  <c r="O121" i="7" s="1"/>
  <c r="P121" i="4"/>
  <c r="P121" i="7" s="1"/>
  <c r="Q121" i="4"/>
  <c r="Q121" i="7" s="1"/>
  <c r="R121" i="4"/>
  <c r="R121" i="7" s="1"/>
  <c r="S121" i="4"/>
  <c r="S121" i="7" s="1"/>
  <c r="T121" i="4"/>
  <c r="T121" i="7" s="1"/>
  <c r="U121" i="4"/>
  <c r="U121" i="7" s="1"/>
  <c r="V121" i="4"/>
  <c r="V121" i="7" s="1"/>
  <c r="W121" i="4"/>
  <c r="W121" i="6" s="1"/>
  <c r="X121" i="4"/>
  <c r="X121" i="7" s="1"/>
  <c r="Y121" i="4"/>
  <c r="Y121" i="7" s="1"/>
  <c r="Z121" i="4"/>
  <c r="Z121" i="7" s="1"/>
  <c r="AA121" i="4"/>
  <c r="AA121" i="7" s="1"/>
  <c r="B122" i="4"/>
  <c r="B122" i="7" s="1"/>
  <c r="C122" i="4"/>
  <c r="C122" i="7" s="1"/>
  <c r="D122" i="4"/>
  <c r="D122" i="7" s="1"/>
  <c r="E122" i="4"/>
  <c r="E122" i="7" s="1"/>
  <c r="F122" i="4"/>
  <c r="F122" i="7" s="1"/>
  <c r="G122" i="4"/>
  <c r="G122" i="7" s="1"/>
  <c r="H122" i="4"/>
  <c r="H122" i="7" s="1"/>
  <c r="I122" i="4"/>
  <c r="I122" i="7" s="1"/>
  <c r="J122" i="4"/>
  <c r="J122" i="7" s="1"/>
  <c r="K122" i="4"/>
  <c r="K122" i="7" s="1"/>
  <c r="L122" i="4"/>
  <c r="L122" i="7" s="1"/>
  <c r="M122" i="4"/>
  <c r="M122" i="6" s="1"/>
  <c r="N122" i="4"/>
  <c r="N122" i="7" s="1"/>
  <c r="O122" i="4"/>
  <c r="O122" i="7" s="1"/>
  <c r="P122" i="4"/>
  <c r="P122" i="7" s="1"/>
  <c r="Q122" i="4"/>
  <c r="Q122" i="6" s="1"/>
  <c r="R122" i="4"/>
  <c r="R122" i="7" s="1"/>
  <c r="S122" i="4"/>
  <c r="S122" i="7" s="1"/>
  <c r="T122" i="4"/>
  <c r="T122" i="7" s="1"/>
  <c r="U122" i="4"/>
  <c r="U122" i="7" s="1"/>
  <c r="V122" i="4"/>
  <c r="V122" i="7" s="1"/>
  <c r="W122" i="4"/>
  <c r="W122" i="7" s="1"/>
  <c r="X122" i="4"/>
  <c r="X122" i="7" s="1"/>
  <c r="Y122" i="4"/>
  <c r="Y122" i="7" s="1"/>
  <c r="Z122" i="4"/>
  <c r="Z122" i="7" s="1"/>
  <c r="AA122" i="4"/>
  <c r="AA122" i="7" s="1"/>
  <c r="B123" i="4"/>
  <c r="B123" i="7" s="1"/>
  <c r="C123" i="4"/>
  <c r="C123" i="6" s="1"/>
  <c r="D123" i="4"/>
  <c r="D123" i="7" s="1"/>
  <c r="E123" i="4"/>
  <c r="E123" i="7" s="1"/>
  <c r="F123" i="4"/>
  <c r="F123" i="7" s="1"/>
  <c r="G123" i="4"/>
  <c r="G123" i="7" s="1"/>
  <c r="H123" i="4"/>
  <c r="H123" i="7" s="1"/>
  <c r="I123" i="4"/>
  <c r="I123" i="7" s="1"/>
  <c r="J123" i="4"/>
  <c r="J123" i="7" s="1"/>
  <c r="K123" i="4"/>
  <c r="K123" i="7" s="1"/>
  <c r="L123" i="4"/>
  <c r="L123" i="7" s="1"/>
  <c r="M123" i="4"/>
  <c r="M123" i="7" s="1"/>
  <c r="N123" i="4"/>
  <c r="N123" i="7" s="1"/>
  <c r="O123" i="4"/>
  <c r="O123" i="7" s="1"/>
  <c r="P123" i="4"/>
  <c r="P123" i="7" s="1"/>
  <c r="Q123" i="4"/>
  <c r="Q123" i="7" s="1"/>
  <c r="R123" i="4"/>
  <c r="R123" i="7" s="1"/>
  <c r="S123" i="4"/>
  <c r="S123" i="6" s="1"/>
  <c r="T123" i="4"/>
  <c r="T123" i="7" s="1"/>
  <c r="U123" i="4"/>
  <c r="U123" i="7" s="1"/>
  <c r="V123" i="4"/>
  <c r="V123" i="7" s="1"/>
  <c r="W123" i="4"/>
  <c r="W123" i="6" s="1"/>
  <c r="X123" i="4"/>
  <c r="X123" i="7" s="1"/>
  <c r="Y123" i="4"/>
  <c r="Y123" i="7" s="1"/>
  <c r="Z123" i="4"/>
  <c r="Z123" i="7" s="1"/>
  <c r="AA123" i="4"/>
  <c r="AA123" i="7" s="1"/>
  <c r="B124" i="4"/>
  <c r="B124" i="7" s="1"/>
  <c r="C124" i="4"/>
  <c r="C124" i="7" s="1"/>
  <c r="D124" i="4"/>
  <c r="D124" i="7" s="1"/>
  <c r="E124" i="4"/>
  <c r="E124" i="7" s="1"/>
  <c r="F124" i="4"/>
  <c r="F124" i="7" s="1"/>
  <c r="G124" i="4"/>
  <c r="G124" i="7" s="1"/>
  <c r="H124" i="4"/>
  <c r="H124" i="7" s="1"/>
  <c r="I124" i="4"/>
  <c r="I124" i="6" s="1"/>
  <c r="J124" i="4"/>
  <c r="J124" i="7" s="1"/>
  <c r="K124" i="4"/>
  <c r="K124" i="7" s="1"/>
  <c r="L124" i="4"/>
  <c r="L124" i="7" s="1"/>
  <c r="M124" i="4"/>
  <c r="M124" i="7" s="1"/>
  <c r="N124" i="4"/>
  <c r="N124" i="7" s="1"/>
  <c r="O124" i="4"/>
  <c r="O124" i="7" s="1"/>
  <c r="P124" i="4"/>
  <c r="P124" i="7" s="1"/>
  <c r="Q124" i="4"/>
  <c r="Q124" i="7" s="1"/>
  <c r="R124" i="4"/>
  <c r="R124" i="7" s="1"/>
  <c r="S124" i="4"/>
  <c r="S124" i="7" s="1"/>
  <c r="T124" i="4"/>
  <c r="T124" i="7" s="1"/>
  <c r="U124" i="4"/>
  <c r="U124" i="7" s="1"/>
  <c r="V124" i="4"/>
  <c r="V124" i="7" s="1"/>
  <c r="W124" i="4"/>
  <c r="W124" i="7" s="1"/>
  <c r="X124" i="4"/>
  <c r="X124" i="7" s="1"/>
  <c r="Y124" i="4"/>
  <c r="Y124" i="6" s="1"/>
  <c r="Z124" i="4"/>
  <c r="Z124" i="7" s="1"/>
  <c r="AA124" i="4"/>
  <c r="AA124" i="7" s="1"/>
  <c r="B125" i="4"/>
  <c r="B125" i="7" s="1"/>
  <c r="C125" i="4"/>
  <c r="C125" i="6" s="1"/>
  <c r="D125" i="4"/>
  <c r="D125" i="7" s="1"/>
  <c r="E125" i="4"/>
  <c r="E125" i="7" s="1"/>
  <c r="F125" i="4"/>
  <c r="F125" i="7" s="1"/>
  <c r="G125" i="4"/>
  <c r="G125" i="7" s="1"/>
  <c r="H125" i="4"/>
  <c r="H125" i="7" s="1"/>
  <c r="I125" i="4"/>
  <c r="I125" i="7" s="1"/>
  <c r="J125" i="4"/>
  <c r="J125" i="7" s="1"/>
  <c r="K125" i="4"/>
  <c r="K125" i="7" s="1"/>
  <c r="L125" i="4"/>
  <c r="L125" i="7" s="1"/>
  <c r="M125" i="4"/>
  <c r="M125" i="7" s="1"/>
  <c r="N125" i="4"/>
  <c r="N125" i="7" s="1"/>
  <c r="O125" i="4"/>
  <c r="O125" i="6" s="1"/>
  <c r="P125" i="4"/>
  <c r="P125" i="7" s="1"/>
  <c r="Q125" i="4"/>
  <c r="R125" i="4"/>
  <c r="R125" i="7" s="1"/>
  <c r="S125" i="4"/>
  <c r="S125" i="7" s="1"/>
  <c r="T125" i="4"/>
  <c r="T125" i="7" s="1"/>
  <c r="U125" i="4"/>
  <c r="U125" i="7" s="1"/>
  <c r="V125" i="4"/>
  <c r="V125" i="7" s="1"/>
  <c r="W125" i="4"/>
  <c r="W125" i="6" s="1"/>
  <c r="X125" i="4"/>
  <c r="X125" i="7" s="1"/>
  <c r="Y125" i="4"/>
  <c r="Y125" i="7" s="1"/>
  <c r="Z125" i="4"/>
  <c r="Z125" i="7" s="1"/>
  <c r="AA125" i="4"/>
  <c r="AA125" i="7" s="1"/>
  <c r="B126" i="4"/>
  <c r="B126" i="7" s="1"/>
  <c r="C126" i="4"/>
  <c r="C126" i="7" s="1"/>
  <c r="D126" i="4"/>
  <c r="D126" i="7" s="1"/>
  <c r="E126" i="4"/>
  <c r="E126" i="6" s="1"/>
  <c r="F126" i="4"/>
  <c r="F126" i="7" s="1"/>
  <c r="G126" i="4"/>
  <c r="G126" i="7" s="1"/>
  <c r="H126" i="4"/>
  <c r="H126" i="7" s="1"/>
  <c r="I126" i="4"/>
  <c r="I126" i="7" s="1"/>
  <c r="J126" i="4"/>
  <c r="J126" i="7" s="1"/>
  <c r="K126" i="4"/>
  <c r="K126" i="7" s="1"/>
  <c r="L126" i="4"/>
  <c r="L126" i="7" s="1"/>
  <c r="M126" i="4"/>
  <c r="M126" i="6" s="1"/>
  <c r="N126" i="4"/>
  <c r="N126" i="7" s="1"/>
  <c r="O126" i="4"/>
  <c r="O126" i="7" s="1"/>
  <c r="P126" i="4"/>
  <c r="P126" i="7" s="1"/>
  <c r="Q126" i="4"/>
  <c r="Q126" i="7" s="1"/>
  <c r="R126" i="4"/>
  <c r="R126" i="7" s="1"/>
  <c r="S126" i="4"/>
  <c r="S126" i="7" s="1"/>
  <c r="T126" i="4"/>
  <c r="T126" i="7" s="1"/>
  <c r="U126" i="4"/>
  <c r="U126" i="6" s="1"/>
  <c r="V126" i="4"/>
  <c r="V126" i="7" s="1"/>
  <c r="W126" i="4"/>
  <c r="W126" i="7" s="1"/>
  <c r="X126" i="4"/>
  <c r="X126" i="7" s="1"/>
  <c r="Y126" i="4"/>
  <c r="Y126" i="7" s="1"/>
  <c r="Z126" i="4"/>
  <c r="Z126" i="7" s="1"/>
  <c r="AA126" i="4"/>
  <c r="AA126" i="7" s="1"/>
  <c r="B127" i="4"/>
  <c r="B127" i="7" s="1"/>
  <c r="C127" i="4"/>
  <c r="C127" i="6" s="1"/>
  <c r="D127" i="4"/>
  <c r="D127" i="7" s="1"/>
  <c r="E127" i="4"/>
  <c r="E127" i="7" s="1"/>
  <c r="F127" i="4"/>
  <c r="F127" i="7" s="1"/>
  <c r="G127" i="4"/>
  <c r="G127" i="7" s="1"/>
  <c r="H127" i="4"/>
  <c r="H127" i="7" s="1"/>
  <c r="I127" i="4"/>
  <c r="I127" i="7" s="1"/>
  <c r="J127" i="4"/>
  <c r="J127" i="7" s="1"/>
  <c r="K127" i="4"/>
  <c r="K127" i="6" s="1"/>
  <c r="L127" i="4"/>
  <c r="L127" i="7" s="1"/>
  <c r="M127" i="4"/>
  <c r="M127" i="7" s="1"/>
  <c r="N127" i="4"/>
  <c r="N127" i="7" s="1"/>
  <c r="O127" i="4"/>
  <c r="O127" i="7" s="1"/>
  <c r="P127" i="4"/>
  <c r="P127" i="7" s="1"/>
  <c r="Q127" i="4"/>
  <c r="Q127" i="7" s="1"/>
  <c r="R127" i="4"/>
  <c r="R127" i="7" s="1"/>
  <c r="S127" i="4"/>
  <c r="S127" i="6" s="1"/>
  <c r="T127" i="4"/>
  <c r="T127" i="7" s="1"/>
  <c r="U127" i="4"/>
  <c r="U127" i="7" s="1"/>
  <c r="V127" i="4"/>
  <c r="V127" i="7" s="1"/>
  <c r="W127" i="4"/>
  <c r="W127" i="7" s="1"/>
  <c r="X127" i="4"/>
  <c r="X127" i="7" s="1"/>
  <c r="Y127" i="4"/>
  <c r="Y127" i="7" s="1"/>
  <c r="Z127" i="4"/>
  <c r="Z127" i="7" s="1"/>
  <c r="AA127" i="4"/>
  <c r="AA127" i="6" s="1"/>
  <c r="B128" i="4"/>
  <c r="B128" i="7" s="1"/>
  <c r="C128" i="4"/>
  <c r="C128" i="7" s="1"/>
  <c r="D128" i="4"/>
  <c r="D128" i="7" s="1"/>
  <c r="E128" i="4"/>
  <c r="E128" i="7" s="1"/>
  <c r="F128" i="4"/>
  <c r="F128" i="7" s="1"/>
  <c r="G128" i="4"/>
  <c r="G128" i="7" s="1"/>
  <c r="H128" i="4"/>
  <c r="H128" i="7" s="1"/>
  <c r="I128" i="4"/>
  <c r="I128" i="6" s="1"/>
  <c r="J128" i="4"/>
  <c r="J128" i="7" s="1"/>
  <c r="K128" i="4"/>
  <c r="K128" i="7" s="1"/>
  <c r="L128" i="4"/>
  <c r="L128" i="7" s="1"/>
  <c r="M128" i="4"/>
  <c r="M128" i="7" s="1"/>
  <c r="N128" i="4"/>
  <c r="N128" i="7" s="1"/>
  <c r="O128" i="4"/>
  <c r="O128" i="7" s="1"/>
  <c r="P128" i="4"/>
  <c r="P128" i="7" s="1"/>
  <c r="Q128" i="4"/>
  <c r="Q128" i="6" s="1"/>
  <c r="R128" i="4"/>
  <c r="R128" i="7" s="1"/>
  <c r="S128" i="4"/>
  <c r="S128" i="7" s="1"/>
  <c r="T128" i="4"/>
  <c r="T128" i="7" s="1"/>
  <c r="U128" i="4"/>
  <c r="U128" i="7" s="1"/>
  <c r="V128" i="4"/>
  <c r="V128" i="7" s="1"/>
  <c r="W128" i="4"/>
  <c r="W128" i="7" s="1"/>
  <c r="X128" i="4"/>
  <c r="X128" i="7" s="1"/>
  <c r="Y128" i="4"/>
  <c r="Y128" i="6" s="1"/>
  <c r="Z128" i="4"/>
  <c r="Z128" i="7" s="1"/>
  <c r="AA128" i="4"/>
  <c r="AA128" i="7" s="1"/>
  <c r="B129" i="4"/>
  <c r="B129" i="7" s="1"/>
  <c r="C129" i="4"/>
  <c r="C129" i="7" s="1"/>
  <c r="D129" i="4"/>
  <c r="D129" i="7" s="1"/>
  <c r="E129" i="4"/>
  <c r="E129" i="7" s="1"/>
  <c r="F129" i="4"/>
  <c r="F129" i="7" s="1"/>
  <c r="G129" i="4"/>
  <c r="G129" i="6" s="1"/>
  <c r="H129" i="4"/>
  <c r="H129" i="7" s="1"/>
  <c r="I129" i="4"/>
  <c r="I129" i="7" s="1"/>
  <c r="J129" i="4"/>
  <c r="J129" i="7" s="1"/>
  <c r="K129" i="4"/>
  <c r="K129" i="7" s="1"/>
  <c r="L129" i="4"/>
  <c r="L129" i="7" s="1"/>
  <c r="M129" i="4"/>
  <c r="M129" i="7" s="1"/>
  <c r="N129" i="4"/>
  <c r="N129" i="7" s="1"/>
  <c r="O129" i="4"/>
  <c r="O129" i="6" s="1"/>
  <c r="P129" i="4"/>
  <c r="P129" i="7" s="1"/>
  <c r="Q129" i="4"/>
  <c r="Q129" i="7" s="1"/>
  <c r="R129" i="4"/>
  <c r="R129" i="7" s="1"/>
  <c r="S129" i="4"/>
  <c r="S129" i="7" s="1"/>
  <c r="T129" i="4"/>
  <c r="T129" i="7" s="1"/>
  <c r="U129" i="4"/>
  <c r="U129" i="7" s="1"/>
  <c r="V129" i="4"/>
  <c r="V129" i="7" s="1"/>
  <c r="W129" i="4"/>
  <c r="W129" i="6" s="1"/>
  <c r="X129" i="4"/>
  <c r="X129" i="7" s="1"/>
  <c r="Y129" i="4"/>
  <c r="Y129" i="7" s="1"/>
  <c r="Z129" i="4"/>
  <c r="Z129" i="7" s="1"/>
  <c r="AA129" i="4"/>
  <c r="AA129" i="7" s="1"/>
  <c r="B130" i="4"/>
  <c r="B130" i="7" s="1"/>
  <c r="C130" i="4"/>
  <c r="C130" i="7" s="1"/>
  <c r="D130" i="4"/>
  <c r="D130" i="7" s="1"/>
  <c r="E130" i="4"/>
  <c r="E130" i="6" s="1"/>
  <c r="F130" i="4"/>
  <c r="F130" i="7" s="1"/>
  <c r="G130" i="4"/>
  <c r="G130" i="7" s="1"/>
  <c r="H130" i="4"/>
  <c r="H130" i="7" s="1"/>
  <c r="I130" i="4"/>
  <c r="I130" i="7" s="1"/>
  <c r="J130" i="4"/>
  <c r="J130" i="7" s="1"/>
  <c r="K130" i="4"/>
  <c r="K130" i="7" s="1"/>
  <c r="L130" i="4"/>
  <c r="L130" i="7" s="1"/>
  <c r="M130" i="4"/>
  <c r="M130" i="6" s="1"/>
  <c r="N130" i="4"/>
  <c r="N130" i="7" s="1"/>
  <c r="O130" i="4"/>
  <c r="O130" i="7" s="1"/>
  <c r="P130" i="4"/>
  <c r="P130" i="7" s="1"/>
  <c r="Q130" i="4"/>
  <c r="Q130" i="7" s="1"/>
  <c r="R130" i="4"/>
  <c r="R130" i="7" s="1"/>
  <c r="S130" i="4"/>
  <c r="S130" i="7" s="1"/>
  <c r="T130" i="4"/>
  <c r="T130" i="7" s="1"/>
  <c r="U130" i="4"/>
  <c r="U130" i="6" s="1"/>
  <c r="V130" i="4"/>
  <c r="V130" i="7" s="1"/>
  <c r="W130" i="4"/>
  <c r="W130" i="7" s="1"/>
  <c r="X130" i="4"/>
  <c r="X130" i="7" s="1"/>
  <c r="Y130" i="4"/>
  <c r="Y130" i="7" s="1"/>
  <c r="Z130" i="4"/>
  <c r="Z130" i="7" s="1"/>
  <c r="AA130" i="4"/>
  <c r="AA130" i="7" s="1"/>
  <c r="B131" i="4"/>
  <c r="B131" i="7" s="1"/>
  <c r="C131" i="4"/>
  <c r="C131" i="6" s="1"/>
  <c r="D131" i="4"/>
  <c r="D131" i="7" s="1"/>
  <c r="E131" i="4"/>
  <c r="E131" i="7" s="1"/>
  <c r="F131" i="4"/>
  <c r="F131" i="7" s="1"/>
  <c r="G131" i="4"/>
  <c r="G131" i="7" s="1"/>
  <c r="H131" i="4"/>
  <c r="H131" i="7" s="1"/>
  <c r="I131" i="4"/>
  <c r="I131" i="7" s="1"/>
  <c r="J131" i="4"/>
  <c r="J131" i="7" s="1"/>
  <c r="K131" i="4"/>
  <c r="K131" i="6" s="1"/>
  <c r="L131" i="4"/>
  <c r="L131" i="7" s="1"/>
  <c r="M131" i="4"/>
  <c r="M131" i="7" s="1"/>
  <c r="N131" i="4"/>
  <c r="N131" i="7" s="1"/>
  <c r="O131" i="4"/>
  <c r="O131" i="7" s="1"/>
  <c r="P131" i="4"/>
  <c r="P131" i="7" s="1"/>
  <c r="Q131" i="4"/>
  <c r="Q131" i="7" s="1"/>
  <c r="R131" i="4"/>
  <c r="R131" i="7" s="1"/>
  <c r="S131" i="4"/>
  <c r="S131" i="6" s="1"/>
  <c r="T131" i="4"/>
  <c r="T131" i="7" s="1"/>
  <c r="U131" i="4"/>
  <c r="U131" i="7" s="1"/>
  <c r="V131" i="4"/>
  <c r="V131" i="7" s="1"/>
  <c r="W131" i="4"/>
  <c r="W131" i="7" s="1"/>
  <c r="X131" i="4"/>
  <c r="X131" i="7" s="1"/>
  <c r="Y131" i="4"/>
  <c r="Y131" i="7" s="1"/>
  <c r="Z131" i="4"/>
  <c r="Z131" i="7" s="1"/>
  <c r="AA131" i="4"/>
  <c r="AA131" i="6" s="1"/>
  <c r="B132" i="4"/>
  <c r="B132" i="7" s="1"/>
  <c r="C132" i="4"/>
  <c r="C132" i="7" s="1"/>
  <c r="D132" i="4"/>
  <c r="D132" i="7" s="1"/>
  <c r="E132" i="4"/>
  <c r="E132" i="7" s="1"/>
  <c r="F132" i="4"/>
  <c r="F132" i="7" s="1"/>
  <c r="G132" i="4"/>
  <c r="G132" i="7" s="1"/>
  <c r="H132" i="4"/>
  <c r="H132" i="7" s="1"/>
  <c r="I132" i="4"/>
  <c r="I132" i="6" s="1"/>
  <c r="J132" i="4"/>
  <c r="J132" i="7" s="1"/>
  <c r="K132" i="4"/>
  <c r="K132" i="7" s="1"/>
  <c r="L132" i="4"/>
  <c r="L132" i="7" s="1"/>
  <c r="M132" i="4"/>
  <c r="M132" i="7" s="1"/>
  <c r="N132" i="4"/>
  <c r="N132" i="7" s="1"/>
  <c r="O132" i="4"/>
  <c r="O132" i="7" s="1"/>
  <c r="P132" i="4"/>
  <c r="P132" i="7" s="1"/>
  <c r="Q132" i="4"/>
  <c r="Q132" i="6" s="1"/>
  <c r="R132" i="4"/>
  <c r="R132" i="7" s="1"/>
  <c r="S132" i="4"/>
  <c r="S132" i="7" s="1"/>
  <c r="T132" i="4"/>
  <c r="T132" i="7" s="1"/>
  <c r="U132" i="4"/>
  <c r="U132" i="7" s="1"/>
  <c r="V132" i="4"/>
  <c r="V132" i="7" s="1"/>
  <c r="W132" i="4"/>
  <c r="W132" i="7" s="1"/>
  <c r="X132" i="4"/>
  <c r="X132" i="7" s="1"/>
  <c r="Y132" i="4"/>
  <c r="Y132" i="6" s="1"/>
  <c r="Z132" i="4"/>
  <c r="Z132" i="7" s="1"/>
  <c r="AA132" i="4"/>
  <c r="AA132" i="7" s="1"/>
  <c r="B133" i="4"/>
  <c r="C133" i="4"/>
  <c r="C133" i="7" s="1"/>
  <c r="D133" i="4"/>
  <c r="D133" i="7" s="1"/>
  <c r="E133" i="4"/>
  <c r="E133" i="7" s="1"/>
  <c r="F133" i="4"/>
  <c r="G133" i="4"/>
  <c r="G133" i="7" s="1"/>
  <c r="H133" i="4"/>
  <c r="H133" i="7" s="1"/>
  <c r="I133" i="4"/>
  <c r="I133" i="7" s="1"/>
  <c r="J133" i="4"/>
  <c r="K133" i="4"/>
  <c r="K133" i="7" s="1"/>
  <c r="L133" i="4"/>
  <c r="L133" i="7" s="1"/>
  <c r="M133" i="4"/>
  <c r="M133" i="7" s="1"/>
  <c r="N133" i="4"/>
  <c r="O133" i="4"/>
  <c r="O133" i="7" s="1"/>
  <c r="P133" i="4"/>
  <c r="P133" i="7" s="1"/>
  <c r="Q133" i="4"/>
  <c r="Q133" i="7" s="1"/>
  <c r="R133" i="4"/>
  <c r="S133" i="4"/>
  <c r="S133" i="7" s="1"/>
  <c r="T133" i="4"/>
  <c r="T133" i="7" s="1"/>
  <c r="U133" i="4"/>
  <c r="U133" i="7" s="1"/>
  <c r="V133" i="4"/>
  <c r="W133" i="4"/>
  <c r="W133" i="7" s="1"/>
  <c r="X133" i="4"/>
  <c r="X133" i="7" s="1"/>
  <c r="Y133" i="4"/>
  <c r="Y133" i="7" s="1"/>
  <c r="Z133" i="4"/>
  <c r="AA133" i="4"/>
  <c r="AA133" i="7" s="1"/>
  <c r="B101" i="6"/>
  <c r="E101" i="6"/>
  <c r="F101" i="6"/>
  <c r="I101" i="6"/>
  <c r="J101" i="6"/>
  <c r="M101" i="6"/>
  <c r="N101" i="6"/>
  <c r="Q101" i="6"/>
  <c r="R101" i="6"/>
  <c r="U101" i="6"/>
  <c r="V101" i="6"/>
  <c r="Y101" i="6"/>
  <c r="Z101" i="6"/>
  <c r="C102" i="6"/>
  <c r="D102" i="6"/>
  <c r="J102" i="6"/>
  <c r="K102" i="6"/>
  <c r="O102" i="6"/>
  <c r="S102" i="6"/>
  <c r="Z102" i="6"/>
  <c r="D103" i="6"/>
  <c r="E103" i="6"/>
  <c r="H103" i="6"/>
  <c r="I103" i="6"/>
  <c r="P103" i="6"/>
  <c r="Q103" i="6"/>
  <c r="T103" i="6"/>
  <c r="U103" i="6"/>
  <c r="X103" i="6"/>
  <c r="Y103" i="6"/>
  <c r="C104" i="6"/>
  <c r="F104" i="6"/>
  <c r="G104" i="6"/>
  <c r="K104" i="6"/>
  <c r="S104" i="6"/>
  <c r="V104" i="6"/>
  <c r="W104" i="6"/>
  <c r="AA104" i="6"/>
  <c r="B105" i="6"/>
  <c r="E105" i="6"/>
  <c r="F105" i="6"/>
  <c r="I105" i="6"/>
  <c r="J105" i="6"/>
  <c r="M105" i="6"/>
  <c r="N105" i="6"/>
  <c r="Q105" i="6"/>
  <c r="R105" i="6"/>
  <c r="T105" i="6"/>
  <c r="U105" i="6"/>
  <c r="V105" i="6"/>
  <c r="Y105" i="6"/>
  <c r="Z105" i="6"/>
  <c r="C106" i="6"/>
  <c r="D106" i="6"/>
  <c r="J106" i="6"/>
  <c r="K106" i="6"/>
  <c r="O106" i="6"/>
  <c r="S106" i="6"/>
  <c r="Z106" i="6"/>
  <c r="AA106" i="6"/>
  <c r="E107" i="6"/>
  <c r="F107" i="6"/>
  <c r="H107" i="6"/>
  <c r="L107" i="6"/>
  <c r="M107" i="6"/>
  <c r="P107" i="6"/>
  <c r="Q107" i="6"/>
  <c r="X107" i="6"/>
  <c r="Y107" i="6"/>
  <c r="B108" i="6"/>
  <c r="C108" i="6"/>
  <c r="F108" i="6"/>
  <c r="G108" i="6"/>
  <c r="K108" i="6"/>
  <c r="R108" i="6"/>
  <c r="V108" i="6"/>
  <c r="W108" i="6"/>
  <c r="AA108" i="6"/>
  <c r="B109" i="6"/>
  <c r="E109" i="6"/>
  <c r="F109" i="6"/>
  <c r="I109" i="6"/>
  <c r="J109" i="6"/>
  <c r="L109" i="6"/>
  <c r="M109" i="6"/>
  <c r="N109" i="6"/>
  <c r="Q109" i="6"/>
  <c r="R109" i="6"/>
  <c r="U109" i="6"/>
  <c r="V109" i="6"/>
  <c r="Y109" i="6"/>
  <c r="Z109" i="6"/>
  <c r="C110" i="6"/>
  <c r="D110" i="6"/>
  <c r="J110" i="6"/>
  <c r="K110" i="6"/>
  <c r="N110" i="6"/>
  <c r="O110" i="6"/>
  <c r="S110" i="6"/>
  <c r="T110" i="6"/>
  <c r="W110" i="6"/>
  <c r="X110" i="6"/>
  <c r="AA110" i="6"/>
  <c r="B111" i="6"/>
  <c r="D111" i="6"/>
  <c r="E111" i="6"/>
  <c r="F111" i="6"/>
  <c r="I111" i="6"/>
  <c r="J111" i="6"/>
  <c r="M111" i="6"/>
  <c r="N111" i="6"/>
  <c r="Q111" i="6"/>
  <c r="R111" i="6"/>
  <c r="U111" i="6"/>
  <c r="V111" i="6"/>
  <c r="Y111" i="6"/>
  <c r="Z111" i="6"/>
  <c r="C112" i="6"/>
  <c r="D112" i="6"/>
  <c r="G112" i="6"/>
  <c r="H112" i="6"/>
  <c r="J112" i="6"/>
  <c r="K112" i="6"/>
  <c r="L112" i="6"/>
  <c r="O112" i="6"/>
  <c r="P112" i="6"/>
  <c r="S112" i="6"/>
  <c r="T112" i="6"/>
  <c r="W112" i="6"/>
  <c r="X112" i="6"/>
  <c r="AA112" i="6"/>
  <c r="B113" i="6"/>
  <c r="E113" i="6"/>
  <c r="F113" i="6"/>
  <c r="I113" i="6"/>
  <c r="J113" i="6"/>
  <c r="M113" i="6"/>
  <c r="N113" i="6"/>
  <c r="P113" i="6"/>
  <c r="Q113" i="6"/>
  <c r="R113" i="6"/>
  <c r="U113" i="6"/>
  <c r="V113" i="6"/>
  <c r="Y113" i="6"/>
  <c r="Z113" i="6"/>
  <c r="C114" i="6"/>
  <c r="D114" i="6"/>
  <c r="G114" i="6"/>
  <c r="H114" i="6"/>
  <c r="K114" i="6"/>
  <c r="L114" i="6"/>
  <c r="O114" i="6"/>
  <c r="P114" i="6"/>
  <c r="S114" i="6"/>
  <c r="T114" i="6"/>
  <c r="W114" i="6"/>
  <c r="X114" i="6"/>
  <c r="AA114" i="6"/>
  <c r="B115" i="6"/>
  <c r="D115" i="6"/>
  <c r="E115" i="6"/>
  <c r="F115" i="6"/>
  <c r="I115" i="6"/>
  <c r="J115" i="6"/>
  <c r="M115" i="6"/>
  <c r="N115" i="6"/>
  <c r="P115" i="6"/>
  <c r="Q115" i="6"/>
  <c r="R115" i="6"/>
  <c r="U115" i="6"/>
  <c r="V115" i="6"/>
  <c r="Y115" i="6"/>
  <c r="Z115" i="6"/>
  <c r="B116" i="6"/>
  <c r="C116" i="6"/>
  <c r="D116" i="6"/>
  <c r="G116" i="6"/>
  <c r="H116" i="6"/>
  <c r="K116" i="6"/>
  <c r="L116" i="6"/>
  <c r="O116" i="6"/>
  <c r="P116" i="6"/>
  <c r="S116" i="6"/>
  <c r="T116" i="6"/>
  <c r="W116" i="6"/>
  <c r="X116" i="6"/>
  <c r="AA116" i="6"/>
  <c r="B117" i="6"/>
  <c r="E117" i="6"/>
  <c r="F117" i="6"/>
  <c r="I117" i="6"/>
  <c r="J117" i="6"/>
  <c r="M117" i="6"/>
  <c r="N117" i="6"/>
  <c r="P117" i="6"/>
  <c r="Q117" i="6"/>
  <c r="R117" i="6"/>
  <c r="U117" i="6"/>
  <c r="V117" i="6"/>
  <c r="Y117" i="6"/>
  <c r="Z117" i="6"/>
  <c r="B118" i="6"/>
  <c r="C118" i="6"/>
  <c r="D118" i="6"/>
  <c r="G118" i="6"/>
  <c r="H118" i="6"/>
  <c r="K118" i="6"/>
  <c r="L118" i="6"/>
  <c r="N118" i="6"/>
  <c r="O118" i="6"/>
  <c r="P118" i="6"/>
  <c r="S118" i="6"/>
  <c r="T118" i="6"/>
  <c r="W118" i="6"/>
  <c r="X118" i="6"/>
  <c r="AA118" i="6"/>
  <c r="B119" i="6"/>
  <c r="E119" i="6"/>
  <c r="F119" i="6"/>
  <c r="I119" i="6"/>
  <c r="J119" i="6"/>
  <c r="M119" i="6"/>
  <c r="N119" i="6"/>
  <c r="Q119" i="6"/>
  <c r="R119" i="6"/>
  <c r="U119" i="6"/>
  <c r="V119" i="6"/>
  <c r="Y119" i="6"/>
  <c r="Z119" i="6"/>
  <c r="B120" i="6"/>
  <c r="C120" i="6"/>
  <c r="D120" i="6"/>
  <c r="G120" i="6"/>
  <c r="H120" i="6"/>
  <c r="K120" i="6"/>
  <c r="L120" i="6"/>
  <c r="O120" i="6"/>
  <c r="P120" i="6"/>
  <c r="R120" i="6"/>
  <c r="S120" i="6"/>
  <c r="T120" i="6"/>
  <c r="W120" i="6"/>
  <c r="X120" i="6"/>
  <c r="AA120" i="6"/>
  <c r="B121" i="6"/>
  <c r="F121" i="6"/>
  <c r="I121" i="6"/>
  <c r="J121" i="6"/>
  <c r="M121" i="6"/>
  <c r="N121" i="6"/>
  <c r="Q121" i="6"/>
  <c r="R121" i="6"/>
  <c r="T121" i="6"/>
  <c r="V121" i="6"/>
  <c r="Y121" i="6"/>
  <c r="Z121" i="6"/>
  <c r="C122" i="6"/>
  <c r="D122" i="6"/>
  <c r="F122" i="6"/>
  <c r="G122" i="6"/>
  <c r="H122" i="6"/>
  <c r="L122" i="6"/>
  <c r="O122" i="6"/>
  <c r="P122" i="6"/>
  <c r="R122" i="6"/>
  <c r="S122" i="6"/>
  <c r="T122" i="6"/>
  <c r="W122" i="6"/>
  <c r="X122" i="6"/>
  <c r="B123" i="6"/>
  <c r="D123" i="6"/>
  <c r="E123" i="6"/>
  <c r="F123" i="6"/>
  <c r="I123" i="6"/>
  <c r="J123" i="6"/>
  <c r="M123" i="6"/>
  <c r="N123" i="6"/>
  <c r="R123" i="6"/>
  <c r="U123" i="6"/>
  <c r="V123" i="6"/>
  <c r="Y123" i="6"/>
  <c r="Z123" i="6"/>
  <c r="C124" i="6"/>
  <c r="D124" i="6"/>
  <c r="F124" i="6"/>
  <c r="H124" i="6"/>
  <c r="K124" i="6"/>
  <c r="L124" i="6"/>
  <c r="O124" i="6"/>
  <c r="P124" i="6"/>
  <c r="R124" i="6"/>
  <c r="S124" i="6"/>
  <c r="T124" i="6"/>
  <c r="X124" i="6"/>
  <c r="AA124" i="6"/>
  <c r="B125" i="6"/>
  <c r="D125" i="6"/>
  <c r="E125" i="6"/>
  <c r="F125" i="6"/>
  <c r="I125" i="6"/>
  <c r="J125" i="6"/>
  <c r="N125" i="6"/>
  <c r="P125" i="6"/>
  <c r="Q125" i="6"/>
  <c r="R125" i="6"/>
  <c r="U125" i="6"/>
  <c r="V125" i="6"/>
  <c r="Y125" i="6"/>
  <c r="Z125" i="6"/>
  <c r="D126" i="6"/>
  <c r="G126" i="6"/>
  <c r="H126" i="6"/>
  <c r="K126" i="6"/>
  <c r="L126" i="6"/>
  <c r="O126" i="6"/>
  <c r="P126" i="6"/>
  <c r="R126" i="6"/>
  <c r="T126" i="6"/>
  <c r="W126" i="6"/>
  <c r="X126" i="6"/>
  <c r="AA126" i="6"/>
  <c r="B127" i="6"/>
  <c r="D127" i="6"/>
  <c r="E127" i="6"/>
  <c r="F127" i="6"/>
  <c r="J127" i="6"/>
  <c r="M127" i="6"/>
  <c r="N127" i="6"/>
  <c r="P127" i="6"/>
  <c r="Q127" i="6"/>
  <c r="R127" i="6"/>
  <c r="U127" i="6"/>
  <c r="V127" i="6"/>
  <c r="Z127" i="6"/>
  <c r="B128" i="6"/>
  <c r="C128" i="6"/>
  <c r="D128" i="6"/>
  <c r="G128" i="6"/>
  <c r="H128" i="6"/>
  <c r="K128" i="6"/>
  <c r="L128" i="6"/>
  <c r="P128" i="6"/>
  <c r="S128" i="6"/>
  <c r="T128" i="6"/>
  <c r="W128" i="6"/>
  <c r="X128" i="6"/>
  <c r="AA128" i="6"/>
  <c r="B129" i="6"/>
  <c r="D129" i="6"/>
  <c r="F129" i="6"/>
  <c r="I129" i="6"/>
  <c r="J129" i="6"/>
  <c r="M129" i="6"/>
  <c r="N129" i="6"/>
  <c r="P129" i="6"/>
  <c r="Q129" i="6"/>
  <c r="R129" i="6"/>
  <c r="V129" i="6"/>
  <c r="Y129" i="6"/>
  <c r="Z129" i="6"/>
  <c r="B130" i="6"/>
  <c r="C130" i="6"/>
  <c r="D130" i="6"/>
  <c r="G130" i="6"/>
  <c r="H130" i="6"/>
  <c r="L130" i="6"/>
  <c r="N130" i="6"/>
  <c r="O130" i="6"/>
  <c r="P130" i="6"/>
  <c r="S130" i="6"/>
  <c r="T130" i="6"/>
  <c r="W130" i="6"/>
  <c r="X130" i="6"/>
  <c r="B131" i="6"/>
  <c r="E131" i="6"/>
  <c r="F131" i="6"/>
  <c r="I131" i="6"/>
  <c r="J131" i="6"/>
  <c r="M131" i="6"/>
  <c r="N131" i="6"/>
  <c r="P131" i="6"/>
  <c r="R131" i="6"/>
  <c r="U131" i="6"/>
  <c r="V131" i="6"/>
  <c r="Y131" i="6"/>
  <c r="Z131" i="6"/>
  <c r="B132" i="6"/>
  <c r="C132" i="6"/>
  <c r="D132" i="6"/>
  <c r="H132" i="6"/>
  <c r="K132" i="6"/>
  <c r="L132" i="6"/>
  <c r="N132" i="6"/>
  <c r="O132" i="6"/>
  <c r="P132" i="6"/>
  <c r="S132" i="6"/>
  <c r="T132" i="6"/>
  <c r="X132" i="6"/>
  <c r="Z132" i="6"/>
  <c r="AA132" i="6"/>
  <c r="B133" i="6"/>
  <c r="C133" i="6"/>
  <c r="D133" i="6"/>
  <c r="E133" i="6"/>
  <c r="F133" i="6"/>
  <c r="G133" i="6"/>
  <c r="H133" i="6"/>
  <c r="I133" i="6"/>
  <c r="J133" i="6"/>
  <c r="K133" i="6"/>
  <c r="L133" i="6"/>
  <c r="M133" i="6"/>
  <c r="N133" i="6"/>
  <c r="O133" i="6"/>
  <c r="P133" i="6"/>
  <c r="Q133" i="6"/>
  <c r="R133" i="6"/>
  <c r="S133" i="6"/>
  <c r="T133" i="6"/>
  <c r="U133" i="6"/>
  <c r="V133" i="6"/>
  <c r="W133" i="6"/>
  <c r="X133" i="6"/>
  <c r="Y133" i="6"/>
  <c r="Z133" i="6"/>
  <c r="AA133" i="6"/>
  <c r="DD4" i="2"/>
  <c r="DD5" i="2"/>
  <c r="DD6" i="2"/>
  <c r="DD7" i="2"/>
  <c r="DD8" i="2"/>
  <c r="DD9" i="2"/>
  <c r="DD10" i="2"/>
  <c r="DD11" i="2"/>
  <c r="DD12" i="2"/>
  <c r="DD13" i="2"/>
  <c r="DD14" i="2"/>
  <c r="DD15" i="2"/>
  <c r="DD16" i="2"/>
  <c r="DD17" i="2"/>
  <c r="DD18" i="2"/>
  <c r="DD19" i="2"/>
  <c r="DD20" i="2"/>
  <c r="DD21" i="2"/>
  <c r="DD22" i="2"/>
  <c r="DD23" i="2"/>
  <c r="DD24" i="2"/>
  <c r="DD25" i="2"/>
  <c r="DD26" i="2"/>
  <c r="DD27" i="2"/>
  <c r="DD28" i="2"/>
  <c r="DD29" i="2"/>
  <c r="DD30" i="2"/>
  <c r="DD31" i="2"/>
  <c r="DD32" i="2"/>
  <c r="DD33" i="2"/>
  <c r="DD34" i="2"/>
  <c r="DD35" i="2"/>
  <c r="DD36" i="2"/>
  <c r="DD37" i="2"/>
  <c r="DD38" i="2"/>
  <c r="DD39" i="2"/>
  <c r="DD40" i="2"/>
  <c r="DD41" i="2"/>
  <c r="DD42" i="2"/>
  <c r="DD43" i="2"/>
  <c r="DD44" i="2"/>
  <c r="DD45" i="2"/>
  <c r="DD46" i="2"/>
  <c r="DD47" i="2"/>
  <c r="DD48" i="2"/>
  <c r="DD49" i="2"/>
  <c r="DD50" i="2"/>
  <c r="DD51" i="2"/>
  <c r="DD52" i="2"/>
  <c r="DD53" i="2"/>
  <c r="DD54" i="2"/>
  <c r="DD55" i="2"/>
  <c r="DD56" i="2"/>
  <c r="DD57" i="2"/>
  <c r="DD58" i="2"/>
  <c r="DD59" i="2"/>
  <c r="DD60" i="2"/>
  <c r="DD61" i="2"/>
  <c r="DD62" i="2"/>
  <c r="DD63" i="2"/>
  <c r="DD64" i="2"/>
  <c r="DD65" i="2"/>
  <c r="DD66" i="2"/>
  <c r="DD67" i="2"/>
  <c r="DD68" i="2"/>
  <c r="DD69" i="2"/>
  <c r="DD70" i="2"/>
  <c r="DD71" i="2"/>
  <c r="DD72" i="2"/>
  <c r="DD73" i="2"/>
  <c r="DD74" i="2"/>
  <c r="DD75" i="2"/>
  <c r="DD76" i="2"/>
  <c r="DD77" i="2"/>
  <c r="DD78" i="2"/>
  <c r="DD79" i="2"/>
  <c r="DD80" i="2"/>
  <c r="DD81" i="2"/>
  <c r="DD82" i="2"/>
  <c r="DD83" i="2"/>
  <c r="DD84" i="2"/>
  <c r="DD85" i="2"/>
  <c r="DD86" i="2"/>
  <c r="DD87" i="2"/>
  <c r="DD88" i="2"/>
  <c r="DD89" i="2"/>
  <c r="DD90" i="2"/>
  <c r="DD91" i="2"/>
  <c r="DD92" i="2"/>
  <c r="DD93" i="2"/>
  <c r="DD94" i="2"/>
  <c r="DD95" i="2"/>
  <c r="DD96" i="2"/>
  <c r="DD97" i="2"/>
  <c r="DD98" i="2"/>
  <c r="DD99" i="2"/>
  <c r="DD100" i="2"/>
  <c r="DD101" i="2"/>
  <c r="DD102" i="2"/>
  <c r="DD103" i="2"/>
  <c r="DD104" i="2"/>
  <c r="DD105" i="2"/>
  <c r="DD106" i="2"/>
  <c r="DD107" i="2"/>
  <c r="DD108" i="2"/>
  <c r="DD109" i="2"/>
  <c r="DD110" i="2"/>
  <c r="DD111" i="2"/>
  <c r="DD112" i="2"/>
  <c r="DD113" i="2"/>
  <c r="DD114" i="2"/>
  <c r="DD115" i="2"/>
  <c r="DD116" i="2"/>
  <c r="DD117" i="2"/>
  <c r="DD118" i="2"/>
  <c r="DD119" i="2"/>
  <c r="DD120" i="2"/>
  <c r="DD121" i="2"/>
  <c r="DD122" i="2"/>
  <c r="DD123" i="2"/>
  <c r="DD124" i="2"/>
  <c r="DD125" i="2"/>
  <c r="DD126" i="2"/>
  <c r="DD127" i="2"/>
  <c r="DD128" i="2"/>
  <c r="DD129" i="2"/>
  <c r="DD130" i="2"/>
  <c r="DD131" i="2"/>
  <c r="DD132" i="2"/>
  <c r="DD133" i="2"/>
  <c r="DD134" i="2"/>
  <c r="DE113" i="2"/>
  <c r="DF113" i="2" s="1"/>
  <c r="DE114" i="2"/>
  <c r="DF114" i="2" s="1"/>
  <c r="DE115" i="2"/>
  <c r="DF115" i="2" s="1"/>
  <c r="DE116" i="2"/>
  <c r="DF116" i="2"/>
  <c r="DE117" i="2"/>
  <c r="DF117" i="2" s="1"/>
  <c r="DE118" i="2"/>
  <c r="DF118" i="2" s="1"/>
  <c r="DE119" i="2"/>
  <c r="DF119" i="2" s="1"/>
  <c r="DE120" i="2"/>
  <c r="DF120" i="2" s="1"/>
  <c r="DE121" i="2"/>
  <c r="DF121" i="2" s="1"/>
  <c r="DE122" i="2"/>
  <c r="DF122" i="2" s="1"/>
  <c r="DE123" i="2"/>
  <c r="DF123" i="2" s="1"/>
  <c r="DE124" i="2"/>
  <c r="DF124" i="2" s="1"/>
  <c r="DE125" i="2"/>
  <c r="DF125" i="2" s="1"/>
  <c r="DE126" i="2"/>
  <c r="DF126" i="2" s="1"/>
  <c r="DE127" i="2"/>
  <c r="DF127" i="2" s="1"/>
  <c r="DE128" i="2"/>
  <c r="DF128" i="2" s="1"/>
  <c r="DE129" i="2"/>
  <c r="DF129" i="2"/>
  <c r="DE130" i="2"/>
  <c r="DF130" i="2" s="1"/>
  <c r="DE131" i="2"/>
  <c r="DF131" i="2" s="1"/>
  <c r="DE132" i="2"/>
  <c r="DF132" i="2"/>
  <c r="DE133" i="2"/>
  <c r="DF133" i="2" s="1"/>
  <c r="DE134" i="2"/>
  <c r="DF134" i="2" s="1"/>
  <c r="DE107" i="2"/>
  <c r="DF107" i="2" s="1"/>
  <c r="J46" i="12"/>
  <c r="L46" i="12" s="1"/>
  <c r="K46" i="12"/>
  <c r="J47" i="12"/>
  <c r="L47" i="12" s="1"/>
  <c r="K47" i="12"/>
  <c r="J48" i="12"/>
  <c r="K48" i="12"/>
  <c r="L48" i="12"/>
  <c r="J49" i="12"/>
  <c r="K49" i="12"/>
  <c r="L49" i="12"/>
  <c r="J50" i="12"/>
  <c r="L50" i="12" s="1"/>
  <c r="K50" i="12"/>
  <c r="J51" i="12"/>
  <c r="L51" i="12" s="1"/>
  <c r="K51" i="12"/>
  <c r="J52" i="12"/>
  <c r="K52" i="12"/>
  <c r="L52" i="12"/>
  <c r="J53" i="12"/>
  <c r="K53" i="12"/>
  <c r="L53" i="12"/>
  <c r="J54" i="12"/>
  <c r="L54" i="12" s="1"/>
  <c r="K54" i="12"/>
  <c r="J55" i="12"/>
  <c r="L55" i="12" s="1"/>
  <c r="K55" i="12"/>
  <c r="J56" i="12"/>
  <c r="K56" i="12"/>
  <c r="L56" i="12"/>
  <c r="J57" i="12"/>
  <c r="K57" i="12"/>
  <c r="L57" i="12"/>
  <c r="J58" i="12"/>
  <c r="L58" i="12" s="1"/>
  <c r="K58" i="12"/>
  <c r="J59" i="12"/>
  <c r="L59" i="12" s="1"/>
  <c r="K59" i="12"/>
  <c r="J60" i="12"/>
  <c r="K60" i="12"/>
  <c r="L60" i="12"/>
  <c r="H46" i="12"/>
  <c r="H47" i="12"/>
  <c r="H48" i="12"/>
  <c r="H49" i="12"/>
  <c r="H50" i="12"/>
  <c r="H51" i="12"/>
  <c r="H52" i="12"/>
  <c r="H53" i="12"/>
  <c r="H54" i="12"/>
  <c r="H55" i="12"/>
  <c r="H56" i="12"/>
  <c r="H57" i="12"/>
  <c r="H58" i="12"/>
  <c r="H59" i="12"/>
  <c r="H60" i="12"/>
  <c r="H32" i="12"/>
  <c r="K32" i="12" s="1"/>
  <c r="H33" i="12"/>
  <c r="K33" i="12" s="1"/>
  <c r="H34" i="12"/>
  <c r="J34" i="12" s="1"/>
  <c r="L34" i="12" s="1"/>
  <c r="H35" i="12"/>
  <c r="K35" i="12" s="1"/>
  <c r="H36" i="12"/>
  <c r="K36" i="12" s="1"/>
  <c r="H37" i="12"/>
  <c r="K37" i="12" s="1"/>
  <c r="H38" i="12"/>
  <c r="J38" i="12" s="1"/>
  <c r="L38" i="12" s="1"/>
  <c r="H39" i="12"/>
  <c r="K39" i="12" s="1"/>
  <c r="H40" i="12"/>
  <c r="K40" i="12" s="1"/>
  <c r="H41" i="12"/>
  <c r="K41" i="12" s="1"/>
  <c r="H42" i="12"/>
  <c r="J42" i="12" s="1"/>
  <c r="L42" i="12" s="1"/>
  <c r="H43" i="12"/>
  <c r="K43" i="12" s="1"/>
  <c r="H44" i="12"/>
  <c r="K44" i="12" s="1"/>
  <c r="H45" i="12"/>
  <c r="K45" i="12" s="1"/>
  <c r="H31" i="12"/>
  <c r="K31" i="12" s="1"/>
  <c r="E59" i="12"/>
  <c r="F59" i="12"/>
  <c r="E60" i="12"/>
  <c r="F60" i="12"/>
  <c r="E56" i="12"/>
  <c r="F56" i="12"/>
  <c r="E57" i="12"/>
  <c r="F57" i="12"/>
  <c r="E53" i="12"/>
  <c r="F53" i="12"/>
  <c r="E54" i="12"/>
  <c r="F54" i="12"/>
  <c r="E50" i="12"/>
  <c r="F50" i="12"/>
  <c r="E51" i="12"/>
  <c r="F51" i="12"/>
  <c r="E47" i="12"/>
  <c r="F47" i="12"/>
  <c r="E48" i="12"/>
  <c r="F48" i="12"/>
  <c r="E44" i="12"/>
  <c r="F44" i="12"/>
  <c r="E45" i="12"/>
  <c r="F45" i="12"/>
  <c r="E41" i="12"/>
  <c r="F41" i="12"/>
  <c r="E42" i="12"/>
  <c r="F42" i="12"/>
  <c r="E38" i="12"/>
  <c r="F38" i="12"/>
  <c r="E39" i="12"/>
  <c r="F39" i="12"/>
  <c r="E35" i="12"/>
  <c r="F35" i="12"/>
  <c r="E36" i="12"/>
  <c r="F36" i="12"/>
  <c r="E32" i="12"/>
  <c r="F32" i="12"/>
  <c r="E33" i="12"/>
  <c r="F33" i="12"/>
  <c r="F58" i="12"/>
  <c r="F55" i="12"/>
  <c r="F52" i="12"/>
  <c r="F49" i="12"/>
  <c r="F46" i="12"/>
  <c r="F43" i="12"/>
  <c r="F40" i="12"/>
  <c r="F37" i="12"/>
  <c r="F34" i="12"/>
  <c r="F31" i="12"/>
  <c r="E58" i="12"/>
  <c r="E55" i="12"/>
  <c r="E52" i="12"/>
  <c r="E49" i="12"/>
  <c r="E46" i="12"/>
  <c r="E40" i="12"/>
  <c r="E43" i="12"/>
  <c r="E37" i="12"/>
  <c r="E34" i="12"/>
  <c r="E31" i="12"/>
  <c r="J22" i="12"/>
  <c r="L22" i="12" s="1"/>
  <c r="J23" i="12"/>
  <c r="L23" i="12" s="1"/>
  <c r="J24" i="12"/>
  <c r="L24" i="12" s="1"/>
  <c r="J25" i="12"/>
  <c r="L25" i="12" s="1"/>
  <c r="J26" i="12"/>
  <c r="L26" i="12" s="1"/>
  <c r="J27" i="12"/>
  <c r="L27" i="12" s="1"/>
  <c r="J28" i="12"/>
  <c r="L28" i="12" s="1"/>
  <c r="J29" i="12"/>
  <c r="L29" i="12" s="1"/>
  <c r="K22" i="12"/>
  <c r="K23" i="12"/>
  <c r="K24" i="12"/>
  <c r="K25" i="12"/>
  <c r="K26" i="12"/>
  <c r="K27" i="12"/>
  <c r="K28" i="12"/>
  <c r="K29" i="12"/>
  <c r="H4" i="12"/>
  <c r="K4" i="12" s="1"/>
  <c r="H5" i="12"/>
  <c r="K5" i="12" s="1"/>
  <c r="H6" i="12"/>
  <c r="K6" i="12" s="1"/>
  <c r="H7" i="12"/>
  <c r="J7" i="12" s="1"/>
  <c r="H8" i="12"/>
  <c r="K8" i="12" s="1"/>
  <c r="H9" i="12"/>
  <c r="K9" i="12" s="1"/>
  <c r="H10" i="12"/>
  <c r="K10" i="12" s="1"/>
  <c r="H11" i="12"/>
  <c r="K11" i="12" s="1"/>
  <c r="H12" i="12"/>
  <c r="K12" i="12" s="1"/>
  <c r="H13" i="12"/>
  <c r="H14" i="12"/>
  <c r="J14" i="12" s="1"/>
  <c r="H15" i="12"/>
  <c r="K15" i="12" s="1"/>
  <c r="H16" i="12"/>
  <c r="J16" i="12" s="1"/>
  <c r="H17" i="12"/>
  <c r="H18" i="12"/>
  <c r="K18" i="12" s="1"/>
  <c r="H19" i="12"/>
  <c r="J19" i="12" s="1"/>
  <c r="H20" i="12"/>
  <c r="K20" i="12" s="1"/>
  <c r="H3" i="12"/>
  <c r="K3" i="12" s="1"/>
  <c r="P4" i="12"/>
  <c r="P5" i="12"/>
  <c r="P6" i="12"/>
  <c r="P7" i="12"/>
  <c r="P8" i="12"/>
  <c r="P9" i="12"/>
  <c r="P10" i="12"/>
  <c r="P11" i="12"/>
  <c r="P12" i="12"/>
  <c r="P13" i="12"/>
  <c r="P14" i="12"/>
  <c r="P15" i="12"/>
  <c r="P16" i="12"/>
  <c r="P17" i="12"/>
  <c r="P18" i="12"/>
  <c r="P19" i="12"/>
  <c r="P20" i="12"/>
  <c r="P3" i="12"/>
  <c r="N4" i="12"/>
  <c r="N5" i="12"/>
  <c r="N6" i="12"/>
  <c r="N7" i="12"/>
  <c r="N8" i="12"/>
  <c r="N9" i="12"/>
  <c r="N10" i="12"/>
  <c r="N11" i="12"/>
  <c r="N12" i="12"/>
  <c r="N13" i="12"/>
  <c r="N14" i="12"/>
  <c r="N15" i="12"/>
  <c r="N16" i="12"/>
  <c r="N17" i="12"/>
  <c r="N18" i="12"/>
  <c r="N19" i="12"/>
  <c r="N20" i="12"/>
  <c r="N3" i="12"/>
  <c r="E20" i="12"/>
  <c r="E19" i="12"/>
  <c r="E18" i="12"/>
  <c r="E17" i="12"/>
  <c r="E16" i="12"/>
  <c r="E15" i="12"/>
  <c r="E14" i="12"/>
  <c r="E13" i="12"/>
  <c r="E12" i="12"/>
  <c r="E11" i="12"/>
  <c r="E10" i="12"/>
  <c r="E9" i="12"/>
  <c r="E8" i="12"/>
  <c r="E7" i="12"/>
  <c r="E6" i="12"/>
  <c r="E5" i="12"/>
  <c r="E4" i="12"/>
  <c r="E3" i="12"/>
  <c r="DE90" i="2"/>
  <c r="E126" i="1"/>
  <c r="BM134" i="1"/>
  <c r="CC135" i="1"/>
  <c r="CC134" i="1"/>
  <c r="CC133" i="1"/>
  <c r="BG135" i="1"/>
  <c r="BG134" i="1"/>
  <c r="BG133" i="1"/>
  <c r="AM135" i="1"/>
  <c r="AM134" i="1"/>
  <c r="AM133" i="1"/>
  <c r="AI133" i="1"/>
  <c r="AI135" i="1"/>
  <c r="AG135" i="1"/>
  <c r="AG134" i="1"/>
  <c r="Y135" i="1"/>
  <c r="Y134" i="1"/>
  <c r="Y133" i="1"/>
  <c r="Y132" i="2" s="1"/>
  <c r="S135" i="1"/>
  <c r="S133" i="1"/>
  <c r="M135" i="1"/>
  <c r="M134" i="1"/>
  <c r="M133" i="1"/>
  <c r="E135" i="1"/>
  <c r="BA129" i="1"/>
  <c r="Y129" i="1"/>
  <c r="K129" i="1"/>
  <c r="B132" i="2"/>
  <c r="B133" i="2"/>
  <c r="B134" i="2"/>
  <c r="D131" i="2"/>
  <c r="CT131" i="2" s="1"/>
  <c r="E131" i="2"/>
  <c r="F131" i="2"/>
  <c r="G131" i="2"/>
  <c r="H131" i="2"/>
  <c r="I131" i="2"/>
  <c r="J131" i="2"/>
  <c r="K131" i="2"/>
  <c r="L131" i="2"/>
  <c r="M131" i="2"/>
  <c r="N131" i="2"/>
  <c r="O131" i="2"/>
  <c r="P131" i="2"/>
  <c r="Q131" i="2"/>
  <c r="R131" i="2"/>
  <c r="S131" i="2"/>
  <c r="T131" i="2"/>
  <c r="U131" i="2"/>
  <c r="V131" i="2"/>
  <c r="W131" i="2"/>
  <c r="X131" i="2"/>
  <c r="Y131" i="2"/>
  <c r="Z131" i="2"/>
  <c r="AA131" i="2"/>
  <c r="AB131" i="2"/>
  <c r="AC131" i="2"/>
  <c r="AD131" i="2"/>
  <c r="AE131" i="2"/>
  <c r="AF131" i="2"/>
  <c r="AG131" i="2"/>
  <c r="AH131" i="2"/>
  <c r="AI131" i="2"/>
  <c r="AJ131" i="2"/>
  <c r="AK131" i="2"/>
  <c r="AL131" i="2"/>
  <c r="AM131" i="2"/>
  <c r="AN131" i="2"/>
  <c r="AO131" i="2"/>
  <c r="AP131" i="2"/>
  <c r="AQ131" i="2"/>
  <c r="AR131" i="2"/>
  <c r="AS131" i="2"/>
  <c r="AT131" i="2"/>
  <c r="AU131" i="2"/>
  <c r="AV131" i="2"/>
  <c r="AW131" i="2"/>
  <c r="AX131" i="2"/>
  <c r="AY131" i="2"/>
  <c r="AZ131" i="2"/>
  <c r="BA131" i="2"/>
  <c r="BB131" i="2"/>
  <c r="BC131" i="2"/>
  <c r="BD131" i="2"/>
  <c r="BE131" i="2"/>
  <c r="BF131" i="2"/>
  <c r="BG131" i="2"/>
  <c r="BH131" i="2"/>
  <c r="BI131" i="2"/>
  <c r="BJ131" i="2"/>
  <c r="BK131" i="2"/>
  <c r="BL131" i="2"/>
  <c r="BM131" i="2"/>
  <c r="BN131" i="2"/>
  <c r="BO131" i="2"/>
  <c r="BP131" i="2"/>
  <c r="BQ131" i="2"/>
  <c r="BR131" i="2"/>
  <c r="BS131" i="2"/>
  <c r="BT131" i="2"/>
  <c r="BU131" i="2"/>
  <c r="BV131" i="2"/>
  <c r="BW131" i="2"/>
  <c r="BX131" i="2"/>
  <c r="BY131" i="2"/>
  <c r="BZ131" i="2"/>
  <c r="CA131" i="2"/>
  <c r="CB131" i="2"/>
  <c r="CC131" i="2"/>
  <c r="CD131" i="2"/>
  <c r="D130" i="2"/>
  <c r="E130" i="2"/>
  <c r="F130" i="2"/>
  <c r="G130" i="2"/>
  <c r="H130" i="2"/>
  <c r="I130" i="2"/>
  <c r="J130" i="2"/>
  <c r="K130" i="2"/>
  <c r="L130" i="2"/>
  <c r="M130" i="2"/>
  <c r="N130" i="2"/>
  <c r="O130" i="2"/>
  <c r="P130" i="2"/>
  <c r="Q130" i="2"/>
  <c r="R130" i="2"/>
  <c r="S130" i="2"/>
  <c r="T130" i="2"/>
  <c r="U130" i="2"/>
  <c r="V130" i="2"/>
  <c r="W130" i="2"/>
  <c r="X130" i="2"/>
  <c r="Y130" i="2"/>
  <c r="Z130" i="2"/>
  <c r="AA130" i="2"/>
  <c r="AB130" i="2"/>
  <c r="AC130" i="2"/>
  <c r="AD130" i="2"/>
  <c r="AE130" i="2"/>
  <c r="AF130" i="2"/>
  <c r="AG130" i="2"/>
  <c r="AH130" i="2"/>
  <c r="AI130" i="2"/>
  <c r="AJ130" i="2"/>
  <c r="AK130" i="2"/>
  <c r="AL130" i="2"/>
  <c r="AM130" i="2"/>
  <c r="AN130" i="2"/>
  <c r="AO130" i="2"/>
  <c r="AP130" i="2"/>
  <c r="AQ130" i="2"/>
  <c r="AR130" i="2"/>
  <c r="AS130" i="2"/>
  <c r="AT130" i="2"/>
  <c r="AU130" i="2"/>
  <c r="AV130" i="2"/>
  <c r="AW130" i="2"/>
  <c r="AX130" i="2"/>
  <c r="AY130" i="2"/>
  <c r="AZ130" i="2"/>
  <c r="BA130" i="2"/>
  <c r="BB130" i="2"/>
  <c r="BC130" i="2"/>
  <c r="BD130" i="2"/>
  <c r="BE130" i="2"/>
  <c r="BF130" i="2"/>
  <c r="BG130" i="2"/>
  <c r="BH130" i="2"/>
  <c r="BI130" i="2"/>
  <c r="BJ130" i="2"/>
  <c r="BK130" i="2"/>
  <c r="BL130" i="2"/>
  <c r="BM130" i="2"/>
  <c r="BN130" i="2"/>
  <c r="BO130" i="2"/>
  <c r="BP130" i="2"/>
  <c r="BQ130" i="2"/>
  <c r="BR130" i="2"/>
  <c r="BS130" i="2"/>
  <c r="BT130" i="2"/>
  <c r="BU130" i="2"/>
  <c r="BV130" i="2"/>
  <c r="BW130" i="2"/>
  <c r="BX130" i="2"/>
  <c r="BY130" i="2"/>
  <c r="BZ130" i="2"/>
  <c r="CA130" i="2"/>
  <c r="CB130" i="2"/>
  <c r="CC130" i="2"/>
  <c r="CD130" i="2"/>
  <c r="CE130" i="2"/>
  <c r="CF130" i="2"/>
  <c r="CG130" i="2"/>
  <c r="CH130" i="2"/>
  <c r="CI130" i="2"/>
  <c r="CJ130" i="2"/>
  <c r="CK130" i="2"/>
  <c r="CL130" i="2"/>
  <c r="CM130" i="2"/>
  <c r="CN130" i="2"/>
  <c r="CO130" i="2"/>
  <c r="CP130" i="2"/>
  <c r="CQ130" i="2"/>
  <c r="CT130" i="2"/>
  <c r="CU130" i="2"/>
  <c r="CZ130" i="2"/>
  <c r="DA130" i="2"/>
  <c r="CE131" i="2"/>
  <c r="CF131" i="2"/>
  <c r="CG131" i="2"/>
  <c r="CH131" i="2"/>
  <c r="CI131" i="2"/>
  <c r="CJ131" i="2"/>
  <c r="CK131" i="2"/>
  <c r="CL131" i="2"/>
  <c r="CM131" i="2"/>
  <c r="CN131" i="2"/>
  <c r="CO131" i="2"/>
  <c r="CP131" i="2"/>
  <c r="CQ131" i="2"/>
  <c r="D132" i="2"/>
  <c r="E132" i="2"/>
  <c r="F132" i="2"/>
  <c r="G132" i="2"/>
  <c r="H132" i="2"/>
  <c r="I132" i="2"/>
  <c r="J132" i="2"/>
  <c r="K132" i="2"/>
  <c r="L132" i="2"/>
  <c r="M132" i="2"/>
  <c r="N132" i="2"/>
  <c r="O132" i="2"/>
  <c r="P132" i="2"/>
  <c r="Q132" i="2"/>
  <c r="R132" i="2"/>
  <c r="S132" i="2"/>
  <c r="T132" i="2"/>
  <c r="U132" i="2"/>
  <c r="V132" i="2"/>
  <c r="W132" i="2"/>
  <c r="X132" i="2"/>
  <c r="Z132" i="2"/>
  <c r="AA132" i="2"/>
  <c r="AB132" i="2"/>
  <c r="AC132" i="2"/>
  <c r="AD132" i="2"/>
  <c r="AE132" i="2"/>
  <c r="AF132" i="2"/>
  <c r="AG132" i="2"/>
  <c r="AH132" i="2"/>
  <c r="AI132" i="2"/>
  <c r="AJ132" i="2"/>
  <c r="AK132" i="2"/>
  <c r="AL132" i="2"/>
  <c r="AM132" i="2"/>
  <c r="AN132" i="2"/>
  <c r="AO132" i="2"/>
  <c r="AP132" i="2"/>
  <c r="AQ132" i="2"/>
  <c r="AR132" i="2"/>
  <c r="AS132" i="2"/>
  <c r="AT132" i="2"/>
  <c r="AU132" i="2"/>
  <c r="AV132" i="2"/>
  <c r="AW132" i="2"/>
  <c r="AX132" i="2"/>
  <c r="AY132" i="2"/>
  <c r="AZ132" i="2"/>
  <c r="BA132" i="2"/>
  <c r="BB132" i="2"/>
  <c r="BC132" i="2"/>
  <c r="BD132" i="2"/>
  <c r="BE132" i="2"/>
  <c r="BF132" i="2"/>
  <c r="BG132" i="2"/>
  <c r="BH132" i="2"/>
  <c r="BI132" i="2"/>
  <c r="BJ132" i="2"/>
  <c r="BK132" i="2"/>
  <c r="BL132" i="2"/>
  <c r="BM132" i="2"/>
  <c r="BN132" i="2"/>
  <c r="BO132" i="2"/>
  <c r="BP132" i="2"/>
  <c r="BQ132" i="2"/>
  <c r="BR132" i="2"/>
  <c r="BS132" i="2"/>
  <c r="BT132" i="2"/>
  <c r="BU132" i="2"/>
  <c r="BV132" i="2"/>
  <c r="BW132" i="2"/>
  <c r="BX132" i="2"/>
  <c r="BY132" i="2"/>
  <c r="BZ132" i="2"/>
  <c r="CA132" i="2"/>
  <c r="CB132" i="2"/>
  <c r="CC132" i="2"/>
  <c r="CD132" i="2"/>
  <c r="CE132" i="2"/>
  <c r="CF132" i="2"/>
  <c r="CG132" i="2"/>
  <c r="CH132" i="2"/>
  <c r="CI132" i="2"/>
  <c r="CJ132" i="2"/>
  <c r="CK132" i="2"/>
  <c r="CL132" i="2"/>
  <c r="CM132" i="2"/>
  <c r="CN132" i="2"/>
  <c r="CO132" i="2"/>
  <c r="CP132" i="2"/>
  <c r="CQ132" i="2"/>
  <c r="CT132" i="2"/>
  <c r="CZ132" i="2"/>
  <c r="D133" i="2"/>
  <c r="E133" i="2"/>
  <c r="F133" i="2"/>
  <c r="G133" i="2"/>
  <c r="H133" i="2"/>
  <c r="I133" i="2"/>
  <c r="J133" i="2"/>
  <c r="K133" i="2"/>
  <c r="L133" i="2"/>
  <c r="M133" i="2"/>
  <c r="N133" i="2"/>
  <c r="O133" i="2"/>
  <c r="P133" i="2"/>
  <c r="Q133" i="2"/>
  <c r="R133" i="2"/>
  <c r="S133" i="2"/>
  <c r="T133" i="2"/>
  <c r="U133" i="2"/>
  <c r="V133" i="2"/>
  <c r="W133" i="2"/>
  <c r="X133" i="2"/>
  <c r="Y133" i="2"/>
  <c r="Z133" i="2"/>
  <c r="AA133" i="2"/>
  <c r="AB133" i="2"/>
  <c r="AC133" i="2"/>
  <c r="AD133" i="2"/>
  <c r="AE133" i="2"/>
  <c r="AF133" i="2"/>
  <c r="AG133" i="2"/>
  <c r="AH133" i="2"/>
  <c r="AI133" i="2"/>
  <c r="AJ133" i="2"/>
  <c r="AK133" i="2"/>
  <c r="AL133" i="2"/>
  <c r="AM133" i="2"/>
  <c r="AN133" i="2"/>
  <c r="AO133" i="2"/>
  <c r="AP133" i="2"/>
  <c r="AQ133" i="2"/>
  <c r="AR133" i="2"/>
  <c r="AS133" i="2"/>
  <c r="AT133" i="2"/>
  <c r="AU133" i="2"/>
  <c r="AV133" i="2"/>
  <c r="AW133" i="2"/>
  <c r="AX133" i="2"/>
  <c r="AY133" i="2"/>
  <c r="AZ133" i="2"/>
  <c r="BA133" i="2"/>
  <c r="BB133" i="2"/>
  <c r="BC133" i="2"/>
  <c r="BD133" i="2"/>
  <c r="BE133" i="2"/>
  <c r="BF133" i="2"/>
  <c r="BG133" i="2"/>
  <c r="BH133" i="2"/>
  <c r="BI133" i="2"/>
  <c r="BJ133" i="2"/>
  <c r="BK133" i="2"/>
  <c r="BL133" i="2"/>
  <c r="BM133" i="2"/>
  <c r="BN133" i="2"/>
  <c r="BO133" i="2"/>
  <c r="BP133" i="2"/>
  <c r="BQ133" i="2"/>
  <c r="BR133" i="2"/>
  <c r="BS133" i="2"/>
  <c r="BT133" i="2"/>
  <c r="BU133" i="2"/>
  <c r="BV133" i="2"/>
  <c r="BW133" i="2"/>
  <c r="BX133" i="2"/>
  <c r="BY133" i="2"/>
  <c r="BZ133" i="2"/>
  <c r="CA133" i="2"/>
  <c r="CB133" i="2"/>
  <c r="CC133" i="2"/>
  <c r="CD133" i="2"/>
  <c r="CE133" i="2"/>
  <c r="CF133" i="2"/>
  <c r="CG133" i="2"/>
  <c r="CH133" i="2"/>
  <c r="CI133" i="2"/>
  <c r="CJ133" i="2"/>
  <c r="CK133" i="2"/>
  <c r="CL133" i="2"/>
  <c r="CM133" i="2"/>
  <c r="CN133" i="2"/>
  <c r="CO133" i="2"/>
  <c r="CP133" i="2"/>
  <c r="CQ133" i="2"/>
  <c r="D134" i="2"/>
  <c r="E134" i="2"/>
  <c r="F134" i="2"/>
  <c r="G134" i="2"/>
  <c r="H134" i="2"/>
  <c r="I134" i="2"/>
  <c r="J134" i="2"/>
  <c r="K134" i="2"/>
  <c r="L134" i="2"/>
  <c r="M134" i="2"/>
  <c r="N134" i="2"/>
  <c r="O134" i="2"/>
  <c r="P134" i="2"/>
  <c r="Q134" i="2"/>
  <c r="R134" i="2"/>
  <c r="S134" i="2"/>
  <c r="T134" i="2"/>
  <c r="U134" i="2"/>
  <c r="V134" i="2"/>
  <c r="W134" i="2"/>
  <c r="X134" i="2"/>
  <c r="Y134" i="2"/>
  <c r="Z134" i="2"/>
  <c r="AA134" i="2"/>
  <c r="AB134" i="2"/>
  <c r="AC134" i="2"/>
  <c r="AD134" i="2"/>
  <c r="AE134" i="2"/>
  <c r="AF134" i="2"/>
  <c r="AG134" i="2"/>
  <c r="AH134" i="2"/>
  <c r="AI134" i="2"/>
  <c r="AJ134" i="2"/>
  <c r="AK134" i="2"/>
  <c r="AL134" i="2"/>
  <c r="AM134" i="2"/>
  <c r="AN134" i="2"/>
  <c r="AO134" i="2"/>
  <c r="AP134" i="2"/>
  <c r="AQ134" i="2"/>
  <c r="AR134" i="2"/>
  <c r="AS134" i="2"/>
  <c r="AT134" i="2"/>
  <c r="AU134" i="2"/>
  <c r="AV134" i="2"/>
  <c r="AW134" i="2"/>
  <c r="AX134" i="2"/>
  <c r="AY134" i="2"/>
  <c r="AZ134" i="2"/>
  <c r="BA134" i="2"/>
  <c r="BB134" i="2"/>
  <c r="BC134" i="2"/>
  <c r="BD134" i="2"/>
  <c r="BE134" i="2"/>
  <c r="BF134" i="2"/>
  <c r="BG134" i="2"/>
  <c r="BH134" i="2"/>
  <c r="BI134" i="2"/>
  <c r="BJ134" i="2"/>
  <c r="BK134" i="2"/>
  <c r="BL134" i="2"/>
  <c r="BM134" i="2"/>
  <c r="BN134" i="2"/>
  <c r="BO134" i="2"/>
  <c r="BP134" i="2"/>
  <c r="BQ134" i="2"/>
  <c r="BR134" i="2"/>
  <c r="BS134" i="2"/>
  <c r="BT134" i="2"/>
  <c r="BU134" i="2"/>
  <c r="BV134" i="2"/>
  <c r="BW134" i="2"/>
  <c r="BX134" i="2"/>
  <c r="BY134" i="2"/>
  <c r="BZ134" i="2"/>
  <c r="CA134" i="2"/>
  <c r="CB134" i="2"/>
  <c r="CC134" i="2"/>
  <c r="CD134" i="2"/>
  <c r="CE134" i="2"/>
  <c r="CF134" i="2"/>
  <c r="CG134" i="2"/>
  <c r="CH134" i="2"/>
  <c r="CI134" i="2"/>
  <c r="CJ134" i="2"/>
  <c r="CK134" i="2"/>
  <c r="CL134" i="2"/>
  <c r="CM134" i="2"/>
  <c r="CN134" i="2"/>
  <c r="CO134" i="2"/>
  <c r="CP134" i="2"/>
  <c r="CQ134" i="2"/>
  <c r="BA132" i="1"/>
  <c r="W132" i="1"/>
  <c r="CC131" i="1"/>
  <c r="BY132" i="1"/>
  <c r="BW132" i="1"/>
  <c r="BW131" i="1"/>
  <c r="BC131" i="1"/>
  <c r="AI131" i="1"/>
  <c r="AG132" i="1"/>
  <c r="Y131" i="1"/>
  <c r="S131" i="1"/>
  <c r="K132" i="1"/>
  <c r="G131" i="1"/>
  <c r="E132" i="1"/>
  <c r="AL135" i="1"/>
  <c r="X134" i="1"/>
  <c r="C135" i="1"/>
  <c r="C134" i="1"/>
  <c r="C133" i="1"/>
  <c r="B130" i="2"/>
  <c r="B131" i="2"/>
  <c r="CB131" i="1"/>
  <c r="C132" i="1"/>
  <c r="C131" i="1"/>
  <c r="BE111" i="1"/>
  <c r="CM111" i="1"/>
  <c r="CE111" i="1"/>
  <c r="CE109" i="1"/>
  <c r="CC109" i="1"/>
  <c r="BY109" i="1"/>
  <c r="BW129" i="1"/>
  <c r="BW128" i="2" s="1"/>
  <c r="BW109" i="1"/>
  <c r="BC111" i="1"/>
  <c r="BC109" i="1"/>
  <c r="C130" i="1"/>
  <c r="D129" i="2" s="1"/>
  <c r="C129" i="1"/>
  <c r="D128" i="2" s="1"/>
  <c r="F128" i="2"/>
  <c r="CC130" i="1"/>
  <c r="CC129" i="1"/>
  <c r="BW130" i="1"/>
  <c r="BK130" i="1"/>
  <c r="BA130" i="1"/>
  <c r="G130" i="1"/>
  <c r="G129" i="1"/>
  <c r="S130" i="1"/>
  <c r="S129" i="1"/>
  <c r="Q130" i="1"/>
  <c r="Q129" i="1"/>
  <c r="Y130" i="1"/>
  <c r="AI130" i="1"/>
  <c r="AI129" i="1"/>
  <c r="AM130" i="1"/>
  <c r="AM129" i="1"/>
  <c r="AM111" i="1"/>
  <c r="AM109" i="1"/>
  <c r="E129" i="1"/>
  <c r="E111" i="1"/>
  <c r="E130" i="1"/>
  <c r="AI111" i="1"/>
  <c r="AI109" i="1"/>
  <c r="Y111" i="1"/>
  <c r="Y109" i="1"/>
  <c r="Q109" i="1"/>
  <c r="K109" i="1"/>
  <c r="I109" i="1"/>
  <c r="G109" i="1"/>
  <c r="E109" i="1"/>
  <c r="E108" i="2" s="1"/>
  <c r="B128" i="2"/>
  <c r="H128" i="2"/>
  <c r="I128" i="2"/>
  <c r="M128" i="2"/>
  <c r="N128" i="2"/>
  <c r="T128" i="2"/>
  <c r="V128" i="2"/>
  <c r="Z128" i="2"/>
  <c r="AA128" i="2"/>
  <c r="AE128" i="2"/>
  <c r="AF128" i="2"/>
  <c r="AJ128" i="2"/>
  <c r="AL128" i="2"/>
  <c r="AP128" i="2"/>
  <c r="AQ128" i="2"/>
  <c r="AU128" i="2"/>
  <c r="AV128" i="2"/>
  <c r="AZ128" i="2"/>
  <c r="BB128" i="2"/>
  <c r="BF128" i="2"/>
  <c r="BG128" i="2"/>
  <c r="BK128" i="2"/>
  <c r="BL128" i="2"/>
  <c r="BP128" i="2"/>
  <c r="BR128" i="2"/>
  <c r="BV128" i="2"/>
  <c r="CA128" i="2"/>
  <c r="CB128" i="2"/>
  <c r="CF128" i="2"/>
  <c r="CH128" i="2"/>
  <c r="CL128" i="2"/>
  <c r="CM128" i="2"/>
  <c r="CQ128" i="2"/>
  <c r="B129" i="2"/>
  <c r="AK129" i="2"/>
  <c r="BA129" i="2"/>
  <c r="BM129" i="2"/>
  <c r="CA129" i="2"/>
  <c r="CQ129" i="2"/>
  <c r="C128" i="1"/>
  <c r="E128" i="1"/>
  <c r="E127" i="2" s="1"/>
  <c r="Y128" i="1"/>
  <c r="Y127" i="2" s="1"/>
  <c r="AI128" i="1"/>
  <c r="AI127" i="2" s="1"/>
  <c r="B126" i="2"/>
  <c r="D126" i="2"/>
  <c r="T126" i="2"/>
  <c r="AJ126" i="2"/>
  <c r="AZ126" i="2"/>
  <c r="BP126" i="2"/>
  <c r="CF126" i="2"/>
  <c r="B127" i="2"/>
  <c r="D127" i="2"/>
  <c r="F127" i="2"/>
  <c r="G127" i="2"/>
  <c r="H127" i="2"/>
  <c r="I127" i="2"/>
  <c r="J127" i="2"/>
  <c r="K127" i="2"/>
  <c r="L127" i="2"/>
  <c r="M127" i="2"/>
  <c r="N127" i="2"/>
  <c r="O127" i="2"/>
  <c r="P127" i="2"/>
  <c r="Q127" i="2"/>
  <c r="R127" i="2"/>
  <c r="S127" i="2"/>
  <c r="T127" i="2"/>
  <c r="U127" i="2"/>
  <c r="V127" i="2"/>
  <c r="W127" i="2"/>
  <c r="X127" i="2"/>
  <c r="Z127" i="2"/>
  <c r="AA127" i="2"/>
  <c r="AB127" i="2"/>
  <c r="AC127" i="2"/>
  <c r="AD127" i="2"/>
  <c r="AE127" i="2"/>
  <c r="AF127" i="2"/>
  <c r="AG127" i="2"/>
  <c r="AH127" i="2"/>
  <c r="AJ127" i="2"/>
  <c r="AK127" i="2"/>
  <c r="AL127" i="2"/>
  <c r="AM127" i="2"/>
  <c r="AN127" i="2"/>
  <c r="AO127" i="2"/>
  <c r="AP127" i="2"/>
  <c r="AQ127" i="2"/>
  <c r="AR127" i="2"/>
  <c r="AS127" i="2"/>
  <c r="AT127" i="2"/>
  <c r="AU127" i="2"/>
  <c r="AV127" i="2"/>
  <c r="AW127" i="2"/>
  <c r="AX127" i="2"/>
  <c r="AY127" i="2"/>
  <c r="AZ127" i="2"/>
  <c r="BA127" i="2"/>
  <c r="BB127" i="2"/>
  <c r="BC127" i="2"/>
  <c r="BD127" i="2"/>
  <c r="BE127" i="2"/>
  <c r="BF127" i="2"/>
  <c r="BG127" i="2"/>
  <c r="BH127" i="2"/>
  <c r="BI127" i="2"/>
  <c r="BJ127" i="2"/>
  <c r="BK127" i="2"/>
  <c r="BL127" i="2"/>
  <c r="BM127" i="2"/>
  <c r="BN127" i="2"/>
  <c r="BO127" i="2"/>
  <c r="BP127" i="2"/>
  <c r="BQ127" i="2"/>
  <c r="BR127" i="2"/>
  <c r="BS127" i="2"/>
  <c r="BT127" i="2"/>
  <c r="BU127" i="2"/>
  <c r="BV127" i="2"/>
  <c r="BW127" i="2"/>
  <c r="BX127" i="2"/>
  <c r="BY127" i="2"/>
  <c r="BZ127" i="2"/>
  <c r="CA127" i="2"/>
  <c r="CB127" i="2"/>
  <c r="CC127" i="2"/>
  <c r="CF127" i="2"/>
  <c r="CG127" i="2"/>
  <c r="CH127" i="2"/>
  <c r="CI127" i="2"/>
  <c r="CJ127" i="2"/>
  <c r="CK127" i="2"/>
  <c r="CL127" i="2"/>
  <c r="CM127" i="2"/>
  <c r="CN127" i="2"/>
  <c r="CO127" i="2"/>
  <c r="CP127" i="2"/>
  <c r="CQ127" i="2"/>
  <c r="U107" i="2"/>
  <c r="AK107" i="2"/>
  <c r="BA107" i="2"/>
  <c r="BQ107" i="2"/>
  <c r="CG107" i="2"/>
  <c r="AB108" i="2"/>
  <c r="AW108" i="2"/>
  <c r="BR108" i="2"/>
  <c r="CN108" i="2"/>
  <c r="M109" i="2"/>
  <c r="R109" i="2"/>
  <c r="W109" i="2"/>
  <c r="AC109" i="2"/>
  <c r="AH109" i="2"/>
  <c r="AM109" i="2"/>
  <c r="AS109" i="2"/>
  <c r="AX109" i="2"/>
  <c r="BC109" i="2"/>
  <c r="BI109" i="2"/>
  <c r="BM109" i="2"/>
  <c r="BQ109" i="2"/>
  <c r="BU109" i="2"/>
  <c r="BY109" i="2"/>
  <c r="CC109" i="2"/>
  <c r="CG109" i="2"/>
  <c r="CK109" i="2"/>
  <c r="CO109" i="2"/>
  <c r="D110" i="2"/>
  <c r="H110" i="2"/>
  <c r="L110" i="2"/>
  <c r="P110" i="2"/>
  <c r="T110" i="2"/>
  <c r="X110" i="2"/>
  <c r="AB110" i="2"/>
  <c r="AF110" i="2"/>
  <c r="AJ110" i="2"/>
  <c r="AN110" i="2"/>
  <c r="AR110" i="2"/>
  <c r="AV110" i="2"/>
  <c r="AZ110" i="2"/>
  <c r="BD110" i="2"/>
  <c r="BH110" i="2"/>
  <c r="BL110" i="2"/>
  <c r="BP110" i="2"/>
  <c r="BT110" i="2"/>
  <c r="BX110" i="2"/>
  <c r="CB110" i="2"/>
  <c r="CF110" i="2"/>
  <c r="CJ110" i="2"/>
  <c r="CN110" i="2"/>
  <c r="B110" i="2"/>
  <c r="B107" i="2"/>
  <c r="B108" i="2"/>
  <c r="B109" i="2"/>
  <c r="C111" i="1"/>
  <c r="BV109" i="1"/>
  <c r="AH109" i="1"/>
  <c r="X109" i="1"/>
  <c r="X108" i="2" s="1"/>
  <c r="J109" i="1"/>
  <c r="C109" i="1"/>
  <c r="V108" i="2" s="1"/>
  <c r="CE110" i="1"/>
  <c r="CE109" i="2" s="1"/>
  <c r="BQ110" i="1"/>
  <c r="BC110" i="1"/>
  <c r="AM110" i="1"/>
  <c r="AI110" i="1"/>
  <c r="AI109" i="2" s="1"/>
  <c r="Y110" i="1"/>
  <c r="Y109" i="2" s="1"/>
  <c r="K110" i="1"/>
  <c r="K109" i="2" s="1"/>
  <c r="G110" i="1"/>
  <c r="G109" i="2" s="1"/>
  <c r="E110" i="1"/>
  <c r="E109" i="2" s="1"/>
  <c r="Y127" i="1"/>
  <c r="CE128" i="1"/>
  <c r="CE127" i="2" s="1"/>
  <c r="CE127" i="1"/>
  <c r="CE126" i="2" s="1"/>
  <c r="AM127" i="1"/>
  <c r="E127" i="1"/>
  <c r="CE108" i="1"/>
  <c r="CE107" i="2" s="1"/>
  <c r="CC108" i="1"/>
  <c r="CC107" i="2" s="1"/>
  <c r="BW108" i="1"/>
  <c r="BQ108" i="1"/>
  <c r="AM108" i="1"/>
  <c r="AM107" i="2" s="1"/>
  <c r="AI108" i="1"/>
  <c r="AI107" i="2" s="1"/>
  <c r="Y108" i="1"/>
  <c r="Y107" i="2" s="1"/>
  <c r="Q108" i="1"/>
  <c r="Q107" i="2" s="1"/>
  <c r="G108" i="1"/>
  <c r="G107" i="2" s="1"/>
  <c r="E108" i="1"/>
  <c r="E107" i="2" s="1"/>
  <c r="C110" i="1"/>
  <c r="J109" i="2" s="1"/>
  <c r="C108" i="1"/>
  <c r="AG107" i="2" s="1"/>
  <c r="CD128" i="1"/>
  <c r="CD127" i="2" s="1"/>
  <c r="CD127" i="1"/>
  <c r="CD126" i="2" s="1"/>
  <c r="C127" i="1"/>
  <c r="L126" i="2" s="1"/>
  <c r="W125" i="1"/>
  <c r="CO125" i="1"/>
  <c r="BW125" i="1"/>
  <c r="CC126" i="1"/>
  <c r="CC125" i="1"/>
  <c r="AM126" i="1"/>
  <c r="AM125" i="1"/>
  <c r="AI126" i="1"/>
  <c r="AI125" i="1"/>
  <c r="AG126" i="1"/>
  <c r="AG125" i="1"/>
  <c r="Y126" i="1"/>
  <c r="Y125" i="1"/>
  <c r="B124" i="2"/>
  <c r="B125" i="2"/>
  <c r="Q126" i="1"/>
  <c r="Q125" i="1"/>
  <c r="I126" i="1"/>
  <c r="I125" i="1"/>
  <c r="G126" i="1"/>
  <c r="G125" i="1"/>
  <c r="E125" i="1"/>
  <c r="P126" i="1"/>
  <c r="P125" i="1"/>
  <c r="F125" i="1"/>
  <c r="D126" i="1"/>
  <c r="D125" i="1"/>
  <c r="W124" i="1"/>
  <c r="Y124" i="1"/>
  <c r="CO124" i="1"/>
  <c r="C125" i="1"/>
  <c r="H124" i="2" s="1"/>
  <c r="C126" i="1"/>
  <c r="R125" i="2" s="1"/>
  <c r="B106" i="2"/>
  <c r="B114" i="2"/>
  <c r="B115" i="2"/>
  <c r="B116" i="2"/>
  <c r="B117" i="2"/>
  <c r="B118" i="2"/>
  <c r="B119" i="2"/>
  <c r="B120" i="2"/>
  <c r="B121" i="2"/>
  <c r="B122" i="2"/>
  <c r="B123" i="2"/>
  <c r="CQ121" i="1"/>
  <c r="CO123" i="1"/>
  <c r="CO122" i="1"/>
  <c r="CO120" i="1"/>
  <c r="BY121" i="1"/>
  <c r="CC124" i="1"/>
  <c r="CC123" i="1"/>
  <c r="CC122" i="1"/>
  <c r="CC121" i="1"/>
  <c r="BW124" i="1"/>
  <c r="BW121" i="1"/>
  <c r="AM124" i="1"/>
  <c r="AM123" i="2" s="1"/>
  <c r="AM123" i="1"/>
  <c r="AM122" i="1"/>
  <c r="AM121" i="1"/>
  <c r="AM120" i="1"/>
  <c r="AM119" i="2" s="1"/>
  <c r="AI124" i="1"/>
  <c r="AI123" i="1"/>
  <c r="AI122" i="1"/>
  <c r="AI121" i="1"/>
  <c r="AI120" i="1"/>
  <c r="AG124" i="1"/>
  <c r="AG123" i="1"/>
  <c r="AG122" i="1"/>
  <c r="AG121" i="1"/>
  <c r="AG120" i="1"/>
  <c r="Q124" i="1"/>
  <c r="Q123" i="1"/>
  <c r="Q122" i="1"/>
  <c r="Q121" i="1"/>
  <c r="Q120" i="1"/>
  <c r="K124" i="1"/>
  <c r="K123" i="2" s="1"/>
  <c r="K123" i="1"/>
  <c r="K122" i="1"/>
  <c r="K121" i="1"/>
  <c r="K120" i="1"/>
  <c r="K119" i="2" s="1"/>
  <c r="O124" i="1"/>
  <c r="Y123" i="1"/>
  <c r="Y121" i="1"/>
  <c r="W123" i="1"/>
  <c r="W120" i="1"/>
  <c r="I123" i="1"/>
  <c r="I121" i="1"/>
  <c r="I120" i="1"/>
  <c r="I119" i="2" s="1"/>
  <c r="G120" i="1"/>
  <c r="G124" i="1"/>
  <c r="G121" i="1"/>
  <c r="G122" i="1"/>
  <c r="G123" i="1"/>
  <c r="E123" i="1"/>
  <c r="E120" i="1"/>
  <c r="E121" i="1"/>
  <c r="E122" i="1"/>
  <c r="E124" i="1"/>
  <c r="F124" i="1"/>
  <c r="D124" i="1"/>
  <c r="D123" i="2" s="1"/>
  <c r="C124" i="1"/>
  <c r="S123" i="2" s="1"/>
  <c r="D122" i="1"/>
  <c r="D121" i="1"/>
  <c r="D120" i="1"/>
  <c r="D119" i="2" s="1"/>
  <c r="C120" i="1"/>
  <c r="O119" i="2" s="1"/>
  <c r="C121" i="1"/>
  <c r="O120" i="2" s="1"/>
  <c r="C122" i="1"/>
  <c r="O121" i="2" s="1"/>
  <c r="C123" i="1"/>
  <c r="O122" i="2" s="1"/>
  <c r="G119" i="1"/>
  <c r="CO117" i="1"/>
  <c r="CO115" i="1"/>
  <c r="CM115" i="1"/>
  <c r="CM114" i="2" s="1"/>
  <c r="CK115" i="1"/>
  <c r="CI115" i="1"/>
  <c r="Q115" i="1"/>
  <c r="Q119" i="1"/>
  <c r="Q117" i="1"/>
  <c r="Q116" i="1"/>
  <c r="Q107" i="1"/>
  <c r="K118" i="1"/>
  <c r="K117" i="1"/>
  <c r="K115" i="1"/>
  <c r="K107" i="1"/>
  <c r="S107" i="1"/>
  <c r="W119" i="1"/>
  <c r="W115" i="1"/>
  <c r="W107" i="1"/>
  <c r="Y117" i="1"/>
  <c r="AA118" i="1"/>
  <c r="Y119" i="1"/>
  <c r="Y116" i="1"/>
  <c r="Y115" i="1"/>
  <c r="Y114" i="2" s="1"/>
  <c r="AA107" i="1"/>
  <c r="AE118" i="1"/>
  <c r="AG117" i="1"/>
  <c r="AG116" i="1"/>
  <c r="AG115" i="1"/>
  <c r="BM116" i="1"/>
  <c r="BQ118" i="1"/>
  <c r="BQ107" i="1"/>
  <c r="BY117" i="1"/>
  <c r="BW116" i="1"/>
  <c r="BW107" i="1"/>
  <c r="CA119" i="1"/>
  <c r="CC119" i="1"/>
  <c r="CC117" i="1"/>
  <c r="CC116" i="1"/>
  <c r="CC115" i="1"/>
  <c r="CC114" i="2" s="1"/>
  <c r="CE115" i="1"/>
  <c r="CE119" i="1"/>
  <c r="AM117" i="1"/>
  <c r="AM116" i="1"/>
  <c r="AM118" i="1"/>
  <c r="AM115" i="1"/>
  <c r="AM107" i="1"/>
  <c r="AI116" i="1"/>
  <c r="AI117" i="1"/>
  <c r="AI119" i="1"/>
  <c r="AI115" i="1"/>
  <c r="AI107" i="1"/>
  <c r="I115" i="1"/>
  <c r="I118" i="1"/>
  <c r="I117" i="1"/>
  <c r="I116" i="1"/>
  <c r="I115" i="2" s="1"/>
  <c r="I107" i="1"/>
  <c r="G118" i="1"/>
  <c r="G117" i="1"/>
  <c r="G116" i="1"/>
  <c r="G115" i="2" s="1"/>
  <c r="G115" i="1"/>
  <c r="E107" i="1"/>
  <c r="E115" i="1"/>
  <c r="E116" i="1"/>
  <c r="E115" i="2" s="1"/>
  <c r="E117" i="1"/>
  <c r="E119" i="1"/>
  <c r="E118" i="1"/>
  <c r="AC106" i="1"/>
  <c r="BU106" i="1"/>
  <c r="BS106" i="1"/>
  <c r="BQ106" i="1"/>
  <c r="AE106" i="1"/>
  <c r="AA106" i="1"/>
  <c r="W106" i="1"/>
  <c r="U106" i="1"/>
  <c r="S106" i="1"/>
  <c r="Q106" i="1"/>
  <c r="K106" i="1"/>
  <c r="I106" i="1"/>
  <c r="E106" i="1"/>
  <c r="BY105" i="1"/>
  <c r="BS105" i="1"/>
  <c r="AM105" i="1"/>
  <c r="AI105" i="1"/>
  <c r="AA105" i="1"/>
  <c r="I105" i="1"/>
  <c r="E105" i="1"/>
  <c r="CG114" i="1"/>
  <c r="CE114" i="1"/>
  <c r="O114" i="1"/>
  <c r="BU114" i="1"/>
  <c r="BK114" i="1"/>
  <c r="BA114" i="1"/>
  <c r="AW114" i="1"/>
  <c r="AM114" i="1"/>
  <c r="AI114" i="1"/>
  <c r="AG114" i="1"/>
  <c r="AA114" i="1"/>
  <c r="Y114" i="1"/>
  <c r="Q114" i="1"/>
  <c r="K114" i="1"/>
  <c r="I114" i="1"/>
  <c r="G114" i="1"/>
  <c r="E114" i="1"/>
  <c r="AW112" i="1"/>
  <c r="CA112" i="1"/>
  <c r="BU112" i="1"/>
  <c r="BS112" i="1"/>
  <c r="BS111" i="2" s="1"/>
  <c r="AA113" i="1"/>
  <c r="BM113" i="1"/>
  <c r="AM112" i="1"/>
  <c r="AI112" i="1"/>
  <c r="AI111" i="2" s="1"/>
  <c r="AG112" i="1"/>
  <c r="AA112" i="1"/>
  <c r="Y112" i="1"/>
  <c r="W112" i="1"/>
  <c r="W111" i="2" s="1"/>
  <c r="Q112" i="1"/>
  <c r="K112" i="1"/>
  <c r="I112" i="1"/>
  <c r="E112" i="1"/>
  <c r="E111" i="2" s="1"/>
  <c r="W114" i="1"/>
  <c r="CC113" i="1"/>
  <c r="CA113" i="1"/>
  <c r="BW113" i="1"/>
  <c r="BW112" i="2" s="1"/>
  <c r="BU113" i="1"/>
  <c r="BK113" i="1"/>
  <c r="BA113" i="1"/>
  <c r="AW113" i="1"/>
  <c r="AW112" i="2" s="1"/>
  <c r="AM113" i="1"/>
  <c r="AI113" i="1"/>
  <c r="AE113" i="1"/>
  <c r="Y113" i="1"/>
  <c r="Y112" i="2" s="1"/>
  <c r="W113" i="1"/>
  <c r="S113" i="1"/>
  <c r="Q113" i="1"/>
  <c r="O113" i="1"/>
  <c r="O112" i="2" s="1"/>
  <c r="K113" i="1"/>
  <c r="I113" i="1"/>
  <c r="G113" i="1"/>
  <c r="E113" i="1"/>
  <c r="E112" i="2" s="1"/>
  <c r="D119" i="1"/>
  <c r="C119" i="1"/>
  <c r="K118" i="2" s="1"/>
  <c r="D117" i="1"/>
  <c r="D116" i="1"/>
  <c r="D115" i="2" s="1"/>
  <c r="P115" i="1"/>
  <c r="F115" i="1"/>
  <c r="D115" i="1"/>
  <c r="BT114" i="1"/>
  <c r="J114" i="1"/>
  <c r="D114" i="1"/>
  <c r="Z118" i="1"/>
  <c r="D118" i="1"/>
  <c r="C115" i="1"/>
  <c r="O114" i="2" s="1"/>
  <c r="C116" i="1"/>
  <c r="C117" i="1"/>
  <c r="O116" i="2" s="1"/>
  <c r="C118" i="1"/>
  <c r="O117" i="2" s="1"/>
  <c r="AL107" i="1"/>
  <c r="Z107" i="1"/>
  <c r="D107" i="1"/>
  <c r="C107" i="1"/>
  <c r="G106" i="2" s="1"/>
  <c r="AE19" i="1"/>
  <c r="D106" i="1"/>
  <c r="B104" i="2"/>
  <c r="B105" i="2"/>
  <c r="B111" i="2"/>
  <c r="B112" i="2"/>
  <c r="B113" i="2"/>
  <c r="Y92" i="1"/>
  <c r="AA92" i="1"/>
  <c r="D105" i="1"/>
  <c r="C105" i="1"/>
  <c r="G104" i="2" s="1"/>
  <c r="C106" i="1"/>
  <c r="G105" i="2" s="1"/>
  <c r="C112" i="1"/>
  <c r="G111" i="2" s="1"/>
  <c r="C113" i="1"/>
  <c r="C114" i="1"/>
  <c r="S113" i="2" s="1"/>
  <c r="BQ104" i="1"/>
  <c r="BQ103" i="2" s="1"/>
  <c r="AM104" i="1"/>
  <c r="I104" i="1"/>
  <c r="G104" i="1"/>
  <c r="E104" i="1"/>
  <c r="E103" i="2" s="1"/>
  <c r="B103" i="2"/>
  <c r="D104" i="1"/>
  <c r="C104" i="1"/>
  <c r="K103" i="2" s="1"/>
  <c r="AM103" i="1"/>
  <c r="Y103" i="1"/>
  <c r="G103" i="1"/>
  <c r="E103" i="1"/>
  <c r="T117" i="7" l="1"/>
  <c r="T117" i="6"/>
  <c r="N116" i="7"/>
  <c r="N116" i="6"/>
  <c r="H113" i="7"/>
  <c r="H113" i="6"/>
  <c r="V110" i="7"/>
  <c r="V110" i="6"/>
  <c r="G110" i="7"/>
  <c r="G110" i="6"/>
  <c r="V107" i="7"/>
  <c r="V107" i="6"/>
  <c r="N107" i="7"/>
  <c r="N107" i="6"/>
  <c r="B107" i="7"/>
  <c r="B107" i="6"/>
  <c r="D105" i="7"/>
  <c r="D105" i="6"/>
  <c r="O104" i="7"/>
  <c r="O104" i="6"/>
  <c r="F103" i="7"/>
  <c r="F103" i="6"/>
  <c r="B102" i="7"/>
  <c r="B102" i="6"/>
  <c r="I109" i="11"/>
  <c r="I109" i="10"/>
  <c r="D104" i="7"/>
  <c r="D104" i="6"/>
  <c r="H111" i="6"/>
  <c r="H101" i="6"/>
  <c r="K127" i="10"/>
  <c r="Z118" i="7"/>
  <c r="Z118" i="6"/>
  <c r="D117" i="7"/>
  <c r="D117" i="6"/>
  <c r="H115" i="7"/>
  <c r="H115" i="6"/>
  <c r="B114" i="7"/>
  <c r="B114" i="6"/>
  <c r="V112" i="7"/>
  <c r="V112" i="6"/>
  <c r="B112" i="7"/>
  <c r="B112" i="6"/>
  <c r="P111" i="7"/>
  <c r="P111" i="6"/>
  <c r="T109" i="7"/>
  <c r="T109" i="6"/>
  <c r="H109" i="7"/>
  <c r="DI110" i="2" s="1"/>
  <c r="H109" i="6"/>
  <c r="Z107" i="7"/>
  <c r="Z107" i="6"/>
  <c r="J107" i="7"/>
  <c r="J107" i="6"/>
  <c r="B106" i="7"/>
  <c r="B106" i="6"/>
  <c r="P105" i="7"/>
  <c r="P105" i="6"/>
  <c r="G102" i="7"/>
  <c r="G102" i="6"/>
  <c r="D101" i="7"/>
  <c r="D101" i="6"/>
  <c r="X115" i="7"/>
  <c r="R132" i="6"/>
  <c r="D131" i="6"/>
  <c r="R130" i="6"/>
  <c r="F130" i="6"/>
  <c r="T129" i="6"/>
  <c r="R128" i="6"/>
  <c r="H127" i="6"/>
  <c r="F126" i="6"/>
  <c r="T125" i="6"/>
  <c r="H125" i="6"/>
  <c r="V124" i="6"/>
  <c r="T123" i="6"/>
  <c r="H123" i="6"/>
  <c r="H121" i="6"/>
  <c r="T113" i="6"/>
  <c r="R106" i="6"/>
  <c r="W102" i="6"/>
  <c r="T101" i="6"/>
  <c r="V132" i="6"/>
  <c r="T131" i="6"/>
  <c r="H131" i="6"/>
  <c r="V130" i="6"/>
  <c r="J130" i="6"/>
  <c r="H129" i="6"/>
  <c r="V128" i="6"/>
  <c r="J128" i="6"/>
  <c r="X127" i="6"/>
  <c r="V126" i="6"/>
  <c r="J126" i="6"/>
  <c r="X125" i="6"/>
  <c r="L125" i="6"/>
  <c r="J124" i="6"/>
  <c r="X123" i="6"/>
  <c r="L123" i="6"/>
  <c r="Z122" i="6"/>
  <c r="X121" i="6"/>
  <c r="L121" i="6"/>
  <c r="Z120" i="6"/>
  <c r="J120" i="6"/>
  <c r="T119" i="6"/>
  <c r="H119" i="6"/>
  <c r="V118" i="6"/>
  <c r="H117" i="6"/>
  <c r="V116" i="6"/>
  <c r="J116" i="6"/>
  <c r="V114" i="6"/>
  <c r="J114" i="6"/>
  <c r="X113" i="6"/>
  <c r="Z112" i="6"/>
  <c r="T111" i="6"/>
  <c r="B110" i="6"/>
  <c r="O108" i="6"/>
  <c r="R107" i="6"/>
  <c r="V103" i="6"/>
  <c r="X101" i="6"/>
  <c r="L101" i="6"/>
  <c r="P119" i="7"/>
  <c r="P119" i="6"/>
  <c r="J118" i="7"/>
  <c r="DI123" i="2" s="1"/>
  <c r="J118" i="6"/>
  <c r="R114" i="7"/>
  <c r="R114" i="6"/>
  <c r="L113" i="7"/>
  <c r="L113" i="6"/>
  <c r="R112" i="7"/>
  <c r="R112" i="6"/>
  <c r="F112" i="7"/>
  <c r="F112" i="6"/>
  <c r="L111" i="7"/>
  <c r="L111" i="6"/>
  <c r="Z110" i="7"/>
  <c r="Z110" i="6"/>
  <c r="D109" i="7"/>
  <c r="D109" i="6"/>
  <c r="W106" i="7"/>
  <c r="W106" i="6"/>
  <c r="L105" i="7"/>
  <c r="L105" i="6"/>
  <c r="Z104" i="7"/>
  <c r="Z104" i="6"/>
  <c r="R103" i="7"/>
  <c r="R103" i="6"/>
  <c r="N103" i="7"/>
  <c r="N103" i="6"/>
  <c r="B103" i="7"/>
  <c r="B103" i="6"/>
  <c r="R102" i="7"/>
  <c r="R102" i="6"/>
  <c r="C119" i="11"/>
  <c r="C119" i="10"/>
  <c r="F132" i="6"/>
  <c r="F128" i="6"/>
  <c r="T127" i="6"/>
  <c r="V122" i="6"/>
  <c r="J122" i="6"/>
  <c r="V120" i="6"/>
  <c r="F120" i="6"/>
  <c r="D119" i="6"/>
  <c r="R118" i="6"/>
  <c r="F118" i="6"/>
  <c r="R116" i="6"/>
  <c r="F116" i="6"/>
  <c r="T115" i="6"/>
  <c r="F114" i="6"/>
  <c r="N112" i="6"/>
  <c r="X109" i="6"/>
  <c r="G106" i="6"/>
  <c r="J132" i="6"/>
  <c r="X131" i="6"/>
  <c r="L131" i="6"/>
  <c r="Z130" i="6"/>
  <c r="X129" i="6"/>
  <c r="L129" i="6"/>
  <c r="Z128" i="6"/>
  <c r="N128" i="6"/>
  <c r="L127" i="6"/>
  <c r="Z126" i="6"/>
  <c r="N126" i="6"/>
  <c r="B126" i="6"/>
  <c r="Z124" i="6"/>
  <c r="N124" i="6"/>
  <c r="B124" i="6"/>
  <c r="P123" i="6"/>
  <c r="N122" i="6"/>
  <c r="B122" i="6"/>
  <c r="P121" i="6"/>
  <c r="D121" i="6"/>
  <c r="N120" i="6"/>
  <c r="X119" i="6"/>
  <c r="L119" i="6"/>
  <c r="X117" i="6"/>
  <c r="L117" i="6"/>
  <c r="Z116" i="6"/>
  <c r="L115" i="6"/>
  <c r="Z114" i="6"/>
  <c r="N114" i="6"/>
  <c r="D113" i="6"/>
  <c r="X111" i="6"/>
  <c r="R110" i="6"/>
  <c r="J104" i="6"/>
  <c r="Z103" i="6"/>
  <c r="J103" i="6"/>
  <c r="B117" i="10"/>
  <c r="F115" i="10"/>
  <c r="S108" i="6"/>
  <c r="U107" i="6"/>
  <c r="I107" i="6"/>
  <c r="M103" i="6"/>
  <c r="AA102" i="6"/>
  <c r="V117" i="9"/>
  <c r="V117" i="10" s="1"/>
  <c r="R117" i="9"/>
  <c r="N117" i="9"/>
  <c r="J117" i="9"/>
  <c r="J117" i="11" s="1"/>
  <c r="F117" i="9"/>
  <c r="F117" i="10" s="1"/>
  <c r="X115" i="9"/>
  <c r="T115" i="9"/>
  <c r="P115" i="9"/>
  <c r="L115" i="9"/>
  <c r="L115" i="10" s="1"/>
  <c r="H115" i="9"/>
  <c r="Z113" i="9"/>
  <c r="V113" i="9"/>
  <c r="R113" i="9"/>
  <c r="R113" i="11" s="1"/>
  <c r="N113" i="9"/>
  <c r="J113" i="9"/>
  <c r="F113" i="9"/>
  <c r="X111" i="9"/>
  <c r="X111" i="11" s="1"/>
  <c r="T111" i="9"/>
  <c r="P111" i="9"/>
  <c r="L111" i="9"/>
  <c r="H111" i="9"/>
  <c r="H111" i="11" s="1"/>
  <c r="R109" i="9"/>
  <c r="N109" i="9"/>
  <c r="J109" i="9"/>
  <c r="F109" i="9"/>
  <c r="F109" i="11" s="1"/>
  <c r="L107" i="9"/>
  <c r="H107" i="9"/>
  <c r="F105" i="9"/>
  <c r="E103" i="10"/>
  <c r="F110" i="7"/>
  <c r="F110" i="6"/>
  <c r="F102" i="7"/>
  <c r="F102" i="6"/>
  <c r="K128" i="9"/>
  <c r="K128" i="11" s="1"/>
  <c r="S128" i="9"/>
  <c r="S128" i="10" s="1"/>
  <c r="O116" i="9"/>
  <c r="G116" i="9"/>
  <c r="G116" i="11" s="1"/>
  <c r="W132" i="6"/>
  <c r="G132" i="6"/>
  <c r="Q131" i="6"/>
  <c r="AA130" i="6"/>
  <c r="K130" i="6"/>
  <c r="U129" i="6"/>
  <c r="E129" i="6"/>
  <c r="O128" i="6"/>
  <c r="Y127" i="6"/>
  <c r="I127" i="6"/>
  <c r="S126" i="6"/>
  <c r="C126" i="6"/>
  <c r="M125" i="6"/>
  <c r="W124" i="6"/>
  <c r="G124" i="6"/>
  <c r="Q123" i="6"/>
  <c r="AA122" i="6"/>
  <c r="K122" i="6"/>
  <c r="U121" i="6"/>
  <c r="E121" i="6"/>
  <c r="F106" i="6"/>
  <c r="N102" i="6"/>
  <c r="T107" i="7"/>
  <c r="T107" i="6"/>
  <c r="D107" i="7"/>
  <c r="D107" i="6"/>
  <c r="R104" i="7"/>
  <c r="R104" i="6"/>
  <c r="B104" i="7"/>
  <c r="B104" i="6"/>
  <c r="L103" i="7"/>
  <c r="L103" i="6"/>
  <c r="K115" i="11"/>
  <c r="K115" i="10"/>
  <c r="I105" i="10"/>
  <c r="I105" i="11"/>
  <c r="F101" i="11"/>
  <c r="F101" i="10"/>
  <c r="Q105" i="10"/>
  <c r="D108" i="7"/>
  <c r="D108" i="6"/>
  <c r="N106" i="7"/>
  <c r="N106" i="6"/>
  <c r="G129" i="11"/>
  <c r="G129" i="10"/>
  <c r="Y119" i="11"/>
  <c r="Y119" i="10"/>
  <c r="I118" i="9"/>
  <c r="I118" i="11" s="1"/>
  <c r="V102" i="7"/>
  <c r="V102" i="6"/>
  <c r="S123" i="11"/>
  <c r="S123" i="10"/>
  <c r="C123" i="11"/>
  <c r="C123" i="10"/>
  <c r="E130" i="9"/>
  <c r="U130" i="9"/>
  <c r="U130" i="11" s="1"/>
  <c r="W124" i="9"/>
  <c r="G124" i="9"/>
  <c r="G124" i="10" s="1"/>
  <c r="N108" i="6"/>
  <c r="V106" i="6"/>
  <c r="N104" i="6"/>
  <c r="P109" i="7"/>
  <c r="P109" i="6"/>
  <c r="Z108" i="7"/>
  <c r="Z108" i="6"/>
  <c r="J108" i="7"/>
  <c r="J108" i="6"/>
  <c r="X105" i="7"/>
  <c r="X105" i="6"/>
  <c r="H105" i="7"/>
  <c r="H105" i="6"/>
  <c r="P101" i="7"/>
  <c r="P101" i="6"/>
  <c r="Z121" i="11"/>
  <c r="E122" i="9"/>
  <c r="E122" i="11" s="1"/>
  <c r="S131" i="10"/>
  <c r="Q113" i="10"/>
  <c r="P110" i="4"/>
  <c r="L110" i="4"/>
  <c r="H110" i="4"/>
  <c r="X108" i="4"/>
  <c r="T108" i="4"/>
  <c r="P108" i="4"/>
  <c r="L108" i="4"/>
  <c r="H108" i="4"/>
  <c r="X106" i="4"/>
  <c r="T106" i="4"/>
  <c r="P106" i="4"/>
  <c r="L106" i="4"/>
  <c r="H106" i="4"/>
  <c r="X104" i="4"/>
  <c r="T104" i="4"/>
  <c r="P104" i="4"/>
  <c r="L104" i="4"/>
  <c r="H104" i="4"/>
  <c r="X102" i="4"/>
  <c r="T102" i="4"/>
  <c r="P102" i="4"/>
  <c r="L102" i="4"/>
  <c r="H102" i="4"/>
  <c r="V115" i="10"/>
  <c r="Y109" i="10"/>
  <c r="P101" i="10"/>
  <c r="AA127" i="10"/>
  <c r="DI125" i="2"/>
  <c r="DJ125" i="2" s="1"/>
  <c r="W124" i="11"/>
  <c r="W124" i="10"/>
  <c r="E122" i="10"/>
  <c r="Y118" i="11"/>
  <c r="Y118" i="10"/>
  <c r="O112" i="11"/>
  <c r="O112" i="10"/>
  <c r="C125" i="7"/>
  <c r="DI130" i="2" s="1"/>
  <c r="Q122" i="7"/>
  <c r="U132" i="11"/>
  <c r="U132" i="10"/>
  <c r="S128" i="11"/>
  <c r="W125" i="11"/>
  <c r="W125" i="10"/>
  <c r="K125" i="11"/>
  <c r="K125" i="10"/>
  <c r="G124" i="11"/>
  <c r="Y121" i="11"/>
  <c r="Y121" i="10"/>
  <c r="M121" i="11"/>
  <c r="M121" i="10"/>
  <c r="E121" i="11"/>
  <c r="E121" i="10"/>
  <c r="C110" i="11"/>
  <c r="C110" i="10"/>
  <c r="K106" i="11"/>
  <c r="K106" i="10"/>
  <c r="B132" i="9"/>
  <c r="F132" i="9"/>
  <c r="J132" i="9"/>
  <c r="N132" i="9"/>
  <c r="R132" i="9"/>
  <c r="V132" i="9"/>
  <c r="Z132" i="9"/>
  <c r="G132" i="9"/>
  <c r="L132" i="9"/>
  <c r="Q132" i="9"/>
  <c r="W132" i="9"/>
  <c r="C132" i="9"/>
  <c r="H132" i="9"/>
  <c r="M132" i="9"/>
  <c r="S132" i="9"/>
  <c r="X132" i="9"/>
  <c r="D132" i="9"/>
  <c r="I132" i="9"/>
  <c r="O132" i="9"/>
  <c r="T132" i="9"/>
  <c r="Y132" i="9"/>
  <c r="B126" i="9"/>
  <c r="F126" i="9"/>
  <c r="J126" i="9"/>
  <c r="N126" i="9"/>
  <c r="R126" i="9"/>
  <c r="V126" i="9"/>
  <c r="Z126" i="9"/>
  <c r="D126" i="9"/>
  <c r="H126" i="9"/>
  <c r="L126" i="9"/>
  <c r="P126" i="9"/>
  <c r="T126" i="9"/>
  <c r="X126" i="9"/>
  <c r="C126" i="9"/>
  <c r="K126" i="9"/>
  <c r="S126" i="9"/>
  <c r="AA126" i="9"/>
  <c r="E126" i="9"/>
  <c r="M126" i="9"/>
  <c r="U126" i="9"/>
  <c r="G126" i="9"/>
  <c r="O126" i="9"/>
  <c r="W126" i="9"/>
  <c r="B120" i="9"/>
  <c r="F120" i="9"/>
  <c r="J120" i="9"/>
  <c r="N120" i="9"/>
  <c r="R120" i="9"/>
  <c r="V120" i="9"/>
  <c r="Z120" i="9"/>
  <c r="D120" i="9"/>
  <c r="H120" i="9"/>
  <c r="L120" i="9"/>
  <c r="P120" i="9"/>
  <c r="T120" i="9"/>
  <c r="X120" i="9"/>
  <c r="E120" i="9"/>
  <c r="M120" i="9"/>
  <c r="U120" i="9"/>
  <c r="G120" i="9"/>
  <c r="O120" i="9"/>
  <c r="W120" i="9"/>
  <c r="I120" i="9"/>
  <c r="Q120" i="9"/>
  <c r="Y120" i="9"/>
  <c r="B114" i="9"/>
  <c r="F114" i="9"/>
  <c r="J114" i="9"/>
  <c r="N114" i="9"/>
  <c r="R114" i="9"/>
  <c r="V114" i="9"/>
  <c r="Z114" i="9"/>
  <c r="D114" i="9"/>
  <c r="H114" i="9"/>
  <c r="L114" i="9"/>
  <c r="P114" i="9"/>
  <c r="T114" i="9"/>
  <c r="X114" i="9"/>
  <c r="G114" i="9"/>
  <c r="O114" i="9"/>
  <c r="W114" i="9"/>
  <c r="I114" i="9"/>
  <c r="Q114" i="9"/>
  <c r="Y114" i="9"/>
  <c r="C114" i="9"/>
  <c r="K114" i="9"/>
  <c r="S114" i="9"/>
  <c r="AA114" i="9"/>
  <c r="B108" i="9"/>
  <c r="F108" i="9"/>
  <c r="J108" i="9"/>
  <c r="N108" i="9"/>
  <c r="R108" i="9"/>
  <c r="V108" i="9"/>
  <c r="Z108" i="9"/>
  <c r="E108" i="9"/>
  <c r="K108" i="9"/>
  <c r="P108" i="9"/>
  <c r="U108" i="9"/>
  <c r="AA108" i="9"/>
  <c r="C108" i="9"/>
  <c r="H108" i="9"/>
  <c r="M108" i="9"/>
  <c r="S108" i="9"/>
  <c r="X108" i="9"/>
  <c r="D108" i="9"/>
  <c r="O108" i="9"/>
  <c r="Y108" i="9"/>
  <c r="G108" i="9"/>
  <c r="Q108" i="9"/>
  <c r="I108" i="9"/>
  <c r="T108" i="9"/>
  <c r="B102" i="9"/>
  <c r="F102" i="9"/>
  <c r="J102" i="9"/>
  <c r="N102" i="9"/>
  <c r="R102" i="9"/>
  <c r="V102" i="9"/>
  <c r="Z102" i="9"/>
  <c r="D102" i="9"/>
  <c r="I102" i="9"/>
  <c r="O102" i="9"/>
  <c r="T102" i="9"/>
  <c r="Y102" i="9"/>
  <c r="E102" i="9"/>
  <c r="K102" i="9"/>
  <c r="P102" i="9"/>
  <c r="U102" i="9"/>
  <c r="AA102" i="9"/>
  <c r="G102" i="9"/>
  <c r="L102" i="9"/>
  <c r="Q102" i="9"/>
  <c r="W102" i="9"/>
  <c r="M102" i="9"/>
  <c r="S102" i="9"/>
  <c r="C102" i="9"/>
  <c r="X102" i="9"/>
  <c r="Y132" i="7"/>
  <c r="Q132" i="7"/>
  <c r="I132" i="7"/>
  <c r="AA131" i="7"/>
  <c r="S131" i="7"/>
  <c r="K131" i="7"/>
  <c r="C131" i="7"/>
  <c r="U130" i="7"/>
  <c r="M130" i="7"/>
  <c r="E130" i="7"/>
  <c r="W129" i="7"/>
  <c r="O129" i="7"/>
  <c r="G129" i="7"/>
  <c r="Y128" i="7"/>
  <c r="Q128" i="7"/>
  <c r="I128" i="7"/>
  <c r="AA127" i="7"/>
  <c r="S127" i="7"/>
  <c r="K127" i="7"/>
  <c r="C127" i="7"/>
  <c r="U126" i="7"/>
  <c r="M126" i="7"/>
  <c r="E126" i="7"/>
  <c r="W125" i="7"/>
  <c r="O125" i="7"/>
  <c r="Y124" i="7"/>
  <c r="I124" i="7"/>
  <c r="S123" i="7"/>
  <c r="C123" i="7"/>
  <c r="M122" i="7"/>
  <c r="AA119" i="7"/>
  <c r="O117" i="7"/>
  <c r="DI122" i="2" s="1"/>
  <c r="Y116" i="7"/>
  <c r="I116" i="7"/>
  <c r="S115" i="7"/>
  <c r="C115" i="7"/>
  <c r="M114" i="7"/>
  <c r="DI119" i="2" s="1"/>
  <c r="W113" i="7"/>
  <c r="G113" i="7"/>
  <c r="Q112" i="7"/>
  <c r="AA111" i="7"/>
  <c r="K111" i="7"/>
  <c r="DI116" i="2" s="1"/>
  <c r="U110" i="7"/>
  <c r="E110" i="7"/>
  <c r="O109" i="7"/>
  <c r="Y108" i="7"/>
  <c r="I108" i="7"/>
  <c r="S107" i="7"/>
  <c r="C107" i="7"/>
  <c r="M106" i="7"/>
  <c r="W105" i="7"/>
  <c r="G105" i="7"/>
  <c r="Q104" i="7"/>
  <c r="AA103" i="7"/>
  <c r="K103" i="7"/>
  <c r="DI104" i="2" s="1"/>
  <c r="U102" i="7"/>
  <c r="E102" i="7"/>
  <c r="O101" i="7"/>
  <c r="P132" i="9"/>
  <c r="Z131" i="10"/>
  <c r="Z131" i="11"/>
  <c r="V131" i="11"/>
  <c r="V131" i="10"/>
  <c r="R131" i="11"/>
  <c r="R131" i="10"/>
  <c r="N131" i="11"/>
  <c r="N131" i="10"/>
  <c r="Y126" i="9"/>
  <c r="S120" i="9"/>
  <c r="AA117" i="11"/>
  <c r="AA117" i="10"/>
  <c r="W117" i="11"/>
  <c r="W117" i="10"/>
  <c r="S117" i="11"/>
  <c r="S117" i="10"/>
  <c r="O117" i="11"/>
  <c r="O117" i="10"/>
  <c r="K117" i="11"/>
  <c r="K117" i="10"/>
  <c r="G117" i="11"/>
  <c r="G117" i="10"/>
  <c r="C117" i="11"/>
  <c r="C117" i="10"/>
  <c r="M114" i="9"/>
  <c r="Y112" i="9"/>
  <c r="AA107" i="11"/>
  <c r="AA107" i="10"/>
  <c r="W107" i="11"/>
  <c r="W107" i="10"/>
  <c r="S107" i="11"/>
  <c r="S107" i="10"/>
  <c r="O107" i="11"/>
  <c r="O107" i="10"/>
  <c r="K107" i="11"/>
  <c r="K107" i="10"/>
  <c r="G107" i="11"/>
  <c r="G107" i="10"/>
  <c r="C107" i="11"/>
  <c r="C107" i="10"/>
  <c r="O125" i="10"/>
  <c r="W123" i="7"/>
  <c r="W121" i="7"/>
  <c r="DI126" i="2" s="1"/>
  <c r="K119" i="7"/>
  <c r="DI124" i="2" s="1"/>
  <c r="E130" i="11"/>
  <c r="E130" i="10"/>
  <c r="AA125" i="11"/>
  <c r="AA125" i="10"/>
  <c r="S125" i="11"/>
  <c r="S125" i="10"/>
  <c r="C125" i="11"/>
  <c r="C125" i="10"/>
  <c r="U121" i="11"/>
  <c r="U121" i="10"/>
  <c r="O116" i="11"/>
  <c r="O116" i="10"/>
  <c r="B128" i="9"/>
  <c r="F128" i="9"/>
  <c r="J128" i="9"/>
  <c r="N128" i="9"/>
  <c r="R128" i="9"/>
  <c r="V128" i="9"/>
  <c r="Z128" i="9"/>
  <c r="D128" i="9"/>
  <c r="H128" i="9"/>
  <c r="L128" i="9"/>
  <c r="P128" i="9"/>
  <c r="T128" i="9"/>
  <c r="X128" i="9"/>
  <c r="E128" i="9"/>
  <c r="M128" i="9"/>
  <c r="U128" i="9"/>
  <c r="G128" i="9"/>
  <c r="O128" i="9"/>
  <c r="W128" i="9"/>
  <c r="I128" i="9"/>
  <c r="Q128" i="9"/>
  <c r="Y128" i="9"/>
  <c r="B122" i="9"/>
  <c r="F122" i="9"/>
  <c r="J122" i="9"/>
  <c r="N122" i="9"/>
  <c r="R122" i="9"/>
  <c r="V122" i="9"/>
  <c r="Z122" i="9"/>
  <c r="D122" i="9"/>
  <c r="H122" i="9"/>
  <c r="L122" i="9"/>
  <c r="P122" i="9"/>
  <c r="T122" i="9"/>
  <c r="X122" i="9"/>
  <c r="G122" i="9"/>
  <c r="O122" i="9"/>
  <c r="W122" i="9"/>
  <c r="I122" i="9"/>
  <c r="Q122" i="9"/>
  <c r="Y122" i="9"/>
  <c r="C122" i="9"/>
  <c r="K122" i="9"/>
  <c r="S122" i="9"/>
  <c r="AA122" i="9"/>
  <c r="B116" i="9"/>
  <c r="F116" i="9"/>
  <c r="J116" i="9"/>
  <c r="N116" i="9"/>
  <c r="R116" i="9"/>
  <c r="V116" i="9"/>
  <c r="Z116" i="9"/>
  <c r="D116" i="9"/>
  <c r="H116" i="9"/>
  <c r="L116" i="9"/>
  <c r="P116" i="9"/>
  <c r="T116" i="9"/>
  <c r="X116" i="9"/>
  <c r="I116" i="9"/>
  <c r="Q116" i="9"/>
  <c r="Y116" i="9"/>
  <c r="C116" i="9"/>
  <c r="K116" i="9"/>
  <c r="S116" i="9"/>
  <c r="AA116" i="9"/>
  <c r="E116" i="9"/>
  <c r="M116" i="9"/>
  <c r="U116" i="9"/>
  <c r="B110" i="9"/>
  <c r="F110" i="9"/>
  <c r="J110" i="9"/>
  <c r="N110" i="9"/>
  <c r="R110" i="9"/>
  <c r="V110" i="9"/>
  <c r="Z110" i="9"/>
  <c r="D110" i="9"/>
  <c r="I110" i="9"/>
  <c r="O110" i="9"/>
  <c r="T110" i="9"/>
  <c r="Y110" i="9"/>
  <c r="G110" i="9"/>
  <c r="L110" i="9"/>
  <c r="Q110" i="9"/>
  <c r="W110" i="9"/>
  <c r="E110" i="9"/>
  <c r="P110" i="9"/>
  <c r="AA110" i="9"/>
  <c r="H110" i="9"/>
  <c r="S110" i="9"/>
  <c r="K110" i="9"/>
  <c r="U110" i="9"/>
  <c r="B104" i="9"/>
  <c r="F104" i="9"/>
  <c r="J104" i="9"/>
  <c r="N104" i="9"/>
  <c r="R104" i="9"/>
  <c r="V104" i="9"/>
  <c r="Z104" i="9"/>
  <c r="C104" i="9"/>
  <c r="H104" i="9"/>
  <c r="M104" i="9"/>
  <c r="S104" i="9"/>
  <c r="X104" i="9"/>
  <c r="E104" i="9"/>
  <c r="K104" i="9"/>
  <c r="P104" i="9"/>
  <c r="U104" i="9"/>
  <c r="AA104" i="9"/>
  <c r="L104" i="9"/>
  <c r="W104" i="9"/>
  <c r="D104" i="9"/>
  <c r="O104" i="9"/>
  <c r="Y104" i="9"/>
  <c r="G104" i="9"/>
  <c r="Q104" i="9"/>
  <c r="U132" i="6"/>
  <c r="M132" i="6"/>
  <c r="E132" i="6"/>
  <c r="W131" i="6"/>
  <c r="O131" i="6"/>
  <c r="G131" i="6"/>
  <c r="Y130" i="6"/>
  <c r="Q130" i="6"/>
  <c r="I130" i="6"/>
  <c r="AA129" i="6"/>
  <c r="S129" i="6"/>
  <c r="K129" i="6"/>
  <c r="C129" i="6"/>
  <c r="U128" i="6"/>
  <c r="M128" i="6"/>
  <c r="E128" i="6"/>
  <c r="W127" i="6"/>
  <c r="O127" i="6"/>
  <c r="G127" i="6"/>
  <c r="Y126" i="6"/>
  <c r="Q126" i="6"/>
  <c r="I126" i="6"/>
  <c r="AA125" i="6"/>
  <c r="S125" i="6"/>
  <c r="K125" i="6"/>
  <c r="G125" i="6"/>
  <c r="U124" i="6"/>
  <c r="Q124" i="6"/>
  <c r="M124" i="6"/>
  <c r="E124" i="6"/>
  <c r="AA123" i="6"/>
  <c r="O123" i="6"/>
  <c r="K123" i="6"/>
  <c r="G123" i="6"/>
  <c r="Y122" i="6"/>
  <c r="U122" i="6"/>
  <c r="I122" i="6"/>
  <c r="E122" i="6"/>
  <c r="AA121" i="6"/>
  <c r="S121" i="6"/>
  <c r="O121" i="6"/>
  <c r="K121" i="6"/>
  <c r="G121" i="6"/>
  <c r="C121" i="6"/>
  <c r="Y120" i="6"/>
  <c r="U120" i="6"/>
  <c r="Q120" i="6"/>
  <c r="M120" i="6"/>
  <c r="I120" i="6"/>
  <c r="E120" i="6"/>
  <c r="W119" i="6"/>
  <c r="S119" i="6"/>
  <c r="O119" i="6"/>
  <c r="G119" i="6"/>
  <c r="C119" i="6"/>
  <c r="Y118" i="6"/>
  <c r="U118" i="6"/>
  <c r="Q118" i="6"/>
  <c r="M118" i="6"/>
  <c r="I118" i="6"/>
  <c r="E118" i="6"/>
  <c r="AA117" i="6"/>
  <c r="W117" i="6"/>
  <c r="S117" i="6"/>
  <c r="K117" i="6"/>
  <c r="G117" i="6"/>
  <c r="C117" i="6"/>
  <c r="U116" i="6"/>
  <c r="Q116" i="6"/>
  <c r="M116" i="6"/>
  <c r="E116" i="6"/>
  <c r="AA115" i="6"/>
  <c r="W115" i="6"/>
  <c r="O115" i="6"/>
  <c r="K115" i="6"/>
  <c r="G115" i="6"/>
  <c r="Y114" i="6"/>
  <c r="U114" i="6"/>
  <c r="Q114" i="6"/>
  <c r="I114" i="6"/>
  <c r="E114" i="6"/>
  <c r="AA113" i="6"/>
  <c r="S113" i="6"/>
  <c r="O113" i="6"/>
  <c r="K113" i="6"/>
  <c r="C113" i="6"/>
  <c r="Y112" i="6"/>
  <c r="U112" i="6"/>
  <c r="M112" i="6"/>
  <c r="I112" i="6"/>
  <c r="E112" i="6"/>
  <c r="W111" i="6"/>
  <c r="S111" i="6"/>
  <c r="O111" i="6"/>
  <c r="G111" i="6"/>
  <c r="C111" i="6"/>
  <c r="Y110" i="6"/>
  <c r="Q110" i="6"/>
  <c r="M110" i="6"/>
  <c r="I110" i="6"/>
  <c r="AA109" i="6"/>
  <c r="W109" i="6"/>
  <c r="S109" i="6"/>
  <c r="K109" i="6"/>
  <c r="G109" i="6"/>
  <c r="C109" i="6"/>
  <c r="U108" i="6"/>
  <c r="Q108" i="6"/>
  <c r="M108" i="6"/>
  <c r="E108" i="6"/>
  <c r="AA107" i="6"/>
  <c r="W107" i="6"/>
  <c r="O107" i="6"/>
  <c r="K107" i="6"/>
  <c r="G107" i="6"/>
  <c r="Y106" i="6"/>
  <c r="U106" i="6"/>
  <c r="Q106" i="6"/>
  <c r="I106" i="6"/>
  <c r="E106" i="6"/>
  <c r="AA105" i="6"/>
  <c r="S105" i="6"/>
  <c r="O105" i="6"/>
  <c r="K105" i="6"/>
  <c r="C105" i="6"/>
  <c r="Y104" i="6"/>
  <c r="U104" i="6"/>
  <c r="M104" i="6"/>
  <c r="I104" i="6"/>
  <c r="E104" i="6"/>
  <c r="W103" i="6"/>
  <c r="S103" i="6"/>
  <c r="O103" i="6"/>
  <c r="G103" i="6"/>
  <c r="C103" i="6"/>
  <c r="Y102" i="6"/>
  <c r="Q102" i="6"/>
  <c r="M102" i="6"/>
  <c r="I102" i="6"/>
  <c r="AA101" i="6"/>
  <c r="W101" i="6"/>
  <c r="S101" i="6"/>
  <c r="K101" i="6"/>
  <c r="G101" i="6"/>
  <c r="C101" i="6"/>
  <c r="K132" i="9"/>
  <c r="C128" i="9"/>
  <c r="Q126" i="9"/>
  <c r="K120" i="9"/>
  <c r="E114" i="9"/>
  <c r="X110" i="9"/>
  <c r="G125" i="11"/>
  <c r="G125" i="10"/>
  <c r="M122" i="11"/>
  <c r="M122" i="10"/>
  <c r="Q121" i="11"/>
  <c r="Q121" i="10"/>
  <c r="I121" i="11"/>
  <c r="I121" i="10"/>
  <c r="AA120" i="11"/>
  <c r="AA120" i="10"/>
  <c r="U114" i="11"/>
  <c r="U114" i="10"/>
  <c r="L108" i="11"/>
  <c r="L108" i="10"/>
  <c r="I104" i="11"/>
  <c r="I104" i="10"/>
  <c r="B130" i="9"/>
  <c r="F130" i="9"/>
  <c r="J130" i="9"/>
  <c r="N130" i="9"/>
  <c r="R130" i="9"/>
  <c r="V130" i="9"/>
  <c r="Z130" i="9"/>
  <c r="D130" i="9"/>
  <c r="H130" i="9"/>
  <c r="L130" i="9"/>
  <c r="P130" i="9"/>
  <c r="T130" i="9"/>
  <c r="X130" i="9"/>
  <c r="G130" i="9"/>
  <c r="O130" i="9"/>
  <c r="W130" i="9"/>
  <c r="I130" i="9"/>
  <c r="Q130" i="9"/>
  <c r="Y130" i="9"/>
  <c r="C130" i="9"/>
  <c r="K130" i="9"/>
  <c r="S130" i="9"/>
  <c r="AA130" i="9"/>
  <c r="B124" i="9"/>
  <c r="F124" i="9"/>
  <c r="J124" i="9"/>
  <c r="N124" i="9"/>
  <c r="R124" i="9"/>
  <c r="V124" i="9"/>
  <c r="Z124" i="9"/>
  <c r="D124" i="9"/>
  <c r="H124" i="9"/>
  <c r="L124" i="9"/>
  <c r="P124" i="9"/>
  <c r="T124" i="9"/>
  <c r="X124" i="9"/>
  <c r="I124" i="9"/>
  <c r="Q124" i="9"/>
  <c r="Y124" i="9"/>
  <c r="C124" i="9"/>
  <c r="K124" i="9"/>
  <c r="S124" i="9"/>
  <c r="AA124" i="9"/>
  <c r="E124" i="9"/>
  <c r="M124" i="9"/>
  <c r="U124" i="9"/>
  <c r="B118" i="9"/>
  <c r="F118" i="9"/>
  <c r="J118" i="9"/>
  <c r="N118" i="9"/>
  <c r="R118" i="9"/>
  <c r="V118" i="9"/>
  <c r="Z118" i="9"/>
  <c r="D118" i="9"/>
  <c r="H118" i="9"/>
  <c r="L118" i="9"/>
  <c r="P118" i="9"/>
  <c r="T118" i="9"/>
  <c r="X118" i="9"/>
  <c r="C118" i="9"/>
  <c r="K118" i="9"/>
  <c r="S118" i="9"/>
  <c r="AA118" i="9"/>
  <c r="E118" i="9"/>
  <c r="M118" i="9"/>
  <c r="U118" i="9"/>
  <c r="G118" i="9"/>
  <c r="O118" i="9"/>
  <c r="W118" i="9"/>
  <c r="B112" i="9"/>
  <c r="F112" i="9"/>
  <c r="J112" i="9"/>
  <c r="N112" i="9"/>
  <c r="R112" i="9"/>
  <c r="V112" i="9"/>
  <c r="Z112" i="9"/>
  <c r="C112" i="9"/>
  <c r="H112" i="9"/>
  <c r="M112" i="9"/>
  <c r="S112" i="9"/>
  <c r="X112" i="9"/>
  <c r="E112" i="9"/>
  <c r="K112" i="9"/>
  <c r="P112" i="9"/>
  <c r="U112" i="9"/>
  <c r="AA112" i="9"/>
  <c r="G112" i="9"/>
  <c r="Q112" i="9"/>
  <c r="I112" i="9"/>
  <c r="T112" i="9"/>
  <c r="L112" i="9"/>
  <c r="W112" i="9"/>
  <c r="B106" i="9"/>
  <c r="F106" i="9"/>
  <c r="J106" i="9"/>
  <c r="N106" i="9"/>
  <c r="R106" i="9"/>
  <c r="V106" i="9"/>
  <c r="Z106" i="9"/>
  <c r="G106" i="9"/>
  <c r="L106" i="9"/>
  <c r="Q106" i="9"/>
  <c r="W106" i="9"/>
  <c r="D106" i="9"/>
  <c r="I106" i="9"/>
  <c r="O106" i="9"/>
  <c r="T106" i="9"/>
  <c r="Y106" i="9"/>
  <c r="C106" i="9"/>
  <c r="M106" i="9"/>
  <c r="X106" i="9"/>
  <c r="E106" i="9"/>
  <c r="P106" i="9"/>
  <c r="AA106" i="9"/>
  <c r="H106" i="9"/>
  <c r="S106" i="9"/>
  <c r="DB130" i="2"/>
  <c r="AA132" i="9"/>
  <c r="E132" i="9"/>
  <c r="M130" i="9"/>
  <c r="Y129" i="11"/>
  <c r="Y129" i="10"/>
  <c r="U129" i="11"/>
  <c r="U129" i="10"/>
  <c r="Q129" i="11"/>
  <c r="Q129" i="10"/>
  <c r="M129" i="11"/>
  <c r="M129" i="10"/>
  <c r="I129" i="11"/>
  <c r="I129" i="10"/>
  <c r="E129" i="11"/>
  <c r="E129" i="10"/>
  <c r="AA128" i="9"/>
  <c r="I126" i="9"/>
  <c r="O124" i="9"/>
  <c r="U122" i="9"/>
  <c r="C120" i="9"/>
  <c r="Q118" i="9"/>
  <c r="W116" i="9"/>
  <c r="D112" i="9"/>
  <c r="M110" i="9"/>
  <c r="W108" i="9"/>
  <c r="U106" i="9"/>
  <c r="T104" i="9"/>
  <c r="H102" i="9"/>
  <c r="Y131" i="11"/>
  <c r="Y131" i="10"/>
  <c r="U131" i="11"/>
  <c r="U131" i="10"/>
  <c r="Q131" i="11"/>
  <c r="Q131" i="10"/>
  <c r="M131" i="11"/>
  <c r="M131" i="10"/>
  <c r="I131" i="11"/>
  <c r="I131" i="10"/>
  <c r="E131" i="11"/>
  <c r="E131" i="10"/>
  <c r="W127" i="11"/>
  <c r="W127" i="10"/>
  <c r="O127" i="11"/>
  <c r="O127" i="10"/>
  <c r="G127" i="11"/>
  <c r="G127" i="10"/>
  <c r="Y123" i="11"/>
  <c r="Y123" i="10"/>
  <c r="U123" i="11"/>
  <c r="U123" i="10"/>
  <c r="Q123" i="11"/>
  <c r="Q123" i="10"/>
  <c r="M123" i="11"/>
  <c r="M123" i="10"/>
  <c r="I123" i="11"/>
  <c r="I123" i="10"/>
  <c r="E123" i="11"/>
  <c r="E123" i="10"/>
  <c r="AA119" i="11"/>
  <c r="AA119" i="10"/>
  <c r="W119" i="11"/>
  <c r="W119" i="10"/>
  <c r="S119" i="11"/>
  <c r="S119" i="10"/>
  <c r="O119" i="11"/>
  <c r="O119" i="10"/>
  <c r="K119" i="11"/>
  <c r="K119" i="10"/>
  <c r="G119" i="11"/>
  <c r="G119" i="10"/>
  <c r="Y115" i="11"/>
  <c r="Y115" i="10"/>
  <c r="U115" i="11"/>
  <c r="U115" i="10"/>
  <c r="Q115" i="10"/>
  <c r="Q115" i="11"/>
  <c r="M115" i="11"/>
  <c r="M115" i="10"/>
  <c r="I115" i="11"/>
  <c r="I115" i="10"/>
  <c r="E115" i="11"/>
  <c r="E115" i="10"/>
  <c r="AA111" i="11"/>
  <c r="AA111" i="10"/>
  <c r="W111" i="11"/>
  <c r="W111" i="10"/>
  <c r="S111" i="11"/>
  <c r="S111" i="10"/>
  <c r="O111" i="11"/>
  <c r="O111" i="10"/>
  <c r="K111" i="11"/>
  <c r="K111" i="10"/>
  <c r="G111" i="11"/>
  <c r="G111" i="10"/>
  <c r="C111" i="11"/>
  <c r="C111" i="10"/>
  <c r="Z105" i="11"/>
  <c r="Z105" i="10"/>
  <c r="V105" i="11"/>
  <c r="V105" i="10"/>
  <c r="R105" i="11"/>
  <c r="R105" i="10"/>
  <c r="N105" i="11"/>
  <c r="N105" i="10"/>
  <c r="J105" i="11"/>
  <c r="J105" i="10"/>
  <c r="F105" i="11"/>
  <c r="F105" i="10"/>
  <c r="B105" i="11"/>
  <c r="B105" i="10"/>
  <c r="Y103" i="11"/>
  <c r="Y103" i="10"/>
  <c r="U103" i="11"/>
  <c r="U103" i="10"/>
  <c r="Q103" i="11"/>
  <c r="Q103" i="10"/>
  <c r="M103" i="11"/>
  <c r="M103" i="10"/>
  <c r="K131" i="10"/>
  <c r="S127" i="10"/>
  <c r="AA123" i="10"/>
  <c r="AA129" i="11"/>
  <c r="AA129" i="10"/>
  <c r="S129" i="11"/>
  <c r="S129" i="10"/>
  <c r="K129" i="11"/>
  <c r="K129" i="10"/>
  <c r="C129" i="11"/>
  <c r="C129" i="10"/>
  <c r="Y125" i="11"/>
  <c r="Y125" i="10"/>
  <c r="U125" i="11"/>
  <c r="U125" i="10"/>
  <c r="Q125" i="11"/>
  <c r="Q125" i="10"/>
  <c r="M125" i="11"/>
  <c r="M125" i="10"/>
  <c r="I125" i="11"/>
  <c r="I125" i="10"/>
  <c r="E125" i="11"/>
  <c r="E125" i="10"/>
  <c r="AA121" i="11"/>
  <c r="AA121" i="10"/>
  <c r="W121" i="11"/>
  <c r="W121" i="10"/>
  <c r="S121" i="11"/>
  <c r="S121" i="10"/>
  <c r="K121" i="11"/>
  <c r="K121" i="10"/>
  <c r="G121" i="11"/>
  <c r="G121" i="10"/>
  <c r="C121" i="11"/>
  <c r="C121" i="10"/>
  <c r="Y117" i="11"/>
  <c r="Y117" i="10"/>
  <c r="U117" i="11"/>
  <c r="U117" i="10"/>
  <c r="Q117" i="11"/>
  <c r="Q117" i="10"/>
  <c r="I117" i="11"/>
  <c r="I117" i="10"/>
  <c r="E117" i="11"/>
  <c r="E117" i="10"/>
  <c r="Z109" i="11"/>
  <c r="Z109" i="10"/>
  <c r="V109" i="11"/>
  <c r="V109" i="10"/>
  <c r="R109" i="11"/>
  <c r="R109" i="10"/>
  <c r="N109" i="11"/>
  <c r="N109" i="10"/>
  <c r="J109" i="11"/>
  <c r="J109" i="10"/>
  <c r="F109" i="10"/>
  <c r="B109" i="11"/>
  <c r="B109" i="10"/>
  <c r="Y107" i="11"/>
  <c r="Y107" i="10"/>
  <c r="Q107" i="11"/>
  <c r="Q107" i="10"/>
  <c r="M107" i="11"/>
  <c r="M107" i="10"/>
  <c r="I107" i="11"/>
  <c r="I107" i="10"/>
  <c r="E107" i="11"/>
  <c r="E107" i="10"/>
  <c r="C131" i="10"/>
  <c r="W129" i="10"/>
  <c r="W131" i="11"/>
  <c r="W131" i="10"/>
  <c r="O131" i="10"/>
  <c r="O131" i="11"/>
  <c r="G131" i="11"/>
  <c r="G131" i="10"/>
  <c r="Y127" i="11"/>
  <c r="Y127" i="10"/>
  <c r="U127" i="11"/>
  <c r="U127" i="10"/>
  <c r="Q127" i="11"/>
  <c r="Q127" i="10"/>
  <c r="M127" i="11"/>
  <c r="M127" i="10"/>
  <c r="I127" i="11"/>
  <c r="I127" i="10"/>
  <c r="E127" i="11"/>
  <c r="E127" i="10"/>
  <c r="W123" i="11"/>
  <c r="W123" i="10"/>
  <c r="O123" i="11"/>
  <c r="O123" i="10"/>
  <c r="G123" i="11"/>
  <c r="G123" i="10"/>
  <c r="U119" i="11"/>
  <c r="U119" i="10"/>
  <c r="Q119" i="11"/>
  <c r="Q119" i="10"/>
  <c r="M119" i="11"/>
  <c r="M119" i="10"/>
  <c r="I119" i="11"/>
  <c r="I119" i="10"/>
  <c r="E119" i="11"/>
  <c r="E119" i="10"/>
  <c r="AA115" i="11"/>
  <c r="AA115" i="10"/>
  <c r="W115" i="11"/>
  <c r="W115" i="10"/>
  <c r="S115" i="11"/>
  <c r="S115" i="10"/>
  <c r="O115" i="11"/>
  <c r="O115" i="10"/>
  <c r="G115" i="11"/>
  <c r="G115" i="10"/>
  <c r="C115" i="11"/>
  <c r="C115" i="10"/>
  <c r="Z113" i="11"/>
  <c r="Z113" i="10"/>
  <c r="V113" i="11"/>
  <c r="V113" i="10"/>
  <c r="N113" i="11"/>
  <c r="N113" i="10"/>
  <c r="J113" i="11"/>
  <c r="J113" i="10"/>
  <c r="F113" i="11"/>
  <c r="F113" i="10"/>
  <c r="B113" i="11"/>
  <c r="B113" i="10"/>
  <c r="Y111" i="11"/>
  <c r="Y111" i="10"/>
  <c r="Q111" i="11"/>
  <c r="Q111" i="10"/>
  <c r="M111" i="11"/>
  <c r="M111" i="10"/>
  <c r="I111" i="11"/>
  <c r="I111" i="10"/>
  <c r="E111" i="11"/>
  <c r="E111" i="10"/>
  <c r="AA103" i="11"/>
  <c r="AA103" i="10"/>
  <c r="W103" i="11"/>
  <c r="W103" i="10"/>
  <c r="S103" i="11"/>
  <c r="S103" i="10"/>
  <c r="O103" i="11"/>
  <c r="O103" i="10"/>
  <c r="K103" i="11"/>
  <c r="K103" i="10"/>
  <c r="G103" i="11"/>
  <c r="G103" i="10"/>
  <c r="C103" i="11"/>
  <c r="C103" i="10"/>
  <c r="AA131" i="10"/>
  <c r="O129" i="10"/>
  <c r="C127" i="10"/>
  <c r="K123" i="10"/>
  <c r="M117" i="10"/>
  <c r="U111" i="10"/>
  <c r="U107" i="11"/>
  <c r="J131" i="11"/>
  <c r="J131" i="10"/>
  <c r="F131" i="11"/>
  <c r="F131" i="10"/>
  <c r="B131" i="11"/>
  <c r="B131" i="10"/>
  <c r="Z129" i="11"/>
  <c r="Z129" i="10"/>
  <c r="V129" i="11"/>
  <c r="V129" i="10"/>
  <c r="R129" i="11"/>
  <c r="R129" i="10"/>
  <c r="J129" i="11"/>
  <c r="J129" i="10"/>
  <c r="F129" i="11"/>
  <c r="F129" i="10"/>
  <c r="B129" i="11"/>
  <c r="B129" i="10"/>
  <c r="Z127" i="11"/>
  <c r="Z127" i="10"/>
  <c r="V127" i="11"/>
  <c r="V127" i="10"/>
  <c r="R127" i="11"/>
  <c r="R127" i="10"/>
  <c r="N127" i="11"/>
  <c r="N127" i="10"/>
  <c r="J127" i="11"/>
  <c r="J127" i="10"/>
  <c r="F127" i="11"/>
  <c r="F127" i="10"/>
  <c r="B127" i="11"/>
  <c r="B127" i="10"/>
  <c r="Z125" i="11"/>
  <c r="Z125" i="10"/>
  <c r="V125" i="11"/>
  <c r="V125" i="10"/>
  <c r="N125" i="11"/>
  <c r="N125" i="10"/>
  <c r="J125" i="11"/>
  <c r="J125" i="10"/>
  <c r="F125" i="11"/>
  <c r="F125" i="10"/>
  <c r="Z123" i="11"/>
  <c r="Z123" i="10"/>
  <c r="R123" i="11"/>
  <c r="R123" i="10"/>
  <c r="N123" i="11"/>
  <c r="N123" i="10"/>
  <c r="J123" i="11"/>
  <c r="J123" i="10"/>
  <c r="B123" i="11"/>
  <c r="B123" i="10"/>
  <c r="V121" i="10"/>
  <c r="V121" i="11"/>
  <c r="N121" i="11"/>
  <c r="N121" i="10"/>
  <c r="F121" i="10"/>
  <c r="F121" i="11"/>
  <c r="Z119" i="10"/>
  <c r="Z119" i="11"/>
  <c r="R119" i="11"/>
  <c r="R119" i="10"/>
  <c r="J119" i="10"/>
  <c r="J119" i="11"/>
  <c r="B119" i="11"/>
  <c r="B119" i="10"/>
  <c r="V117" i="11"/>
  <c r="N117" i="11"/>
  <c r="N117" i="10"/>
  <c r="F117" i="11"/>
  <c r="Z115" i="11"/>
  <c r="Z115" i="10"/>
  <c r="R115" i="11"/>
  <c r="R115" i="10"/>
  <c r="J115" i="11"/>
  <c r="J115" i="10"/>
  <c r="B115" i="11"/>
  <c r="B115" i="10"/>
  <c r="U113" i="11"/>
  <c r="U113" i="10"/>
  <c r="M113" i="11"/>
  <c r="M113" i="10"/>
  <c r="E113" i="11"/>
  <c r="E113" i="10"/>
  <c r="Z111" i="11"/>
  <c r="Z111" i="10"/>
  <c r="V111" i="11"/>
  <c r="V111" i="10"/>
  <c r="R111" i="11"/>
  <c r="R111" i="10"/>
  <c r="N111" i="11"/>
  <c r="N111" i="10"/>
  <c r="J111" i="11"/>
  <c r="J111" i="10"/>
  <c r="F111" i="11"/>
  <c r="F111" i="10"/>
  <c r="B111" i="11"/>
  <c r="B111" i="10"/>
  <c r="AA109" i="11"/>
  <c r="AA109" i="10"/>
  <c r="W109" i="11"/>
  <c r="W109" i="10"/>
  <c r="S109" i="11"/>
  <c r="S109" i="10"/>
  <c r="O109" i="11"/>
  <c r="O109" i="10"/>
  <c r="K109" i="11"/>
  <c r="K109" i="10"/>
  <c r="G109" i="11"/>
  <c r="G109" i="10"/>
  <c r="C109" i="11"/>
  <c r="C109" i="10"/>
  <c r="U105" i="11"/>
  <c r="U105" i="10"/>
  <c r="M105" i="11"/>
  <c r="M105" i="10"/>
  <c r="E105" i="11"/>
  <c r="E105" i="10"/>
  <c r="Z103" i="11"/>
  <c r="Z103" i="10"/>
  <c r="V103" i="11"/>
  <c r="V103" i="10"/>
  <c r="R103" i="11"/>
  <c r="R103" i="10"/>
  <c r="N103" i="11"/>
  <c r="N103" i="10"/>
  <c r="J103" i="11"/>
  <c r="J103" i="10"/>
  <c r="F103" i="11"/>
  <c r="F103" i="10"/>
  <c r="B103" i="11"/>
  <c r="B103" i="10"/>
  <c r="W101" i="11"/>
  <c r="W101" i="10"/>
  <c r="S101" i="11"/>
  <c r="S101" i="10"/>
  <c r="O101" i="11"/>
  <c r="O101" i="10"/>
  <c r="K101" i="11"/>
  <c r="K101" i="10"/>
  <c r="G101" i="11"/>
  <c r="G101" i="10"/>
  <c r="C101" i="11"/>
  <c r="C101" i="10"/>
  <c r="B121" i="10"/>
  <c r="V119" i="10"/>
  <c r="J117" i="10"/>
  <c r="Y113" i="10"/>
  <c r="X129" i="11"/>
  <c r="V123" i="11"/>
  <c r="J121" i="11"/>
  <c r="Q101" i="11"/>
  <c r="I103" i="11"/>
  <c r="I103" i="10"/>
  <c r="Z101" i="11"/>
  <c r="Z101" i="10"/>
  <c r="V101" i="11"/>
  <c r="V101" i="10"/>
  <c r="R101" i="11"/>
  <c r="R101" i="10"/>
  <c r="N101" i="11"/>
  <c r="N101" i="10"/>
  <c r="J101" i="11"/>
  <c r="J101" i="10"/>
  <c r="D131" i="11"/>
  <c r="N129" i="11"/>
  <c r="R125" i="11"/>
  <c r="F123" i="11"/>
  <c r="X131" i="11"/>
  <c r="X131" i="10"/>
  <c r="T131" i="10"/>
  <c r="T131" i="11"/>
  <c r="P131" i="11"/>
  <c r="P131" i="10"/>
  <c r="L131" i="10"/>
  <c r="L131" i="11"/>
  <c r="H131" i="11"/>
  <c r="H131" i="10"/>
  <c r="T129" i="11"/>
  <c r="T129" i="10"/>
  <c r="P129" i="11"/>
  <c r="P129" i="10"/>
  <c r="L129" i="11"/>
  <c r="L129" i="10"/>
  <c r="H129" i="10"/>
  <c r="H129" i="11"/>
  <c r="D129" i="11"/>
  <c r="D129" i="10"/>
  <c r="X127" i="11"/>
  <c r="X127" i="10"/>
  <c r="T127" i="10"/>
  <c r="T127" i="11"/>
  <c r="P127" i="11"/>
  <c r="P127" i="10"/>
  <c r="H127" i="11"/>
  <c r="H127" i="10"/>
  <c r="D127" i="11"/>
  <c r="D127" i="10"/>
  <c r="X125" i="11"/>
  <c r="X125" i="10"/>
  <c r="T125" i="11"/>
  <c r="T125" i="10"/>
  <c r="P125" i="11"/>
  <c r="P125" i="10"/>
  <c r="L125" i="11"/>
  <c r="L125" i="10"/>
  <c r="H125" i="11"/>
  <c r="H125" i="10"/>
  <c r="D125" i="11"/>
  <c r="D125" i="10"/>
  <c r="X123" i="11"/>
  <c r="X123" i="10"/>
  <c r="T123" i="11"/>
  <c r="T123" i="10"/>
  <c r="P123" i="11"/>
  <c r="P123" i="10"/>
  <c r="L123" i="11"/>
  <c r="L123" i="10"/>
  <c r="H123" i="11"/>
  <c r="H123" i="10"/>
  <c r="D123" i="11"/>
  <c r="D123" i="10"/>
  <c r="X121" i="11"/>
  <c r="X121" i="10"/>
  <c r="T121" i="10"/>
  <c r="T121" i="11"/>
  <c r="P121" i="11"/>
  <c r="P121" i="10"/>
  <c r="L121" i="10"/>
  <c r="L121" i="11"/>
  <c r="H121" i="11"/>
  <c r="H121" i="10"/>
  <c r="D121" i="10"/>
  <c r="D121" i="11"/>
  <c r="X119" i="10"/>
  <c r="X119" i="11"/>
  <c r="T119" i="11"/>
  <c r="T119" i="10"/>
  <c r="P119" i="10"/>
  <c r="P119" i="11"/>
  <c r="L119" i="11"/>
  <c r="L119" i="10"/>
  <c r="H119" i="10"/>
  <c r="H119" i="11"/>
  <c r="D119" i="11"/>
  <c r="D119" i="10"/>
  <c r="X117" i="11"/>
  <c r="X117" i="10"/>
  <c r="T117" i="11"/>
  <c r="T117" i="10"/>
  <c r="P117" i="11"/>
  <c r="P117" i="10"/>
  <c r="L117" i="11"/>
  <c r="L117" i="10"/>
  <c r="H117" i="11"/>
  <c r="H117" i="10"/>
  <c r="D117" i="11"/>
  <c r="D117" i="10"/>
  <c r="X115" i="11"/>
  <c r="X115" i="10"/>
  <c r="T115" i="11"/>
  <c r="T115" i="10"/>
  <c r="P115" i="11"/>
  <c r="P115" i="10"/>
  <c r="L115" i="11"/>
  <c r="H115" i="11"/>
  <c r="H115" i="10"/>
  <c r="D115" i="11"/>
  <c r="D115" i="10"/>
  <c r="AA113" i="11"/>
  <c r="AA113" i="10"/>
  <c r="W113" i="11"/>
  <c r="W113" i="10"/>
  <c r="S113" i="11"/>
  <c r="S113" i="10"/>
  <c r="O113" i="11"/>
  <c r="O113" i="10"/>
  <c r="K113" i="11"/>
  <c r="K113" i="10"/>
  <c r="G113" i="11"/>
  <c r="G113" i="10"/>
  <c r="C113" i="11"/>
  <c r="C113" i="10"/>
  <c r="U109" i="11"/>
  <c r="U109" i="10"/>
  <c r="M109" i="11"/>
  <c r="M109" i="10"/>
  <c r="E109" i="11"/>
  <c r="E109" i="10"/>
  <c r="Z107" i="11"/>
  <c r="Z107" i="10"/>
  <c r="V107" i="11"/>
  <c r="V107" i="10"/>
  <c r="R107" i="11"/>
  <c r="R107" i="10"/>
  <c r="N107" i="11"/>
  <c r="N107" i="10"/>
  <c r="J107" i="11"/>
  <c r="J107" i="10"/>
  <c r="F107" i="11"/>
  <c r="F107" i="10"/>
  <c r="B107" i="11"/>
  <c r="B107" i="10"/>
  <c r="AA105" i="11"/>
  <c r="AA105" i="10"/>
  <c r="W105" i="11"/>
  <c r="W105" i="10"/>
  <c r="S105" i="11"/>
  <c r="S105" i="10"/>
  <c r="O105" i="11"/>
  <c r="O105" i="10"/>
  <c r="K105" i="11"/>
  <c r="K105" i="10"/>
  <c r="G105" i="11"/>
  <c r="G105" i="10"/>
  <c r="C105" i="11"/>
  <c r="C105" i="10"/>
  <c r="Y101" i="10"/>
  <c r="Y101" i="11"/>
  <c r="U101" i="10"/>
  <c r="U101" i="11"/>
  <c r="M101" i="10"/>
  <c r="M101" i="11"/>
  <c r="I101" i="10"/>
  <c r="I101" i="11"/>
  <c r="E101" i="10"/>
  <c r="E101" i="11"/>
  <c r="R121" i="10"/>
  <c r="F119" i="10"/>
  <c r="Z117" i="10"/>
  <c r="N115" i="10"/>
  <c r="I113" i="10"/>
  <c r="Q109" i="10"/>
  <c r="Y105" i="10"/>
  <c r="AA101" i="10"/>
  <c r="L127" i="11"/>
  <c r="B125" i="11"/>
  <c r="B101" i="11"/>
  <c r="B101" i="10"/>
  <c r="X101" i="10"/>
  <c r="X113" i="11"/>
  <c r="X113" i="10"/>
  <c r="T113" i="11"/>
  <c r="T113" i="10"/>
  <c r="P113" i="11"/>
  <c r="P113" i="10"/>
  <c r="L113" i="11"/>
  <c r="L113" i="10"/>
  <c r="H113" i="11"/>
  <c r="H113" i="10"/>
  <c r="D113" i="11"/>
  <c r="D113" i="10"/>
  <c r="T111" i="11"/>
  <c r="T111" i="10"/>
  <c r="P111" i="11"/>
  <c r="P111" i="10"/>
  <c r="L111" i="11"/>
  <c r="L111" i="10"/>
  <c r="D111" i="11"/>
  <c r="D111" i="10"/>
  <c r="X109" i="11"/>
  <c r="X109" i="10"/>
  <c r="T109" i="11"/>
  <c r="T109" i="10"/>
  <c r="P109" i="11"/>
  <c r="P109" i="10"/>
  <c r="L109" i="11"/>
  <c r="L109" i="10"/>
  <c r="H109" i="11"/>
  <c r="H109" i="10"/>
  <c r="D109" i="11"/>
  <c r="D109" i="10"/>
  <c r="X107" i="11"/>
  <c r="X107" i="10"/>
  <c r="T107" i="11"/>
  <c r="T107" i="10"/>
  <c r="P107" i="11"/>
  <c r="P107" i="10"/>
  <c r="L107" i="11"/>
  <c r="L107" i="10"/>
  <c r="H107" i="11"/>
  <c r="H107" i="10"/>
  <c r="D107" i="11"/>
  <c r="D107" i="10"/>
  <c r="X105" i="11"/>
  <c r="X105" i="10"/>
  <c r="T105" i="11"/>
  <c r="T105" i="10"/>
  <c r="P105" i="11"/>
  <c r="P105" i="10"/>
  <c r="L105" i="11"/>
  <c r="L105" i="10"/>
  <c r="H105" i="11"/>
  <c r="H105" i="10"/>
  <c r="D105" i="11"/>
  <c r="D105" i="10"/>
  <c r="X103" i="11"/>
  <c r="X103" i="10"/>
  <c r="T103" i="11"/>
  <c r="T103" i="10"/>
  <c r="P103" i="11"/>
  <c r="P103" i="10"/>
  <c r="L103" i="11"/>
  <c r="L103" i="10"/>
  <c r="H103" i="11"/>
  <c r="H103" i="10"/>
  <c r="D103" i="11"/>
  <c r="D103" i="10"/>
  <c r="T101" i="11"/>
  <c r="T101" i="10"/>
  <c r="L101" i="11"/>
  <c r="L101" i="10"/>
  <c r="D101" i="11"/>
  <c r="D101" i="10"/>
  <c r="H101" i="10"/>
  <c r="DK125" i="2"/>
  <c r="J45" i="12"/>
  <c r="L45" i="12" s="1"/>
  <c r="J37" i="12"/>
  <c r="L37" i="12" s="1"/>
  <c r="J44" i="12"/>
  <c r="L44" i="12" s="1"/>
  <c r="J36" i="12"/>
  <c r="L36" i="12" s="1"/>
  <c r="J41" i="12"/>
  <c r="L41" i="12" s="1"/>
  <c r="J33" i="12"/>
  <c r="L33" i="12" s="1"/>
  <c r="J40" i="12"/>
  <c r="L40" i="12" s="1"/>
  <c r="J32" i="12"/>
  <c r="L32" i="12" s="1"/>
  <c r="K34" i="12"/>
  <c r="K42" i="12"/>
  <c r="K38" i="12"/>
  <c r="J43" i="12"/>
  <c r="L43" i="12" s="1"/>
  <c r="J39" i="12"/>
  <c r="L39" i="12" s="1"/>
  <c r="J35" i="12"/>
  <c r="L35" i="12" s="1"/>
  <c r="J31" i="12"/>
  <c r="L31" i="12" s="1"/>
  <c r="J12" i="12"/>
  <c r="L12" i="12" s="1"/>
  <c r="J11" i="12"/>
  <c r="L11" i="12" s="1"/>
  <c r="J20" i="12"/>
  <c r="L20" i="12" s="1"/>
  <c r="J8" i="12"/>
  <c r="L8" i="12" s="1"/>
  <c r="J15" i="12"/>
  <c r="L15" i="12" s="1"/>
  <c r="L16" i="12"/>
  <c r="J18" i="12"/>
  <c r="L18" i="12" s="1"/>
  <c r="J10" i="12"/>
  <c r="L10" i="12" s="1"/>
  <c r="J6" i="12"/>
  <c r="L6" i="12" s="1"/>
  <c r="J3" i="12"/>
  <c r="L3" i="12" s="1"/>
  <c r="J17" i="12"/>
  <c r="L17" i="12" s="1"/>
  <c r="J13" i="12"/>
  <c r="L13" i="12" s="1"/>
  <c r="J9" i="12"/>
  <c r="L9" i="12" s="1"/>
  <c r="J5" i="12"/>
  <c r="L5" i="12" s="1"/>
  <c r="J4" i="12"/>
  <c r="L4" i="12" s="1"/>
  <c r="L19" i="12"/>
  <c r="L7" i="12"/>
  <c r="L14" i="12"/>
  <c r="K17" i="12"/>
  <c r="K14" i="12"/>
  <c r="K13" i="12"/>
  <c r="K16" i="12"/>
  <c r="K7" i="12"/>
  <c r="K19" i="12"/>
  <c r="CU133" i="2"/>
  <c r="CU132" i="2"/>
  <c r="DB132" i="2" s="1"/>
  <c r="DA134" i="2"/>
  <c r="CZ131" i="2"/>
  <c r="CZ134" i="2"/>
  <c r="CT134" i="2"/>
  <c r="CZ133" i="2"/>
  <c r="CT133" i="2"/>
  <c r="DA131" i="2"/>
  <c r="CU131" i="2"/>
  <c r="DB131" i="2" s="1"/>
  <c r="CK129" i="2"/>
  <c r="BY129" i="2"/>
  <c r="BK129" i="2"/>
  <c r="AU129" i="2"/>
  <c r="AG129" i="2"/>
  <c r="CI129" i="2"/>
  <c r="BU129" i="2"/>
  <c r="BE129" i="2"/>
  <c r="AS129" i="2"/>
  <c r="AE129" i="2"/>
  <c r="S129" i="2"/>
  <c r="CG129" i="2"/>
  <c r="BQ129" i="2"/>
  <c r="BC129" i="2"/>
  <c r="AO129" i="2"/>
  <c r="O129" i="2"/>
  <c r="CP128" i="2"/>
  <c r="CJ128" i="2"/>
  <c r="CE128" i="2"/>
  <c r="BZ128" i="2"/>
  <c r="BT128" i="2"/>
  <c r="BO128" i="2"/>
  <c r="BJ128" i="2"/>
  <c r="BD128" i="2"/>
  <c r="AY128" i="2"/>
  <c r="AT128" i="2"/>
  <c r="AN128" i="2"/>
  <c r="AI128" i="2"/>
  <c r="AD128" i="2"/>
  <c r="X128" i="2"/>
  <c r="R128" i="2"/>
  <c r="L128" i="2"/>
  <c r="E128" i="2"/>
  <c r="CN128" i="2"/>
  <c r="CI128" i="2"/>
  <c r="CD128" i="2"/>
  <c r="BX128" i="2"/>
  <c r="BS128" i="2"/>
  <c r="BN128" i="2"/>
  <c r="BH128" i="2"/>
  <c r="BC128" i="2"/>
  <c r="AX128" i="2"/>
  <c r="AR128" i="2"/>
  <c r="AM128" i="2"/>
  <c r="AH128" i="2"/>
  <c r="AB128" i="2"/>
  <c r="W128" i="2"/>
  <c r="P128" i="2"/>
  <c r="J128" i="2"/>
  <c r="CO128" i="2"/>
  <c r="CK128" i="2"/>
  <c r="CG128" i="2"/>
  <c r="CC128" i="2"/>
  <c r="BY128" i="2"/>
  <c r="BU128" i="2"/>
  <c r="BQ128" i="2"/>
  <c r="BM128" i="2"/>
  <c r="BI128" i="2"/>
  <c r="BE128" i="2"/>
  <c r="BA128" i="2"/>
  <c r="AW128" i="2"/>
  <c r="AS128" i="2"/>
  <c r="AO128" i="2"/>
  <c r="AK128" i="2"/>
  <c r="AG128" i="2"/>
  <c r="AC128" i="2"/>
  <c r="Y128" i="2"/>
  <c r="U128" i="2"/>
  <c r="O128" i="2"/>
  <c r="K128" i="2"/>
  <c r="Q128" i="2"/>
  <c r="G128" i="2"/>
  <c r="S128" i="2"/>
  <c r="E110" i="2"/>
  <c r="K129" i="2"/>
  <c r="CO129" i="2"/>
  <c r="CC129" i="2"/>
  <c r="BS129" i="2"/>
  <c r="BI129" i="2"/>
  <c r="AW129" i="2"/>
  <c r="AM129" i="2"/>
  <c r="AA129" i="2"/>
  <c r="CM129" i="2"/>
  <c r="CE129" i="2"/>
  <c r="BW129" i="2"/>
  <c r="BO129" i="2"/>
  <c r="BG129" i="2"/>
  <c r="AY129" i="2"/>
  <c r="AQ129" i="2"/>
  <c r="AI129" i="2"/>
  <c r="W129" i="2"/>
  <c r="G129" i="2"/>
  <c r="CP129" i="2"/>
  <c r="CL129" i="2"/>
  <c r="CH129" i="2"/>
  <c r="CD129" i="2"/>
  <c r="BZ129" i="2"/>
  <c r="BV129" i="2"/>
  <c r="BR129" i="2"/>
  <c r="BN129" i="2"/>
  <c r="BJ129" i="2"/>
  <c r="BF129" i="2"/>
  <c r="BB129" i="2"/>
  <c r="AX129" i="2"/>
  <c r="AT129" i="2"/>
  <c r="AP129" i="2"/>
  <c r="AL129" i="2"/>
  <c r="AH129" i="2"/>
  <c r="AD129" i="2"/>
  <c r="Z129" i="2"/>
  <c r="V129" i="2"/>
  <c r="R129" i="2"/>
  <c r="N129" i="2"/>
  <c r="J129" i="2"/>
  <c r="F129" i="2"/>
  <c r="AC129" i="2"/>
  <c r="Y129" i="2"/>
  <c r="U129" i="2"/>
  <c r="Q129" i="2"/>
  <c r="M129" i="2"/>
  <c r="I129" i="2"/>
  <c r="E129" i="2"/>
  <c r="CN129" i="2"/>
  <c r="CJ129" i="2"/>
  <c r="CF129" i="2"/>
  <c r="CB129" i="2"/>
  <c r="BX129" i="2"/>
  <c r="BT129" i="2"/>
  <c r="BP129" i="2"/>
  <c r="BL129" i="2"/>
  <c r="BH129" i="2"/>
  <c r="BD129" i="2"/>
  <c r="AZ129" i="2"/>
  <c r="AV129" i="2"/>
  <c r="AR129" i="2"/>
  <c r="AN129" i="2"/>
  <c r="AJ129" i="2"/>
  <c r="AF129" i="2"/>
  <c r="AB129" i="2"/>
  <c r="X129" i="2"/>
  <c r="T129" i="2"/>
  <c r="P129" i="2"/>
  <c r="L129" i="2"/>
  <c r="H129" i="2"/>
  <c r="BT113" i="2"/>
  <c r="E113" i="2"/>
  <c r="Q113" i="2"/>
  <c r="AI113" i="2"/>
  <c r="BK113" i="2"/>
  <c r="CG113" i="2"/>
  <c r="AI104" i="2"/>
  <c r="AH108" i="2"/>
  <c r="CH108" i="2"/>
  <c r="BM108" i="2"/>
  <c r="AR108" i="2"/>
  <c r="F108" i="2"/>
  <c r="G108" i="2"/>
  <c r="K108" i="2"/>
  <c r="O108" i="2"/>
  <c r="S108" i="2"/>
  <c r="W108" i="2"/>
  <c r="AA108" i="2"/>
  <c r="AE108" i="2"/>
  <c r="AI108" i="2"/>
  <c r="AM108" i="2"/>
  <c r="AQ108" i="2"/>
  <c r="AU108" i="2"/>
  <c r="AY108" i="2"/>
  <c r="BC108" i="2"/>
  <c r="BG108" i="2"/>
  <c r="BK108" i="2"/>
  <c r="BO108" i="2"/>
  <c r="BS108" i="2"/>
  <c r="BW108" i="2"/>
  <c r="CA108" i="2"/>
  <c r="CE108" i="2"/>
  <c r="CI108" i="2"/>
  <c r="CM108" i="2"/>
  <c r="CQ108" i="2"/>
  <c r="H108" i="2"/>
  <c r="M108" i="2"/>
  <c r="R108" i="2"/>
  <c r="AC108" i="2"/>
  <c r="AN108" i="2"/>
  <c r="AS108" i="2"/>
  <c r="AX108" i="2"/>
  <c r="BD108" i="2"/>
  <c r="BI108" i="2"/>
  <c r="BN108" i="2"/>
  <c r="BT108" i="2"/>
  <c r="BY108" i="2"/>
  <c r="CD108" i="2"/>
  <c r="CJ108" i="2"/>
  <c r="CO108" i="2"/>
  <c r="I108" i="2"/>
  <c r="N108" i="2"/>
  <c r="T108" i="2"/>
  <c r="Y108" i="2"/>
  <c r="AD108" i="2"/>
  <c r="AJ108" i="2"/>
  <c r="AO108" i="2"/>
  <c r="AT108" i="2"/>
  <c r="AZ108" i="2"/>
  <c r="BE108" i="2"/>
  <c r="BJ108" i="2"/>
  <c r="BP108" i="2"/>
  <c r="BU108" i="2"/>
  <c r="BZ108" i="2"/>
  <c r="CF108" i="2"/>
  <c r="CK108" i="2"/>
  <c r="CP108" i="2"/>
  <c r="D108" i="2"/>
  <c r="P108" i="2"/>
  <c r="U108" i="2"/>
  <c r="Z108" i="2"/>
  <c r="AF108" i="2"/>
  <c r="AK108" i="2"/>
  <c r="AP108" i="2"/>
  <c r="AV108" i="2"/>
  <c r="BA108" i="2"/>
  <c r="BF108" i="2"/>
  <c r="BL108" i="2"/>
  <c r="BQ108" i="2"/>
  <c r="CB108" i="2"/>
  <c r="CG108" i="2"/>
  <c r="CL108" i="2"/>
  <c r="BV108" i="2"/>
  <c r="CC108" i="2"/>
  <c r="BH108" i="2"/>
  <c r="AL108" i="2"/>
  <c r="Q108" i="2"/>
  <c r="AQ112" i="2"/>
  <c r="K115" i="2"/>
  <c r="J108" i="2"/>
  <c r="BX108" i="2"/>
  <c r="BB108" i="2"/>
  <c r="AG108" i="2"/>
  <c r="L108" i="2"/>
  <c r="CQ110" i="2"/>
  <c r="CM110" i="2"/>
  <c r="CI110" i="2"/>
  <c r="CE110" i="2"/>
  <c r="CA110" i="2"/>
  <c r="BW110" i="2"/>
  <c r="BS110" i="2"/>
  <c r="BO110" i="2"/>
  <c r="BK110" i="2"/>
  <c r="BG110" i="2"/>
  <c r="BC110" i="2"/>
  <c r="AY110" i="2"/>
  <c r="AU110" i="2"/>
  <c r="AQ110" i="2"/>
  <c r="AM110" i="2"/>
  <c r="AI110" i="2"/>
  <c r="AE110" i="2"/>
  <c r="AA110" i="2"/>
  <c r="W110" i="2"/>
  <c r="S110" i="2"/>
  <c r="O110" i="2"/>
  <c r="K110" i="2"/>
  <c r="G110" i="2"/>
  <c r="CN109" i="2"/>
  <c r="CJ109" i="2"/>
  <c r="CF109" i="2"/>
  <c r="CB109" i="2"/>
  <c r="BX109" i="2"/>
  <c r="BT109" i="2"/>
  <c r="BP109" i="2"/>
  <c r="BL109" i="2"/>
  <c r="BG109" i="2"/>
  <c r="BB109" i="2"/>
  <c r="AW109" i="2"/>
  <c r="AQ109" i="2"/>
  <c r="AL109" i="2"/>
  <c r="AG109" i="2"/>
  <c r="AA109" i="2"/>
  <c r="V109" i="2"/>
  <c r="Q109" i="2"/>
  <c r="F109" i="2"/>
  <c r="BM107" i="2"/>
  <c r="AW107" i="2"/>
  <c r="CB126" i="2"/>
  <c r="BL126" i="2"/>
  <c r="AV126" i="2"/>
  <c r="AF126" i="2"/>
  <c r="P126" i="2"/>
  <c r="F107" i="2"/>
  <c r="J107" i="2"/>
  <c r="N107" i="2"/>
  <c r="R107" i="2"/>
  <c r="V107" i="2"/>
  <c r="Z107" i="2"/>
  <c r="AD107" i="2"/>
  <c r="AH107" i="2"/>
  <c r="AL107" i="2"/>
  <c r="AP107" i="2"/>
  <c r="AT107" i="2"/>
  <c r="AX107" i="2"/>
  <c r="BB107" i="2"/>
  <c r="BF107" i="2"/>
  <c r="BJ107" i="2"/>
  <c r="BN107" i="2"/>
  <c r="BR107" i="2"/>
  <c r="BV107" i="2"/>
  <c r="BZ107" i="2"/>
  <c r="CD107" i="2"/>
  <c r="CH107" i="2"/>
  <c r="CL107" i="2"/>
  <c r="CP107" i="2"/>
  <c r="K107" i="2"/>
  <c r="O107" i="2"/>
  <c r="S107" i="2"/>
  <c r="W107" i="2"/>
  <c r="AA107" i="2"/>
  <c r="AE107" i="2"/>
  <c r="AQ107" i="2"/>
  <c r="AU107" i="2"/>
  <c r="AY107" i="2"/>
  <c r="BC107" i="2"/>
  <c r="BG107" i="2"/>
  <c r="BK107" i="2"/>
  <c r="BO107" i="2"/>
  <c r="BS107" i="2"/>
  <c r="CA107" i="2"/>
  <c r="CI107" i="2"/>
  <c r="CM107" i="2"/>
  <c r="CQ107" i="2"/>
  <c r="D107" i="2"/>
  <c r="H107" i="2"/>
  <c r="L107" i="2"/>
  <c r="P107" i="2"/>
  <c r="T107" i="2"/>
  <c r="X107" i="2"/>
  <c r="AB107" i="2"/>
  <c r="AF107" i="2"/>
  <c r="AJ107" i="2"/>
  <c r="AN107" i="2"/>
  <c r="AR107" i="2"/>
  <c r="AV107" i="2"/>
  <c r="AZ107" i="2"/>
  <c r="BD107" i="2"/>
  <c r="BH107" i="2"/>
  <c r="BL107" i="2"/>
  <c r="BP107" i="2"/>
  <c r="BT107" i="2"/>
  <c r="BX107" i="2"/>
  <c r="CB107" i="2"/>
  <c r="CF107" i="2"/>
  <c r="CJ107" i="2"/>
  <c r="CN107" i="2"/>
  <c r="E126" i="2"/>
  <c r="Y126" i="2"/>
  <c r="CP110" i="2"/>
  <c r="CL110" i="2"/>
  <c r="CH110" i="2"/>
  <c r="CD110" i="2"/>
  <c r="BZ110" i="2"/>
  <c r="BV110" i="2"/>
  <c r="BR110" i="2"/>
  <c r="BN110" i="2"/>
  <c r="BJ110" i="2"/>
  <c r="BF110" i="2"/>
  <c r="BB110" i="2"/>
  <c r="AX110" i="2"/>
  <c r="AT110" i="2"/>
  <c r="AP110" i="2"/>
  <c r="AL110" i="2"/>
  <c r="AH110" i="2"/>
  <c r="AD110" i="2"/>
  <c r="Z110" i="2"/>
  <c r="V110" i="2"/>
  <c r="R110" i="2"/>
  <c r="N110" i="2"/>
  <c r="J110" i="2"/>
  <c r="F110" i="2"/>
  <c r="CT110" i="2" s="1"/>
  <c r="CQ109" i="2"/>
  <c r="CM109" i="2"/>
  <c r="CI109" i="2"/>
  <c r="CA109" i="2"/>
  <c r="BW109" i="2"/>
  <c r="BS109" i="2"/>
  <c r="BO109" i="2"/>
  <c r="BK109" i="2"/>
  <c r="BF109" i="2"/>
  <c r="BA109" i="2"/>
  <c r="AU109" i="2"/>
  <c r="AP109" i="2"/>
  <c r="AK109" i="2"/>
  <c r="AE109" i="2"/>
  <c r="Z109" i="2"/>
  <c r="U109" i="2"/>
  <c r="O109" i="2"/>
  <c r="CO107" i="2"/>
  <c r="BY107" i="2"/>
  <c r="BI107" i="2"/>
  <c r="AS107" i="2"/>
  <c r="AC107" i="2"/>
  <c r="M107" i="2"/>
  <c r="CN126" i="2"/>
  <c r="BX126" i="2"/>
  <c r="BH126" i="2"/>
  <c r="AR126" i="2"/>
  <c r="AB126" i="2"/>
  <c r="AI115" i="2"/>
  <c r="AM115" i="2"/>
  <c r="CA118" i="2"/>
  <c r="AG115" i="2"/>
  <c r="Y116" i="2"/>
  <c r="Q118" i="2"/>
  <c r="E120" i="2"/>
  <c r="G121" i="2"/>
  <c r="CO119" i="2"/>
  <c r="I126" i="2"/>
  <c r="M126" i="2"/>
  <c r="Q126" i="2"/>
  <c r="U126" i="2"/>
  <c r="AC126" i="2"/>
  <c r="AG126" i="2"/>
  <c r="AK126" i="2"/>
  <c r="AO126" i="2"/>
  <c r="AS126" i="2"/>
  <c r="AW126" i="2"/>
  <c r="BA126" i="2"/>
  <c r="BE126" i="2"/>
  <c r="BI126" i="2"/>
  <c r="BM126" i="2"/>
  <c r="BQ126" i="2"/>
  <c r="BU126" i="2"/>
  <c r="BY126" i="2"/>
  <c r="CC126" i="2"/>
  <c r="CG126" i="2"/>
  <c r="CK126" i="2"/>
  <c r="CO126" i="2"/>
  <c r="F126" i="2"/>
  <c r="J126" i="2"/>
  <c r="N126" i="2"/>
  <c r="R126" i="2"/>
  <c r="V126" i="2"/>
  <c r="Z126" i="2"/>
  <c r="AD126" i="2"/>
  <c r="AH126" i="2"/>
  <c r="AL126" i="2"/>
  <c r="AP126" i="2"/>
  <c r="AT126" i="2"/>
  <c r="AX126" i="2"/>
  <c r="BB126" i="2"/>
  <c r="BF126" i="2"/>
  <c r="BJ126" i="2"/>
  <c r="BN126" i="2"/>
  <c r="BR126" i="2"/>
  <c r="BV126" i="2"/>
  <c r="BZ126" i="2"/>
  <c r="CH126" i="2"/>
  <c r="CL126" i="2"/>
  <c r="CP126" i="2"/>
  <c r="G126" i="2"/>
  <c r="K126" i="2"/>
  <c r="O126" i="2"/>
  <c r="S126" i="2"/>
  <c r="W126" i="2"/>
  <c r="AA126" i="2"/>
  <c r="AE126" i="2"/>
  <c r="AI126" i="2"/>
  <c r="AQ126" i="2"/>
  <c r="AU126" i="2"/>
  <c r="AY126" i="2"/>
  <c r="BC126" i="2"/>
  <c r="BG126" i="2"/>
  <c r="BK126" i="2"/>
  <c r="BO126" i="2"/>
  <c r="BS126" i="2"/>
  <c r="BW126" i="2"/>
  <c r="CA126" i="2"/>
  <c r="CI126" i="2"/>
  <c r="CM126" i="2"/>
  <c r="CQ126" i="2"/>
  <c r="D109" i="2"/>
  <c r="H109" i="2"/>
  <c r="L109" i="2"/>
  <c r="P109" i="2"/>
  <c r="T109" i="2"/>
  <c r="X109" i="2"/>
  <c r="AB109" i="2"/>
  <c r="AF109" i="2"/>
  <c r="AJ109" i="2"/>
  <c r="AN109" i="2"/>
  <c r="AR109" i="2"/>
  <c r="AV109" i="2"/>
  <c r="AZ109" i="2"/>
  <c r="BD109" i="2"/>
  <c r="BH109" i="2"/>
  <c r="BW107" i="2"/>
  <c r="AM126" i="2"/>
  <c r="CO110" i="2"/>
  <c r="CK110" i="2"/>
  <c r="CG110" i="2"/>
  <c r="CC110" i="2"/>
  <c r="BY110" i="2"/>
  <c r="BU110" i="2"/>
  <c r="BQ110" i="2"/>
  <c r="BM110" i="2"/>
  <c r="BI110" i="2"/>
  <c r="BE110" i="2"/>
  <c r="BA110" i="2"/>
  <c r="AW110" i="2"/>
  <c r="AS110" i="2"/>
  <c r="AO110" i="2"/>
  <c r="AK110" i="2"/>
  <c r="AG110" i="2"/>
  <c r="AC110" i="2"/>
  <c r="Y110" i="2"/>
  <c r="U110" i="2"/>
  <c r="Q110" i="2"/>
  <c r="M110" i="2"/>
  <c r="I110" i="2"/>
  <c r="CP109" i="2"/>
  <c r="CL109" i="2"/>
  <c r="CH109" i="2"/>
  <c r="CD109" i="2"/>
  <c r="BZ109" i="2"/>
  <c r="BV109" i="2"/>
  <c r="BR109" i="2"/>
  <c r="BN109" i="2"/>
  <c r="BJ109" i="2"/>
  <c r="BE109" i="2"/>
  <c r="AY109" i="2"/>
  <c r="AT109" i="2"/>
  <c r="AO109" i="2"/>
  <c r="AD109" i="2"/>
  <c r="S109" i="2"/>
  <c r="N109" i="2"/>
  <c r="I109" i="2"/>
  <c r="CK107" i="2"/>
  <c r="BU107" i="2"/>
  <c r="BE107" i="2"/>
  <c r="AO107" i="2"/>
  <c r="I107" i="2"/>
  <c r="CJ126" i="2"/>
  <c r="BT126" i="2"/>
  <c r="BD126" i="2"/>
  <c r="AN126" i="2"/>
  <c r="X126" i="2"/>
  <c r="H126" i="2"/>
  <c r="CU127" i="2"/>
  <c r="CT107" i="2"/>
  <c r="CT127" i="2"/>
  <c r="CZ127" i="2"/>
  <c r="D117" i="2"/>
  <c r="D114" i="2"/>
  <c r="I111" i="2"/>
  <c r="Y111" i="2"/>
  <c r="AM111" i="2"/>
  <c r="BU111" i="2"/>
  <c r="E114" i="2"/>
  <c r="AI114" i="2"/>
  <c r="F123" i="2"/>
  <c r="E119" i="2"/>
  <c r="CO123" i="2"/>
  <c r="F114" i="2"/>
  <c r="K111" i="2"/>
  <c r="AA111" i="2"/>
  <c r="CA111" i="2"/>
  <c r="AM114" i="2"/>
  <c r="W114" i="2"/>
  <c r="K114" i="2"/>
  <c r="CI114" i="2"/>
  <c r="E123" i="2"/>
  <c r="G123" i="2"/>
  <c r="BW124" i="2"/>
  <c r="O123" i="2"/>
  <c r="AI119" i="2"/>
  <c r="AI123" i="2"/>
  <c r="W123" i="2"/>
  <c r="P124" i="2"/>
  <c r="G124" i="2"/>
  <c r="AG121" i="2"/>
  <c r="CA125" i="2"/>
  <c r="CC121" i="2"/>
  <c r="D124" i="2"/>
  <c r="BA125" i="2"/>
  <c r="U125" i="2"/>
  <c r="CP124" i="2"/>
  <c r="CJ124" i="2"/>
  <c r="CE124" i="2"/>
  <c r="BZ124" i="2"/>
  <c r="BT124" i="2"/>
  <c r="BO124" i="2"/>
  <c r="BJ124" i="2"/>
  <c r="BD124" i="2"/>
  <c r="AY124" i="2"/>
  <c r="AT124" i="2"/>
  <c r="AN124" i="2"/>
  <c r="AI124" i="2"/>
  <c r="AD124" i="2"/>
  <c r="X124" i="2"/>
  <c r="R124" i="2"/>
  <c r="K124" i="2"/>
  <c r="Y125" i="2"/>
  <c r="AI125" i="2"/>
  <c r="CC125" i="2"/>
  <c r="D103" i="2"/>
  <c r="I103" i="2"/>
  <c r="D104" i="2"/>
  <c r="D113" i="2"/>
  <c r="D121" i="2"/>
  <c r="D125" i="2"/>
  <c r="E124" i="2"/>
  <c r="I124" i="2"/>
  <c r="CQ125" i="2"/>
  <c r="BV125" i="2"/>
  <c r="AS125" i="2"/>
  <c r="M125" i="2"/>
  <c r="CN124" i="2"/>
  <c r="CI124" i="2"/>
  <c r="CD124" i="2"/>
  <c r="BX124" i="2"/>
  <c r="BS124" i="2"/>
  <c r="BN124" i="2"/>
  <c r="BH124" i="2"/>
  <c r="BC124" i="2"/>
  <c r="AX124" i="2"/>
  <c r="AR124" i="2"/>
  <c r="AM124" i="2"/>
  <c r="AH124" i="2"/>
  <c r="AB124" i="2"/>
  <c r="V124" i="2"/>
  <c r="O124" i="2"/>
  <c r="J124" i="2"/>
  <c r="Y123" i="2"/>
  <c r="K121" i="2"/>
  <c r="Q120" i="2"/>
  <c r="AG119" i="2"/>
  <c r="AG123" i="2"/>
  <c r="AM121" i="2"/>
  <c r="BW123" i="2"/>
  <c r="CC123" i="2"/>
  <c r="F124" i="2"/>
  <c r="I125" i="2"/>
  <c r="CL125" i="2"/>
  <c r="BQ125" i="2"/>
  <c r="AK125" i="2"/>
  <c r="CM124" i="2"/>
  <c r="CH124" i="2"/>
  <c r="CB124" i="2"/>
  <c r="BR124" i="2"/>
  <c r="BL124" i="2"/>
  <c r="BG124" i="2"/>
  <c r="BB124" i="2"/>
  <c r="AV124" i="2"/>
  <c r="AQ124" i="2"/>
  <c r="AL124" i="2"/>
  <c r="AF124" i="2"/>
  <c r="AA124" i="2"/>
  <c r="U124" i="2"/>
  <c r="N124" i="2"/>
  <c r="CO124" i="2"/>
  <c r="Q124" i="2"/>
  <c r="CG125" i="2"/>
  <c r="BI125" i="2"/>
  <c r="AC125" i="2"/>
  <c r="CQ124" i="2"/>
  <c r="CL124" i="2"/>
  <c r="CF124" i="2"/>
  <c r="CA124" i="2"/>
  <c r="BV124" i="2"/>
  <c r="BP124" i="2"/>
  <c r="BK124" i="2"/>
  <c r="BF124" i="2"/>
  <c r="AZ124" i="2"/>
  <c r="AU124" i="2"/>
  <c r="AP124" i="2"/>
  <c r="AJ124" i="2"/>
  <c r="AE124" i="2"/>
  <c r="Z124" i="2"/>
  <c r="S124" i="2"/>
  <c r="M124" i="2"/>
  <c r="Y124" i="2"/>
  <c r="CC124" i="2"/>
  <c r="W124" i="2"/>
  <c r="E105" i="2"/>
  <c r="AC105" i="2"/>
  <c r="K117" i="2"/>
  <c r="W122" i="2"/>
  <c r="AI122" i="2"/>
  <c r="CO122" i="2"/>
  <c r="G103" i="2"/>
  <c r="D106" i="2"/>
  <c r="Z117" i="2"/>
  <c r="D116" i="2"/>
  <c r="G112" i="2"/>
  <c r="Q112" i="2"/>
  <c r="AE112" i="2"/>
  <c r="BA112" i="2"/>
  <c r="CA112" i="2"/>
  <c r="G113" i="2"/>
  <c r="Y113" i="2"/>
  <c r="AM113" i="2"/>
  <c r="BU113" i="2"/>
  <c r="E104" i="2"/>
  <c r="AM104" i="2"/>
  <c r="I105" i="2"/>
  <c r="U105" i="2"/>
  <c r="BQ105" i="2"/>
  <c r="E117" i="2"/>
  <c r="G116" i="2"/>
  <c r="I116" i="2"/>
  <c r="AM106" i="2"/>
  <c r="AM116" i="2"/>
  <c r="CC115" i="2"/>
  <c r="BW106" i="2"/>
  <c r="BQ117" i="2"/>
  <c r="AG116" i="2"/>
  <c r="Y115" i="2"/>
  <c r="W106" i="2"/>
  <c r="K106" i="2"/>
  <c r="Q106" i="2"/>
  <c r="Q114" i="2"/>
  <c r="CO114" i="2"/>
  <c r="D120" i="2"/>
  <c r="G120" i="2"/>
  <c r="I120" i="2"/>
  <c r="K122" i="2"/>
  <c r="Q121" i="2"/>
  <c r="AG120" i="2"/>
  <c r="AM122" i="2"/>
  <c r="CC120" i="2"/>
  <c r="BY120" i="2"/>
  <c r="CP125" i="2"/>
  <c r="CK125" i="2"/>
  <c r="CE125" i="2"/>
  <c r="BZ125" i="2"/>
  <c r="BU125" i="2"/>
  <c r="BN125" i="2"/>
  <c r="BF125" i="2"/>
  <c r="AX125" i="2"/>
  <c r="AP125" i="2"/>
  <c r="AH125" i="2"/>
  <c r="Z125" i="2"/>
  <c r="AE105" i="2"/>
  <c r="BQ106" i="2"/>
  <c r="Z106" i="2"/>
  <c r="S112" i="2"/>
  <c r="BK112" i="2"/>
  <c r="BM112" i="2"/>
  <c r="I113" i="2"/>
  <c r="AW113" i="2"/>
  <c r="I104" i="2"/>
  <c r="W105" i="2"/>
  <c r="E118" i="2"/>
  <c r="G117" i="2"/>
  <c r="AI118" i="2"/>
  <c r="CE118" i="2"/>
  <c r="BW115" i="2"/>
  <c r="AE117" i="2"/>
  <c r="Q115" i="2"/>
  <c r="CO116" i="2"/>
  <c r="E122" i="2"/>
  <c r="I122" i="2"/>
  <c r="Q122" i="2"/>
  <c r="CQ120" i="2"/>
  <c r="F125" i="2"/>
  <c r="J125" i="2"/>
  <c r="G125" i="2"/>
  <c r="K125" i="2"/>
  <c r="O125" i="2"/>
  <c r="S125" i="2"/>
  <c r="W125" i="2"/>
  <c r="AA125" i="2"/>
  <c r="AE125" i="2"/>
  <c r="AM125" i="2"/>
  <c r="AQ125" i="2"/>
  <c r="AU125" i="2"/>
  <c r="AY125" i="2"/>
  <c r="BC125" i="2"/>
  <c r="BG125" i="2"/>
  <c r="BK125" i="2"/>
  <c r="BO125" i="2"/>
  <c r="H125" i="2"/>
  <c r="L125" i="2"/>
  <c r="T125" i="2"/>
  <c r="X125" i="2"/>
  <c r="AB125" i="2"/>
  <c r="AF125" i="2"/>
  <c r="AJ125" i="2"/>
  <c r="AN125" i="2"/>
  <c r="AR125" i="2"/>
  <c r="AV125" i="2"/>
  <c r="AZ125" i="2"/>
  <c r="BD125" i="2"/>
  <c r="BH125" i="2"/>
  <c r="BL125" i="2"/>
  <c r="BP125" i="2"/>
  <c r="BT125" i="2"/>
  <c r="BX125" i="2"/>
  <c r="CB125" i="2"/>
  <c r="CF125" i="2"/>
  <c r="CJ125" i="2"/>
  <c r="CN125" i="2"/>
  <c r="CO125" i="2"/>
  <c r="CI125" i="2"/>
  <c r="CD125" i="2"/>
  <c r="BY125" i="2"/>
  <c r="BS125" i="2"/>
  <c r="BM125" i="2"/>
  <c r="BE125" i="2"/>
  <c r="AW125" i="2"/>
  <c r="AO125" i="2"/>
  <c r="AG125" i="2"/>
  <c r="Q125" i="2"/>
  <c r="E125" i="2"/>
  <c r="S105" i="2"/>
  <c r="AI106" i="2"/>
  <c r="S106" i="2"/>
  <c r="D105" i="2"/>
  <c r="I112" i="2"/>
  <c r="AI112" i="2"/>
  <c r="CC112" i="2"/>
  <c r="AA113" i="2"/>
  <c r="O113" i="2"/>
  <c r="BS104" i="2"/>
  <c r="K105" i="2"/>
  <c r="BS105" i="2"/>
  <c r="E106" i="2"/>
  <c r="I117" i="2"/>
  <c r="CC116" i="2"/>
  <c r="BM115" i="2"/>
  <c r="Y118" i="2"/>
  <c r="Y120" i="2"/>
  <c r="AI120" i="2"/>
  <c r="AM103" i="2"/>
  <c r="AL106" i="2"/>
  <c r="J113" i="2"/>
  <c r="P114" i="2"/>
  <c r="D118" i="2"/>
  <c r="K112" i="2"/>
  <c r="W112" i="2"/>
  <c r="AM112" i="2"/>
  <c r="BU112" i="2"/>
  <c r="W113" i="2"/>
  <c r="Q111" i="2"/>
  <c r="AG111" i="2"/>
  <c r="AA112" i="2"/>
  <c r="AW111" i="2"/>
  <c r="K113" i="2"/>
  <c r="P125" i="2"/>
  <c r="CM125" i="2"/>
  <c r="CH125" i="2"/>
  <c r="BW125" i="2"/>
  <c r="BR125" i="2"/>
  <c r="BJ125" i="2"/>
  <c r="BB125" i="2"/>
  <c r="AT125" i="2"/>
  <c r="AL125" i="2"/>
  <c r="AD125" i="2"/>
  <c r="V125" i="2"/>
  <c r="N125" i="2"/>
  <c r="AG113" i="2"/>
  <c r="BA113" i="2"/>
  <c r="CE113" i="2"/>
  <c r="AA104" i="2"/>
  <c r="BY104" i="2"/>
  <c r="Q105" i="2"/>
  <c r="AA105" i="2"/>
  <c r="BU105" i="2"/>
  <c r="E116" i="2"/>
  <c r="G114" i="2"/>
  <c r="I106" i="2"/>
  <c r="I114" i="2"/>
  <c r="AI116" i="2"/>
  <c r="AM117" i="2"/>
  <c r="CE114" i="2"/>
  <c r="CC118" i="2"/>
  <c r="BY116" i="2"/>
  <c r="AG114" i="2"/>
  <c r="AA106" i="2"/>
  <c r="AA117" i="2"/>
  <c r="W118" i="2"/>
  <c r="K116" i="2"/>
  <c r="Q116" i="2"/>
  <c r="CK114" i="2"/>
  <c r="G118" i="2"/>
  <c r="E121" i="2"/>
  <c r="G122" i="2"/>
  <c r="G119" i="2"/>
  <c r="W119" i="2"/>
  <c r="Y122" i="2"/>
  <c r="K120" i="2"/>
  <c r="Q119" i="2"/>
  <c r="Q123" i="2"/>
  <c r="AG122" i="2"/>
  <c r="AI121" i="2"/>
  <c r="AM120" i="2"/>
  <c r="BW120" i="2"/>
  <c r="CC122" i="2"/>
  <c r="CO121" i="2"/>
  <c r="CK124" i="2"/>
  <c r="CG124" i="2"/>
  <c r="BY124" i="2"/>
  <c r="BU124" i="2"/>
  <c r="BQ124" i="2"/>
  <c r="BM124" i="2"/>
  <c r="BI124" i="2"/>
  <c r="BE124" i="2"/>
  <c r="BA124" i="2"/>
  <c r="AW124" i="2"/>
  <c r="AS124" i="2"/>
  <c r="AO124" i="2"/>
  <c r="AK124" i="2"/>
  <c r="AG124" i="2"/>
  <c r="AC124" i="2"/>
  <c r="T124" i="2"/>
  <c r="L124" i="2"/>
  <c r="CP123" i="2"/>
  <c r="CL123" i="2"/>
  <c r="CH123" i="2"/>
  <c r="CD123" i="2"/>
  <c r="BZ123" i="2"/>
  <c r="BV123" i="2"/>
  <c r="BR123" i="2"/>
  <c r="BN123" i="2"/>
  <c r="BJ123" i="2"/>
  <c r="BF123" i="2"/>
  <c r="BB123" i="2"/>
  <c r="AX123" i="2"/>
  <c r="AT123" i="2"/>
  <c r="AP123" i="2"/>
  <c r="AL123" i="2"/>
  <c r="AH123" i="2"/>
  <c r="AD123" i="2"/>
  <c r="Z123" i="2"/>
  <c r="V123" i="2"/>
  <c r="R123" i="2"/>
  <c r="N123" i="2"/>
  <c r="J123" i="2"/>
  <c r="CP122" i="2"/>
  <c r="CL122" i="2"/>
  <c r="CH122" i="2"/>
  <c r="CD122" i="2"/>
  <c r="BZ122" i="2"/>
  <c r="BV122" i="2"/>
  <c r="BR122" i="2"/>
  <c r="BN122" i="2"/>
  <c r="BJ122" i="2"/>
  <c r="BF122" i="2"/>
  <c r="BB122" i="2"/>
  <c r="AX122" i="2"/>
  <c r="AT122" i="2"/>
  <c r="AP122" i="2"/>
  <c r="AL122" i="2"/>
  <c r="AH122" i="2"/>
  <c r="AD122" i="2"/>
  <c r="Z122" i="2"/>
  <c r="V122" i="2"/>
  <c r="R122" i="2"/>
  <c r="N122" i="2"/>
  <c r="J122" i="2"/>
  <c r="F122" i="2"/>
  <c r="CP121" i="2"/>
  <c r="CL121" i="2"/>
  <c r="CH121" i="2"/>
  <c r="CD121" i="2"/>
  <c r="BZ121" i="2"/>
  <c r="BV121" i="2"/>
  <c r="BR121" i="2"/>
  <c r="BN121" i="2"/>
  <c r="BJ121" i="2"/>
  <c r="BF121" i="2"/>
  <c r="BB121" i="2"/>
  <c r="AX121" i="2"/>
  <c r="AT121" i="2"/>
  <c r="AP121" i="2"/>
  <c r="AL121" i="2"/>
  <c r="AH121" i="2"/>
  <c r="AD121" i="2"/>
  <c r="Z121" i="2"/>
  <c r="V121" i="2"/>
  <c r="R121" i="2"/>
  <c r="N121" i="2"/>
  <c r="J121" i="2"/>
  <c r="F121" i="2"/>
  <c r="CP120" i="2"/>
  <c r="CL120" i="2"/>
  <c r="CH120" i="2"/>
  <c r="CD120" i="2"/>
  <c r="BZ120" i="2"/>
  <c r="BV120" i="2"/>
  <c r="BR120" i="2"/>
  <c r="BN120" i="2"/>
  <c r="BJ120" i="2"/>
  <c r="BF120" i="2"/>
  <c r="BB120" i="2"/>
  <c r="AX120" i="2"/>
  <c r="AT120" i="2"/>
  <c r="AP120" i="2"/>
  <c r="AL120" i="2"/>
  <c r="AH120" i="2"/>
  <c r="AD120" i="2"/>
  <c r="Z120" i="2"/>
  <c r="V120" i="2"/>
  <c r="R120" i="2"/>
  <c r="N120" i="2"/>
  <c r="J120" i="2"/>
  <c r="F120" i="2"/>
  <c r="CP119" i="2"/>
  <c r="CL119" i="2"/>
  <c r="CH119" i="2"/>
  <c r="CD119" i="2"/>
  <c r="BZ119" i="2"/>
  <c r="BV119" i="2"/>
  <c r="BR119" i="2"/>
  <c r="BN119" i="2"/>
  <c r="BJ119" i="2"/>
  <c r="BF119" i="2"/>
  <c r="BB119" i="2"/>
  <c r="AX119" i="2"/>
  <c r="AT119" i="2"/>
  <c r="AP119" i="2"/>
  <c r="AL119" i="2"/>
  <c r="AH119" i="2"/>
  <c r="AD119" i="2"/>
  <c r="Z119" i="2"/>
  <c r="V119" i="2"/>
  <c r="R119" i="2"/>
  <c r="N119" i="2"/>
  <c r="J119" i="2"/>
  <c r="F119" i="2"/>
  <c r="CP118" i="2"/>
  <c r="CL118" i="2"/>
  <c r="CH118" i="2"/>
  <c r="CD118" i="2"/>
  <c r="BZ118" i="2"/>
  <c r="BV118" i="2"/>
  <c r="BR118" i="2"/>
  <c r="BN118" i="2"/>
  <c r="BJ118" i="2"/>
  <c r="BF118" i="2"/>
  <c r="BB118" i="2"/>
  <c r="AX118" i="2"/>
  <c r="AT118" i="2"/>
  <c r="AP118" i="2"/>
  <c r="AL118" i="2"/>
  <c r="AH118" i="2"/>
  <c r="AD118" i="2"/>
  <c r="Z118" i="2"/>
  <c r="V118" i="2"/>
  <c r="R118" i="2"/>
  <c r="N118" i="2"/>
  <c r="J118" i="2"/>
  <c r="F118" i="2"/>
  <c r="CP117" i="2"/>
  <c r="CL117" i="2"/>
  <c r="CH117" i="2"/>
  <c r="CD117" i="2"/>
  <c r="BZ117" i="2"/>
  <c r="BV117" i="2"/>
  <c r="BR117" i="2"/>
  <c r="BN117" i="2"/>
  <c r="BJ117" i="2"/>
  <c r="BF117" i="2"/>
  <c r="BB117" i="2"/>
  <c r="AX117" i="2"/>
  <c r="AT117" i="2"/>
  <c r="AP117" i="2"/>
  <c r="AL117" i="2"/>
  <c r="AH117" i="2"/>
  <c r="AD117" i="2"/>
  <c r="V117" i="2"/>
  <c r="R117" i="2"/>
  <c r="N117" i="2"/>
  <c r="J117" i="2"/>
  <c r="F117" i="2"/>
  <c r="CP116" i="2"/>
  <c r="CL116" i="2"/>
  <c r="CH116" i="2"/>
  <c r="CD116" i="2"/>
  <c r="BZ116" i="2"/>
  <c r="BV116" i="2"/>
  <c r="BR116" i="2"/>
  <c r="BN116" i="2"/>
  <c r="BJ116" i="2"/>
  <c r="BF116" i="2"/>
  <c r="BB116" i="2"/>
  <c r="AX116" i="2"/>
  <c r="AT116" i="2"/>
  <c r="AP116" i="2"/>
  <c r="AL116" i="2"/>
  <c r="AH116" i="2"/>
  <c r="AD116" i="2"/>
  <c r="Z116" i="2"/>
  <c r="V116" i="2"/>
  <c r="R116" i="2"/>
  <c r="N116" i="2"/>
  <c r="J116" i="2"/>
  <c r="F116" i="2"/>
  <c r="CP115" i="2"/>
  <c r="CL115" i="2"/>
  <c r="CH115" i="2"/>
  <c r="CD115" i="2"/>
  <c r="BZ115" i="2"/>
  <c r="BV115" i="2"/>
  <c r="BR115" i="2"/>
  <c r="BN115" i="2"/>
  <c r="BJ115" i="2"/>
  <c r="BF115" i="2"/>
  <c r="BB115" i="2"/>
  <c r="AX115" i="2"/>
  <c r="AT115" i="2"/>
  <c r="AP115" i="2"/>
  <c r="AL115" i="2"/>
  <c r="AH115" i="2"/>
  <c r="AD115" i="2"/>
  <c r="Z115" i="2"/>
  <c r="V115" i="2"/>
  <c r="R115" i="2"/>
  <c r="N115" i="2"/>
  <c r="J115" i="2"/>
  <c r="F115" i="2"/>
  <c r="CP114" i="2"/>
  <c r="CL114" i="2"/>
  <c r="CH114" i="2"/>
  <c r="CD114" i="2"/>
  <c r="BZ114" i="2"/>
  <c r="BV114" i="2"/>
  <c r="BR114" i="2"/>
  <c r="BN114" i="2"/>
  <c r="BJ114" i="2"/>
  <c r="BF114" i="2"/>
  <c r="BB114" i="2"/>
  <c r="AX114" i="2"/>
  <c r="AT114" i="2"/>
  <c r="AP114" i="2"/>
  <c r="AL114" i="2"/>
  <c r="AH114" i="2"/>
  <c r="AD114" i="2"/>
  <c r="Z114" i="2"/>
  <c r="V114" i="2"/>
  <c r="R114" i="2"/>
  <c r="N114" i="2"/>
  <c r="J114" i="2"/>
  <c r="CP113" i="2"/>
  <c r="CL113" i="2"/>
  <c r="CH113" i="2"/>
  <c r="CD113" i="2"/>
  <c r="BZ113" i="2"/>
  <c r="BV113" i="2"/>
  <c r="BR113" i="2"/>
  <c r="BN113" i="2"/>
  <c r="BJ113" i="2"/>
  <c r="BF113" i="2"/>
  <c r="BB113" i="2"/>
  <c r="AX113" i="2"/>
  <c r="AT113" i="2"/>
  <c r="AP113" i="2"/>
  <c r="AL113" i="2"/>
  <c r="AH113" i="2"/>
  <c r="AD113" i="2"/>
  <c r="Z113" i="2"/>
  <c r="V113" i="2"/>
  <c r="R113" i="2"/>
  <c r="N113" i="2"/>
  <c r="F113" i="2"/>
  <c r="CP112" i="2"/>
  <c r="CL112" i="2"/>
  <c r="CH112" i="2"/>
  <c r="CD112" i="2"/>
  <c r="BZ112" i="2"/>
  <c r="BV112" i="2"/>
  <c r="BR112" i="2"/>
  <c r="BN112" i="2"/>
  <c r="BJ112" i="2"/>
  <c r="BF112" i="2"/>
  <c r="BB112" i="2"/>
  <c r="AX112" i="2"/>
  <c r="AT112" i="2"/>
  <c r="AP112" i="2"/>
  <c r="AL112" i="2"/>
  <c r="AH112" i="2"/>
  <c r="AD112" i="2"/>
  <c r="Z112" i="2"/>
  <c r="V112" i="2"/>
  <c r="R112" i="2"/>
  <c r="N112" i="2"/>
  <c r="J112" i="2"/>
  <c r="F112" i="2"/>
  <c r="CP111" i="2"/>
  <c r="CL111" i="2"/>
  <c r="CH111" i="2"/>
  <c r="CD111" i="2"/>
  <c r="BZ111" i="2"/>
  <c r="BV111" i="2"/>
  <c r="BR111" i="2"/>
  <c r="BN111" i="2"/>
  <c r="BJ111" i="2"/>
  <c r="BF111" i="2"/>
  <c r="BB111" i="2"/>
  <c r="AX111" i="2"/>
  <c r="AT111" i="2"/>
  <c r="AP111" i="2"/>
  <c r="AL111" i="2"/>
  <c r="AH111" i="2"/>
  <c r="AD111" i="2"/>
  <c r="Z111" i="2"/>
  <c r="V111" i="2"/>
  <c r="R111" i="2"/>
  <c r="N111" i="2"/>
  <c r="J111" i="2"/>
  <c r="F111" i="2"/>
  <c r="CP106" i="2"/>
  <c r="CL106" i="2"/>
  <c r="CH106" i="2"/>
  <c r="CD106" i="2"/>
  <c r="BZ106" i="2"/>
  <c r="BV106" i="2"/>
  <c r="BR106" i="2"/>
  <c r="BN106" i="2"/>
  <c r="BJ106" i="2"/>
  <c r="BF106" i="2"/>
  <c r="BB106" i="2"/>
  <c r="AX106" i="2"/>
  <c r="AT106" i="2"/>
  <c r="AP106" i="2"/>
  <c r="AH106" i="2"/>
  <c r="AD106" i="2"/>
  <c r="V106" i="2"/>
  <c r="R106" i="2"/>
  <c r="N106" i="2"/>
  <c r="J106" i="2"/>
  <c r="F106" i="2"/>
  <c r="CP105" i="2"/>
  <c r="CL105" i="2"/>
  <c r="CH105" i="2"/>
  <c r="CD105" i="2"/>
  <c r="BZ105" i="2"/>
  <c r="BV105" i="2"/>
  <c r="BR105" i="2"/>
  <c r="BN105" i="2"/>
  <c r="BJ105" i="2"/>
  <c r="BF105" i="2"/>
  <c r="BB105" i="2"/>
  <c r="AX105" i="2"/>
  <c r="AT105" i="2"/>
  <c r="AP105" i="2"/>
  <c r="AL105" i="2"/>
  <c r="AH105" i="2"/>
  <c r="AD105" i="2"/>
  <c r="Z105" i="2"/>
  <c r="V105" i="2"/>
  <c r="R105" i="2"/>
  <c r="N105" i="2"/>
  <c r="J105" i="2"/>
  <c r="F105" i="2"/>
  <c r="CP104" i="2"/>
  <c r="CL104" i="2"/>
  <c r="CH104" i="2"/>
  <c r="CD104" i="2"/>
  <c r="BZ104" i="2"/>
  <c r="BV104" i="2"/>
  <c r="BR104" i="2"/>
  <c r="BN104" i="2"/>
  <c r="BJ104" i="2"/>
  <c r="BF104" i="2"/>
  <c r="BB104" i="2"/>
  <c r="AX104" i="2"/>
  <c r="AT104" i="2"/>
  <c r="AP104" i="2"/>
  <c r="AL104" i="2"/>
  <c r="AH104" i="2"/>
  <c r="AD104" i="2"/>
  <c r="Z104" i="2"/>
  <c r="V104" i="2"/>
  <c r="R104" i="2"/>
  <c r="N104" i="2"/>
  <c r="J104" i="2"/>
  <c r="F104" i="2"/>
  <c r="CP103" i="2"/>
  <c r="CL103" i="2"/>
  <c r="CH103" i="2"/>
  <c r="CD103" i="2"/>
  <c r="BZ103" i="2"/>
  <c r="BV103" i="2"/>
  <c r="BR103" i="2"/>
  <c r="BN103" i="2"/>
  <c r="BJ103" i="2"/>
  <c r="BF103" i="2"/>
  <c r="BB103" i="2"/>
  <c r="AX103" i="2"/>
  <c r="AT103" i="2"/>
  <c r="AP103" i="2"/>
  <c r="AL103" i="2"/>
  <c r="AH103" i="2"/>
  <c r="AD103" i="2"/>
  <c r="Z103" i="2"/>
  <c r="V103" i="2"/>
  <c r="R103" i="2"/>
  <c r="N103" i="2"/>
  <c r="J103" i="2"/>
  <c r="F103" i="2"/>
  <c r="CK123" i="2"/>
  <c r="CG123" i="2"/>
  <c r="BY123" i="2"/>
  <c r="BU123" i="2"/>
  <c r="BQ123" i="2"/>
  <c r="BM123" i="2"/>
  <c r="BI123" i="2"/>
  <c r="BE123" i="2"/>
  <c r="BA123" i="2"/>
  <c r="AW123" i="2"/>
  <c r="AS123" i="2"/>
  <c r="AO123" i="2"/>
  <c r="AK123" i="2"/>
  <c r="AC123" i="2"/>
  <c r="U123" i="2"/>
  <c r="M123" i="2"/>
  <c r="I123" i="2"/>
  <c r="CK122" i="2"/>
  <c r="CG122" i="2"/>
  <c r="BY122" i="2"/>
  <c r="BU122" i="2"/>
  <c r="BQ122" i="2"/>
  <c r="BM122" i="2"/>
  <c r="BI122" i="2"/>
  <c r="BE122" i="2"/>
  <c r="BA122" i="2"/>
  <c r="AW122" i="2"/>
  <c r="AS122" i="2"/>
  <c r="AO122" i="2"/>
  <c r="AK122" i="2"/>
  <c r="AC122" i="2"/>
  <c r="U122" i="2"/>
  <c r="M122" i="2"/>
  <c r="CK121" i="2"/>
  <c r="CG121" i="2"/>
  <c r="BY121" i="2"/>
  <c r="BU121" i="2"/>
  <c r="BQ121" i="2"/>
  <c r="BM121" i="2"/>
  <c r="BI121" i="2"/>
  <c r="BE121" i="2"/>
  <c r="BA121" i="2"/>
  <c r="AW121" i="2"/>
  <c r="AS121" i="2"/>
  <c r="AO121" i="2"/>
  <c r="AK121" i="2"/>
  <c r="AC121" i="2"/>
  <c r="Y121" i="2"/>
  <c r="U121" i="2"/>
  <c r="M121" i="2"/>
  <c r="I121" i="2"/>
  <c r="CO120" i="2"/>
  <c r="CK120" i="2"/>
  <c r="CG120" i="2"/>
  <c r="BU120" i="2"/>
  <c r="BQ120" i="2"/>
  <c r="BM120" i="2"/>
  <c r="BI120" i="2"/>
  <c r="BE120" i="2"/>
  <c r="BA120" i="2"/>
  <c r="AW120" i="2"/>
  <c r="AS120" i="2"/>
  <c r="AO120" i="2"/>
  <c r="AK120" i="2"/>
  <c r="AC120" i="2"/>
  <c r="U120" i="2"/>
  <c r="M120" i="2"/>
  <c r="CK119" i="2"/>
  <c r="CG119" i="2"/>
  <c r="CC119" i="2"/>
  <c r="BY119" i="2"/>
  <c r="BU119" i="2"/>
  <c r="BQ119" i="2"/>
  <c r="BM119" i="2"/>
  <c r="BI119" i="2"/>
  <c r="BE119" i="2"/>
  <c r="BA119" i="2"/>
  <c r="AW119" i="2"/>
  <c r="AS119" i="2"/>
  <c r="AO119" i="2"/>
  <c r="AK119" i="2"/>
  <c r="AC119" i="2"/>
  <c r="Y119" i="2"/>
  <c r="U119" i="2"/>
  <c r="M119" i="2"/>
  <c r="CO118" i="2"/>
  <c r="CK118" i="2"/>
  <c r="CG118" i="2"/>
  <c r="BY118" i="2"/>
  <c r="BU118" i="2"/>
  <c r="BQ118" i="2"/>
  <c r="BM118" i="2"/>
  <c r="BI118" i="2"/>
  <c r="BE118" i="2"/>
  <c r="BA118" i="2"/>
  <c r="AW118" i="2"/>
  <c r="AS118" i="2"/>
  <c r="AO118" i="2"/>
  <c r="AK118" i="2"/>
  <c r="AG118" i="2"/>
  <c r="AC118" i="2"/>
  <c r="U118" i="2"/>
  <c r="M118" i="2"/>
  <c r="I118" i="2"/>
  <c r="CO117" i="2"/>
  <c r="CK117" i="2"/>
  <c r="CG117" i="2"/>
  <c r="CC117" i="2"/>
  <c r="BY117" i="2"/>
  <c r="BU117" i="2"/>
  <c r="BM117" i="2"/>
  <c r="BI117" i="2"/>
  <c r="BE117" i="2"/>
  <c r="BA117" i="2"/>
  <c r="AW117" i="2"/>
  <c r="AS117" i="2"/>
  <c r="AO117" i="2"/>
  <c r="AK117" i="2"/>
  <c r="AG117" i="2"/>
  <c r="AC117" i="2"/>
  <c r="Y117" i="2"/>
  <c r="U117" i="2"/>
  <c r="Q117" i="2"/>
  <c r="M117" i="2"/>
  <c r="CK116" i="2"/>
  <c r="CG116" i="2"/>
  <c r="BU116" i="2"/>
  <c r="BQ116" i="2"/>
  <c r="BM116" i="2"/>
  <c r="BI116" i="2"/>
  <c r="BE116" i="2"/>
  <c r="BA116" i="2"/>
  <c r="AW116" i="2"/>
  <c r="AS116" i="2"/>
  <c r="AO116" i="2"/>
  <c r="AK116" i="2"/>
  <c r="AC116" i="2"/>
  <c r="U116" i="2"/>
  <c r="M116" i="2"/>
  <c r="CO115" i="2"/>
  <c r="CK115" i="2"/>
  <c r="CG115" i="2"/>
  <c r="BY115" i="2"/>
  <c r="BU115" i="2"/>
  <c r="BQ115" i="2"/>
  <c r="BI115" i="2"/>
  <c r="BE115" i="2"/>
  <c r="BA115" i="2"/>
  <c r="AW115" i="2"/>
  <c r="AS115" i="2"/>
  <c r="AO115" i="2"/>
  <c r="AK115" i="2"/>
  <c r="AC115" i="2"/>
  <c r="U115" i="2"/>
  <c r="M115" i="2"/>
  <c r="CG114" i="2"/>
  <c r="BY114" i="2"/>
  <c r="BU114" i="2"/>
  <c r="BQ114" i="2"/>
  <c r="BM114" i="2"/>
  <c r="BI114" i="2"/>
  <c r="BE114" i="2"/>
  <c r="BA114" i="2"/>
  <c r="AW114" i="2"/>
  <c r="AS114" i="2"/>
  <c r="AO114" i="2"/>
  <c r="AK114" i="2"/>
  <c r="AC114" i="2"/>
  <c r="U114" i="2"/>
  <c r="M114" i="2"/>
  <c r="CO113" i="2"/>
  <c r="CK113" i="2"/>
  <c r="CC113" i="2"/>
  <c r="BY113" i="2"/>
  <c r="BQ113" i="2"/>
  <c r="BM113" i="2"/>
  <c r="BI113" i="2"/>
  <c r="BE113" i="2"/>
  <c r="AS113" i="2"/>
  <c r="AO113" i="2"/>
  <c r="AK113" i="2"/>
  <c r="AC113" i="2"/>
  <c r="U113" i="2"/>
  <c r="M113" i="2"/>
  <c r="CO112" i="2"/>
  <c r="CK112" i="2"/>
  <c r="CG112" i="2"/>
  <c r="BY112" i="2"/>
  <c r="BQ112" i="2"/>
  <c r="BI112" i="2"/>
  <c r="BE112" i="2"/>
  <c r="AS112" i="2"/>
  <c r="AO112" i="2"/>
  <c r="AK112" i="2"/>
  <c r="AG112" i="2"/>
  <c r="AC112" i="2"/>
  <c r="U112" i="2"/>
  <c r="M112" i="2"/>
  <c r="CO111" i="2"/>
  <c r="CK111" i="2"/>
  <c r="CG111" i="2"/>
  <c r="CC111" i="2"/>
  <c r="BY111" i="2"/>
  <c r="BQ111" i="2"/>
  <c r="BM111" i="2"/>
  <c r="BI111" i="2"/>
  <c r="BE111" i="2"/>
  <c r="BA111" i="2"/>
  <c r="AS111" i="2"/>
  <c r="AO111" i="2"/>
  <c r="AK111" i="2"/>
  <c r="AC111" i="2"/>
  <c r="U111" i="2"/>
  <c r="M111" i="2"/>
  <c r="CO106" i="2"/>
  <c r="CK106" i="2"/>
  <c r="CG106" i="2"/>
  <c r="CC106" i="2"/>
  <c r="BY106" i="2"/>
  <c r="BU106" i="2"/>
  <c r="BM106" i="2"/>
  <c r="BI106" i="2"/>
  <c r="BE106" i="2"/>
  <c r="BA106" i="2"/>
  <c r="AW106" i="2"/>
  <c r="AS106" i="2"/>
  <c r="AO106" i="2"/>
  <c r="AK106" i="2"/>
  <c r="AG106" i="2"/>
  <c r="AC106" i="2"/>
  <c r="Y106" i="2"/>
  <c r="U106" i="2"/>
  <c r="M106" i="2"/>
  <c r="CO105" i="2"/>
  <c r="CK105" i="2"/>
  <c r="CG105" i="2"/>
  <c r="CC105" i="2"/>
  <c r="BY105" i="2"/>
  <c r="BM105" i="2"/>
  <c r="BI105" i="2"/>
  <c r="BE105" i="2"/>
  <c r="BA105" i="2"/>
  <c r="AW105" i="2"/>
  <c r="AS105" i="2"/>
  <c r="AO105" i="2"/>
  <c r="AK105" i="2"/>
  <c r="AG105" i="2"/>
  <c r="Y105" i="2"/>
  <c r="M105" i="2"/>
  <c r="CO104" i="2"/>
  <c r="CK104" i="2"/>
  <c r="CG104" i="2"/>
  <c r="CC104" i="2"/>
  <c r="BU104" i="2"/>
  <c r="BQ104" i="2"/>
  <c r="BM104" i="2"/>
  <c r="BI104" i="2"/>
  <c r="BE104" i="2"/>
  <c r="BA104" i="2"/>
  <c r="AW104" i="2"/>
  <c r="AS104" i="2"/>
  <c r="AO104" i="2"/>
  <c r="AK104" i="2"/>
  <c r="AG104" i="2"/>
  <c r="AC104" i="2"/>
  <c r="Y104" i="2"/>
  <c r="U104" i="2"/>
  <c r="Q104" i="2"/>
  <c r="M104" i="2"/>
  <c r="CO103" i="2"/>
  <c r="CK103" i="2"/>
  <c r="CG103" i="2"/>
  <c r="CC103" i="2"/>
  <c r="BY103" i="2"/>
  <c r="BU103" i="2"/>
  <c r="BM103" i="2"/>
  <c r="BI103" i="2"/>
  <c r="BE103" i="2"/>
  <c r="BA103" i="2"/>
  <c r="AW103" i="2"/>
  <c r="AS103" i="2"/>
  <c r="AO103" i="2"/>
  <c r="AK103" i="2"/>
  <c r="AG103" i="2"/>
  <c r="AC103" i="2"/>
  <c r="Y103" i="2"/>
  <c r="U103" i="2"/>
  <c r="Q103" i="2"/>
  <c r="M103" i="2"/>
  <c r="CN123" i="2"/>
  <c r="CJ123" i="2"/>
  <c r="CF123" i="2"/>
  <c r="CB123" i="2"/>
  <c r="BX123" i="2"/>
  <c r="BT123" i="2"/>
  <c r="BP123" i="2"/>
  <c r="BL123" i="2"/>
  <c r="BH123" i="2"/>
  <c r="BD123" i="2"/>
  <c r="AZ123" i="2"/>
  <c r="AV123" i="2"/>
  <c r="AR123" i="2"/>
  <c r="AN123" i="2"/>
  <c r="AJ123" i="2"/>
  <c r="AF123" i="2"/>
  <c r="AB123" i="2"/>
  <c r="X123" i="2"/>
  <c r="T123" i="2"/>
  <c r="P123" i="2"/>
  <c r="L123" i="2"/>
  <c r="H123" i="2"/>
  <c r="CN122" i="2"/>
  <c r="CJ122" i="2"/>
  <c r="CF122" i="2"/>
  <c r="CB122" i="2"/>
  <c r="BX122" i="2"/>
  <c r="BT122" i="2"/>
  <c r="BP122" i="2"/>
  <c r="BL122" i="2"/>
  <c r="BH122" i="2"/>
  <c r="BD122" i="2"/>
  <c r="AZ122" i="2"/>
  <c r="AV122" i="2"/>
  <c r="AR122" i="2"/>
  <c r="AN122" i="2"/>
  <c r="AJ122" i="2"/>
  <c r="AF122" i="2"/>
  <c r="AB122" i="2"/>
  <c r="X122" i="2"/>
  <c r="T122" i="2"/>
  <c r="P122" i="2"/>
  <c r="L122" i="2"/>
  <c r="H122" i="2"/>
  <c r="D122" i="2"/>
  <c r="CN121" i="2"/>
  <c r="CJ121" i="2"/>
  <c r="CF121" i="2"/>
  <c r="CB121" i="2"/>
  <c r="BX121" i="2"/>
  <c r="BT121" i="2"/>
  <c r="BP121" i="2"/>
  <c r="BL121" i="2"/>
  <c r="BH121" i="2"/>
  <c r="BD121" i="2"/>
  <c r="AZ121" i="2"/>
  <c r="AV121" i="2"/>
  <c r="AR121" i="2"/>
  <c r="AN121" i="2"/>
  <c r="AJ121" i="2"/>
  <c r="AF121" i="2"/>
  <c r="AB121" i="2"/>
  <c r="X121" i="2"/>
  <c r="T121" i="2"/>
  <c r="P121" i="2"/>
  <c r="L121" i="2"/>
  <c r="H121" i="2"/>
  <c r="CN120" i="2"/>
  <c r="CJ120" i="2"/>
  <c r="CF120" i="2"/>
  <c r="CB120" i="2"/>
  <c r="BX120" i="2"/>
  <c r="BT120" i="2"/>
  <c r="BP120" i="2"/>
  <c r="BL120" i="2"/>
  <c r="BH120" i="2"/>
  <c r="BD120" i="2"/>
  <c r="AZ120" i="2"/>
  <c r="AV120" i="2"/>
  <c r="AR120" i="2"/>
  <c r="AN120" i="2"/>
  <c r="AJ120" i="2"/>
  <c r="AF120" i="2"/>
  <c r="AB120" i="2"/>
  <c r="X120" i="2"/>
  <c r="T120" i="2"/>
  <c r="P120" i="2"/>
  <c r="L120" i="2"/>
  <c r="H120" i="2"/>
  <c r="CN119" i="2"/>
  <c r="CJ119" i="2"/>
  <c r="CF119" i="2"/>
  <c r="CB119" i="2"/>
  <c r="BX119" i="2"/>
  <c r="BT119" i="2"/>
  <c r="BP119" i="2"/>
  <c r="BL119" i="2"/>
  <c r="BH119" i="2"/>
  <c r="BD119" i="2"/>
  <c r="AZ119" i="2"/>
  <c r="AV119" i="2"/>
  <c r="AR119" i="2"/>
  <c r="AN119" i="2"/>
  <c r="AJ119" i="2"/>
  <c r="AF119" i="2"/>
  <c r="AB119" i="2"/>
  <c r="X119" i="2"/>
  <c r="T119" i="2"/>
  <c r="P119" i="2"/>
  <c r="L119" i="2"/>
  <c r="H119" i="2"/>
  <c r="CN118" i="2"/>
  <c r="CJ118" i="2"/>
  <c r="CF118" i="2"/>
  <c r="CB118" i="2"/>
  <c r="BX118" i="2"/>
  <c r="BT118" i="2"/>
  <c r="BP118" i="2"/>
  <c r="BL118" i="2"/>
  <c r="BH118" i="2"/>
  <c r="BD118" i="2"/>
  <c r="AZ118" i="2"/>
  <c r="AV118" i="2"/>
  <c r="AR118" i="2"/>
  <c r="AN118" i="2"/>
  <c r="AJ118" i="2"/>
  <c r="AF118" i="2"/>
  <c r="AB118" i="2"/>
  <c r="X118" i="2"/>
  <c r="T118" i="2"/>
  <c r="P118" i="2"/>
  <c r="L118" i="2"/>
  <c r="H118" i="2"/>
  <c r="CN117" i="2"/>
  <c r="CJ117" i="2"/>
  <c r="CF117" i="2"/>
  <c r="CB117" i="2"/>
  <c r="BX117" i="2"/>
  <c r="BT117" i="2"/>
  <c r="BP117" i="2"/>
  <c r="BL117" i="2"/>
  <c r="BH117" i="2"/>
  <c r="BD117" i="2"/>
  <c r="AZ117" i="2"/>
  <c r="AV117" i="2"/>
  <c r="AR117" i="2"/>
  <c r="AN117" i="2"/>
  <c r="AJ117" i="2"/>
  <c r="AF117" i="2"/>
  <c r="AB117" i="2"/>
  <c r="X117" i="2"/>
  <c r="T117" i="2"/>
  <c r="P117" i="2"/>
  <c r="L117" i="2"/>
  <c r="H117" i="2"/>
  <c r="CN116" i="2"/>
  <c r="CJ116" i="2"/>
  <c r="CF116" i="2"/>
  <c r="CB116" i="2"/>
  <c r="BX116" i="2"/>
  <c r="BT116" i="2"/>
  <c r="BP116" i="2"/>
  <c r="BL116" i="2"/>
  <c r="BH116" i="2"/>
  <c r="BD116" i="2"/>
  <c r="AZ116" i="2"/>
  <c r="AV116" i="2"/>
  <c r="AR116" i="2"/>
  <c r="AN116" i="2"/>
  <c r="AJ116" i="2"/>
  <c r="AF116" i="2"/>
  <c r="AB116" i="2"/>
  <c r="X116" i="2"/>
  <c r="T116" i="2"/>
  <c r="P116" i="2"/>
  <c r="L116" i="2"/>
  <c r="H116" i="2"/>
  <c r="CN115" i="2"/>
  <c r="CJ115" i="2"/>
  <c r="CF115" i="2"/>
  <c r="CB115" i="2"/>
  <c r="BX115" i="2"/>
  <c r="BT115" i="2"/>
  <c r="BP115" i="2"/>
  <c r="BL115" i="2"/>
  <c r="BH115" i="2"/>
  <c r="BD115" i="2"/>
  <c r="AZ115" i="2"/>
  <c r="AV115" i="2"/>
  <c r="AR115" i="2"/>
  <c r="AN115" i="2"/>
  <c r="AJ115" i="2"/>
  <c r="AF115" i="2"/>
  <c r="AB115" i="2"/>
  <c r="X115" i="2"/>
  <c r="T115" i="2"/>
  <c r="P115" i="2"/>
  <c r="L115" i="2"/>
  <c r="H115" i="2"/>
  <c r="CN114" i="2"/>
  <c r="CJ114" i="2"/>
  <c r="CF114" i="2"/>
  <c r="CB114" i="2"/>
  <c r="BX114" i="2"/>
  <c r="BT114" i="2"/>
  <c r="BP114" i="2"/>
  <c r="BL114" i="2"/>
  <c r="BH114" i="2"/>
  <c r="BD114" i="2"/>
  <c r="AZ114" i="2"/>
  <c r="AV114" i="2"/>
  <c r="AR114" i="2"/>
  <c r="AN114" i="2"/>
  <c r="AJ114" i="2"/>
  <c r="AF114" i="2"/>
  <c r="AB114" i="2"/>
  <c r="X114" i="2"/>
  <c r="T114" i="2"/>
  <c r="L114" i="2"/>
  <c r="H114" i="2"/>
  <c r="CN113" i="2"/>
  <c r="CJ113" i="2"/>
  <c r="CF113" i="2"/>
  <c r="CB113" i="2"/>
  <c r="BX113" i="2"/>
  <c r="BP113" i="2"/>
  <c r="BL113" i="2"/>
  <c r="BH113" i="2"/>
  <c r="BD113" i="2"/>
  <c r="AZ113" i="2"/>
  <c r="AV113" i="2"/>
  <c r="AR113" i="2"/>
  <c r="AN113" i="2"/>
  <c r="AJ113" i="2"/>
  <c r="AF113" i="2"/>
  <c r="AB113" i="2"/>
  <c r="X113" i="2"/>
  <c r="T113" i="2"/>
  <c r="P113" i="2"/>
  <c r="L113" i="2"/>
  <c r="H113" i="2"/>
  <c r="CN112" i="2"/>
  <c r="CJ112" i="2"/>
  <c r="CF112" i="2"/>
  <c r="CB112" i="2"/>
  <c r="BX112" i="2"/>
  <c r="BT112" i="2"/>
  <c r="BP112" i="2"/>
  <c r="BL112" i="2"/>
  <c r="BH112" i="2"/>
  <c r="BD112" i="2"/>
  <c r="AZ112" i="2"/>
  <c r="AV112" i="2"/>
  <c r="AR112" i="2"/>
  <c r="AN112" i="2"/>
  <c r="AJ112" i="2"/>
  <c r="AF112" i="2"/>
  <c r="AB112" i="2"/>
  <c r="X112" i="2"/>
  <c r="T112" i="2"/>
  <c r="P112" i="2"/>
  <c r="L112" i="2"/>
  <c r="H112" i="2"/>
  <c r="D112" i="2"/>
  <c r="CN111" i="2"/>
  <c r="CJ111" i="2"/>
  <c r="CF111" i="2"/>
  <c r="CB111" i="2"/>
  <c r="BX111" i="2"/>
  <c r="BT111" i="2"/>
  <c r="BP111" i="2"/>
  <c r="BL111" i="2"/>
  <c r="BH111" i="2"/>
  <c r="BD111" i="2"/>
  <c r="AZ111" i="2"/>
  <c r="AV111" i="2"/>
  <c r="AR111" i="2"/>
  <c r="AN111" i="2"/>
  <c r="AJ111" i="2"/>
  <c r="AF111" i="2"/>
  <c r="AB111" i="2"/>
  <c r="X111" i="2"/>
  <c r="T111" i="2"/>
  <c r="P111" i="2"/>
  <c r="L111" i="2"/>
  <c r="H111" i="2"/>
  <c r="D111" i="2"/>
  <c r="CN106" i="2"/>
  <c r="CJ106" i="2"/>
  <c r="CF106" i="2"/>
  <c r="CB106" i="2"/>
  <c r="BX106" i="2"/>
  <c r="BT106" i="2"/>
  <c r="BP106" i="2"/>
  <c r="BL106" i="2"/>
  <c r="BH106" i="2"/>
  <c r="BD106" i="2"/>
  <c r="AZ106" i="2"/>
  <c r="AV106" i="2"/>
  <c r="AR106" i="2"/>
  <c r="AN106" i="2"/>
  <c r="AJ106" i="2"/>
  <c r="AF106" i="2"/>
  <c r="AB106" i="2"/>
  <c r="X106" i="2"/>
  <c r="T106" i="2"/>
  <c r="P106" i="2"/>
  <c r="L106" i="2"/>
  <c r="H106" i="2"/>
  <c r="CN105" i="2"/>
  <c r="CJ105" i="2"/>
  <c r="CF105" i="2"/>
  <c r="CB105" i="2"/>
  <c r="BX105" i="2"/>
  <c r="BT105" i="2"/>
  <c r="BP105" i="2"/>
  <c r="BL105" i="2"/>
  <c r="BH105" i="2"/>
  <c r="BD105" i="2"/>
  <c r="AZ105" i="2"/>
  <c r="AV105" i="2"/>
  <c r="AR105" i="2"/>
  <c r="AN105" i="2"/>
  <c r="AJ105" i="2"/>
  <c r="AF105" i="2"/>
  <c r="AB105" i="2"/>
  <c r="X105" i="2"/>
  <c r="T105" i="2"/>
  <c r="P105" i="2"/>
  <c r="L105" i="2"/>
  <c r="H105" i="2"/>
  <c r="CN104" i="2"/>
  <c r="CJ104" i="2"/>
  <c r="CF104" i="2"/>
  <c r="CB104" i="2"/>
  <c r="BX104" i="2"/>
  <c r="BT104" i="2"/>
  <c r="BP104" i="2"/>
  <c r="BL104" i="2"/>
  <c r="BH104" i="2"/>
  <c r="BD104" i="2"/>
  <c r="AZ104" i="2"/>
  <c r="AV104" i="2"/>
  <c r="AR104" i="2"/>
  <c r="AN104" i="2"/>
  <c r="AJ104" i="2"/>
  <c r="AF104" i="2"/>
  <c r="AB104" i="2"/>
  <c r="X104" i="2"/>
  <c r="T104" i="2"/>
  <c r="P104" i="2"/>
  <c r="L104" i="2"/>
  <c r="H104" i="2"/>
  <c r="CN103" i="2"/>
  <c r="CJ103" i="2"/>
  <c r="CF103" i="2"/>
  <c r="CB103" i="2"/>
  <c r="BX103" i="2"/>
  <c r="BT103" i="2"/>
  <c r="BP103" i="2"/>
  <c r="BL103" i="2"/>
  <c r="BH103" i="2"/>
  <c r="BD103" i="2"/>
  <c r="AZ103" i="2"/>
  <c r="AV103" i="2"/>
  <c r="AR103" i="2"/>
  <c r="AN103" i="2"/>
  <c r="AJ103" i="2"/>
  <c r="AF103" i="2"/>
  <c r="AB103" i="2"/>
  <c r="X103" i="2"/>
  <c r="T103" i="2"/>
  <c r="P103" i="2"/>
  <c r="L103" i="2"/>
  <c r="H103" i="2"/>
  <c r="CQ123" i="2"/>
  <c r="CM123" i="2"/>
  <c r="CI123" i="2"/>
  <c r="CE123" i="2"/>
  <c r="CA123" i="2"/>
  <c r="BS123" i="2"/>
  <c r="BO123" i="2"/>
  <c r="BK123" i="2"/>
  <c r="BG123" i="2"/>
  <c r="BC123" i="2"/>
  <c r="AY123" i="2"/>
  <c r="AU123" i="2"/>
  <c r="AQ123" i="2"/>
  <c r="AE123" i="2"/>
  <c r="AA123" i="2"/>
  <c r="CQ122" i="2"/>
  <c r="CM122" i="2"/>
  <c r="CI122" i="2"/>
  <c r="CE122" i="2"/>
  <c r="CA122" i="2"/>
  <c r="BW122" i="2"/>
  <c r="BS122" i="2"/>
  <c r="BO122" i="2"/>
  <c r="BK122" i="2"/>
  <c r="BG122" i="2"/>
  <c r="BC122" i="2"/>
  <c r="AY122" i="2"/>
  <c r="AU122" i="2"/>
  <c r="AQ122" i="2"/>
  <c r="AE122" i="2"/>
  <c r="AA122" i="2"/>
  <c r="S122" i="2"/>
  <c r="CQ121" i="2"/>
  <c r="CM121" i="2"/>
  <c r="CI121" i="2"/>
  <c r="CE121" i="2"/>
  <c r="CA121" i="2"/>
  <c r="BW121" i="2"/>
  <c r="BS121" i="2"/>
  <c r="BO121" i="2"/>
  <c r="BK121" i="2"/>
  <c r="BG121" i="2"/>
  <c r="BC121" i="2"/>
  <c r="AY121" i="2"/>
  <c r="AU121" i="2"/>
  <c r="AQ121" i="2"/>
  <c r="AE121" i="2"/>
  <c r="AA121" i="2"/>
  <c r="W121" i="2"/>
  <c r="S121" i="2"/>
  <c r="CM120" i="2"/>
  <c r="CI120" i="2"/>
  <c r="CE120" i="2"/>
  <c r="CA120" i="2"/>
  <c r="BS120" i="2"/>
  <c r="BO120" i="2"/>
  <c r="BK120" i="2"/>
  <c r="BG120" i="2"/>
  <c r="BC120" i="2"/>
  <c r="AY120" i="2"/>
  <c r="AU120" i="2"/>
  <c r="AQ120" i="2"/>
  <c r="AE120" i="2"/>
  <c r="AA120" i="2"/>
  <c r="W120" i="2"/>
  <c r="S120" i="2"/>
  <c r="CQ119" i="2"/>
  <c r="CM119" i="2"/>
  <c r="CI119" i="2"/>
  <c r="CE119" i="2"/>
  <c r="CA119" i="2"/>
  <c r="BW119" i="2"/>
  <c r="BS119" i="2"/>
  <c r="BO119" i="2"/>
  <c r="BK119" i="2"/>
  <c r="BG119" i="2"/>
  <c r="BC119" i="2"/>
  <c r="AY119" i="2"/>
  <c r="AU119" i="2"/>
  <c r="AQ119" i="2"/>
  <c r="AE119" i="2"/>
  <c r="AA119" i="2"/>
  <c r="S119" i="2"/>
  <c r="CQ118" i="2"/>
  <c r="CM118" i="2"/>
  <c r="CI118" i="2"/>
  <c r="BW118" i="2"/>
  <c r="BS118" i="2"/>
  <c r="BO118" i="2"/>
  <c r="BK118" i="2"/>
  <c r="BG118" i="2"/>
  <c r="BC118" i="2"/>
  <c r="AY118" i="2"/>
  <c r="AU118" i="2"/>
  <c r="AQ118" i="2"/>
  <c r="AM118" i="2"/>
  <c r="AE118" i="2"/>
  <c r="AA118" i="2"/>
  <c r="S118" i="2"/>
  <c r="O118" i="2"/>
  <c r="CQ117" i="2"/>
  <c r="CM117" i="2"/>
  <c r="CI117" i="2"/>
  <c r="CE117" i="2"/>
  <c r="CA117" i="2"/>
  <c r="BW117" i="2"/>
  <c r="BS117" i="2"/>
  <c r="BO117" i="2"/>
  <c r="BK117" i="2"/>
  <c r="BG117" i="2"/>
  <c r="BC117" i="2"/>
  <c r="AY117" i="2"/>
  <c r="AU117" i="2"/>
  <c r="AQ117" i="2"/>
  <c r="AI117" i="2"/>
  <c r="W117" i="2"/>
  <c r="S117" i="2"/>
  <c r="CQ116" i="2"/>
  <c r="CM116" i="2"/>
  <c r="CI116" i="2"/>
  <c r="CE116" i="2"/>
  <c r="CA116" i="2"/>
  <c r="BW116" i="2"/>
  <c r="BS116" i="2"/>
  <c r="BO116" i="2"/>
  <c r="BK116" i="2"/>
  <c r="BG116" i="2"/>
  <c r="BC116" i="2"/>
  <c r="AY116" i="2"/>
  <c r="AU116" i="2"/>
  <c r="AQ116" i="2"/>
  <c r="AE116" i="2"/>
  <c r="AA116" i="2"/>
  <c r="W116" i="2"/>
  <c r="S116" i="2"/>
  <c r="CQ115" i="2"/>
  <c r="CM115" i="2"/>
  <c r="CI115" i="2"/>
  <c r="CE115" i="2"/>
  <c r="CA115" i="2"/>
  <c r="BS115" i="2"/>
  <c r="BO115" i="2"/>
  <c r="BK115" i="2"/>
  <c r="BG115" i="2"/>
  <c r="BC115" i="2"/>
  <c r="AY115" i="2"/>
  <c r="AU115" i="2"/>
  <c r="AQ115" i="2"/>
  <c r="AE115" i="2"/>
  <c r="AA115" i="2"/>
  <c r="W115" i="2"/>
  <c r="S115" i="2"/>
  <c r="O115" i="2"/>
  <c r="CQ114" i="2"/>
  <c r="CA114" i="2"/>
  <c r="BW114" i="2"/>
  <c r="BS114" i="2"/>
  <c r="BO114" i="2"/>
  <c r="BK114" i="2"/>
  <c r="BG114" i="2"/>
  <c r="BC114" i="2"/>
  <c r="AY114" i="2"/>
  <c r="AU114" i="2"/>
  <c r="AQ114" i="2"/>
  <c r="AE114" i="2"/>
  <c r="AA114" i="2"/>
  <c r="S114" i="2"/>
  <c r="CQ113" i="2"/>
  <c r="CM113" i="2"/>
  <c r="CI113" i="2"/>
  <c r="CA113" i="2"/>
  <c r="BW113" i="2"/>
  <c r="BS113" i="2"/>
  <c r="BO113" i="2"/>
  <c r="BG113" i="2"/>
  <c r="BC113" i="2"/>
  <c r="AY113" i="2"/>
  <c r="AU113" i="2"/>
  <c r="AQ113" i="2"/>
  <c r="AE113" i="2"/>
  <c r="CQ112" i="2"/>
  <c r="CM112" i="2"/>
  <c r="CI112" i="2"/>
  <c r="CE112" i="2"/>
  <c r="BS112" i="2"/>
  <c r="BO112" i="2"/>
  <c r="BG112" i="2"/>
  <c r="BC112" i="2"/>
  <c r="AY112" i="2"/>
  <c r="AU112" i="2"/>
  <c r="CQ111" i="2"/>
  <c r="CM111" i="2"/>
  <c r="CI111" i="2"/>
  <c r="CE111" i="2"/>
  <c r="BW111" i="2"/>
  <c r="BO111" i="2"/>
  <c r="BK111" i="2"/>
  <c r="BG111" i="2"/>
  <c r="BC111" i="2"/>
  <c r="AY111" i="2"/>
  <c r="AU111" i="2"/>
  <c r="AQ111" i="2"/>
  <c r="AE111" i="2"/>
  <c r="S111" i="2"/>
  <c r="O111" i="2"/>
  <c r="CQ106" i="2"/>
  <c r="CM106" i="2"/>
  <c r="CI106" i="2"/>
  <c r="CE106" i="2"/>
  <c r="CA106" i="2"/>
  <c r="BS106" i="2"/>
  <c r="BO106" i="2"/>
  <c r="BK106" i="2"/>
  <c r="BG106" i="2"/>
  <c r="BC106" i="2"/>
  <c r="AY106" i="2"/>
  <c r="AU106" i="2"/>
  <c r="AQ106" i="2"/>
  <c r="AE106" i="2"/>
  <c r="O106" i="2"/>
  <c r="CQ105" i="2"/>
  <c r="CM105" i="2"/>
  <c r="CI105" i="2"/>
  <c r="CE105" i="2"/>
  <c r="CA105" i="2"/>
  <c r="BW105" i="2"/>
  <c r="BO105" i="2"/>
  <c r="BK105" i="2"/>
  <c r="BG105" i="2"/>
  <c r="BC105" i="2"/>
  <c r="AY105" i="2"/>
  <c r="AU105" i="2"/>
  <c r="AQ105" i="2"/>
  <c r="AM105" i="2"/>
  <c r="AI105" i="2"/>
  <c r="O105" i="2"/>
  <c r="CQ104" i="2"/>
  <c r="CM104" i="2"/>
  <c r="CI104" i="2"/>
  <c r="CE104" i="2"/>
  <c r="CA104" i="2"/>
  <c r="BW104" i="2"/>
  <c r="BO104" i="2"/>
  <c r="BK104" i="2"/>
  <c r="BG104" i="2"/>
  <c r="BC104" i="2"/>
  <c r="AY104" i="2"/>
  <c r="AU104" i="2"/>
  <c r="AQ104" i="2"/>
  <c r="AE104" i="2"/>
  <c r="W104" i="2"/>
  <c r="S104" i="2"/>
  <c r="O104" i="2"/>
  <c r="K104" i="2"/>
  <c r="CQ103" i="2"/>
  <c r="CM103" i="2"/>
  <c r="CI103" i="2"/>
  <c r="CE103" i="2"/>
  <c r="CA103" i="2"/>
  <c r="BW103" i="2"/>
  <c r="BS103" i="2"/>
  <c r="BO103" i="2"/>
  <c r="BK103" i="2"/>
  <c r="BG103" i="2"/>
  <c r="BC103" i="2"/>
  <c r="AY103" i="2"/>
  <c r="AU103" i="2"/>
  <c r="AQ103" i="2"/>
  <c r="AI103" i="2"/>
  <c r="AE103" i="2"/>
  <c r="AA103" i="2"/>
  <c r="W103" i="2"/>
  <c r="S103" i="2"/>
  <c r="O103" i="2"/>
  <c r="B102" i="2"/>
  <c r="F103" i="1"/>
  <c r="D103" i="1"/>
  <c r="C103" i="1"/>
  <c r="AM102" i="2" s="1"/>
  <c r="B101" i="2"/>
  <c r="B100" i="2"/>
  <c r="B99" i="2"/>
  <c r="B98" i="2"/>
  <c r="B97" i="2"/>
  <c r="B96" i="2"/>
  <c r="B95" i="2"/>
  <c r="B94" i="2"/>
  <c r="B93" i="2"/>
  <c r="B92" i="2"/>
  <c r="X58" i="1"/>
  <c r="X57" i="1"/>
  <c r="D58" i="1"/>
  <c r="D57" i="1"/>
  <c r="C57" i="1"/>
  <c r="C58" i="1"/>
  <c r="C56" i="1"/>
  <c r="AL98" i="1"/>
  <c r="AL96" i="1"/>
  <c r="X102" i="1"/>
  <c r="X101" i="1"/>
  <c r="X100" i="1"/>
  <c r="X99" i="1"/>
  <c r="X98" i="1"/>
  <c r="X96" i="1"/>
  <c r="C101" i="1"/>
  <c r="C102" i="1"/>
  <c r="C100" i="1"/>
  <c r="C99" i="1"/>
  <c r="C98" i="1"/>
  <c r="C97" i="1"/>
  <c r="C96" i="1"/>
  <c r="C95" i="1"/>
  <c r="C94" i="1"/>
  <c r="C93" i="1"/>
  <c r="BA45" i="1"/>
  <c r="AM45" i="1"/>
  <c r="AI45" i="1"/>
  <c r="AG45" i="1"/>
  <c r="Q45" i="1"/>
  <c r="G45" i="1"/>
  <c r="E45" i="1"/>
  <c r="B44" i="2"/>
  <c r="P45" i="1"/>
  <c r="D45" i="1"/>
  <c r="C45" i="1"/>
  <c r="AM92" i="1"/>
  <c r="AK92" i="1"/>
  <c r="O92" i="1"/>
  <c r="M92" i="1"/>
  <c r="C92" i="1"/>
  <c r="AA91" i="2" s="1"/>
  <c r="C91" i="1"/>
  <c r="B90" i="2"/>
  <c r="B91" i="2"/>
  <c r="AM91" i="1"/>
  <c r="Y91" i="1"/>
  <c r="Y90" i="2" s="1"/>
  <c r="M91" i="1"/>
  <c r="BO53" i="1"/>
  <c r="BO52" i="1"/>
  <c r="BK53" i="1"/>
  <c r="BK52" i="1"/>
  <c r="BA53" i="1"/>
  <c r="AI52" i="1"/>
  <c r="AI51" i="1"/>
  <c r="AM52" i="1"/>
  <c r="AM51" i="1"/>
  <c r="Y52" i="1"/>
  <c r="Y51" i="1"/>
  <c r="G53" i="1"/>
  <c r="G52" i="1"/>
  <c r="G51" i="1"/>
  <c r="E53" i="1"/>
  <c r="E51" i="1"/>
  <c r="C50" i="1"/>
  <c r="BG50" i="1"/>
  <c r="BG49" i="1"/>
  <c r="AM49" i="1"/>
  <c r="AM50" i="1"/>
  <c r="AM49" i="2" s="1"/>
  <c r="Y50" i="1"/>
  <c r="Y49" i="1"/>
  <c r="E50" i="1"/>
  <c r="E49" i="1"/>
  <c r="C52" i="1"/>
  <c r="C51" i="1"/>
  <c r="X52" i="1"/>
  <c r="F53" i="1"/>
  <c r="F52" i="1"/>
  <c r="F51" i="2" s="1"/>
  <c r="F51" i="1"/>
  <c r="F50" i="2" s="1"/>
  <c r="C53" i="1"/>
  <c r="C49" i="1"/>
  <c r="C47" i="1"/>
  <c r="BI42" i="1"/>
  <c r="BM44" i="1"/>
  <c r="BM43" i="1"/>
  <c r="BK44" i="1"/>
  <c r="BK43" i="1"/>
  <c r="BK42" i="1"/>
  <c r="BI43" i="1"/>
  <c r="AM44" i="1"/>
  <c r="AI44" i="1"/>
  <c r="AI43" i="1"/>
  <c r="AI42" i="1"/>
  <c r="Y44" i="1"/>
  <c r="Y42" i="1"/>
  <c r="Q44" i="1"/>
  <c r="Q43" i="1"/>
  <c r="Q42" i="1"/>
  <c r="G44" i="1"/>
  <c r="G43" i="1"/>
  <c r="G42" i="1"/>
  <c r="B41" i="2"/>
  <c r="B42" i="2"/>
  <c r="B43" i="2"/>
  <c r="F42" i="1"/>
  <c r="C44" i="1"/>
  <c r="C43" i="1"/>
  <c r="C42" i="1"/>
  <c r="E37" i="1"/>
  <c r="BI41" i="1"/>
  <c r="BI38" i="1"/>
  <c r="BI37" i="1"/>
  <c r="AI41" i="1"/>
  <c r="AI39" i="1"/>
  <c r="AI37" i="1"/>
  <c r="AG37" i="1"/>
  <c r="Y41" i="1"/>
  <c r="Y36" i="1"/>
  <c r="Y40" i="1"/>
  <c r="Y38" i="1"/>
  <c r="Y37" i="1"/>
  <c r="E41" i="1"/>
  <c r="E40" i="1"/>
  <c r="E39" i="1"/>
  <c r="E38" i="1"/>
  <c r="G41" i="1"/>
  <c r="G39" i="1"/>
  <c r="G38" i="1"/>
  <c r="G37" i="1"/>
  <c r="Q41" i="1"/>
  <c r="Q40" i="1"/>
  <c r="Q39" i="1"/>
  <c r="Q38" i="1"/>
  <c r="Q37" i="1"/>
  <c r="Q36" i="1"/>
  <c r="B39" i="2"/>
  <c r="B40" i="2"/>
  <c r="C41" i="1"/>
  <c r="C40" i="1"/>
  <c r="B35" i="2"/>
  <c r="B36" i="2"/>
  <c r="B37" i="2"/>
  <c r="B38" i="2"/>
  <c r="F37" i="1"/>
  <c r="P38" i="1"/>
  <c r="P37" i="1"/>
  <c r="P36" i="1"/>
  <c r="D38" i="1"/>
  <c r="C39" i="1"/>
  <c r="C38" i="1"/>
  <c r="C37" i="1"/>
  <c r="D35" i="1"/>
  <c r="E35" i="1"/>
  <c r="C36" i="1"/>
  <c r="BG90" i="1"/>
  <c r="BG85" i="1"/>
  <c r="BE85" i="1"/>
  <c r="E89" i="1"/>
  <c r="E87" i="1"/>
  <c r="E85" i="1"/>
  <c r="E86" i="1"/>
  <c r="E90" i="1"/>
  <c r="AK90" i="1"/>
  <c r="AK89" i="1"/>
  <c r="AK87" i="1"/>
  <c r="AK86" i="1"/>
  <c r="Y90" i="1"/>
  <c r="Y89" i="1"/>
  <c r="Y87" i="1"/>
  <c r="Y86" i="1"/>
  <c r="Y85" i="1"/>
  <c r="O90" i="1"/>
  <c r="O89" i="1"/>
  <c r="O85" i="1"/>
  <c r="M88" i="1"/>
  <c r="AM85" i="1"/>
  <c r="AM90" i="1"/>
  <c r="AM86" i="1"/>
  <c r="AM88" i="1"/>
  <c r="AM87" i="1"/>
  <c r="AM89" i="1"/>
  <c r="B88" i="2"/>
  <c r="B89" i="2"/>
  <c r="C90" i="1"/>
  <c r="C89" i="1"/>
  <c r="B84" i="2"/>
  <c r="B85" i="2"/>
  <c r="B86" i="2"/>
  <c r="B87" i="2"/>
  <c r="C86" i="1"/>
  <c r="C87" i="1"/>
  <c r="C88" i="1"/>
  <c r="C85" i="1"/>
  <c r="X85" i="1"/>
  <c r="AL88" i="1"/>
  <c r="BE84" i="1"/>
  <c r="AM84" i="1"/>
  <c r="AM83" i="1"/>
  <c r="AM82" i="1"/>
  <c r="AM81" i="1"/>
  <c r="AM80" i="1"/>
  <c r="AM79" i="1"/>
  <c r="AK81" i="1"/>
  <c r="AK79" i="1"/>
  <c r="AI83" i="1"/>
  <c r="AI82" i="1"/>
  <c r="Y82" i="1"/>
  <c r="Y83" i="1"/>
  <c r="Y84" i="1"/>
  <c r="Y81" i="1"/>
  <c r="Y80" i="1"/>
  <c r="Y79" i="1"/>
  <c r="O80" i="1"/>
  <c r="O81" i="1"/>
  <c r="O82" i="1"/>
  <c r="O84" i="1"/>
  <c r="O83" i="1"/>
  <c r="E83" i="1"/>
  <c r="E82" i="1"/>
  <c r="E81" i="1"/>
  <c r="E80" i="1"/>
  <c r="E79" i="1"/>
  <c r="E84" i="1"/>
  <c r="B83" i="2"/>
  <c r="C84" i="1"/>
  <c r="B81" i="2"/>
  <c r="B82" i="2"/>
  <c r="X82" i="1"/>
  <c r="C82" i="1"/>
  <c r="C83" i="1"/>
  <c r="BC19" i="1"/>
  <c r="AI19" i="1"/>
  <c r="AM18" i="1"/>
  <c r="Y21" i="1"/>
  <c r="Y22" i="1"/>
  <c r="Y20" i="1"/>
  <c r="Y19" i="1"/>
  <c r="BA19" i="1"/>
  <c r="AM22" i="1"/>
  <c r="AI21" i="1"/>
  <c r="Q20" i="1"/>
  <c r="Q19" i="1"/>
  <c r="Y17" i="1"/>
  <c r="AM78" i="1"/>
  <c r="Y78" i="1"/>
  <c r="O78" i="1"/>
  <c r="AK78" i="1"/>
  <c r="E78" i="1"/>
  <c r="G20" i="1"/>
  <c r="G17" i="1"/>
  <c r="G19" i="1"/>
  <c r="E19" i="1"/>
  <c r="E20" i="1"/>
  <c r="E18" i="1"/>
  <c r="E21" i="1"/>
  <c r="AM20" i="1"/>
  <c r="E22" i="1"/>
  <c r="E17" i="1"/>
  <c r="Y35" i="1"/>
  <c r="Q35" i="1"/>
  <c r="Q34" i="1"/>
  <c r="AI35" i="1"/>
  <c r="AI34" i="1"/>
  <c r="E34" i="1"/>
  <c r="Y34" i="1"/>
  <c r="AG34" i="1"/>
  <c r="G34" i="1"/>
  <c r="AM47" i="1"/>
  <c r="G47" i="1"/>
  <c r="E48" i="1"/>
  <c r="E47" i="1"/>
  <c r="AG46" i="1"/>
  <c r="AM46" i="1"/>
  <c r="E46" i="1"/>
  <c r="B78" i="2"/>
  <c r="B79" i="2"/>
  <c r="B80" i="2"/>
  <c r="C79" i="1"/>
  <c r="C80" i="1"/>
  <c r="C81" i="1"/>
  <c r="B77" i="2"/>
  <c r="C78" i="1"/>
  <c r="D47" i="1"/>
  <c r="D46" i="1"/>
  <c r="C46" i="1"/>
  <c r="C48" i="1"/>
  <c r="D22" i="1"/>
  <c r="D21" i="1"/>
  <c r="D20" i="1"/>
  <c r="B18" i="2"/>
  <c r="B19" i="2"/>
  <c r="B20" i="2"/>
  <c r="B21" i="2"/>
  <c r="C19" i="1"/>
  <c r="C20" i="1"/>
  <c r="C21" i="1"/>
  <c r="C22" i="1"/>
  <c r="B33" i="2"/>
  <c r="B34" i="2"/>
  <c r="X35" i="1"/>
  <c r="X34" i="1"/>
  <c r="P34" i="1"/>
  <c r="P35" i="1"/>
  <c r="D34" i="1"/>
  <c r="C34" i="1"/>
  <c r="C35" i="1"/>
  <c r="AW11" i="1"/>
  <c r="AM15" i="1"/>
  <c r="AM14" i="1"/>
  <c r="G16" i="1"/>
  <c r="G15" i="1"/>
  <c r="E15" i="1"/>
  <c r="E16" i="1"/>
  <c r="E14" i="1"/>
  <c r="E11" i="1"/>
  <c r="AY11" i="1"/>
  <c r="G11" i="1"/>
  <c r="AM77" i="1"/>
  <c r="Y77" i="1"/>
  <c r="AK76" i="1"/>
  <c r="E77" i="1"/>
  <c r="E76" i="1"/>
  <c r="M76" i="1"/>
  <c r="G14" i="1"/>
  <c r="B16" i="2"/>
  <c r="B17" i="2"/>
  <c r="D18" i="1"/>
  <c r="D17" i="1"/>
  <c r="C17" i="1"/>
  <c r="C18" i="1"/>
  <c r="Y32" i="1"/>
  <c r="E75" i="1"/>
  <c r="Y75" i="1"/>
  <c r="B13" i="2"/>
  <c r="B14" i="2"/>
  <c r="B15" i="2"/>
  <c r="D16" i="1"/>
  <c r="D15" i="1"/>
  <c r="F14" i="1"/>
  <c r="D14" i="1"/>
  <c r="C14" i="1"/>
  <c r="C15" i="1"/>
  <c r="C16" i="1"/>
  <c r="Y74" i="1"/>
  <c r="AU74" i="1"/>
  <c r="O74" i="1"/>
  <c r="E74" i="1"/>
  <c r="AK74" i="1"/>
  <c r="AK75" i="1"/>
  <c r="AM75" i="1"/>
  <c r="AM74" i="1"/>
  <c r="AI33" i="1"/>
  <c r="Y12" i="1"/>
  <c r="G12" i="1"/>
  <c r="G13" i="1"/>
  <c r="AI13" i="1"/>
  <c r="F12" i="1"/>
  <c r="E13" i="1"/>
  <c r="AI12" i="1"/>
  <c r="E12" i="1"/>
  <c r="B75" i="2"/>
  <c r="B76" i="2"/>
  <c r="Y28" i="1"/>
  <c r="X28" i="1"/>
  <c r="F13" i="1"/>
  <c r="G9" i="1"/>
  <c r="F9" i="1"/>
  <c r="G8" i="1"/>
  <c r="F8" i="1"/>
  <c r="G7" i="1"/>
  <c r="F7" i="1"/>
  <c r="G5" i="1"/>
  <c r="F5" i="1"/>
  <c r="G4" i="1"/>
  <c r="F4" i="1"/>
  <c r="G25" i="1"/>
  <c r="G6" i="1"/>
  <c r="D76" i="1"/>
  <c r="C76" i="1"/>
  <c r="C77" i="1"/>
  <c r="AI72" i="1"/>
  <c r="AI71" i="1"/>
  <c r="AM73" i="1"/>
  <c r="AM72" i="1"/>
  <c r="AM71" i="1"/>
  <c r="AK73" i="1"/>
  <c r="AK72" i="1"/>
  <c r="Y71" i="1"/>
  <c r="O73" i="1"/>
  <c r="O72" i="1"/>
  <c r="O71" i="1"/>
  <c r="E73" i="1"/>
  <c r="E72" i="1"/>
  <c r="E71" i="1"/>
  <c r="B73" i="2"/>
  <c r="B74" i="2"/>
  <c r="D75" i="1"/>
  <c r="D74" i="1"/>
  <c r="C74" i="1"/>
  <c r="C75" i="1"/>
  <c r="B10" i="2"/>
  <c r="B11" i="2"/>
  <c r="B12" i="2"/>
  <c r="D13" i="1"/>
  <c r="D12" i="1"/>
  <c r="C12" i="1"/>
  <c r="C11" i="1"/>
  <c r="C13" i="1"/>
  <c r="B70" i="2"/>
  <c r="B71" i="2"/>
  <c r="B72" i="2"/>
  <c r="D73" i="1"/>
  <c r="D72" i="1"/>
  <c r="D71" i="1"/>
  <c r="E70" i="1"/>
  <c r="C71" i="1"/>
  <c r="C72" i="1"/>
  <c r="C73" i="1"/>
  <c r="AM67" i="1"/>
  <c r="G33" i="1"/>
  <c r="G32" i="1"/>
  <c r="Y31" i="1"/>
  <c r="Y33" i="1"/>
  <c r="AI30" i="1"/>
  <c r="AG32" i="1"/>
  <c r="Y68" i="1"/>
  <c r="Y65" i="1"/>
  <c r="Q33" i="1"/>
  <c r="Q32" i="1"/>
  <c r="Q31" i="1"/>
  <c r="Q30" i="1"/>
  <c r="E68" i="1"/>
  <c r="E67" i="1"/>
  <c r="E33" i="1"/>
  <c r="E32" i="1"/>
  <c r="E31" i="1"/>
  <c r="E30" i="1"/>
  <c r="B30" i="2"/>
  <c r="B31" i="2"/>
  <c r="B32" i="2"/>
  <c r="X32" i="1"/>
  <c r="X33" i="1"/>
  <c r="F32" i="1"/>
  <c r="P33" i="1"/>
  <c r="P32" i="1"/>
  <c r="P31" i="1"/>
  <c r="D33" i="1"/>
  <c r="D32" i="1"/>
  <c r="D31" i="1"/>
  <c r="C31" i="1"/>
  <c r="C32" i="1"/>
  <c r="C33" i="1"/>
  <c r="B29" i="2"/>
  <c r="D30" i="1"/>
  <c r="C30" i="1"/>
  <c r="B68" i="2"/>
  <c r="B69" i="2"/>
  <c r="X69" i="1"/>
  <c r="D70" i="1"/>
  <c r="D69" i="1"/>
  <c r="C69" i="1"/>
  <c r="C70" i="1"/>
  <c r="B66" i="2"/>
  <c r="B67" i="2"/>
  <c r="AL68" i="1"/>
  <c r="N68" i="1"/>
  <c r="D68" i="1"/>
  <c r="D67" i="1"/>
  <c r="C67" i="1"/>
  <c r="C68" i="1"/>
  <c r="D66" i="1"/>
  <c r="B65" i="2"/>
  <c r="AL66" i="1"/>
  <c r="AL65" i="1"/>
  <c r="D65" i="1"/>
  <c r="C66" i="1"/>
  <c r="B63" i="2"/>
  <c r="B64" i="2"/>
  <c r="AL64" i="1"/>
  <c r="D64" i="1"/>
  <c r="C65" i="1"/>
  <c r="C64" i="1"/>
  <c r="B62" i="2"/>
  <c r="D63" i="1"/>
  <c r="C63" i="1"/>
  <c r="B60" i="2"/>
  <c r="B61" i="2"/>
  <c r="AL61" i="1"/>
  <c r="N61" i="1"/>
  <c r="D62" i="1"/>
  <c r="D61" i="1"/>
  <c r="C62" i="1"/>
  <c r="C61" i="1"/>
  <c r="B59" i="2"/>
  <c r="N60" i="1"/>
  <c r="AL60" i="1"/>
  <c r="D60" i="1"/>
  <c r="C60" i="1"/>
  <c r="DJ110" i="2" l="1"/>
  <c r="DK110" i="2"/>
  <c r="DJ123" i="2"/>
  <c r="DK123" i="2"/>
  <c r="DI114" i="2"/>
  <c r="DJ114" i="2" s="1"/>
  <c r="DI112" i="2"/>
  <c r="DK112" i="2" s="1"/>
  <c r="K128" i="10"/>
  <c r="H111" i="10"/>
  <c r="X111" i="10"/>
  <c r="R113" i="10"/>
  <c r="DM118" i="2" s="1"/>
  <c r="DI117" i="2"/>
  <c r="DJ117" i="2" s="1"/>
  <c r="G116" i="10"/>
  <c r="DI120" i="2"/>
  <c r="DK120" i="2" s="1"/>
  <c r="DI131" i="2"/>
  <c r="R117" i="11"/>
  <c r="R117" i="10"/>
  <c r="DM122" i="2" s="1"/>
  <c r="DJ112" i="2"/>
  <c r="DJ122" i="2"/>
  <c r="DK122" i="2"/>
  <c r="DJ104" i="2"/>
  <c r="DK104" i="2"/>
  <c r="H102" i="7"/>
  <c r="H102" i="6"/>
  <c r="X102" i="7"/>
  <c r="X102" i="6"/>
  <c r="T104" i="7"/>
  <c r="T104" i="6"/>
  <c r="P106" i="7"/>
  <c r="P106" i="6"/>
  <c r="L108" i="7"/>
  <c r="L108" i="6"/>
  <c r="H110" i="7"/>
  <c r="H110" i="6"/>
  <c r="DL114" i="2"/>
  <c r="DL130" i="2"/>
  <c r="DL102" i="2"/>
  <c r="DI102" i="2"/>
  <c r="DK102" i="2" s="1"/>
  <c r="DI118" i="2"/>
  <c r="DK118" i="2" s="1"/>
  <c r="DI121" i="2"/>
  <c r="DK121" i="2" s="1"/>
  <c r="DI127" i="2"/>
  <c r="DK127" i="2" s="1"/>
  <c r="DI129" i="2"/>
  <c r="DI133" i="2"/>
  <c r="DK133" i="2" s="1"/>
  <c r="I118" i="10"/>
  <c r="L102" i="7"/>
  <c r="L102" i="6"/>
  <c r="H104" i="7"/>
  <c r="H104" i="6"/>
  <c r="X104" i="7"/>
  <c r="X104" i="6"/>
  <c r="T106" i="7"/>
  <c r="T106" i="6"/>
  <c r="P108" i="7"/>
  <c r="P108" i="6"/>
  <c r="L110" i="7"/>
  <c r="L110" i="6"/>
  <c r="DM128" i="2"/>
  <c r="DN128" i="2" s="1"/>
  <c r="DL104" i="2"/>
  <c r="DM102" i="2"/>
  <c r="DO102" i="2" s="1"/>
  <c r="DM104" i="2"/>
  <c r="DO104" i="2" s="1"/>
  <c r="U130" i="10"/>
  <c r="P102" i="7"/>
  <c r="P102" i="6"/>
  <c r="L104" i="7"/>
  <c r="L104" i="6"/>
  <c r="H106" i="7"/>
  <c r="H106" i="6"/>
  <c r="X106" i="7"/>
  <c r="X106" i="6"/>
  <c r="T108" i="7"/>
  <c r="T108" i="6"/>
  <c r="P110" i="7"/>
  <c r="P110" i="6"/>
  <c r="DI106" i="2"/>
  <c r="DJ106" i="2" s="1"/>
  <c r="DI128" i="2"/>
  <c r="DK128" i="2" s="1"/>
  <c r="DI134" i="2"/>
  <c r="T102" i="7"/>
  <c r="T102" i="6"/>
  <c r="P104" i="7"/>
  <c r="P104" i="6"/>
  <c r="L106" i="7"/>
  <c r="L106" i="6"/>
  <c r="H108" i="7"/>
  <c r="H108" i="6"/>
  <c r="X108" i="7"/>
  <c r="X108" i="6"/>
  <c r="DK124" i="2"/>
  <c r="DJ124" i="2"/>
  <c r="DK131" i="2"/>
  <c r="DJ131" i="2"/>
  <c r="DJ130" i="2"/>
  <c r="DK130" i="2"/>
  <c r="DJ126" i="2"/>
  <c r="DK126" i="2"/>
  <c r="DK116" i="2"/>
  <c r="DJ116" i="2"/>
  <c r="DJ118" i="2"/>
  <c r="DJ121" i="2"/>
  <c r="DJ127" i="2"/>
  <c r="DJ129" i="2"/>
  <c r="DK129" i="2"/>
  <c r="DJ119" i="2"/>
  <c r="DK119" i="2"/>
  <c r="DK106" i="2"/>
  <c r="DJ134" i="2"/>
  <c r="DK134" i="2"/>
  <c r="DL128" i="2"/>
  <c r="AA132" i="11"/>
  <c r="AA132" i="10"/>
  <c r="W106" i="11"/>
  <c r="W106" i="10"/>
  <c r="G112" i="11"/>
  <c r="G112" i="10"/>
  <c r="F112" i="11"/>
  <c r="F112" i="10"/>
  <c r="R118" i="11"/>
  <c r="R118" i="10"/>
  <c r="T124" i="11"/>
  <c r="T124" i="10"/>
  <c r="Y130" i="11"/>
  <c r="Y130" i="10"/>
  <c r="Z130" i="11"/>
  <c r="Z130" i="10"/>
  <c r="E114" i="11"/>
  <c r="E114" i="10"/>
  <c r="K132" i="11"/>
  <c r="K132" i="10"/>
  <c r="O104" i="11"/>
  <c r="O104" i="10"/>
  <c r="E104" i="11"/>
  <c r="E104" i="10"/>
  <c r="R104" i="11"/>
  <c r="R104" i="10"/>
  <c r="W110" i="11"/>
  <c r="W110" i="10"/>
  <c r="D110" i="11"/>
  <c r="D110" i="10"/>
  <c r="S116" i="11"/>
  <c r="S116" i="10"/>
  <c r="Z116" i="11"/>
  <c r="Z116" i="10"/>
  <c r="V122" i="11"/>
  <c r="V122" i="10"/>
  <c r="DM130" i="2"/>
  <c r="Q102" i="11"/>
  <c r="Q102" i="10"/>
  <c r="D102" i="11"/>
  <c r="D102" i="10"/>
  <c r="T108" i="11"/>
  <c r="T108" i="10"/>
  <c r="S108" i="11"/>
  <c r="S108" i="10"/>
  <c r="E108" i="11"/>
  <c r="E108" i="10"/>
  <c r="Y114" i="11"/>
  <c r="Y114" i="10"/>
  <c r="Z114" i="11"/>
  <c r="Z114" i="10"/>
  <c r="G120" i="11"/>
  <c r="G120" i="10"/>
  <c r="H120" i="11"/>
  <c r="H120" i="10"/>
  <c r="B120" i="11"/>
  <c r="B120" i="10"/>
  <c r="S126" i="11"/>
  <c r="S126" i="10"/>
  <c r="D126" i="11"/>
  <c r="D126" i="10"/>
  <c r="Y132" i="11"/>
  <c r="Y132" i="10"/>
  <c r="H132" i="11"/>
  <c r="H132" i="10"/>
  <c r="L132" i="11"/>
  <c r="L132" i="10"/>
  <c r="B132" i="11"/>
  <c r="B132" i="10"/>
  <c r="DL132" i="2"/>
  <c r="W108" i="11"/>
  <c r="W108" i="10"/>
  <c r="I126" i="11"/>
  <c r="I126" i="10"/>
  <c r="X106" i="11"/>
  <c r="X106" i="10"/>
  <c r="Z106" i="11"/>
  <c r="Z106" i="10"/>
  <c r="L112" i="11"/>
  <c r="L112" i="10"/>
  <c r="M112" i="11"/>
  <c r="M112" i="10"/>
  <c r="G118" i="11"/>
  <c r="G118" i="10"/>
  <c r="H118" i="11"/>
  <c r="H118" i="10"/>
  <c r="AA124" i="11"/>
  <c r="AA124" i="10"/>
  <c r="D124" i="11"/>
  <c r="D124" i="10"/>
  <c r="AA130" i="11"/>
  <c r="AA130" i="10"/>
  <c r="O130" i="11"/>
  <c r="O130" i="10"/>
  <c r="J130" i="11"/>
  <c r="J130" i="10"/>
  <c r="AA104" i="11"/>
  <c r="AA104" i="10"/>
  <c r="H104" i="11"/>
  <c r="H104" i="10"/>
  <c r="B104" i="11"/>
  <c r="B104" i="10"/>
  <c r="H110" i="11"/>
  <c r="H110" i="10"/>
  <c r="Y110" i="11"/>
  <c r="Y110" i="10"/>
  <c r="N110" i="11"/>
  <c r="N110" i="10"/>
  <c r="U116" i="11"/>
  <c r="U116" i="10"/>
  <c r="Q116" i="11"/>
  <c r="Q116" i="10"/>
  <c r="P116" i="11"/>
  <c r="P116" i="10"/>
  <c r="J116" i="11"/>
  <c r="J116" i="10"/>
  <c r="S122" i="11"/>
  <c r="S122" i="10"/>
  <c r="Q122" i="11"/>
  <c r="Q122" i="10"/>
  <c r="G122" i="11"/>
  <c r="G122" i="10"/>
  <c r="L122" i="10"/>
  <c r="L122" i="11"/>
  <c r="F122" i="11"/>
  <c r="F122" i="10"/>
  <c r="U128" i="11"/>
  <c r="U128" i="10"/>
  <c r="T128" i="11"/>
  <c r="T128" i="10"/>
  <c r="D128" i="11"/>
  <c r="D128" i="10"/>
  <c r="N128" i="11"/>
  <c r="N128" i="10"/>
  <c r="C102" i="10"/>
  <c r="C102" i="11"/>
  <c r="U102" i="11"/>
  <c r="U102" i="10"/>
  <c r="Y102" i="11"/>
  <c r="Y102" i="10"/>
  <c r="N102" i="11"/>
  <c r="N102" i="10"/>
  <c r="Y108" i="11"/>
  <c r="Y108" i="10"/>
  <c r="AA108" i="11"/>
  <c r="AA108" i="10"/>
  <c r="N108" i="11"/>
  <c r="N108" i="10"/>
  <c r="AA114" i="11"/>
  <c r="AA114" i="10"/>
  <c r="O114" i="11"/>
  <c r="O114" i="10"/>
  <c r="P114" i="11"/>
  <c r="P114" i="10"/>
  <c r="J114" i="11"/>
  <c r="J114" i="10"/>
  <c r="Q120" i="11"/>
  <c r="Q120" i="10"/>
  <c r="X120" i="11"/>
  <c r="X120" i="10"/>
  <c r="R120" i="11"/>
  <c r="R120" i="10"/>
  <c r="U126" i="11"/>
  <c r="U126" i="10"/>
  <c r="T126" i="11"/>
  <c r="T126" i="10"/>
  <c r="N126" i="11"/>
  <c r="N126" i="10"/>
  <c r="D132" i="11"/>
  <c r="D132" i="10"/>
  <c r="R132" i="10"/>
  <c r="R132" i="11"/>
  <c r="DJ120" i="2"/>
  <c r="DM108" i="2"/>
  <c r="DM112" i="2"/>
  <c r="DL106" i="2"/>
  <c r="DL120" i="2"/>
  <c r="H102" i="11"/>
  <c r="H102" i="10"/>
  <c r="M110" i="11"/>
  <c r="M110" i="10"/>
  <c r="C120" i="11"/>
  <c r="C120" i="10"/>
  <c r="AA128" i="11"/>
  <c r="AA128" i="10"/>
  <c r="AA106" i="11"/>
  <c r="AA106" i="10"/>
  <c r="M106" i="11"/>
  <c r="M106" i="10"/>
  <c r="O106" i="11"/>
  <c r="O106" i="10"/>
  <c r="Q106" i="11"/>
  <c r="Q106" i="10"/>
  <c r="V106" i="11"/>
  <c r="V106" i="10"/>
  <c r="F106" i="11"/>
  <c r="F106" i="10"/>
  <c r="T112" i="11"/>
  <c r="T112" i="10"/>
  <c r="AA112" i="11"/>
  <c r="AA112" i="10"/>
  <c r="E112" i="11"/>
  <c r="E112" i="10"/>
  <c r="H112" i="11"/>
  <c r="H112" i="10"/>
  <c r="R112" i="11"/>
  <c r="R112" i="10"/>
  <c r="B112" i="11"/>
  <c r="B112" i="10"/>
  <c r="U118" i="11"/>
  <c r="U118" i="10"/>
  <c r="S118" i="11"/>
  <c r="S118" i="10"/>
  <c r="T118" i="11"/>
  <c r="T118" i="10"/>
  <c r="D118" i="11"/>
  <c r="D118" i="10"/>
  <c r="N118" i="11"/>
  <c r="N118" i="10"/>
  <c r="U124" i="11"/>
  <c r="U124" i="10"/>
  <c r="S124" i="11"/>
  <c r="S124" i="10"/>
  <c r="Q124" i="11"/>
  <c r="Q124" i="10"/>
  <c r="P124" i="11"/>
  <c r="P124" i="10"/>
  <c r="Z124" i="11"/>
  <c r="Z124" i="10"/>
  <c r="J124" i="11"/>
  <c r="J124" i="10"/>
  <c r="S130" i="11"/>
  <c r="S130" i="10"/>
  <c r="Q130" i="11"/>
  <c r="Q130" i="10"/>
  <c r="G130" i="11"/>
  <c r="G130" i="10"/>
  <c r="L130" i="11"/>
  <c r="L130" i="10"/>
  <c r="V130" i="11"/>
  <c r="V130" i="10"/>
  <c r="F130" i="10"/>
  <c r="F130" i="11"/>
  <c r="K120" i="11"/>
  <c r="K120" i="10"/>
  <c r="Q104" i="11"/>
  <c r="Q104" i="10"/>
  <c r="D104" i="11"/>
  <c r="D104" i="10"/>
  <c r="U104" i="11"/>
  <c r="U104" i="10"/>
  <c r="X104" i="11"/>
  <c r="X104" i="10"/>
  <c r="C104" i="11"/>
  <c r="C104" i="10"/>
  <c r="N104" i="11"/>
  <c r="N104" i="10"/>
  <c r="U110" i="11"/>
  <c r="U110" i="10"/>
  <c r="AA110" i="11"/>
  <c r="AA110" i="10"/>
  <c r="Q110" i="11"/>
  <c r="Q110" i="10"/>
  <c r="T110" i="11"/>
  <c r="T110" i="10"/>
  <c r="Z110" i="11"/>
  <c r="Z110" i="10"/>
  <c r="J110" i="11"/>
  <c r="J110" i="10"/>
  <c r="M116" i="11"/>
  <c r="M116" i="10"/>
  <c r="K116" i="11"/>
  <c r="K116" i="10"/>
  <c r="I116" i="11"/>
  <c r="I116" i="10"/>
  <c r="L116" i="10"/>
  <c r="L116" i="11"/>
  <c r="V116" i="11"/>
  <c r="V116" i="10"/>
  <c r="F116" i="11"/>
  <c r="F116" i="10"/>
  <c r="K122" i="11"/>
  <c r="K122" i="10"/>
  <c r="I122" i="11"/>
  <c r="I122" i="10"/>
  <c r="X122" i="11"/>
  <c r="X122" i="10"/>
  <c r="H122" i="11"/>
  <c r="H122" i="10"/>
  <c r="R122" i="10"/>
  <c r="R122" i="11"/>
  <c r="B122" i="10"/>
  <c r="B122" i="11"/>
  <c r="W128" i="11"/>
  <c r="W128" i="10"/>
  <c r="M128" i="11"/>
  <c r="M128" i="10"/>
  <c r="P128" i="11"/>
  <c r="P128" i="10"/>
  <c r="Z128" i="10"/>
  <c r="Z128" i="11"/>
  <c r="J128" i="11"/>
  <c r="J128" i="10"/>
  <c r="Y112" i="11"/>
  <c r="Y112" i="10"/>
  <c r="S120" i="11"/>
  <c r="S120" i="10"/>
  <c r="DI108" i="2"/>
  <c r="S102" i="10"/>
  <c r="S102" i="11"/>
  <c r="L102" i="11"/>
  <c r="L102" i="10"/>
  <c r="P102" i="11"/>
  <c r="P102" i="10"/>
  <c r="T102" i="11"/>
  <c r="T102" i="10"/>
  <c r="Z102" i="11"/>
  <c r="Z102" i="10"/>
  <c r="J102" i="11"/>
  <c r="J102" i="10"/>
  <c r="I108" i="11"/>
  <c r="I108" i="10"/>
  <c r="O108" i="11"/>
  <c r="O108" i="10"/>
  <c r="M108" i="11"/>
  <c r="M108" i="10"/>
  <c r="U108" i="11"/>
  <c r="U108" i="10"/>
  <c r="Z108" i="11"/>
  <c r="Z108" i="10"/>
  <c r="J108" i="11"/>
  <c r="J108" i="10"/>
  <c r="S114" i="11"/>
  <c r="S114" i="10"/>
  <c r="Q114" i="11"/>
  <c r="Q114" i="10"/>
  <c r="G114" i="11"/>
  <c r="G114" i="10"/>
  <c r="L114" i="11"/>
  <c r="L114" i="10"/>
  <c r="V114" i="11"/>
  <c r="V114" i="10"/>
  <c r="F114" i="11"/>
  <c r="F114" i="10"/>
  <c r="I120" i="11"/>
  <c r="I120" i="10"/>
  <c r="U120" i="11"/>
  <c r="U120" i="10"/>
  <c r="T120" i="11"/>
  <c r="T120" i="10"/>
  <c r="D120" i="11"/>
  <c r="D120" i="10"/>
  <c r="N120" i="10"/>
  <c r="N120" i="11"/>
  <c r="W126" i="11"/>
  <c r="W126" i="10"/>
  <c r="M126" i="11"/>
  <c r="M126" i="10"/>
  <c r="K126" i="11"/>
  <c r="K126" i="10"/>
  <c r="P126" i="11"/>
  <c r="P126" i="10"/>
  <c r="Z126" i="11"/>
  <c r="Z126" i="10"/>
  <c r="J126" i="11"/>
  <c r="J126" i="10"/>
  <c r="T132" i="11"/>
  <c r="T132" i="10"/>
  <c r="X132" i="11"/>
  <c r="X132" i="10"/>
  <c r="C132" i="11"/>
  <c r="C132" i="10"/>
  <c r="G132" i="11"/>
  <c r="G132" i="10"/>
  <c r="N132" i="11"/>
  <c r="N132" i="10"/>
  <c r="DO128" i="2"/>
  <c r="DL108" i="2"/>
  <c r="DM124" i="2"/>
  <c r="DM116" i="2"/>
  <c r="DM132" i="2"/>
  <c r="T104" i="11"/>
  <c r="T104" i="10"/>
  <c r="D112" i="11"/>
  <c r="D112" i="10"/>
  <c r="U122" i="11"/>
  <c r="U122" i="10"/>
  <c r="DM134" i="2"/>
  <c r="M130" i="11"/>
  <c r="M130" i="10"/>
  <c r="P106" i="11"/>
  <c r="P106" i="10"/>
  <c r="C106" i="11"/>
  <c r="C106" i="10"/>
  <c r="I106" i="11"/>
  <c r="I106" i="10"/>
  <c r="L106" i="11"/>
  <c r="L106" i="10"/>
  <c r="R106" i="11"/>
  <c r="R106" i="10"/>
  <c r="B106" i="11"/>
  <c r="B106" i="10"/>
  <c r="I112" i="11"/>
  <c r="I112" i="10"/>
  <c r="U112" i="11"/>
  <c r="U112" i="10"/>
  <c r="X112" i="11"/>
  <c r="X112" i="10"/>
  <c r="C112" i="11"/>
  <c r="C112" i="10"/>
  <c r="N112" i="11"/>
  <c r="N112" i="10"/>
  <c r="W118" i="11"/>
  <c r="W118" i="10"/>
  <c r="M118" i="11"/>
  <c r="M118" i="10"/>
  <c r="K118" i="11"/>
  <c r="K118" i="10"/>
  <c r="P118" i="11"/>
  <c r="P118" i="10"/>
  <c r="Z118" i="10"/>
  <c r="Z118" i="11"/>
  <c r="J118" i="11"/>
  <c r="J118" i="10"/>
  <c r="M124" i="11"/>
  <c r="M124" i="10"/>
  <c r="K124" i="11"/>
  <c r="K124" i="10"/>
  <c r="I124" i="11"/>
  <c r="I124" i="10"/>
  <c r="L124" i="10"/>
  <c r="L124" i="11"/>
  <c r="V124" i="11"/>
  <c r="V124" i="10"/>
  <c r="F124" i="11"/>
  <c r="F124" i="10"/>
  <c r="K130" i="11"/>
  <c r="K130" i="10"/>
  <c r="I130" i="10"/>
  <c r="I130" i="11"/>
  <c r="X130" i="11"/>
  <c r="X130" i="10"/>
  <c r="H130" i="11"/>
  <c r="H130" i="10"/>
  <c r="R130" i="11"/>
  <c r="R130" i="10"/>
  <c r="B130" i="11"/>
  <c r="B130" i="10"/>
  <c r="Q126" i="11"/>
  <c r="Q126" i="10"/>
  <c r="G104" i="11"/>
  <c r="G104" i="10"/>
  <c r="W104" i="11"/>
  <c r="W104" i="10"/>
  <c r="P104" i="11"/>
  <c r="P104" i="10"/>
  <c r="S104" i="11"/>
  <c r="S104" i="10"/>
  <c r="Z104" i="11"/>
  <c r="Z104" i="10"/>
  <c r="J104" i="11"/>
  <c r="J104" i="10"/>
  <c r="K110" i="11"/>
  <c r="K110" i="10"/>
  <c r="P110" i="11"/>
  <c r="P110" i="10"/>
  <c r="L110" i="11"/>
  <c r="L110" i="10"/>
  <c r="O110" i="11"/>
  <c r="O110" i="10"/>
  <c r="V110" i="11"/>
  <c r="V110" i="10"/>
  <c r="F110" i="11"/>
  <c r="F110" i="10"/>
  <c r="E116" i="11"/>
  <c r="E116" i="10"/>
  <c r="C116" i="11"/>
  <c r="C116" i="10"/>
  <c r="X116" i="11"/>
  <c r="X116" i="10"/>
  <c r="H116" i="11"/>
  <c r="H116" i="10"/>
  <c r="R116" i="11"/>
  <c r="R116" i="10"/>
  <c r="B116" i="11"/>
  <c r="B116" i="10"/>
  <c r="C122" i="11"/>
  <c r="C122" i="10"/>
  <c r="W122" i="11"/>
  <c r="W122" i="10"/>
  <c r="T122" i="11"/>
  <c r="T122" i="10"/>
  <c r="D122" i="11"/>
  <c r="D122" i="10"/>
  <c r="N122" i="11"/>
  <c r="N122" i="10"/>
  <c r="Y128" i="11"/>
  <c r="Y128" i="10"/>
  <c r="O128" i="11"/>
  <c r="O128" i="10"/>
  <c r="E128" i="11"/>
  <c r="E128" i="10"/>
  <c r="L128" i="11"/>
  <c r="L128" i="10"/>
  <c r="V128" i="11"/>
  <c r="V128" i="10"/>
  <c r="F128" i="11"/>
  <c r="F128" i="10"/>
  <c r="M114" i="11"/>
  <c r="M114" i="10"/>
  <c r="Y126" i="11"/>
  <c r="Y126" i="10"/>
  <c r="DI132" i="2"/>
  <c r="M102" i="11"/>
  <c r="M102" i="10"/>
  <c r="G102" i="10"/>
  <c r="G102" i="11"/>
  <c r="K102" i="10"/>
  <c r="K102" i="11"/>
  <c r="O102" i="10"/>
  <c r="O102" i="11"/>
  <c r="V102" i="11"/>
  <c r="V102" i="10"/>
  <c r="F102" i="11"/>
  <c r="F102" i="10"/>
  <c r="Q108" i="11"/>
  <c r="Q108" i="10"/>
  <c r="D108" i="11"/>
  <c r="D108" i="10"/>
  <c r="H108" i="11"/>
  <c r="H108" i="10"/>
  <c r="P108" i="11"/>
  <c r="P108" i="10"/>
  <c r="V108" i="11"/>
  <c r="V108" i="10"/>
  <c r="F108" i="11"/>
  <c r="F108" i="10"/>
  <c r="K114" i="11"/>
  <c r="K114" i="10"/>
  <c r="I114" i="11"/>
  <c r="I114" i="10"/>
  <c r="X114" i="11"/>
  <c r="X114" i="10"/>
  <c r="H114" i="11"/>
  <c r="H114" i="10"/>
  <c r="R114" i="11"/>
  <c r="R114" i="10"/>
  <c r="B114" i="11"/>
  <c r="B114" i="10"/>
  <c r="W120" i="11"/>
  <c r="W120" i="10"/>
  <c r="M120" i="11"/>
  <c r="M120" i="10"/>
  <c r="P120" i="10"/>
  <c r="P120" i="11"/>
  <c r="Z120" i="11"/>
  <c r="Z120" i="10"/>
  <c r="J120" i="11"/>
  <c r="J120" i="10"/>
  <c r="O126" i="11"/>
  <c r="O126" i="10"/>
  <c r="E126" i="11"/>
  <c r="E126" i="10"/>
  <c r="C126" i="11"/>
  <c r="C126" i="10"/>
  <c r="L126" i="11"/>
  <c r="L126" i="10"/>
  <c r="V126" i="11"/>
  <c r="V126" i="10"/>
  <c r="F126" i="11"/>
  <c r="F126" i="10"/>
  <c r="O132" i="11"/>
  <c r="O132" i="10"/>
  <c r="S132" i="11"/>
  <c r="S132" i="10"/>
  <c r="W132" i="11"/>
  <c r="W132" i="10"/>
  <c r="Z132" i="10"/>
  <c r="Z132" i="11"/>
  <c r="J132" i="10"/>
  <c r="J132" i="11"/>
  <c r="DM110" i="2"/>
  <c r="Q118" i="11"/>
  <c r="Q118" i="10"/>
  <c r="H106" i="11"/>
  <c r="H106" i="10"/>
  <c r="T106" i="11"/>
  <c r="T106" i="10"/>
  <c r="J106" i="11"/>
  <c r="J106" i="10"/>
  <c r="K112" i="11"/>
  <c r="K112" i="10"/>
  <c r="V112" i="11"/>
  <c r="V112" i="10"/>
  <c r="AA118" i="11"/>
  <c r="AA118" i="10"/>
  <c r="X118" i="10"/>
  <c r="X118" i="11"/>
  <c r="B118" i="11"/>
  <c r="B118" i="10"/>
  <c r="Y124" i="11"/>
  <c r="Y124" i="10"/>
  <c r="N124" i="11"/>
  <c r="N124" i="10"/>
  <c r="P130" i="11"/>
  <c r="P130" i="10"/>
  <c r="I128" i="11"/>
  <c r="I128" i="10"/>
  <c r="DL110" i="2"/>
  <c r="DM114" i="2"/>
  <c r="DL126" i="2"/>
  <c r="DL118" i="2"/>
  <c r="DL134" i="2"/>
  <c r="DL116" i="2"/>
  <c r="DL124" i="2"/>
  <c r="DL112" i="2"/>
  <c r="DL122" i="2"/>
  <c r="DM106" i="2"/>
  <c r="DM120" i="2"/>
  <c r="U106" i="11"/>
  <c r="U106" i="10"/>
  <c r="W116" i="11"/>
  <c r="W116" i="10"/>
  <c r="O124" i="11"/>
  <c r="O124" i="10"/>
  <c r="E132" i="11"/>
  <c r="E132" i="10"/>
  <c r="S106" i="11"/>
  <c r="S106" i="10"/>
  <c r="E106" i="11"/>
  <c r="E106" i="10"/>
  <c r="Y106" i="11"/>
  <c r="Y106" i="10"/>
  <c r="D106" i="11"/>
  <c r="D106" i="10"/>
  <c r="G106" i="11"/>
  <c r="G106" i="10"/>
  <c r="N106" i="11"/>
  <c r="N106" i="10"/>
  <c r="W112" i="11"/>
  <c r="W112" i="10"/>
  <c r="Q112" i="11"/>
  <c r="Q112" i="10"/>
  <c r="P112" i="11"/>
  <c r="P112" i="10"/>
  <c r="S112" i="10"/>
  <c r="S112" i="11"/>
  <c r="Z112" i="11"/>
  <c r="Z112" i="10"/>
  <c r="J112" i="11"/>
  <c r="J112" i="10"/>
  <c r="O118" i="11"/>
  <c r="O118" i="10"/>
  <c r="E118" i="11"/>
  <c r="E118" i="10"/>
  <c r="C118" i="11"/>
  <c r="C118" i="10"/>
  <c r="L118" i="11"/>
  <c r="L118" i="10"/>
  <c r="V118" i="11"/>
  <c r="V118" i="10"/>
  <c r="F118" i="11"/>
  <c r="F118" i="10"/>
  <c r="E124" i="11"/>
  <c r="E124" i="10"/>
  <c r="C124" i="11"/>
  <c r="C124" i="10"/>
  <c r="X124" i="11"/>
  <c r="X124" i="10"/>
  <c r="H124" i="11"/>
  <c r="H124" i="10"/>
  <c r="R124" i="11"/>
  <c r="R124" i="10"/>
  <c r="B124" i="11"/>
  <c r="B124" i="10"/>
  <c r="C130" i="11"/>
  <c r="C130" i="10"/>
  <c r="W130" i="11"/>
  <c r="W130" i="10"/>
  <c r="T130" i="10"/>
  <c r="T130" i="11"/>
  <c r="D130" i="11"/>
  <c r="D130" i="10"/>
  <c r="N130" i="10"/>
  <c r="N130" i="11"/>
  <c r="X110" i="11"/>
  <c r="X110" i="10"/>
  <c r="C128" i="11"/>
  <c r="C128" i="10"/>
  <c r="Y104" i="11"/>
  <c r="Y104" i="10"/>
  <c r="L104" i="11"/>
  <c r="L104" i="10"/>
  <c r="K104" i="11"/>
  <c r="K104" i="10"/>
  <c r="M104" i="11"/>
  <c r="M104" i="10"/>
  <c r="V104" i="11"/>
  <c r="V104" i="10"/>
  <c r="F104" i="11"/>
  <c r="F104" i="10"/>
  <c r="S110" i="11"/>
  <c r="S110" i="10"/>
  <c r="E110" i="11"/>
  <c r="E110" i="10"/>
  <c r="G110" i="11"/>
  <c r="G110" i="10"/>
  <c r="I110" i="11"/>
  <c r="I110" i="10"/>
  <c r="R110" i="11"/>
  <c r="R110" i="10"/>
  <c r="B110" i="11"/>
  <c r="B110" i="10"/>
  <c r="AA116" i="11"/>
  <c r="AA116" i="10"/>
  <c r="Y116" i="11"/>
  <c r="Y116" i="10"/>
  <c r="T116" i="11"/>
  <c r="T116" i="10"/>
  <c r="D116" i="11"/>
  <c r="D116" i="10"/>
  <c r="N116" i="11"/>
  <c r="N116" i="10"/>
  <c r="AA122" i="11"/>
  <c r="AA122" i="10"/>
  <c r="Y122" i="11"/>
  <c r="Y122" i="10"/>
  <c r="O122" i="11"/>
  <c r="O122" i="10"/>
  <c r="P122" i="11"/>
  <c r="P122" i="10"/>
  <c r="Z122" i="11"/>
  <c r="Z122" i="10"/>
  <c r="J122" i="10"/>
  <c r="J122" i="11"/>
  <c r="Q128" i="11"/>
  <c r="Q128" i="10"/>
  <c r="G128" i="11"/>
  <c r="G128" i="10"/>
  <c r="X128" i="11"/>
  <c r="X128" i="10"/>
  <c r="H128" i="10"/>
  <c r="H128" i="11"/>
  <c r="R128" i="10"/>
  <c r="R128" i="11"/>
  <c r="B128" i="10"/>
  <c r="B128" i="11"/>
  <c r="P132" i="11"/>
  <c r="P132" i="10"/>
  <c r="X102" i="11"/>
  <c r="X102" i="10"/>
  <c r="W102" i="10"/>
  <c r="W102" i="11"/>
  <c r="AA102" i="11"/>
  <c r="AA102" i="10"/>
  <c r="E102" i="11"/>
  <c r="E102" i="10"/>
  <c r="I102" i="11"/>
  <c r="I102" i="10"/>
  <c r="R102" i="11"/>
  <c r="R102" i="10"/>
  <c r="B102" i="11"/>
  <c r="B102" i="10"/>
  <c r="G108" i="11"/>
  <c r="G108" i="10"/>
  <c r="X108" i="11"/>
  <c r="X108" i="10"/>
  <c r="C108" i="11"/>
  <c r="C108" i="10"/>
  <c r="K108" i="11"/>
  <c r="K108" i="10"/>
  <c r="R108" i="11"/>
  <c r="R108" i="10"/>
  <c r="B108" i="11"/>
  <c r="B108" i="10"/>
  <c r="C114" i="11"/>
  <c r="C114" i="10"/>
  <c r="W114" i="11"/>
  <c r="W114" i="10"/>
  <c r="T114" i="11"/>
  <c r="T114" i="10"/>
  <c r="D114" i="11"/>
  <c r="D114" i="10"/>
  <c r="N114" i="11"/>
  <c r="N114" i="10"/>
  <c r="Y120" i="11"/>
  <c r="Y120" i="10"/>
  <c r="O120" i="11"/>
  <c r="O120" i="10"/>
  <c r="E120" i="11"/>
  <c r="E120" i="10"/>
  <c r="L120" i="11"/>
  <c r="L120" i="10"/>
  <c r="V120" i="10"/>
  <c r="V120" i="11"/>
  <c r="F120" i="10"/>
  <c r="F120" i="11"/>
  <c r="G126" i="11"/>
  <c r="G126" i="10"/>
  <c r="AA126" i="11"/>
  <c r="AA126" i="10"/>
  <c r="X126" i="10"/>
  <c r="X126" i="11"/>
  <c r="H126" i="10"/>
  <c r="H126" i="11"/>
  <c r="R126" i="11"/>
  <c r="R126" i="10"/>
  <c r="B126" i="11"/>
  <c r="B126" i="10"/>
  <c r="I132" i="11"/>
  <c r="I132" i="10"/>
  <c r="M132" i="11"/>
  <c r="M132" i="10"/>
  <c r="Q132" i="11"/>
  <c r="Q132" i="10"/>
  <c r="V132" i="11"/>
  <c r="V132" i="10"/>
  <c r="F132" i="11"/>
  <c r="F132" i="10"/>
  <c r="DM126" i="2"/>
  <c r="DK114" i="2"/>
  <c r="DA133" i="2"/>
  <c r="DB133" i="2"/>
  <c r="DA132" i="2"/>
  <c r="CU134" i="2"/>
  <c r="DB134" i="2" s="1"/>
  <c r="CT128" i="2"/>
  <c r="CZ128" i="2"/>
  <c r="DA128" i="2"/>
  <c r="DA110" i="2"/>
  <c r="CU129" i="2"/>
  <c r="CT129" i="2"/>
  <c r="DA129" i="2"/>
  <c r="CZ126" i="2"/>
  <c r="CT126" i="2"/>
  <c r="DA109" i="2"/>
  <c r="CU109" i="2"/>
  <c r="CU110" i="2"/>
  <c r="DB110" i="2" s="1"/>
  <c r="DA107" i="2"/>
  <c r="CU107" i="2"/>
  <c r="DB107" i="2" s="1"/>
  <c r="DE109" i="2"/>
  <c r="DF109" i="2" s="1"/>
  <c r="CT109" i="2"/>
  <c r="CZ109" i="2"/>
  <c r="CZ110" i="2"/>
  <c r="DE110" i="2"/>
  <c r="DF110" i="2" s="1"/>
  <c r="CZ107" i="2"/>
  <c r="DA127" i="2"/>
  <c r="DB127" i="2"/>
  <c r="N59" i="2"/>
  <c r="AL63" i="2"/>
  <c r="D67" i="2"/>
  <c r="D69" i="2"/>
  <c r="D17" i="2"/>
  <c r="G14" i="2"/>
  <c r="P34" i="2"/>
  <c r="D46" i="2"/>
  <c r="E46" i="2"/>
  <c r="AK77" i="2"/>
  <c r="P35" i="2"/>
  <c r="CT124" i="2"/>
  <c r="AL65" i="2"/>
  <c r="D74" i="2"/>
  <c r="AM70" i="2"/>
  <c r="F12" i="2"/>
  <c r="AK74" i="2"/>
  <c r="Y74" i="2"/>
  <c r="E76" i="2"/>
  <c r="AM89" i="2"/>
  <c r="F41" i="2"/>
  <c r="G41" i="2"/>
  <c r="AI41" i="2"/>
  <c r="F52" i="2"/>
  <c r="BA52" i="2"/>
  <c r="BO52" i="2"/>
  <c r="CU125" i="2"/>
  <c r="CT125" i="2"/>
  <c r="D65" i="2"/>
  <c r="D32" i="2"/>
  <c r="Y32" i="2"/>
  <c r="E69" i="2"/>
  <c r="O70" i="2"/>
  <c r="AM72" i="2"/>
  <c r="AI11" i="2"/>
  <c r="G12" i="2"/>
  <c r="Y76" i="2"/>
  <c r="Y34" i="2"/>
  <c r="E20" i="2"/>
  <c r="G18" i="2"/>
  <c r="BC18" i="2"/>
  <c r="AK80" i="2"/>
  <c r="AL87" i="2"/>
  <c r="AM87" i="2"/>
  <c r="M87" i="2"/>
  <c r="Y89" i="2"/>
  <c r="AK89" i="2"/>
  <c r="BG89" i="2"/>
  <c r="Q35" i="2"/>
  <c r="BI37" i="2"/>
  <c r="G43" i="2"/>
  <c r="Y41" i="2"/>
  <c r="AI43" i="2"/>
  <c r="BI41" i="2"/>
  <c r="E52" i="2"/>
  <c r="BK52" i="2"/>
  <c r="AK91" i="2"/>
  <c r="X101" i="2"/>
  <c r="X56" i="2"/>
  <c r="D61" i="2"/>
  <c r="X32" i="2"/>
  <c r="E32" i="2"/>
  <c r="D70" i="2"/>
  <c r="E70" i="2"/>
  <c r="AI70" i="2"/>
  <c r="E12" i="2"/>
  <c r="AM74" i="2"/>
  <c r="AM76" i="2"/>
  <c r="Y20" i="2"/>
  <c r="O80" i="2"/>
  <c r="Y80" i="2"/>
  <c r="E89" i="2"/>
  <c r="Q41" i="2"/>
  <c r="X98" i="2"/>
  <c r="CU124" i="2"/>
  <c r="N60" i="2"/>
  <c r="D64" i="2"/>
  <c r="AK71" i="2"/>
  <c r="F13" i="2"/>
  <c r="Y16" i="2"/>
  <c r="Y21" i="2"/>
  <c r="E81" i="2"/>
  <c r="G38" i="2"/>
  <c r="Y48" i="2"/>
  <c r="BG48" i="2"/>
  <c r="P44" i="2"/>
  <c r="Q44" i="2"/>
  <c r="BA44" i="2"/>
  <c r="X97" i="2"/>
  <c r="D60" i="2"/>
  <c r="F31" i="2"/>
  <c r="Y64" i="2"/>
  <c r="AM66" i="2"/>
  <c r="D21" i="2"/>
  <c r="G33" i="2"/>
  <c r="AI33" i="2"/>
  <c r="AM21" i="2"/>
  <c r="E83" i="2"/>
  <c r="O81" i="2"/>
  <c r="Y81" i="2"/>
  <c r="AM81" i="2"/>
  <c r="Y84" i="2"/>
  <c r="AL64" i="2"/>
  <c r="X68" i="2"/>
  <c r="P30" i="2"/>
  <c r="O71" i="2"/>
  <c r="D14" i="2"/>
  <c r="E13" i="2"/>
  <c r="P33" i="2"/>
  <c r="E45" i="2"/>
  <c r="AG33" i="2"/>
  <c r="E16" i="2"/>
  <c r="G16" i="2"/>
  <c r="AI81" i="2"/>
  <c r="X84" i="2"/>
  <c r="O84" i="2"/>
  <c r="E88" i="2"/>
  <c r="AI38" i="2"/>
  <c r="Y49" i="2"/>
  <c r="BG49" i="2"/>
  <c r="AG44" i="2"/>
  <c r="CU114" i="2"/>
  <c r="CT120" i="2"/>
  <c r="DA115" i="2"/>
  <c r="CT114" i="2"/>
  <c r="DA105" i="2"/>
  <c r="DA119" i="2"/>
  <c r="CU122" i="2"/>
  <c r="CT116" i="2"/>
  <c r="CT119" i="2"/>
  <c r="CZ105" i="2"/>
  <c r="CZ117" i="2"/>
  <c r="CZ121" i="2"/>
  <c r="DA113" i="2"/>
  <c r="DA117" i="2"/>
  <c r="DA118" i="2"/>
  <c r="CT113" i="2"/>
  <c r="CT115" i="2"/>
  <c r="CT118" i="2"/>
  <c r="DA116" i="2"/>
  <c r="CU120" i="2"/>
  <c r="DA121" i="2"/>
  <c r="DA125" i="2"/>
  <c r="Q29" i="2"/>
  <c r="F10" i="2"/>
  <c r="J10" i="2"/>
  <c r="N10" i="2"/>
  <c r="R10" i="2"/>
  <c r="V10" i="2"/>
  <c r="Z10" i="2"/>
  <c r="AD10" i="2"/>
  <c r="AH10" i="2"/>
  <c r="AL10" i="2"/>
  <c r="AP10" i="2"/>
  <c r="AT10" i="2"/>
  <c r="AX10" i="2"/>
  <c r="BB10" i="2"/>
  <c r="BF10" i="2"/>
  <c r="BJ10" i="2"/>
  <c r="BN10" i="2"/>
  <c r="BR10" i="2"/>
  <c r="BV10" i="2"/>
  <c r="BZ10" i="2"/>
  <c r="CD10" i="2"/>
  <c r="CH10" i="2"/>
  <c r="CL10" i="2"/>
  <c r="CP10" i="2"/>
  <c r="K10" i="2"/>
  <c r="O10" i="2"/>
  <c r="S10" i="2"/>
  <c r="W10" i="2"/>
  <c r="AA10" i="2"/>
  <c r="AE10" i="2"/>
  <c r="AI10" i="2"/>
  <c r="AM10" i="2"/>
  <c r="AQ10" i="2"/>
  <c r="AU10" i="2"/>
  <c r="BC10" i="2"/>
  <c r="BG10" i="2"/>
  <c r="BK10" i="2"/>
  <c r="BO10" i="2"/>
  <c r="BS10" i="2"/>
  <c r="BW10" i="2"/>
  <c r="CA10" i="2"/>
  <c r="CE10" i="2"/>
  <c r="CI10" i="2"/>
  <c r="CM10" i="2"/>
  <c r="CQ10" i="2"/>
  <c r="D10" i="2"/>
  <c r="H10" i="2"/>
  <c r="L10" i="2"/>
  <c r="P10" i="2"/>
  <c r="T10" i="2"/>
  <c r="X10" i="2"/>
  <c r="AB10" i="2"/>
  <c r="AF10" i="2"/>
  <c r="AJ10" i="2"/>
  <c r="AN10" i="2"/>
  <c r="AR10" i="2"/>
  <c r="AV10" i="2"/>
  <c r="AZ10" i="2"/>
  <c r="BD10" i="2"/>
  <c r="BH10" i="2"/>
  <c r="BL10" i="2"/>
  <c r="BP10" i="2"/>
  <c r="BT10" i="2"/>
  <c r="BX10" i="2"/>
  <c r="CB10" i="2"/>
  <c r="CF10" i="2"/>
  <c r="CJ10" i="2"/>
  <c r="CN10" i="2"/>
  <c r="I10" i="2"/>
  <c r="M10" i="2"/>
  <c r="Q10" i="2"/>
  <c r="U10" i="2"/>
  <c r="Y10" i="2"/>
  <c r="AC10" i="2"/>
  <c r="AG10" i="2"/>
  <c r="AK10" i="2"/>
  <c r="AO10" i="2"/>
  <c r="AS10" i="2"/>
  <c r="BA10" i="2"/>
  <c r="BE10" i="2"/>
  <c r="BI10" i="2"/>
  <c r="BM10" i="2"/>
  <c r="BQ10" i="2"/>
  <c r="BU10" i="2"/>
  <c r="BY10" i="2"/>
  <c r="CC10" i="2"/>
  <c r="CG10" i="2"/>
  <c r="CK10" i="2"/>
  <c r="CO10" i="2"/>
  <c r="D79" i="2"/>
  <c r="H79" i="2"/>
  <c r="L79" i="2"/>
  <c r="P79" i="2"/>
  <c r="T79" i="2"/>
  <c r="X79" i="2"/>
  <c r="AB79" i="2"/>
  <c r="AF79" i="2"/>
  <c r="AJ79" i="2"/>
  <c r="AN79" i="2"/>
  <c r="AR79" i="2"/>
  <c r="AV79" i="2"/>
  <c r="AZ79" i="2"/>
  <c r="BD79" i="2"/>
  <c r="BH79" i="2"/>
  <c r="BL79" i="2"/>
  <c r="BP79" i="2"/>
  <c r="BT79" i="2"/>
  <c r="BX79" i="2"/>
  <c r="CB79" i="2"/>
  <c r="CF79" i="2"/>
  <c r="CJ79" i="2"/>
  <c r="CN79" i="2"/>
  <c r="I79" i="2"/>
  <c r="N79" i="2"/>
  <c r="S79" i="2"/>
  <c r="AD79" i="2"/>
  <c r="AI79" i="2"/>
  <c r="AO79" i="2"/>
  <c r="AT79" i="2"/>
  <c r="AY79" i="2"/>
  <c r="BE79" i="2"/>
  <c r="BJ79" i="2"/>
  <c r="BO79" i="2"/>
  <c r="BU79" i="2"/>
  <c r="BZ79" i="2"/>
  <c r="CE79" i="2"/>
  <c r="CK79" i="2"/>
  <c r="CP79" i="2"/>
  <c r="J79" i="2"/>
  <c r="U79" i="2"/>
  <c r="Z79" i="2"/>
  <c r="AE79" i="2"/>
  <c r="AK79" i="2"/>
  <c r="AP79" i="2"/>
  <c r="AU79" i="2"/>
  <c r="BA79" i="2"/>
  <c r="BF79" i="2"/>
  <c r="BK79" i="2"/>
  <c r="BQ79" i="2"/>
  <c r="BV79" i="2"/>
  <c r="CA79" i="2"/>
  <c r="CG79" i="2"/>
  <c r="CL79" i="2"/>
  <c r="CQ79" i="2"/>
  <c r="F79" i="2"/>
  <c r="K79" i="2"/>
  <c r="Q79" i="2"/>
  <c r="V79" i="2"/>
  <c r="AA79" i="2"/>
  <c r="AG79" i="2"/>
  <c r="AL79" i="2"/>
  <c r="AQ79" i="2"/>
  <c r="AW79" i="2"/>
  <c r="BB79" i="2"/>
  <c r="BG79" i="2"/>
  <c r="BM79" i="2"/>
  <c r="BR79" i="2"/>
  <c r="BW79" i="2"/>
  <c r="CC79" i="2"/>
  <c r="CH79" i="2"/>
  <c r="CM79" i="2"/>
  <c r="G79" i="2"/>
  <c r="M79" i="2"/>
  <c r="R79" i="2"/>
  <c r="W79" i="2"/>
  <c r="AC79" i="2"/>
  <c r="AH79" i="2"/>
  <c r="AS79" i="2"/>
  <c r="AX79" i="2"/>
  <c r="BC79" i="2"/>
  <c r="BI79" i="2"/>
  <c r="BN79" i="2"/>
  <c r="BS79" i="2"/>
  <c r="BY79" i="2"/>
  <c r="CD79" i="2"/>
  <c r="CI79" i="2"/>
  <c r="CO79" i="2"/>
  <c r="N67" i="2"/>
  <c r="D29" i="2"/>
  <c r="F30" i="2"/>
  <c r="J30" i="2"/>
  <c r="N30" i="2"/>
  <c r="R30" i="2"/>
  <c r="V30" i="2"/>
  <c r="Z30" i="2"/>
  <c r="AD30" i="2"/>
  <c r="AH30" i="2"/>
  <c r="AL30" i="2"/>
  <c r="AP30" i="2"/>
  <c r="AT30" i="2"/>
  <c r="AX30" i="2"/>
  <c r="BB30" i="2"/>
  <c r="BF30" i="2"/>
  <c r="BJ30" i="2"/>
  <c r="BN30" i="2"/>
  <c r="BR30" i="2"/>
  <c r="BV30" i="2"/>
  <c r="BZ30" i="2"/>
  <c r="CD30" i="2"/>
  <c r="CH30" i="2"/>
  <c r="CL30" i="2"/>
  <c r="CP30" i="2"/>
  <c r="G30" i="2"/>
  <c r="K30" i="2"/>
  <c r="O30" i="2"/>
  <c r="S30" i="2"/>
  <c r="W30" i="2"/>
  <c r="AA30" i="2"/>
  <c r="AE30" i="2"/>
  <c r="AI30" i="2"/>
  <c r="AM30" i="2"/>
  <c r="AQ30" i="2"/>
  <c r="AU30" i="2"/>
  <c r="AY30" i="2"/>
  <c r="BC30" i="2"/>
  <c r="BG30" i="2"/>
  <c r="BK30" i="2"/>
  <c r="BO30" i="2"/>
  <c r="BS30" i="2"/>
  <c r="BW30" i="2"/>
  <c r="CA30" i="2"/>
  <c r="CE30" i="2"/>
  <c r="CI30" i="2"/>
  <c r="CM30" i="2"/>
  <c r="CQ30" i="2"/>
  <c r="H30" i="2"/>
  <c r="L30" i="2"/>
  <c r="T30" i="2"/>
  <c r="X30" i="2"/>
  <c r="AB30" i="2"/>
  <c r="AF30" i="2"/>
  <c r="AJ30" i="2"/>
  <c r="AN30" i="2"/>
  <c r="I30" i="2"/>
  <c r="M30" i="2"/>
  <c r="U30" i="2"/>
  <c r="AC30" i="2"/>
  <c r="AG30" i="2"/>
  <c r="AK30" i="2"/>
  <c r="AV30" i="2"/>
  <c r="BD30" i="2"/>
  <c r="BL30" i="2"/>
  <c r="BT30" i="2"/>
  <c r="CB30" i="2"/>
  <c r="CJ30" i="2"/>
  <c r="AO30" i="2"/>
  <c r="AW30" i="2"/>
  <c r="BE30" i="2"/>
  <c r="BM30" i="2"/>
  <c r="BU30" i="2"/>
  <c r="CC30" i="2"/>
  <c r="CK30" i="2"/>
  <c r="AR30" i="2"/>
  <c r="AZ30" i="2"/>
  <c r="BH30" i="2"/>
  <c r="BP30" i="2"/>
  <c r="BX30" i="2"/>
  <c r="CF30" i="2"/>
  <c r="CN30" i="2"/>
  <c r="AS30" i="2"/>
  <c r="BA30" i="2"/>
  <c r="BI30" i="2"/>
  <c r="BQ30" i="2"/>
  <c r="BY30" i="2"/>
  <c r="CG30" i="2"/>
  <c r="CO30" i="2"/>
  <c r="Q30" i="2"/>
  <c r="Y30" i="2"/>
  <c r="H72" i="2"/>
  <c r="L72" i="2"/>
  <c r="P72" i="2"/>
  <c r="T72" i="2"/>
  <c r="X72" i="2"/>
  <c r="AB72" i="2"/>
  <c r="AF72" i="2"/>
  <c r="AJ72" i="2"/>
  <c r="AN72" i="2"/>
  <c r="AR72" i="2"/>
  <c r="AV72" i="2"/>
  <c r="AZ72" i="2"/>
  <c r="BD72" i="2"/>
  <c r="BH72" i="2"/>
  <c r="BL72" i="2"/>
  <c r="BP72" i="2"/>
  <c r="BT72" i="2"/>
  <c r="BX72" i="2"/>
  <c r="CB72" i="2"/>
  <c r="CF72" i="2"/>
  <c r="CJ72" i="2"/>
  <c r="CN72" i="2"/>
  <c r="I72" i="2"/>
  <c r="M72" i="2"/>
  <c r="Q72" i="2"/>
  <c r="U72" i="2"/>
  <c r="Y72" i="2"/>
  <c r="AC72" i="2"/>
  <c r="AG72" i="2"/>
  <c r="AO72" i="2"/>
  <c r="AS72" i="2"/>
  <c r="AW72" i="2"/>
  <c r="BA72" i="2"/>
  <c r="BE72" i="2"/>
  <c r="BI72" i="2"/>
  <c r="BM72" i="2"/>
  <c r="BQ72" i="2"/>
  <c r="BU72" i="2"/>
  <c r="BY72" i="2"/>
  <c r="CC72" i="2"/>
  <c r="CG72" i="2"/>
  <c r="CK72" i="2"/>
  <c r="CO72" i="2"/>
  <c r="F72" i="2"/>
  <c r="J72" i="2"/>
  <c r="N72" i="2"/>
  <c r="R72" i="2"/>
  <c r="V72" i="2"/>
  <c r="Z72" i="2"/>
  <c r="AD72" i="2"/>
  <c r="AH72" i="2"/>
  <c r="AL72" i="2"/>
  <c r="AP72" i="2"/>
  <c r="AT72" i="2"/>
  <c r="AX72" i="2"/>
  <c r="BB72" i="2"/>
  <c r="BF72" i="2"/>
  <c r="BJ72" i="2"/>
  <c r="BN72" i="2"/>
  <c r="BR72" i="2"/>
  <c r="BV72" i="2"/>
  <c r="BZ72" i="2"/>
  <c r="CD72" i="2"/>
  <c r="CH72" i="2"/>
  <c r="CL72" i="2"/>
  <c r="CP72" i="2"/>
  <c r="G72" i="2"/>
  <c r="K72" i="2"/>
  <c r="S72" i="2"/>
  <c r="W72" i="2"/>
  <c r="AA72" i="2"/>
  <c r="AE72" i="2"/>
  <c r="AI72" i="2"/>
  <c r="AQ72" i="2"/>
  <c r="AU72" i="2"/>
  <c r="AY72" i="2"/>
  <c r="BC72" i="2"/>
  <c r="BG72" i="2"/>
  <c r="BK72" i="2"/>
  <c r="BO72" i="2"/>
  <c r="BS72" i="2"/>
  <c r="BW72" i="2"/>
  <c r="CA72" i="2"/>
  <c r="CE72" i="2"/>
  <c r="CI72" i="2"/>
  <c r="CM72" i="2"/>
  <c r="CQ72" i="2"/>
  <c r="J11" i="2"/>
  <c r="N11" i="2"/>
  <c r="R11" i="2"/>
  <c r="V11" i="2"/>
  <c r="Z11" i="2"/>
  <c r="AD11" i="2"/>
  <c r="AH11" i="2"/>
  <c r="AL11" i="2"/>
  <c r="AP11" i="2"/>
  <c r="AT11" i="2"/>
  <c r="AX11" i="2"/>
  <c r="BB11" i="2"/>
  <c r="BF11" i="2"/>
  <c r="BJ11" i="2"/>
  <c r="BN11" i="2"/>
  <c r="BR11" i="2"/>
  <c r="BV11" i="2"/>
  <c r="BZ11" i="2"/>
  <c r="CD11" i="2"/>
  <c r="CH11" i="2"/>
  <c r="CL11" i="2"/>
  <c r="CP11" i="2"/>
  <c r="K11" i="2"/>
  <c r="O11" i="2"/>
  <c r="S11" i="2"/>
  <c r="W11" i="2"/>
  <c r="AA11" i="2"/>
  <c r="AE11" i="2"/>
  <c r="AM11" i="2"/>
  <c r="AQ11" i="2"/>
  <c r="AU11" i="2"/>
  <c r="AY11" i="2"/>
  <c r="BC11" i="2"/>
  <c r="BG11" i="2"/>
  <c r="BK11" i="2"/>
  <c r="BO11" i="2"/>
  <c r="BS11" i="2"/>
  <c r="BW11" i="2"/>
  <c r="CA11" i="2"/>
  <c r="CE11" i="2"/>
  <c r="CI11" i="2"/>
  <c r="CM11" i="2"/>
  <c r="CQ11" i="2"/>
  <c r="H11" i="2"/>
  <c r="L11" i="2"/>
  <c r="P11" i="2"/>
  <c r="T11" i="2"/>
  <c r="X11" i="2"/>
  <c r="AB11" i="2"/>
  <c r="AF11" i="2"/>
  <c r="AJ11" i="2"/>
  <c r="AN11" i="2"/>
  <c r="AR11" i="2"/>
  <c r="AV11" i="2"/>
  <c r="AZ11" i="2"/>
  <c r="BD11" i="2"/>
  <c r="BH11" i="2"/>
  <c r="BL11" i="2"/>
  <c r="BP11" i="2"/>
  <c r="BT11" i="2"/>
  <c r="BX11" i="2"/>
  <c r="CB11" i="2"/>
  <c r="CF11" i="2"/>
  <c r="CJ11" i="2"/>
  <c r="CN11" i="2"/>
  <c r="I11" i="2"/>
  <c r="M11" i="2"/>
  <c r="Q11" i="2"/>
  <c r="U11" i="2"/>
  <c r="AC11" i="2"/>
  <c r="AG11" i="2"/>
  <c r="AK11" i="2"/>
  <c r="AO11" i="2"/>
  <c r="AS11" i="2"/>
  <c r="AW11" i="2"/>
  <c r="BA11" i="2"/>
  <c r="BE11" i="2"/>
  <c r="BI11" i="2"/>
  <c r="BM11" i="2"/>
  <c r="BQ11" i="2"/>
  <c r="BU11" i="2"/>
  <c r="BY11" i="2"/>
  <c r="CC11" i="2"/>
  <c r="CG11" i="2"/>
  <c r="CK11" i="2"/>
  <c r="CO11" i="2"/>
  <c r="D75" i="2"/>
  <c r="K14" i="2"/>
  <c r="O14" i="2"/>
  <c r="S14" i="2"/>
  <c r="W14" i="2"/>
  <c r="AA14" i="2"/>
  <c r="AE14" i="2"/>
  <c r="AI14" i="2"/>
  <c r="AQ14" i="2"/>
  <c r="AU14" i="2"/>
  <c r="AY14" i="2"/>
  <c r="BC14" i="2"/>
  <c r="BG14" i="2"/>
  <c r="I14" i="2"/>
  <c r="N14" i="2"/>
  <c r="T14" i="2"/>
  <c r="Y14" i="2"/>
  <c r="AD14" i="2"/>
  <c r="AJ14" i="2"/>
  <c r="AO14" i="2"/>
  <c r="AT14" i="2"/>
  <c r="AZ14" i="2"/>
  <c r="BE14" i="2"/>
  <c r="BJ14" i="2"/>
  <c r="BN14" i="2"/>
  <c r="BR14" i="2"/>
  <c r="BV14" i="2"/>
  <c r="BZ14" i="2"/>
  <c r="CD14" i="2"/>
  <c r="CH14" i="2"/>
  <c r="CL14" i="2"/>
  <c r="CP14" i="2"/>
  <c r="J14" i="2"/>
  <c r="P14" i="2"/>
  <c r="U14" i="2"/>
  <c r="Z14" i="2"/>
  <c r="AF14" i="2"/>
  <c r="AK14" i="2"/>
  <c r="AP14" i="2"/>
  <c r="AV14" i="2"/>
  <c r="BA14" i="2"/>
  <c r="BF14" i="2"/>
  <c r="BK14" i="2"/>
  <c r="BO14" i="2"/>
  <c r="BS14" i="2"/>
  <c r="BW14" i="2"/>
  <c r="CA14" i="2"/>
  <c r="CE14" i="2"/>
  <c r="CI14" i="2"/>
  <c r="CM14" i="2"/>
  <c r="CQ14" i="2"/>
  <c r="F14" i="2"/>
  <c r="L14" i="2"/>
  <c r="Q14" i="2"/>
  <c r="V14" i="2"/>
  <c r="AB14" i="2"/>
  <c r="AG14" i="2"/>
  <c r="AL14" i="2"/>
  <c r="AR14" i="2"/>
  <c r="AW14" i="2"/>
  <c r="BB14" i="2"/>
  <c r="BH14" i="2"/>
  <c r="BL14" i="2"/>
  <c r="BP14" i="2"/>
  <c r="BT14" i="2"/>
  <c r="BX14" i="2"/>
  <c r="CB14" i="2"/>
  <c r="CF14" i="2"/>
  <c r="CJ14" i="2"/>
  <c r="CN14" i="2"/>
  <c r="X14" i="2"/>
  <c r="AS14" i="2"/>
  <c r="BM14" i="2"/>
  <c r="CC14" i="2"/>
  <c r="H14" i="2"/>
  <c r="AC14" i="2"/>
  <c r="AX14" i="2"/>
  <c r="BQ14" i="2"/>
  <c r="CG14" i="2"/>
  <c r="M14" i="2"/>
  <c r="AH14" i="2"/>
  <c r="BD14" i="2"/>
  <c r="BU14" i="2"/>
  <c r="CK14" i="2"/>
  <c r="R14" i="2"/>
  <c r="AN14" i="2"/>
  <c r="BI14" i="2"/>
  <c r="BY14" i="2"/>
  <c r="CO14" i="2"/>
  <c r="G15" i="2"/>
  <c r="F34" i="2"/>
  <c r="J34" i="2"/>
  <c r="N34" i="2"/>
  <c r="G34" i="2"/>
  <c r="K34" i="2"/>
  <c r="O34" i="2"/>
  <c r="S34" i="2"/>
  <c r="W34" i="2"/>
  <c r="AA34" i="2"/>
  <c r="AE34" i="2"/>
  <c r="AM34" i="2"/>
  <c r="AQ34" i="2"/>
  <c r="AU34" i="2"/>
  <c r="AY34" i="2"/>
  <c r="BC34" i="2"/>
  <c r="BG34" i="2"/>
  <c r="BK34" i="2"/>
  <c r="BO34" i="2"/>
  <c r="BS34" i="2"/>
  <c r="BW34" i="2"/>
  <c r="CA34" i="2"/>
  <c r="CE34" i="2"/>
  <c r="CI34" i="2"/>
  <c r="CM34" i="2"/>
  <c r="CQ34" i="2"/>
  <c r="H34" i="2"/>
  <c r="L34" i="2"/>
  <c r="T34" i="2"/>
  <c r="AB34" i="2"/>
  <c r="AF34" i="2"/>
  <c r="AJ34" i="2"/>
  <c r="AN34" i="2"/>
  <c r="AR34" i="2"/>
  <c r="AV34" i="2"/>
  <c r="AZ34" i="2"/>
  <c r="BD34" i="2"/>
  <c r="BH34" i="2"/>
  <c r="BL34" i="2"/>
  <c r="BP34" i="2"/>
  <c r="BT34" i="2"/>
  <c r="BX34" i="2"/>
  <c r="CB34" i="2"/>
  <c r="CF34" i="2"/>
  <c r="CJ34" i="2"/>
  <c r="CN34" i="2"/>
  <c r="I34" i="2"/>
  <c r="M34" i="2"/>
  <c r="U34" i="2"/>
  <c r="AC34" i="2"/>
  <c r="AG34" i="2"/>
  <c r="AK34" i="2"/>
  <c r="AO34" i="2"/>
  <c r="AS34" i="2"/>
  <c r="AW34" i="2"/>
  <c r="BA34" i="2"/>
  <c r="BE34" i="2"/>
  <c r="BI34" i="2"/>
  <c r="BM34" i="2"/>
  <c r="BQ34" i="2"/>
  <c r="BU34" i="2"/>
  <c r="BY34" i="2"/>
  <c r="CC34" i="2"/>
  <c r="CG34" i="2"/>
  <c r="CK34" i="2"/>
  <c r="CO34" i="2"/>
  <c r="R34" i="2"/>
  <c r="AH34" i="2"/>
  <c r="AX34" i="2"/>
  <c r="BN34" i="2"/>
  <c r="CD34" i="2"/>
  <c r="V34" i="2"/>
  <c r="AL34" i="2"/>
  <c r="BB34" i="2"/>
  <c r="BR34" i="2"/>
  <c r="CH34" i="2"/>
  <c r="Z34" i="2"/>
  <c r="AP34" i="2"/>
  <c r="BF34" i="2"/>
  <c r="BV34" i="2"/>
  <c r="CL34" i="2"/>
  <c r="AD34" i="2"/>
  <c r="AT34" i="2"/>
  <c r="BJ34" i="2"/>
  <c r="BZ34" i="2"/>
  <c r="CP34" i="2"/>
  <c r="F18" i="2"/>
  <c r="J18" i="2"/>
  <c r="N18" i="2"/>
  <c r="R18" i="2"/>
  <c r="V18" i="2"/>
  <c r="Z18" i="2"/>
  <c r="AD18" i="2"/>
  <c r="AH18" i="2"/>
  <c r="AL18" i="2"/>
  <c r="AP18" i="2"/>
  <c r="AT18" i="2"/>
  <c r="AX18" i="2"/>
  <c r="BB18" i="2"/>
  <c r="BF18" i="2"/>
  <c r="BJ18" i="2"/>
  <c r="BN18" i="2"/>
  <c r="BR18" i="2"/>
  <c r="BV18" i="2"/>
  <c r="BZ18" i="2"/>
  <c r="CD18" i="2"/>
  <c r="CH18" i="2"/>
  <c r="CL18" i="2"/>
  <c r="CP18" i="2"/>
  <c r="K18" i="2"/>
  <c r="O18" i="2"/>
  <c r="S18" i="2"/>
  <c r="W18" i="2"/>
  <c r="AA18" i="2"/>
  <c r="AM18" i="2"/>
  <c r="AQ18" i="2"/>
  <c r="AU18" i="2"/>
  <c r="AY18" i="2"/>
  <c r="BG18" i="2"/>
  <c r="BK18" i="2"/>
  <c r="BO18" i="2"/>
  <c r="BS18" i="2"/>
  <c r="BW18" i="2"/>
  <c r="CA18" i="2"/>
  <c r="CE18" i="2"/>
  <c r="CI18" i="2"/>
  <c r="CM18" i="2"/>
  <c r="CQ18" i="2"/>
  <c r="D18" i="2"/>
  <c r="H18" i="2"/>
  <c r="L18" i="2"/>
  <c r="P18" i="2"/>
  <c r="T18" i="2"/>
  <c r="X18" i="2"/>
  <c r="AB18" i="2"/>
  <c r="AF18" i="2"/>
  <c r="AG18" i="2"/>
  <c r="AO18" i="2"/>
  <c r="AW18" i="2"/>
  <c r="BE18" i="2"/>
  <c r="BM18" i="2"/>
  <c r="BU18" i="2"/>
  <c r="CC18" i="2"/>
  <c r="CK18" i="2"/>
  <c r="U18" i="2"/>
  <c r="AJ18" i="2"/>
  <c r="AR18" i="2"/>
  <c r="AZ18" i="2"/>
  <c r="BH18" i="2"/>
  <c r="BP18" i="2"/>
  <c r="BX18" i="2"/>
  <c r="CF18" i="2"/>
  <c r="CN18" i="2"/>
  <c r="I18" i="2"/>
  <c r="AK18" i="2"/>
  <c r="AS18" i="2"/>
  <c r="BI18" i="2"/>
  <c r="BQ18" i="2"/>
  <c r="BY18" i="2"/>
  <c r="CG18" i="2"/>
  <c r="CO18" i="2"/>
  <c r="M18" i="2"/>
  <c r="AC18" i="2"/>
  <c r="AN18" i="2"/>
  <c r="AV18" i="2"/>
  <c r="BD18" i="2"/>
  <c r="BL18" i="2"/>
  <c r="BT18" i="2"/>
  <c r="CB18" i="2"/>
  <c r="CJ18" i="2"/>
  <c r="G47" i="2"/>
  <c r="K47" i="2"/>
  <c r="O47" i="2"/>
  <c r="S47" i="2"/>
  <c r="W47" i="2"/>
  <c r="AA47" i="2"/>
  <c r="AE47" i="2"/>
  <c r="AI47" i="2"/>
  <c r="AM47" i="2"/>
  <c r="AQ47" i="2"/>
  <c r="AU47" i="2"/>
  <c r="AY47" i="2"/>
  <c r="BC47" i="2"/>
  <c r="BG47" i="2"/>
  <c r="BK47" i="2"/>
  <c r="BO47" i="2"/>
  <c r="BS47" i="2"/>
  <c r="BW47" i="2"/>
  <c r="CA47" i="2"/>
  <c r="CE47" i="2"/>
  <c r="CI47" i="2"/>
  <c r="CM47" i="2"/>
  <c r="CQ47" i="2"/>
  <c r="D47" i="2"/>
  <c r="H47" i="2"/>
  <c r="L47" i="2"/>
  <c r="P47" i="2"/>
  <c r="T47" i="2"/>
  <c r="X47" i="2"/>
  <c r="AB47" i="2"/>
  <c r="AF47" i="2"/>
  <c r="AJ47" i="2"/>
  <c r="AN47" i="2"/>
  <c r="AR47" i="2"/>
  <c r="AV47" i="2"/>
  <c r="AZ47" i="2"/>
  <c r="BD47" i="2"/>
  <c r="BH47" i="2"/>
  <c r="BL47" i="2"/>
  <c r="BP47" i="2"/>
  <c r="BT47" i="2"/>
  <c r="BX47" i="2"/>
  <c r="CB47" i="2"/>
  <c r="CF47" i="2"/>
  <c r="CJ47" i="2"/>
  <c r="CN47" i="2"/>
  <c r="I47" i="2"/>
  <c r="M47" i="2"/>
  <c r="Q47" i="2"/>
  <c r="U47" i="2"/>
  <c r="Y47" i="2"/>
  <c r="AC47" i="2"/>
  <c r="AG47" i="2"/>
  <c r="AK47" i="2"/>
  <c r="AO47" i="2"/>
  <c r="AS47" i="2"/>
  <c r="AW47" i="2"/>
  <c r="BA47" i="2"/>
  <c r="BE47" i="2"/>
  <c r="BI47" i="2"/>
  <c r="BM47" i="2"/>
  <c r="BQ47" i="2"/>
  <c r="BU47" i="2"/>
  <c r="BY47" i="2"/>
  <c r="CC47" i="2"/>
  <c r="CG47" i="2"/>
  <c r="CK47" i="2"/>
  <c r="CO47" i="2"/>
  <c r="R47" i="2"/>
  <c r="AH47" i="2"/>
  <c r="AX47" i="2"/>
  <c r="BN47" i="2"/>
  <c r="CD47" i="2"/>
  <c r="F47" i="2"/>
  <c r="V47" i="2"/>
  <c r="AL47" i="2"/>
  <c r="BB47" i="2"/>
  <c r="BR47" i="2"/>
  <c r="CH47" i="2"/>
  <c r="J47" i="2"/>
  <c r="Z47" i="2"/>
  <c r="AP47" i="2"/>
  <c r="BF47" i="2"/>
  <c r="BV47" i="2"/>
  <c r="CL47" i="2"/>
  <c r="N47" i="2"/>
  <c r="AD47" i="2"/>
  <c r="AT47" i="2"/>
  <c r="BJ47" i="2"/>
  <c r="BZ47" i="2"/>
  <c r="CP47" i="2"/>
  <c r="BA18" i="2"/>
  <c r="G82" i="2"/>
  <c r="K82" i="2"/>
  <c r="S82" i="2"/>
  <c r="W82" i="2"/>
  <c r="AA82" i="2"/>
  <c r="AE82" i="2"/>
  <c r="AQ82" i="2"/>
  <c r="AU82" i="2"/>
  <c r="AY82" i="2"/>
  <c r="BC82" i="2"/>
  <c r="BG82" i="2"/>
  <c r="BK82" i="2"/>
  <c r="BO82" i="2"/>
  <c r="BS82" i="2"/>
  <c r="BW82" i="2"/>
  <c r="CA82" i="2"/>
  <c r="CE82" i="2"/>
  <c r="CI82" i="2"/>
  <c r="CM82" i="2"/>
  <c r="CQ82" i="2"/>
  <c r="D82" i="2"/>
  <c r="H82" i="2"/>
  <c r="L82" i="2"/>
  <c r="P82" i="2"/>
  <c r="T82" i="2"/>
  <c r="X82" i="2"/>
  <c r="AB82" i="2"/>
  <c r="AF82" i="2"/>
  <c r="AJ82" i="2"/>
  <c r="AN82" i="2"/>
  <c r="AR82" i="2"/>
  <c r="AV82" i="2"/>
  <c r="AZ82" i="2"/>
  <c r="BD82" i="2"/>
  <c r="BH82" i="2"/>
  <c r="BL82" i="2"/>
  <c r="BP82" i="2"/>
  <c r="BT82" i="2"/>
  <c r="BX82" i="2"/>
  <c r="CB82" i="2"/>
  <c r="CF82" i="2"/>
  <c r="CJ82" i="2"/>
  <c r="CN82" i="2"/>
  <c r="I82" i="2"/>
  <c r="M82" i="2"/>
  <c r="Q82" i="2"/>
  <c r="U82" i="2"/>
  <c r="AC82" i="2"/>
  <c r="AG82" i="2"/>
  <c r="AK82" i="2"/>
  <c r="AO82" i="2"/>
  <c r="AS82" i="2"/>
  <c r="AW82" i="2"/>
  <c r="BA82" i="2"/>
  <c r="BE82" i="2"/>
  <c r="BI82" i="2"/>
  <c r="BM82" i="2"/>
  <c r="BQ82" i="2"/>
  <c r="BU82" i="2"/>
  <c r="BY82" i="2"/>
  <c r="CC82" i="2"/>
  <c r="CG82" i="2"/>
  <c r="CK82" i="2"/>
  <c r="CO82" i="2"/>
  <c r="F82" i="2"/>
  <c r="J82" i="2"/>
  <c r="N82" i="2"/>
  <c r="R82" i="2"/>
  <c r="V82" i="2"/>
  <c r="Z82" i="2"/>
  <c r="AD82" i="2"/>
  <c r="AH82" i="2"/>
  <c r="AL82" i="2"/>
  <c r="AP82" i="2"/>
  <c r="AT82" i="2"/>
  <c r="AX82" i="2"/>
  <c r="BB82" i="2"/>
  <c r="BF82" i="2"/>
  <c r="BJ82" i="2"/>
  <c r="BN82" i="2"/>
  <c r="BR82" i="2"/>
  <c r="BV82" i="2"/>
  <c r="BZ82" i="2"/>
  <c r="CD82" i="2"/>
  <c r="CH82" i="2"/>
  <c r="CL82" i="2"/>
  <c r="CP82" i="2"/>
  <c r="E82" i="2"/>
  <c r="AM82" i="2"/>
  <c r="AK85" i="2"/>
  <c r="H66" i="2"/>
  <c r="L66" i="2"/>
  <c r="P66" i="2"/>
  <c r="T66" i="2"/>
  <c r="X66" i="2"/>
  <c r="AB66" i="2"/>
  <c r="AF66" i="2"/>
  <c r="AJ66" i="2"/>
  <c r="AN66" i="2"/>
  <c r="AR66" i="2"/>
  <c r="AV66" i="2"/>
  <c r="AZ66" i="2"/>
  <c r="BD66" i="2"/>
  <c r="BH66" i="2"/>
  <c r="BL66" i="2"/>
  <c r="BP66" i="2"/>
  <c r="BT66" i="2"/>
  <c r="BX66" i="2"/>
  <c r="CB66" i="2"/>
  <c r="CF66" i="2"/>
  <c r="CJ66" i="2"/>
  <c r="CN66" i="2"/>
  <c r="I66" i="2"/>
  <c r="M66" i="2"/>
  <c r="Q66" i="2"/>
  <c r="U66" i="2"/>
  <c r="Y66" i="2"/>
  <c r="AC66" i="2"/>
  <c r="AG66" i="2"/>
  <c r="AK66" i="2"/>
  <c r="AO66" i="2"/>
  <c r="AS66" i="2"/>
  <c r="AW66" i="2"/>
  <c r="BA66" i="2"/>
  <c r="BE66" i="2"/>
  <c r="BI66" i="2"/>
  <c r="BM66" i="2"/>
  <c r="BQ66" i="2"/>
  <c r="BU66" i="2"/>
  <c r="BY66" i="2"/>
  <c r="CC66" i="2"/>
  <c r="CG66" i="2"/>
  <c r="CK66" i="2"/>
  <c r="CO66" i="2"/>
  <c r="F66" i="2"/>
  <c r="J66" i="2"/>
  <c r="N66" i="2"/>
  <c r="R66" i="2"/>
  <c r="V66" i="2"/>
  <c r="Z66" i="2"/>
  <c r="AD66" i="2"/>
  <c r="AH66" i="2"/>
  <c r="AL66" i="2"/>
  <c r="AP66" i="2"/>
  <c r="AT66" i="2"/>
  <c r="AX66" i="2"/>
  <c r="BB66" i="2"/>
  <c r="BF66" i="2"/>
  <c r="BJ66" i="2"/>
  <c r="BN66" i="2"/>
  <c r="BR66" i="2"/>
  <c r="BV66" i="2"/>
  <c r="BZ66" i="2"/>
  <c r="CD66" i="2"/>
  <c r="CH66" i="2"/>
  <c r="CL66" i="2"/>
  <c r="CP66" i="2"/>
  <c r="G66" i="2"/>
  <c r="K66" i="2"/>
  <c r="O66" i="2"/>
  <c r="S66" i="2"/>
  <c r="W66" i="2"/>
  <c r="AA66" i="2"/>
  <c r="AE66" i="2"/>
  <c r="AI66" i="2"/>
  <c r="AQ66" i="2"/>
  <c r="AU66" i="2"/>
  <c r="AY66" i="2"/>
  <c r="BC66" i="2"/>
  <c r="BG66" i="2"/>
  <c r="BK66" i="2"/>
  <c r="BO66" i="2"/>
  <c r="BS66" i="2"/>
  <c r="BW66" i="2"/>
  <c r="CA66" i="2"/>
  <c r="CE66" i="2"/>
  <c r="CI66" i="2"/>
  <c r="CM66" i="2"/>
  <c r="CQ66" i="2"/>
  <c r="D30" i="2"/>
  <c r="X31" i="2"/>
  <c r="E66" i="2"/>
  <c r="AG31" i="2"/>
  <c r="D71" i="2"/>
  <c r="AL59" i="2"/>
  <c r="G61" i="2"/>
  <c r="K61" i="2"/>
  <c r="O61" i="2"/>
  <c r="S61" i="2"/>
  <c r="W61" i="2"/>
  <c r="AA61" i="2"/>
  <c r="AE61" i="2"/>
  <c r="AI61" i="2"/>
  <c r="AM61" i="2"/>
  <c r="AQ61" i="2"/>
  <c r="AU61" i="2"/>
  <c r="AY61" i="2"/>
  <c r="BC61" i="2"/>
  <c r="BG61" i="2"/>
  <c r="BK61" i="2"/>
  <c r="BO61" i="2"/>
  <c r="BS61" i="2"/>
  <c r="BW61" i="2"/>
  <c r="CA61" i="2"/>
  <c r="CE61" i="2"/>
  <c r="CI61" i="2"/>
  <c r="CM61" i="2"/>
  <c r="CQ61" i="2"/>
  <c r="H61" i="2"/>
  <c r="L61" i="2"/>
  <c r="P61" i="2"/>
  <c r="T61" i="2"/>
  <c r="X61" i="2"/>
  <c r="AB61" i="2"/>
  <c r="AF61" i="2"/>
  <c r="AJ61" i="2"/>
  <c r="AN61" i="2"/>
  <c r="AR61" i="2"/>
  <c r="AV61" i="2"/>
  <c r="AZ61" i="2"/>
  <c r="BD61" i="2"/>
  <c r="BH61" i="2"/>
  <c r="BL61" i="2"/>
  <c r="BP61" i="2"/>
  <c r="BT61" i="2"/>
  <c r="BX61" i="2"/>
  <c r="CB61" i="2"/>
  <c r="CF61" i="2"/>
  <c r="CJ61" i="2"/>
  <c r="CN61" i="2"/>
  <c r="E61" i="2"/>
  <c r="I61" i="2"/>
  <c r="M61" i="2"/>
  <c r="Q61" i="2"/>
  <c r="U61" i="2"/>
  <c r="Y61" i="2"/>
  <c r="AC61" i="2"/>
  <c r="AG61" i="2"/>
  <c r="AK61" i="2"/>
  <c r="AO61" i="2"/>
  <c r="AS61" i="2"/>
  <c r="AW61" i="2"/>
  <c r="BA61" i="2"/>
  <c r="BE61" i="2"/>
  <c r="BI61" i="2"/>
  <c r="BM61" i="2"/>
  <c r="BQ61" i="2"/>
  <c r="BU61" i="2"/>
  <c r="BY61" i="2"/>
  <c r="CC61" i="2"/>
  <c r="CG61" i="2"/>
  <c r="CK61" i="2"/>
  <c r="CO61" i="2"/>
  <c r="F61" i="2"/>
  <c r="J61" i="2"/>
  <c r="N61" i="2"/>
  <c r="R61" i="2"/>
  <c r="V61" i="2"/>
  <c r="Z61" i="2"/>
  <c r="AD61" i="2"/>
  <c r="AH61" i="2"/>
  <c r="AL61" i="2"/>
  <c r="AP61" i="2"/>
  <c r="AT61" i="2"/>
  <c r="AX61" i="2"/>
  <c r="BB61" i="2"/>
  <c r="BF61" i="2"/>
  <c r="BJ61" i="2"/>
  <c r="BN61" i="2"/>
  <c r="BR61" i="2"/>
  <c r="BV61" i="2"/>
  <c r="BZ61" i="2"/>
  <c r="CD61" i="2"/>
  <c r="CH61" i="2"/>
  <c r="CL61" i="2"/>
  <c r="CP61" i="2"/>
  <c r="AL60" i="2"/>
  <c r="D62" i="2"/>
  <c r="D63" i="2"/>
  <c r="H65" i="2"/>
  <c r="L65" i="2"/>
  <c r="P65" i="2"/>
  <c r="T65" i="2"/>
  <c r="X65" i="2"/>
  <c r="AB65" i="2"/>
  <c r="AF65" i="2"/>
  <c r="AJ65" i="2"/>
  <c r="AN65" i="2"/>
  <c r="AR65" i="2"/>
  <c r="AV65" i="2"/>
  <c r="AZ65" i="2"/>
  <c r="BD65" i="2"/>
  <c r="BH65" i="2"/>
  <c r="BL65" i="2"/>
  <c r="BP65" i="2"/>
  <c r="BT65" i="2"/>
  <c r="BX65" i="2"/>
  <c r="CB65" i="2"/>
  <c r="CF65" i="2"/>
  <c r="CJ65" i="2"/>
  <c r="CN65" i="2"/>
  <c r="E65" i="2"/>
  <c r="I65" i="2"/>
  <c r="M65" i="2"/>
  <c r="Q65" i="2"/>
  <c r="U65" i="2"/>
  <c r="Y65" i="2"/>
  <c r="AC65" i="2"/>
  <c r="AG65" i="2"/>
  <c r="AK65" i="2"/>
  <c r="AO65" i="2"/>
  <c r="AS65" i="2"/>
  <c r="AW65" i="2"/>
  <c r="BA65" i="2"/>
  <c r="BE65" i="2"/>
  <c r="BI65" i="2"/>
  <c r="BM65" i="2"/>
  <c r="BQ65" i="2"/>
  <c r="BU65" i="2"/>
  <c r="BY65" i="2"/>
  <c r="CC65" i="2"/>
  <c r="CG65" i="2"/>
  <c r="CK65" i="2"/>
  <c r="CO65" i="2"/>
  <c r="F65" i="2"/>
  <c r="J65" i="2"/>
  <c r="N65" i="2"/>
  <c r="R65" i="2"/>
  <c r="V65" i="2"/>
  <c r="Z65" i="2"/>
  <c r="AD65" i="2"/>
  <c r="AH65" i="2"/>
  <c r="AP65" i="2"/>
  <c r="AT65" i="2"/>
  <c r="AX65" i="2"/>
  <c r="BB65" i="2"/>
  <c r="BF65" i="2"/>
  <c r="BJ65" i="2"/>
  <c r="BN65" i="2"/>
  <c r="BR65" i="2"/>
  <c r="BV65" i="2"/>
  <c r="BZ65" i="2"/>
  <c r="CD65" i="2"/>
  <c r="CH65" i="2"/>
  <c r="CL65" i="2"/>
  <c r="CP65" i="2"/>
  <c r="G65" i="2"/>
  <c r="K65" i="2"/>
  <c r="O65" i="2"/>
  <c r="S65" i="2"/>
  <c r="W65" i="2"/>
  <c r="AA65" i="2"/>
  <c r="AE65" i="2"/>
  <c r="AI65" i="2"/>
  <c r="AM65" i="2"/>
  <c r="AQ65" i="2"/>
  <c r="AU65" i="2"/>
  <c r="AY65" i="2"/>
  <c r="BC65" i="2"/>
  <c r="BG65" i="2"/>
  <c r="BK65" i="2"/>
  <c r="BO65" i="2"/>
  <c r="BS65" i="2"/>
  <c r="BW65" i="2"/>
  <c r="CA65" i="2"/>
  <c r="CE65" i="2"/>
  <c r="CI65" i="2"/>
  <c r="CM65" i="2"/>
  <c r="CQ65" i="2"/>
  <c r="D66" i="2"/>
  <c r="D68" i="2"/>
  <c r="F32" i="2"/>
  <c r="J32" i="2"/>
  <c r="N32" i="2"/>
  <c r="R32" i="2"/>
  <c r="V32" i="2"/>
  <c r="Z32" i="2"/>
  <c r="AD32" i="2"/>
  <c r="AH32" i="2"/>
  <c r="AL32" i="2"/>
  <c r="AP32" i="2"/>
  <c r="AT32" i="2"/>
  <c r="AX32" i="2"/>
  <c r="BB32" i="2"/>
  <c r="BF32" i="2"/>
  <c r="BJ32" i="2"/>
  <c r="BN32" i="2"/>
  <c r="BR32" i="2"/>
  <c r="K32" i="2"/>
  <c r="U32" i="2"/>
  <c r="AA32" i="2"/>
  <c r="AF32" i="2"/>
  <c r="AK32" i="2"/>
  <c r="AQ32" i="2"/>
  <c r="AV32" i="2"/>
  <c r="BA32" i="2"/>
  <c r="BG32" i="2"/>
  <c r="BL32" i="2"/>
  <c r="BQ32" i="2"/>
  <c r="BV32" i="2"/>
  <c r="BZ32" i="2"/>
  <c r="CD32" i="2"/>
  <c r="CH32" i="2"/>
  <c r="CL32" i="2"/>
  <c r="CP32" i="2"/>
  <c r="L32" i="2"/>
  <c r="W32" i="2"/>
  <c r="AB32" i="2"/>
  <c r="AG32" i="2"/>
  <c r="AM32" i="2"/>
  <c r="AR32" i="2"/>
  <c r="AW32" i="2"/>
  <c r="BC32" i="2"/>
  <c r="BH32" i="2"/>
  <c r="BM32" i="2"/>
  <c r="BS32" i="2"/>
  <c r="BW32" i="2"/>
  <c r="CA32" i="2"/>
  <c r="CE32" i="2"/>
  <c r="CI32" i="2"/>
  <c r="CM32" i="2"/>
  <c r="CQ32" i="2"/>
  <c r="H32" i="2"/>
  <c r="M32" i="2"/>
  <c r="S32" i="2"/>
  <c r="AC32" i="2"/>
  <c r="AN32" i="2"/>
  <c r="AS32" i="2"/>
  <c r="AY32" i="2"/>
  <c r="BD32" i="2"/>
  <c r="BI32" i="2"/>
  <c r="BO32" i="2"/>
  <c r="BT32" i="2"/>
  <c r="BX32" i="2"/>
  <c r="CB32" i="2"/>
  <c r="CF32" i="2"/>
  <c r="CJ32" i="2"/>
  <c r="CN32" i="2"/>
  <c r="I32" i="2"/>
  <c r="O32" i="2"/>
  <c r="T32" i="2"/>
  <c r="AE32" i="2"/>
  <c r="AJ32" i="2"/>
  <c r="AO32" i="2"/>
  <c r="AU32" i="2"/>
  <c r="AZ32" i="2"/>
  <c r="BE32" i="2"/>
  <c r="BK32" i="2"/>
  <c r="BP32" i="2"/>
  <c r="BU32" i="2"/>
  <c r="BY32" i="2"/>
  <c r="CC32" i="2"/>
  <c r="CG32" i="2"/>
  <c r="CK32" i="2"/>
  <c r="CO32" i="2"/>
  <c r="D31" i="2"/>
  <c r="P32" i="2"/>
  <c r="E30" i="2"/>
  <c r="E67" i="2"/>
  <c r="Q32" i="2"/>
  <c r="AI29" i="2"/>
  <c r="G32" i="2"/>
  <c r="H70" i="2"/>
  <c r="L70" i="2"/>
  <c r="P70" i="2"/>
  <c r="T70" i="2"/>
  <c r="X70" i="2"/>
  <c r="AB70" i="2"/>
  <c r="AF70" i="2"/>
  <c r="AJ70" i="2"/>
  <c r="AN70" i="2"/>
  <c r="AR70" i="2"/>
  <c r="AV70" i="2"/>
  <c r="AZ70" i="2"/>
  <c r="BD70" i="2"/>
  <c r="BH70" i="2"/>
  <c r="BL70" i="2"/>
  <c r="BP70" i="2"/>
  <c r="BT70" i="2"/>
  <c r="BX70" i="2"/>
  <c r="CB70" i="2"/>
  <c r="CF70" i="2"/>
  <c r="CJ70" i="2"/>
  <c r="CN70" i="2"/>
  <c r="I70" i="2"/>
  <c r="M70" i="2"/>
  <c r="Q70" i="2"/>
  <c r="U70" i="2"/>
  <c r="AC70" i="2"/>
  <c r="AG70" i="2"/>
  <c r="AK70" i="2"/>
  <c r="AO70" i="2"/>
  <c r="AS70" i="2"/>
  <c r="AW70" i="2"/>
  <c r="BA70" i="2"/>
  <c r="BE70" i="2"/>
  <c r="BI70" i="2"/>
  <c r="BM70" i="2"/>
  <c r="BQ70" i="2"/>
  <c r="BU70" i="2"/>
  <c r="BY70" i="2"/>
  <c r="CC70" i="2"/>
  <c r="CG70" i="2"/>
  <c r="CK70" i="2"/>
  <c r="CO70" i="2"/>
  <c r="F70" i="2"/>
  <c r="J70" i="2"/>
  <c r="N70" i="2"/>
  <c r="R70" i="2"/>
  <c r="V70" i="2"/>
  <c r="Z70" i="2"/>
  <c r="AD70" i="2"/>
  <c r="AH70" i="2"/>
  <c r="AL70" i="2"/>
  <c r="AP70" i="2"/>
  <c r="AT70" i="2"/>
  <c r="AX70" i="2"/>
  <c r="BB70" i="2"/>
  <c r="BF70" i="2"/>
  <c r="BJ70" i="2"/>
  <c r="BN70" i="2"/>
  <c r="BR70" i="2"/>
  <c r="BV70" i="2"/>
  <c r="BZ70" i="2"/>
  <c r="CD70" i="2"/>
  <c r="CH70" i="2"/>
  <c r="CL70" i="2"/>
  <c r="CP70" i="2"/>
  <c r="G70" i="2"/>
  <c r="K70" i="2"/>
  <c r="S70" i="2"/>
  <c r="W70" i="2"/>
  <c r="AA70" i="2"/>
  <c r="AE70" i="2"/>
  <c r="AQ70" i="2"/>
  <c r="AU70" i="2"/>
  <c r="AY70" i="2"/>
  <c r="BC70" i="2"/>
  <c r="BG70" i="2"/>
  <c r="BK70" i="2"/>
  <c r="BO70" i="2"/>
  <c r="BS70" i="2"/>
  <c r="BW70" i="2"/>
  <c r="CA70" i="2"/>
  <c r="CE70" i="2"/>
  <c r="CI70" i="2"/>
  <c r="CM70" i="2"/>
  <c r="CQ70" i="2"/>
  <c r="D72" i="2"/>
  <c r="J12" i="2"/>
  <c r="N12" i="2"/>
  <c r="R12" i="2"/>
  <c r="V12" i="2"/>
  <c r="Z12" i="2"/>
  <c r="AD12" i="2"/>
  <c r="AH12" i="2"/>
  <c r="AL12" i="2"/>
  <c r="AP12" i="2"/>
  <c r="AT12" i="2"/>
  <c r="AX12" i="2"/>
  <c r="BB12" i="2"/>
  <c r="BF12" i="2"/>
  <c r="BJ12" i="2"/>
  <c r="BN12" i="2"/>
  <c r="BR12" i="2"/>
  <c r="BV12" i="2"/>
  <c r="BZ12" i="2"/>
  <c r="CD12" i="2"/>
  <c r="CH12" i="2"/>
  <c r="CL12" i="2"/>
  <c r="CP12" i="2"/>
  <c r="K12" i="2"/>
  <c r="O12" i="2"/>
  <c r="S12" i="2"/>
  <c r="W12" i="2"/>
  <c r="AA12" i="2"/>
  <c r="AE12" i="2"/>
  <c r="AM12" i="2"/>
  <c r="AQ12" i="2"/>
  <c r="AU12" i="2"/>
  <c r="AY12" i="2"/>
  <c r="BC12" i="2"/>
  <c r="BG12" i="2"/>
  <c r="BK12" i="2"/>
  <c r="BO12" i="2"/>
  <c r="BS12" i="2"/>
  <c r="BW12" i="2"/>
  <c r="CA12" i="2"/>
  <c r="CE12" i="2"/>
  <c r="CI12" i="2"/>
  <c r="CM12" i="2"/>
  <c r="CQ12" i="2"/>
  <c r="H12" i="2"/>
  <c r="L12" i="2"/>
  <c r="P12" i="2"/>
  <c r="T12" i="2"/>
  <c r="X12" i="2"/>
  <c r="AB12" i="2"/>
  <c r="AF12" i="2"/>
  <c r="AJ12" i="2"/>
  <c r="AN12" i="2"/>
  <c r="AR12" i="2"/>
  <c r="AV12" i="2"/>
  <c r="AZ12" i="2"/>
  <c r="I12" i="2"/>
  <c r="M12" i="2"/>
  <c r="Q12" i="2"/>
  <c r="U12" i="2"/>
  <c r="Y12" i="2"/>
  <c r="AC12" i="2"/>
  <c r="AG12" i="2"/>
  <c r="AO12" i="2"/>
  <c r="BD12" i="2"/>
  <c r="BL12" i="2"/>
  <c r="BT12" i="2"/>
  <c r="CB12" i="2"/>
  <c r="CJ12" i="2"/>
  <c r="AS12" i="2"/>
  <c r="BE12" i="2"/>
  <c r="BM12" i="2"/>
  <c r="BU12" i="2"/>
  <c r="CC12" i="2"/>
  <c r="CK12" i="2"/>
  <c r="AW12" i="2"/>
  <c r="BH12" i="2"/>
  <c r="BP12" i="2"/>
  <c r="BX12" i="2"/>
  <c r="CF12" i="2"/>
  <c r="CN12" i="2"/>
  <c r="AK12" i="2"/>
  <c r="BY12" i="2"/>
  <c r="BA12" i="2"/>
  <c r="CG12" i="2"/>
  <c r="BI12" i="2"/>
  <c r="CO12" i="2"/>
  <c r="BQ12" i="2"/>
  <c r="D12" i="2"/>
  <c r="H74" i="2"/>
  <c r="L74" i="2"/>
  <c r="P74" i="2"/>
  <c r="T74" i="2"/>
  <c r="X74" i="2"/>
  <c r="AB74" i="2"/>
  <c r="AF74" i="2"/>
  <c r="AJ74" i="2"/>
  <c r="AN74" i="2"/>
  <c r="AR74" i="2"/>
  <c r="AV74" i="2"/>
  <c r="AZ74" i="2"/>
  <c r="BD74" i="2"/>
  <c r="BH74" i="2"/>
  <c r="BL74" i="2"/>
  <c r="BP74" i="2"/>
  <c r="BT74" i="2"/>
  <c r="BX74" i="2"/>
  <c r="CB74" i="2"/>
  <c r="CF74" i="2"/>
  <c r="CJ74" i="2"/>
  <c r="CN74" i="2"/>
  <c r="I74" i="2"/>
  <c r="M74" i="2"/>
  <c r="Q74" i="2"/>
  <c r="U74" i="2"/>
  <c r="AC74" i="2"/>
  <c r="AG74" i="2"/>
  <c r="AO74" i="2"/>
  <c r="AS74" i="2"/>
  <c r="AW74" i="2"/>
  <c r="BA74" i="2"/>
  <c r="BE74" i="2"/>
  <c r="BI74" i="2"/>
  <c r="BM74" i="2"/>
  <c r="BQ74" i="2"/>
  <c r="BU74" i="2"/>
  <c r="BY74" i="2"/>
  <c r="CC74" i="2"/>
  <c r="CG74" i="2"/>
  <c r="CK74" i="2"/>
  <c r="CO74" i="2"/>
  <c r="F74" i="2"/>
  <c r="J74" i="2"/>
  <c r="N74" i="2"/>
  <c r="R74" i="2"/>
  <c r="V74" i="2"/>
  <c r="Z74" i="2"/>
  <c r="AD74" i="2"/>
  <c r="AH74" i="2"/>
  <c r="AL74" i="2"/>
  <c r="AP74" i="2"/>
  <c r="AT74" i="2"/>
  <c r="AX74" i="2"/>
  <c r="BB74" i="2"/>
  <c r="BF74" i="2"/>
  <c r="BJ74" i="2"/>
  <c r="BN74" i="2"/>
  <c r="BR74" i="2"/>
  <c r="BV74" i="2"/>
  <c r="BZ74" i="2"/>
  <c r="CD74" i="2"/>
  <c r="CH74" i="2"/>
  <c r="CL74" i="2"/>
  <c r="CP74" i="2"/>
  <c r="G74" i="2"/>
  <c r="K74" i="2"/>
  <c r="O74" i="2"/>
  <c r="S74" i="2"/>
  <c r="W74" i="2"/>
  <c r="AA74" i="2"/>
  <c r="AE74" i="2"/>
  <c r="AI74" i="2"/>
  <c r="AQ74" i="2"/>
  <c r="AU74" i="2"/>
  <c r="AY74" i="2"/>
  <c r="BC74" i="2"/>
  <c r="BG74" i="2"/>
  <c r="BK74" i="2"/>
  <c r="BO74" i="2"/>
  <c r="BS74" i="2"/>
  <c r="BW74" i="2"/>
  <c r="CA74" i="2"/>
  <c r="CE74" i="2"/>
  <c r="CI74" i="2"/>
  <c r="CM74" i="2"/>
  <c r="CQ74" i="2"/>
  <c r="E72" i="2"/>
  <c r="Y70" i="2"/>
  <c r="AM71" i="2"/>
  <c r="D76" i="2"/>
  <c r="H76" i="2"/>
  <c r="L76" i="2"/>
  <c r="P76" i="2"/>
  <c r="T76" i="2"/>
  <c r="X76" i="2"/>
  <c r="AB76" i="2"/>
  <c r="AF76" i="2"/>
  <c r="AJ76" i="2"/>
  <c r="AN76" i="2"/>
  <c r="AR76" i="2"/>
  <c r="AV76" i="2"/>
  <c r="AZ76" i="2"/>
  <c r="BD76" i="2"/>
  <c r="BH76" i="2"/>
  <c r="BL76" i="2"/>
  <c r="BP76" i="2"/>
  <c r="BT76" i="2"/>
  <c r="BX76" i="2"/>
  <c r="CB76" i="2"/>
  <c r="CF76" i="2"/>
  <c r="CJ76" i="2"/>
  <c r="CN76" i="2"/>
  <c r="I76" i="2"/>
  <c r="M76" i="2"/>
  <c r="Q76" i="2"/>
  <c r="U76" i="2"/>
  <c r="AC76" i="2"/>
  <c r="AG76" i="2"/>
  <c r="AK76" i="2"/>
  <c r="AO76" i="2"/>
  <c r="AS76" i="2"/>
  <c r="AW76" i="2"/>
  <c r="BA76" i="2"/>
  <c r="BE76" i="2"/>
  <c r="BI76" i="2"/>
  <c r="BM76" i="2"/>
  <c r="BQ76" i="2"/>
  <c r="BU76" i="2"/>
  <c r="BY76" i="2"/>
  <c r="CC76" i="2"/>
  <c r="CG76" i="2"/>
  <c r="CK76" i="2"/>
  <c r="CO76" i="2"/>
  <c r="F76" i="2"/>
  <c r="J76" i="2"/>
  <c r="N76" i="2"/>
  <c r="R76" i="2"/>
  <c r="V76" i="2"/>
  <c r="Z76" i="2"/>
  <c r="AD76" i="2"/>
  <c r="AH76" i="2"/>
  <c r="AL76" i="2"/>
  <c r="AP76" i="2"/>
  <c r="AT76" i="2"/>
  <c r="AX76" i="2"/>
  <c r="BB76" i="2"/>
  <c r="BF76" i="2"/>
  <c r="BJ76" i="2"/>
  <c r="BN76" i="2"/>
  <c r="BR76" i="2"/>
  <c r="BV76" i="2"/>
  <c r="BZ76" i="2"/>
  <c r="CD76" i="2"/>
  <c r="CH76" i="2"/>
  <c r="CL76" i="2"/>
  <c r="CP76" i="2"/>
  <c r="G76" i="2"/>
  <c r="K76" i="2"/>
  <c r="O76" i="2"/>
  <c r="S76" i="2"/>
  <c r="W76" i="2"/>
  <c r="AA76" i="2"/>
  <c r="AE76" i="2"/>
  <c r="AI76" i="2"/>
  <c r="AQ76" i="2"/>
  <c r="AU76" i="2"/>
  <c r="AY76" i="2"/>
  <c r="BC76" i="2"/>
  <c r="BG76" i="2"/>
  <c r="BK76" i="2"/>
  <c r="BO76" i="2"/>
  <c r="BS76" i="2"/>
  <c r="BW76" i="2"/>
  <c r="CA76" i="2"/>
  <c r="CE76" i="2"/>
  <c r="CI76" i="2"/>
  <c r="CM76" i="2"/>
  <c r="CQ76" i="2"/>
  <c r="E11" i="2"/>
  <c r="AI12" i="2"/>
  <c r="AI32" i="2"/>
  <c r="AK73" i="2"/>
  <c r="Y73" i="2"/>
  <c r="D13" i="2"/>
  <c r="E74" i="2"/>
  <c r="D16" i="2"/>
  <c r="G13" i="2"/>
  <c r="AK75" i="2"/>
  <c r="AY10" i="2"/>
  <c r="E14" i="2"/>
  <c r="AM14" i="2"/>
  <c r="D33" i="2"/>
  <c r="X34" i="2"/>
  <c r="F20" i="2"/>
  <c r="J20" i="2"/>
  <c r="N20" i="2"/>
  <c r="R20" i="2"/>
  <c r="V20" i="2"/>
  <c r="Z20" i="2"/>
  <c r="AD20" i="2"/>
  <c r="AH20" i="2"/>
  <c r="AL20" i="2"/>
  <c r="AP20" i="2"/>
  <c r="AT20" i="2"/>
  <c r="AX20" i="2"/>
  <c r="BB20" i="2"/>
  <c r="BF20" i="2"/>
  <c r="BJ20" i="2"/>
  <c r="I20" i="2"/>
  <c r="O20" i="2"/>
  <c r="T20" i="2"/>
  <c r="AE20" i="2"/>
  <c r="AJ20" i="2"/>
  <c r="AO20" i="2"/>
  <c r="AU20" i="2"/>
  <c r="AZ20" i="2"/>
  <c r="BE20" i="2"/>
  <c r="BK20" i="2"/>
  <c r="BO20" i="2"/>
  <c r="BS20" i="2"/>
  <c r="BW20" i="2"/>
  <c r="CA20" i="2"/>
  <c r="CE20" i="2"/>
  <c r="CI20" i="2"/>
  <c r="CM20" i="2"/>
  <c r="CQ20" i="2"/>
  <c r="K20" i="2"/>
  <c r="P20" i="2"/>
  <c r="U20" i="2"/>
  <c r="AA20" i="2"/>
  <c r="AF20" i="2"/>
  <c r="AK20" i="2"/>
  <c r="AQ20" i="2"/>
  <c r="AV20" i="2"/>
  <c r="BA20" i="2"/>
  <c r="BG20" i="2"/>
  <c r="BL20" i="2"/>
  <c r="BP20" i="2"/>
  <c r="BT20" i="2"/>
  <c r="BX20" i="2"/>
  <c r="CB20" i="2"/>
  <c r="CF20" i="2"/>
  <c r="CJ20" i="2"/>
  <c r="CN20" i="2"/>
  <c r="G20" i="2"/>
  <c r="L20" i="2"/>
  <c r="Q20" i="2"/>
  <c r="W20" i="2"/>
  <c r="AB20" i="2"/>
  <c r="AG20" i="2"/>
  <c r="AM20" i="2"/>
  <c r="AR20" i="2"/>
  <c r="AW20" i="2"/>
  <c r="BC20" i="2"/>
  <c r="BH20" i="2"/>
  <c r="BM20" i="2"/>
  <c r="BQ20" i="2"/>
  <c r="BU20" i="2"/>
  <c r="BY20" i="2"/>
  <c r="CC20" i="2"/>
  <c r="CG20" i="2"/>
  <c r="CK20" i="2"/>
  <c r="CO20" i="2"/>
  <c r="H20" i="2"/>
  <c r="M20" i="2"/>
  <c r="S20" i="2"/>
  <c r="X20" i="2"/>
  <c r="AC20" i="2"/>
  <c r="AN20" i="2"/>
  <c r="AS20" i="2"/>
  <c r="AY20" i="2"/>
  <c r="BD20" i="2"/>
  <c r="BI20" i="2"/>
  <c r="BN20" i="2"/>
  <c r="BR20" i="2"/>
  <c r="BV20" i="2"/>
  <c r="BZ20" i="2"/>
  <c r="CD20" i="2"/>
  <c r="CH20" i="2"/>
  <c r="CL20" i="2"/>
  <c r="CP20" i="2"/>
  <c r="D20" i="2"/>
  <c r="D45" i="2"/>
  <c r="D80" i="2"/>
  <c r="H80" i="2"/>
  <c r="L80" i="2"/>
  <c r="P80" i="2"/>
  <c r="T80" i="2"/>
  <c r="X80" i="2"/>
  <c r="AB80" i="2"/>
  <c r="AF80" i="2"/>
  <c r="AJ80" i="2"/>
  <c r="AN80" i="2"/>
  <c r="AR80" i="2"/>
  <c r="AV80" i="2"/>
  <c r="AZ80" i="2"/>
  <c r="BD80" i="2"/>
  <c r="BH80" i="2"/>
  <c r="BL80" i="2"/>
  <c r="BP80" i="2"/>
  <c r="BT80" i="2"/>
  <c r="BX80" i="2"/>
  <c r="CB80" i="2"/>
  <c r="CF80" i="2"/>
  <c r="CJ80" i="2"/>
  <c r="CN80" i="2"/>
  <c r="G80" i="2"/>
  <c r="M80" i="2"/>
  <c r="R80" i="2"/>
  <c r="W80" i="2"/>
  <c r="AC80" i="2"/>
  <c r="AH80" i="2"/>
  <c r="AS80" i="2"/>
  <c r="AX80" i="2"/>
  <c r="BC80" i="2"/>
  <c r="BI80" i="2"/>
  <c r="BN80" i="2"/>
  <c r="BS80" i="2"/>
  <c r="BY80" i="2"/>
  <c r="CD80" i="2"/>
  <c r="CI80" i="2"/>
  <c r="CO80" i="2"/>
  <c r="I80" i="2"/>
  <c r="N80" i="2"/>
  <c r="S80" i="2"/>
  <c r="AD80" i="2"/>
  <c r="AI80" i="2"/>
  <c r="AO80" i="2"/>
  <c r="AT80" i="2"/>
  <c r="AY80" i="2"/>
  <c r="BE80" i="2"/>
  <c r="BJ80" i="2"/>
  <c r="BO80" i="2"/>
  <c r="BU80" i="2"/>
  <c r="BZ80" i="2"/>
  <c r="CE80" i="2"/>
  <c r="CK80" i="2"/>
  <c r="CP80" i="2"/>
  <c r="J80" i="2"/>
  <c r="U80" i="2"/>
  <c r="Z80" i="2"/>
  <c r="AE80" i="2"/>
  <c r="AP80" i="2"/>
  <c r="AU80" i="2"/>
  <c r="BA80" i="2"/>
  <c r="BF80" i="2"/>
  <c r="BK80" i="2"/>
  <c r="BQ80" i="2"/>
  <c r="BV80" i="2"/>
  <c r="CA80" i="2"/>
  <c r="CG80" i="2"/>
  <c r="CL80" i="2"/>
  <c r="CQ80" i="2"/>
  <c r="F80" i="2"/>
  <c r="K80" i="2"/>
  <c r="Q80" i="2"/>
  <c r="V80" i="2"/>
  <c r="AA80" i="2"/>
  <c r="AG80" i="2"/>
  <c r="AL80" i="2"/>
  <c r="AQ80" i="2"/>
  <c r="AW80" i="2"/>
  <c r="BB80" i="2"/>
  <c r="BG80" i="2"/>
  <c r="BM80" i="2"/>
  <c r="BR80" i="2"/>
  <c r="BW80" i="2"/>
  <c r="CC80" i="2"/>
  <c r="CH80" i="2"/>
  <c r="CM80" i="2"/>
  <c r="AG45" i="2"/>
  <c r="AM46" i="2"/>
  <c r="E33" i="2"/>
  <c r="Q34" i="2"/>
  <c r="AM19" i="2"/>
  <c r="E18" i="2"/>
  <c r="E77" i="2"/>
  <c r="AM77" i="2"/>
  <c r="AI20" i="2"/>
  <c r="Y19" i="2"/>
  <c r="AI18" i="2"/>
  <c r="X81" i="2"/>
  <c r="E80" i="2"/>
  <c r="O83" i="2"/>
  <c r="Y78" i="2"/>
  <c r="Y82" i="2"/>
  <c r="AK78" i="2"/>
  <c r="AM80" i="2"/>
  <c r="BE83" i="2"/>
  <c r="G87" i="2"/>
  <c r="K87" i="2"/>
  <c r="O87" i="2"/>
  <c r="S87" i="2"/>
  <c r="W87" i="2"/>
  <c r="AA87" i="2"/>
  <c r="AE87" i="2"/>
  <c r="AI87" i="2"/>
  <c r="AQ87" i="2"/>
  <c r="AU87" i="2"/>
  <c r="AY87" i="2"/>
  <c r="BC87" i="2"/>
  <c r="BG87" i="2"/>
  <c r="BK87" i="2"/>
  <c r="BO87" i="2"/>
  <c r="BS87" i="2"/>
  <c r="BW87" i="2"/>
  <c r="CA87" i="2"/>
  <c r="CE87" i="2"/>
  <c r="CI87" i="2"/>
  <c r="CM87" i="2"/>
  <c r="CQ87" i="2"/>
  <c r="D87" i="2"/>
  <c r="H87" i="2"/>
  <c r="L87" i="2"/>
  <c r="P87" i="2"/>
  <c r="T87" i="2"/>
  <c r="X87" i="2"/>
  <c r="AB87" i="2"/>
  <c r="AF87" i="2"/>
  <c r="AJ87" i="2"/>
  <c r="AN87" i="2"/>
  <c r="AR87" i="2"/>
  <c r="AV87" i="2"/>
  <c r="AZ87" i="2"/>
  <c r="BD87" i="2"/>
  <c r="BH87" i="2"/>
  <c r="BL87" i="2"/>
  <c r="BP87" i="2"/>
  <c r="BT87" i="2"/>
  <c r="BX87" i="2"/>
  <c r="CB87" i="2"/>
  <c r="CF87" i="2"/>
  <c r="CJ87" i="2"/>
  <c r="CN87" i="2"/>
  <c r="E87" i="2"/>
  <c r="I87" i="2"/>
  <c r="Q87" i="2"/>
  <c r="U87" i="2"/>
  <c r="Y87" i="2"/>
  <c r="AC87" i="2"/>
  <c r="AG87" i="2"/>
  <c r="AK87" i="2"/>
  <c r="AO87" i="2"/>
  <c r="AS87" i="2"/>
  <c r="AW87" i="2"/>
  <c r="BA87" i="2"/>
  <c r="BE87" i="2"/>
  <c r="BI87" i="2"/>
  <c r="BM87" i="2"/>
  <c r="BQ87" i="2"/>
  <c r="BU87" i="2"/>
  <c r="BY87" i="2"/>
  <c r="CC87" i="2"/>
  <c r="CG87" i="2"/>
  <c r="CK87" i="2"/>
  <c r="CO87" i="2"/>
  <c r="F87" i="2"/>
  <c r="J87" i="2"/>
  <c r="N87" i="2"/>
  <c r="R87" i="2"/>
  <c r="V87" i="2"/>
  <c r="Z87" i="2"/>
  <c r="AD87" i="2"/>
  <c r="AH87" i="2"/>
  <c r="AP87" i="2"/>
  <c r="AT87" i="2"/>
  <c r="AX87" i="2"/>
  <c r="BB87" i="2"/>
  <c r="BF87" i="2"/>
  <c r="BJ87" i="2"/>
  <c r="BN87" i="2"/>
  <c r="BR87" i="2"/>
  <c r="BV87" i="2"/>
  <c r="BZ87" i="2"/>
  <c r="CD87" i="2"/>
  <c r="CH87" i="2"/>
  <c r="CL87" i="2"/>
  <c r="CP87" i="2"/>
  <c r="G89" i="2"/>
  <c r="K89" i="2"/>
  <c r="S89" i="2"/>
  <c r="W89" i="2"/>
  <c r="AA89" i="2"/>
  <c r="AE89" i="2"/>
  <c r="AI89" i="2"/>
  <c r="AQ89" i="2"/>
  <c r="AU89" i="2"/>
  <c r="AY89" i="2"/>
  <c r="BC89" i="2"/>
  <c r="BK89" i="2"/>
  <c r="BO89" i="2"/>
  <c r="BS89" i="2"/>
  <c r="BW89" i="2"/>
  <c r="CA89" i="2"/>
  <c r="CE89" i="2"/>
  <c r="CI89" i="2"/>
  <c r="CM89" i="2"/>
  <c r="CQ89" i="2"/>
  <c r="D89" i="2"/>
  <c r="H89" i="2"/>
  <c r="L89" i="2"/>
  <c r="P89" i="2"/>
  <c r="T89" i="2"/>
  <c r="X89" i="2"/>
  <c r="AB89" i="2"/>
  <c r="AF89" i="2"/>
  <c r="AJ89" i="2"/>
  <c r="AN89" i="2"/>
  <c r="AR89" i="2"/>
  <c r="AV89" i="2"/>
  <c r="AZ89" i="2"/>
  <c r="BD89" i="2"/>
  <c r="BH89" i="2"/>
  <c r="BL89" i="2"/>
  <c r="BP89" i="2"/>
  <c r="BT89" i="2"/>
  <c r="BX89" i="2"/>
  <c r="CB89" i="2"/>
  <c r="CF89" i="2"/>
  <c r="CJ89" i="2"/>
  <c r="CN89" i="2"/>
  <c r="I89" i="2"/>
  <c r="M89" i="2"/>
  <c r="Q89" i="2"/>
  <c r="U89" i="2"/>
  <c r="AC89" i="2"/>
  <c r="AG89" i="2"/>
  <c r="AO89" i="2"/>
  <c r="AS89" i="2"/>
  <c r="AW89" i="2"/>
  <c r="BA89" i="2"/>
  <c r="BE89" i="2"/>
  <c r="BI89" i="2"/>
  <c r="BM89" i="2"/>
  <c r="BQ89" i="2"/>
  <c r="BU89" i="2"/>
  <c r="BY89" i="2"/>
  <c r="CC89" i="2"/>
  <c r="CG89" i="2"/>
  <c r="CK89" i="2"/>
  <c r="CO89" i="2"/>
  <c r="F89" i="2"/>
  <c r="J89" i="2"/>
  <c r="N89" i="2"/>
  <c r="R89" i="2"/>
  <c r="V89" i="2"/>
  <c r="Z89" i="2"/>
  <c r="AD89" i="2"/>
  <c r="AH89" i="2"/>
  <c r="AL89" i="2"/>
  <c r="AP89" i="2"/>
  <c r="AT89" i="2"/>
  <c r="AX89" i="2"/>
  <c r="BB89" i="2"/>
  <c r="BF89" i="2"/>
  <c r="BJ89" i="2"/>
  <c r="BN89" i="2"/>
  <c r="BR89" i="2"/>
  <c r="BV89" i="2"/>
  <c r="BZ89" i="2"/>
  <c r="CD89" i="2"/>
  <c r="CH89" i="2"/>
  <c r="CL89" i="2"/>
  <c r="CP89" i="2"/>
  <c r="AM86" i="2"/>
  <c r="AM84" i="2"/>
  <c r="O89" i="2"/>
  <c r="Y88" i="2"/>
  <c r="AK88" i="2"/>
  <c r="E84" i="2"/>
  <c r="BG84" i="2"/>
  <c r="D34" i="2"/>
  <c r="D37" i="2"/>
  <c r="F36" i="2"/>
  <c r="Q38" i="2"/>
  <c r="G37" i="2"/>
  <c r="E38" i="2"/>
  <c r="Y37" i="2"/>
  <c r="AG36" i="2"/>
  <c r="BI36" i="2"/>
  <c r="J41" i="2"/>
  <c r="N41" i="2"/>
  <c r="R41" i="2"/>
  <c r="V41" i="2"/>
  <c r="Z41" i="2"/>
  <c r="AD41" i="2"/>
  <c r="AH41" i="2"/>
  <c r="AL41" i="2"/>
  <c r="AP41" i="2"/>
  <c r="AT41" i="2"/>
  <c r="AX41" i="2"/>
  <c r="BB41" i="2"/>
  <c r="BF41" i="2"/>
  <c r="BJ41" i="2"/>
  <c r="BN41" i="2"/>
  <c r="BR41" i="2"/>
  <c r="BV41" i="2"/>
  <c r="BZ41" i="2"/>
  <c r="CD41" i="2"/>
  <c r="CH41" i="2"/>
  <c r="CL41" i="2"/>
  <c r="CP41" i="2"/>
  <c r="K41" i="2"/>
  <c r="O41" i="2"/>
  <c r="S41" i="2"/>
  <c r="W41" i="2"/>
  <c r="AA41" i="2"/>
  <c r="AE41" i="2"/>
  <c r="AM41" i="2"/>
  <c r="AQ41" i="2"/>
  <c r="AU41" i="2"/>
  <c r="AY41" i="2"/>
  <c r="BC41" i="2"/>
  <c r="BG41" i="2"/>
  <c r="BO41" i="2"/>
  <c r="BS41" i="2"/>
  <c r="BW41" i="2"/>
  <c r="CA41" i="2"/>
  <c r="CE41" i="2"/>
  <c r="CI41" i="2"/>
  <c r="CM41" i="2"/>
  <c r="CQ41" i="2"/>
  <c r="D41" i="2"/>
  <c r="H41" i="2"/>
  <c r="L41" i="2"/>
  <c r="P41" i="2"/>
  <c r="T41" i="2"/>
  <c r="X41" i="2"/>
  <c r="AB41" i="2"/>
  <c r="AF41" i="2"/>
  <c r="AJ41" i="2"/>
  <c r="AN41" i="2"/>
  <c r="AR41" i="2"/>
  <c r="AV41" i="2"/>
  <c r="AZ41" i="2"/>
  <c r="BD41" i="2"/>
  <c r="BH41" i="2"/>
  <c r="BL41" i="2"/>
  <c r="BP41" i="2"/>
  <c r="BT41" i="2"/>
  <c r="BX41" i="2"/>
  <c r="CB41" i="2"/>
  <c r="CF41" i="2"/>
  <c r="CJ41" i="2"/>
  <c r="CN41" i="2"/>
  <c r="E41" i="2"/>
  <c r="I41" i="2"/>
  <c r="M41" i="2"/>
  <c r="U41" i="2"/>
  <c r="AC41" i="2"/>
  <c r="AG41" i="2"/>
  <c r="AK41" i="2"/>
  <c r="AO41" i="2"/>
  <c r="AS41" i="2"/>
  <c r="AW41" i="2"/>
  <c r="BA41" i="2"/>
  <c r="BE41" i="2"/>
  <c r="BM41" i="2"/>
  <c r="BQ41" i="2"/>
  <c r="BU41" i="2"/>
  <c r="BY41" i="2"/>
  <c r="CC41" i="2"/>
  <c r="CG41" i="2"/>
  <c r="CK41" i="2"/>
  <c r="CO41" i="2"/>
  <c r="G42" i="2"/>
  <c r="Q43" i="2"/>
  <c r="AI42" i="2"/>
  <c r="BK41" i="2"/>
  <c r="BM43" i="2"/>
  <c r="K52" i="2"/>
  <c r="O52" i="2"/>
  <c r="S52" i="2"/>
  <c r="W52" i="2"/>
  <c r="AA52" i="2"/>
  <c r="AE52" i="2"/>
  <c r="AI52" i="2"/>
  <c r="AM52" i="2"/>
  <c r="AQ52" i="2"/>
  <c r="AU52" i="2"/>
  <c r="AY52" i="2"/>
  <c r="BC52" i="2"/>
  <c r="BG52" i="2"/>
  <c r="BS52" i="2"/>
  <c r="BW52" i="2"/>
  <c r="J52" i="2"/>
  <c r="P52" i="2"/>
  <c r="U52" i="2"/>
  <c r="Z52" i="2"/>
  <c r="AF52" i="2"/>
  <c r="AK52" i="2"/>
  <c r="AP52" i="2"/>
  <c r="AV52" i="2"/>
  <c r="BF52" i="2"/>
  <c r="BL52" i="2"/>
  <c r="BQ52" i="2"/>
  <c r="BV52" i="2"/>
  <c r="CA52" i="2"/>
  <c r="CE52" i="2"/>
  <c r="CI52" i="2"/>
  <c r="CM52" i="2"/>
  <c r="CQ52" i="2"/>
  <c r="L52" i="2"/>
  <c r="Q52" i="2"/>
  <c r="V52" i="2"/>
  <c r="AB52" i="2"/>
  <c r="AG52" i="2"/>
  <c r="AL52" i="2"/>
  <c r="AR52" i="2"/>
  <c r="AW52" i="2"/>
  <c r="BB52" i="2"/>
  <c r="BH52" i="2"/>
  <c r="BM52" i="2"/>
  <c r="BR52" i="2"/>
  <c r="BX52" i="2"/>
  <c r="CB52" i="2"/>
  <c r="CF52" i="2"/>
  <c r="CJ52" i="2"/>
  <c r="CN52" i="2"/>
  <c r="H52" i="2"/>
  <c r="M52" i="2"/>
  <c r="R52" i="2"/>
  <c r="X52" i="2"/>
  <c r="AC52" i="2"/>
  <c r="AH52" i="2"/>
  <c r="AN52" i="2"/>
  <c r="AS52" i="2"/>
  <c r="AX52" i="2"/>
  <c r="BD52" i="2"/>
  <c r="BI52" i="2"/>
  <c r="BN52" i="2"/>
  <c r="BT52" i="2"/>
  <c r="BY52" i="2"/>
  <c r="CC52" i="2"/>
  <c r="CG52" i="2"/>
  <c r="CK52" i="2"/>
  <c r="CO52" i="2"/>
  <c r="D52" i="2"/>
  <c r="I52" i="2"/>
  <c r="N52" i="2"/>
  <c r="T52" i="2"/>
  <c r="Y52" i="2"/>
  <c r="AD52" i="2"/>
  <c r="AJ52" i="2"/>
  <c r="AO52" i="2"/>
  <c r="AT52" i="2"/>
  <c r="AZ52" i="2"/>
  <c r="BE52" i="2"/>
  <c r="BJ52" i="2"/>
  <c r="BP52" i="2"/>
  <c r="BU52" i="2"/>
  <c r="BZ52" i="2"/>
  <c r="CD52" i="2"/>
  <c r="CH52" i="2"/>
  <c r="CL52" i="2"/>
  <c r="CP52" i="2"/>
  <c r="X51" i="2"/>
  <c r="E49" i="2"/>
  <c r="AM48" i="2"/>
  <c r="E50" i="2"/>
  <c r="G52" i="2"/>
  <c r="AM51" i="2"/>
  <c r="BK51" i="2"/>
  <c r="M90" i="2"/>
  <c r="O91" i="2"/>
  <c r="D44" i="2"/>
  <c r="G44" i="2"/>
  <c r="AM44" i="2"/>
  <c r="G94" i="2"/>
  <c r="K94" i="2"/>
  <c r="O94" i="2"/>
  <c r="S94" i="2"/>
  <c r="W94" i="2"/>
  <c r="AA94" i="2"/>
  <c r="AE94" i="2"/>
  <c r="AI94" i="2"/>
  <c r="AM94" i="2"/>
  <c r="AQ94" i="2"/>
  <c r="AU94" i="2"/>
  <c r="AY94" i="2"/>
  <c r="BC94" i="2"/>
  <c r="BG94" i="2"/>
  <c r="BK94" i="2"/>
  <c r="BO94" i="2"/>
  <c r="BS94" i="2"/>
  <c r="BW94" i="2"/>
  <c r="CA94" i="2"/>
  <c r="CE94" i="2"/>
  <c r="CI94" i="2"/>
  <c r="CM94" i="2"/>
  <c r="CQ94" i="2"/>
  <c r="D94" i="2"/>
  <c r="H94" i="2"/>
  <c r="L94" i="2"/>
  <c r="P94" i="2"/>
  <c r="T94" i="2"/>
  <c r="X94" i="2"/>
  <c r="AB94" i="2"/>
  <c r="AF94" i="2"/>
  <c r="AJ94" i="2"/>
  <c r="J94" i="2"/>
  <c r="R94" i="2"/>
  <c r="Z94" i="2"/>
  <c r="AH94" i="2"/>
  <c r="AO94" i="2"/>
  <c r="AT94" i="2"/>
  <c r="AZ94" i="2"/>
  <c r="BE94" i="2"/>
  <c r="BJ94" i="2"/>
  <c r="BP94" i="2"/>
  <c r="BU94" i="2"/>
  <c r="BZ94" i="2"/>
  <c r="CF94" i="2"/>
  <c r="CK94" i="2"/>
  <c r="CP94" i="2"/>
  <c r="E94" i="2"/>
  <c r="M94" i="2"/>
  <c r="U94" i="2"/>
  <c r="AC94" i="2"/>
  <c r="AK94" i="2"/>
  <c r="AP94" i="2"/>
  <c r="AV94" i="2"/>
  <c r="BA94" i="2"/>
  <c r="BF94" i="2"/>
  <c r="BL94" i="2"/>
  <c r="BQ94" i="2"/>
  <c r="BV94" i="2"/>
  <c r="CB94" i="2"/>
  <c r="CG94" i="2"/>
  <c r="CL94" i="2"/>
  <c r="F94" i="2"/>
  <c r="N94" i="2"/>
  <c r="V94" i="2"/>
  <c r="AD94" i="2"/>
  <c r="AL94" i="2"/>
  <c r="AR94" i="2"/>
  <c r="AW94" i="2"/>
  <c r="BB94" i="2"/>
  <c r="BH94" i="2"/>
  <c r="BM94" i="2"/>
  <c r="BR94" i="2"/>
  <c r="BX94" i="2"/>
  <c r="CC94" i="2"/>
  <c r="CH94" i="2"/>
  <c r="CN94" i="2"/>
  <c r="I94" i="2"/>
  <c r="Q94" i="2"/>
  <c r="Y94" i="2"/>
  <c r="AG94" i="2"/>
  <c r="AN94" i="2"/>
  <c r="AS94" i="2"/>
  <c r="AX94" i="2"/>
  <c r="BD94" i="2"/>
  <c r="BI94" i="2"/>
  <c r="BN94" i="2"/>
  <c r="BT94" i="2"/>
  <c r="BY94" i="2"/>
  <c r="CD94" i="2"/>
  <c r="CJ94" i="2"/>
  <c r="CO94" i="2"/>
  <c r="G98" i="2"/>
  <c r="K98" i="2"/>
  <c r="O98" i="2"/>
  <c r="S98" i="2"/>
  <c r="W98" i="2"/>
  <c r="AA98" i="2"/>
  <c r="AE98" i="2"/>
  <c r="AI98" i="2"/>
  <c r="AM98" i="2"/>
  <c r="AQ98" i="2"/>
  <c r="AU98" i="2"/>
  <c r="AY98" i="2"/>
  <c r="BC98" i="2"/>
  <c r="BG98" i="2"/>
  <c r="BK98" i="2"/>
  <c r="BO98" i="2"/>
  <c r="BS98" i="2"/>
  <c r="BW98" i="2"/>
  <c r="CA98" i="2"/>
  <c r="CE98" i="2"/>
  <c r="CI98" i="2"/>
  <c r="CM98" i="2"/>
  <c r="CQ98" i="2"/>
  <c r="D98" i="2"/>
  <c r="H98" i="2"/>
  <c r="L98" i="2"/>
  <c r="P98" i="2"/>
  <c r="T98" i="2"/>
  <c r="AB98" i="2"/>
  <c r="AF98" i="2"/>
  <c r="AJ98" i="2"/>
  <c r="AN98" i="2"/>
  <c r="AR98" i="2"/>
  <c r="AV98" i="2"/>
  <c r="AZ98" i="2"/>
  <c r="BD98" i="2"/>
  <c r="BH98" i="2"/>
  <c r="BL98" i="2"/>
  <c r="BP98" i="2"/>
  <c r="BT98" i="2"/>
  <c r="BX98" i="2"/>
  <c r="CB98" i="2"/>
  <c r="CF98" i="2"/>
  <c r="CJ98" i="2"/>
  <c r="CN98" i="2"/>
  <c r="E98" i="2"/>
  <c r="I98" i="2"/>
  <c r="M98" i="2"/>
  <c r="Q98" i="2"/>
  <c r="U98" i="2"/>
  <c r="Y98" i="2"/>
  <c r="AC98" i="2"/>
  <c r="AG98" i="2"/>
  <c r="AK98" i="2"/>
  <c r="AO98" i="2"/>
  <c r="AS98" i="2"/>
  <c r="AW98" i="2"/>
  <c r="BA98" i="2"/>
  <c r="BE98" i="2"/>
  <c r="BI98" i="2"/>
  <c r="BM98" i="2"/>
  <c r="BQ98" i="2"/>
  <c r="BU98" i="2"/>
  <c r="BY98" i="2"/>
  <c r="CC98" i="2"/>
  <c r="CG98" i="2"/>
  <c r="CK98" i="2"/>
  <c r="CO98" i="2"/>
  <c r="F98" i="2"/>
  <c r="J98" i="2"/>
  <c r="N98" i="2"/>
  <c r="R98" i="2"/>
  <c r="V98" i="2"/>
  <c r="Z98" i="2"/>
  <c r="AD98" i="2"/>
  <c r="AH98" i="2"/>
  <c r="AL98" i="2"/>
  <c r="AP98" i="2"/>
  <c r="AT98" i="2"/>
  <c r="AX98" i="2"/>
  <c r="BB98" i="2"/>
  <c r="BF98" i="2"/>
  <c r="BJ98" i="2"/>
  <c r="BN98" i="2"/>
  <c r="BR98" i="2"/>
  <c r="BV98" i="2"/>
  <c r="BZ98" i="2"/>
  <c r="CD98" i="2"/>
  <c r="CH98" i="2"/>
  <c r="CL98" i="2"/>
  <c r="CP98" i="2"/>
  <c r="X95" i="2"/>
  <c r="X100" i="2"/>
  <c r="G55" i="2"/>
  <c r="K55" i="2"/>
  <c r="O55" i="2"/>
  <c r="S55" i="2"/>
  <c r="W55" i="2"/>
  <c r="AA55" i="2"/>
  <c r="AE55" i="2"/>
  <c r="AI55" i="2"/>
  <c r="AM55" i="2"/>
  <c r="AQ55" i="2"/>
  <c r="AU55" i="2"/>
  <c r="AY55" i="2"/>
  <c r="BC55" i="2"/>
  <c r="BG55" i="2"/>
  <c r="BK55" i="2"/>
  <c r="BO55" i="2"/>
  <c r="BS55" i="2"/>
  <c r="BW55" i="2"/>
  <c r="CA55" i="2"/>
  <c r="CE55" i="2"/>
  <c r="CI55" i="2"/>
  <c r="CM55" i="2"/>
  <c r="CQ55" i="2"/>
  <c r="D55" i="2"/>
  <c r="H55" i="2"/>
  <c r="L55" i="2"/>
  <c r="P55" i="2"/>
  <c r="T55" i="2"/>
  <c r="X55" i="2"/>
  <c r="AB55" i="2"/>
  <c r="AF55" i="2"/>
  <c r="AJ55" i="2"/>
  <c r="AN55" i="2"/>
  <c r="AR55" i="2"/>
  <c r="AV55" i="2"/>
  <c r="AZ55" i="2"/>
  <c r="BD55" i="2"/>
  <c r="BH55" i="2"/>
  <c r="BL55" i="2"/>
  <c r="BP55" i="2"/>
  <c r="BT55" i="2"/>
  <c r="BX55" i="2"/>
  <c r="CB55" i="2"/>
  <c r="CF55" i="2"/>
  <c r="CJ55" i="2"/>
  <c r="CN55" i="2"/>
  <c r="E55" i="2"/>
  <c r="I55" i="2"/>
  <c r="M55" i="2"/>
  <c r="Q55" i="2"/>
  <c r="U55" i="2"/>
  <c r="Y55" i="2"/>
  <c r="AC55" i="2"/>
  <c r="AG55" i="2"/>
  <c r="AK55" i="2"/>
  <c r="AO55" i="2"/>
  <c r="AS55" i="2"/>
  <c r="AW55" i="2"/>
  <c r="BA55" i="2"/>
  <c r="BE55" i="2"/>
  <c r="BI55" i="2"/>
  <c r="BM55" i="2"/>
  <c r="BQ55" i="2"/>
  <c r="BU55" i="2"/>
  <c r="BY55" i="2"/>
  <c r="CC55" i="2"/>
  <c r="CG55" i="2"/>
  <c r="CK55" i="2"/>
  <c r="CO55" i="2"/>
  <c r="F55" i="2"/>
  <c r="J55" i="2"/>
  <c r="N55" i="2"/>
  <c r="R55" i="2"/>
  <c r="V55" i="2"/>
  <c r="Z55" i="2"/>
  <c r="AD55" i="2"/>
  <c r="AH55" i="2"/>
  <c r="AL55" i="2"/>
  <c r="AP55" i="2"/>
  <c r="AT55" i="2"/>
  <c r="AX55" i="2"/>
  <c r="BB55" i="2"/>
  <c r="BF55" i="2"/>
  <c r="BJ55" i="2"/>
  <c r="BN55" i="2"/>
  <c r="BR55" i="2"/>
  <c r="BV55" i="2"/>
  <c r="BZ55" i="2"/>
  <c r="CD55" i="2"/>
  <c r="CH55" i="2"/>
  <c r="CL55" i="2"/>
  <c r="CP55" i="2"/>
  <c r="D57" i="2"/>
  <c r="AE18" i="2"/>
  <c r="J31" i="2"/>
  <c r="N31" i="2"/>
  <c r="R31" i="2"/>
  <c r="V31" i="2"/>
  <c r="Z31" i="2"/>
  <c r="AD31" i="2"/>
  <c r="AH31" i="2"/>
  <c r="AL31" i="2"/>
  <c r="AP31" i="2"/>
  <c r="AT31" i="2"/>
  <c r="AX31" i="2"/>
  <c r="BB31" i="2"/>
  <c r="BF31" i="2"/>
  <c r="BJ31" i="2"/>
  <c r="BN31" i="2"/>
  <c r="BR31" i="2"/>
  <c r="BV31" i="2"/>
  <c r="BZ31" i="2"/>
  <c r="CD31" i="2"/>
  <c r="CH31" i="2"/>
  <c r="CL31" i="2"/>
  <c r="CP31" i="2"/>
  <c r="K31" i="2"/>
  <c r="O31" i="2"/>
  <c r="S31" i="2"/>
  <c r="W31" i="2"/>
  <c r="AA31" i="2"/>
  <c r="AE31" i="2"/>
  <c r="AI31" i="2"/>
  <c r="AM31" i="2"/>
  <c r="AQ31" i="2"/>
  <c r="AU31" i="2"/>
  <c r="AY31" i="2"/>
  <c r="BC31" i="2"/>
  <c r="BG31" i="2"/>
  <c r="L31" i="2"/>
  <c r="T31" i="2"/>
  <c r="AB31" i="2"/>
  <c r="AJ31" i="2"/>
  <c r="AR31" i="2"/>
  <c r="AZ31" i="2"/>
  <c r="BH31" i="2"/>
  <c r="BM31" i="2"/>
  <c r="BS31" i="2"/>
  <c r="BX31" i="2"/>
  <c r="CC31" i="2"/>
  <c r="CI31" i="2"/>
  <c r="CN31" i="2"/>
  <c r="M31" i="2"/>
  <c r="U31" i="2"/>
  <c r="AC31" i="2"/>
  <c r="AK31" i="2"/>
  <c r="AS31" i="2"/>
  <c r="BA31" i="2"/>
  <c r="BI31" i="2"/>
  <c r="BO31" i="2"/>
  <c r="BT31" i="2"/>
  <c r="BY31" i="2"/>
  <c r="CE31" i="2"/>
  <c r="CJ31" i="2"/>
  <c r="CO31" i="2"/>
  <c r="H31" i="2"/>
  <c r="AF31" i="2"/>
  <c r="AN31" i="2"/>
  <c r="AV31" i="2"/>
  <c r="BD31" i="2"/>
  <c r="BK31" i="2"/>
  <c r="BP31" i="2"/>
  <c r="BU31" i="2"/>
  <c r="CA31" i="2"/>
  <c r="CF31" i="2"/>
  <c r="CK31" i="2"/>
  <c r="CQ31" i="2"/>
  <c r="I31" i="2"/>
  <c r="AO31" i="2"/>
  <c r="AW31" i="2"/>
  <c r="BE31" i="2"/>
  <c r="BL31" i="2"/>
  <c r="BQ31" i="2"/>
  <c r="BW31" i="2"/>
  <c r="CB31" i="2"/>
  <c r="CG31" i="2"/>
  <c r="CM31" i="2"/>
  <c r="E31" i="2"/>
  <c r="H73" i="2"/>
  <c r="L73" i="2"/>
  <c r="P73" i="2"/>
  <c r="T73" i="2"/>
  <c r="X73" i="2"/>
  <c r="AB73" i="2"/>
  <c r="AF73" i="2"/>
  <c r="AJ73" i="2"/>
  <c r="AN73" i="2"/>
  <c r="AR73" i="2"/>
  <c r="AV73" i="2"/>
  <c r="AZ73" i="2"/>
  <c r="BD73" i="2"/>
  <c r="BH73" i="2"/>
  <c r="BL73" i="2"/>
  <c r="BP73" i="2"/>
  <c r="BT73" i="2"/>
  <c r="BX73" i="2"/>
  <c r="CB73" i="2"/>
  <c r="CF73" i="2"/>
  <c r="CJ73" i="2"/>
  <c r="CN73" i="2"/>
  <c r="I73" i="2"/>
  <c r="M73" i="2"/>
  <c r="Q73" i="2"/>
  <c r="U73" i="2"/>
  <c r="AC73" i="2"/>
  <c r="AG73" i="2"/>
  <c r="AO73" i="2"/>
  <c r="AS73" i="2"/>
  <c r="AW73" i="2"/>
  <c r="BA73" i="2"/>
  <c r="BE73" i="2"/>
  <c r="BI73" i="2"/>
  <c r="BM73" i="2"/>
  <c r="BQ73" i="2"/>
  <c r="BU73" i="2"/>
  <c r="BY73" i="2"/>
  <c r="CC73" i="2"/>
  <c r="CG73" i="2"/>
  <c r="CK73" i="2"/>
  <c r="CO73" i="2"/>
  <c r="F73" i="2"/>
  <c r="J73" i="2"/>
  <c r="N73" i="2"/>
  <c r="R73" i="2"/>
  <c r="V73" i="2"/>
  <c r="Z73" i="2"/>
  <c r="AD73" i="2"/>
  <c r="AH73" i="2"/>
  <c r="AL73" i="2"/>
  <c r="AP73" i="2"/>
  <c r="AT73" i="2"/>
  <c r="AX73" i="2"/>
  <c r="BB73" i="2"/>
  <c r="BF73" i="2"/>
  <c r="BJ73" i="2"/>
  <c r="BN73" i="2"/>
  <c r="BR73" i="2"/>
  <c r="BV73" i="2"/>
  <c r="BZ73" i="2"/>
  <c r="CD73" i="2"/>
  <c r="CH73" i="2"/>
  <c r="CL73" i="2"/>
  <c r="CP73" i="2"/>
  <c r="G73" i="2"/>
  <c r="K73" i="2"/>
  <c r="S73" i="2"/>
  <c r="W73" i="2"/>
  <c r="AA73" i="2"/>
  <c r="AE73" i="2"/>
  <c r="AI73" i="2"/>
  <c r="AQ73" i="2"/>
  <c r="AY73" i="2"/>
  <c r="BC73" i="2"/>
  <c r="BG73" i="2"/>
  <c r="BK73" i="2"/>
  <c r="BO73" i="2"/>
  <c r="BS73" i="2"/>
  <c r="BW73" i="2"/>
  <c r="CA73" i="2"/>
  <c r="CE73" i="2"/>
  <c r="CI73" i="2"/>
  <c r="CM73" i="2"/>
  <c r="CQ73" i="2"/>
  <c r="H75" i="2"/>
  <c r="L75" i="2"/>
  <c r="P75" i="2"/>
  <c r="T75" i="2"/>
  <c r="X75" i="2"/>
  <c r="AB75" i="2"/>
  <c r="AF75" i="2"/>
  <c r="AJ75" i="2"/>
  <c r="AN75" i="2"/>
  <c r="AR75" i="2"/>
  <c r="AV75" i="2"/>
  <c r="AZ75" i="2"/>
  <c r="BD75" i="2"/>
  <c r="BH75" i="2"/>
  <c r="BL75" i="2"/>
  <c r="BP75" i="2"/>
  <c r="BT75" i="2"/>
  <c r="BX75" i="2"/>
  <c r="CB75" i="2"/>
  <c r="CF75" i="2"/>
  <c r="CJ75" i="2"/>
  <c r="CN75" i="2"/>
  <c r="I75" i="2"/>
  <c r="Q75" i="2"/>
  <c r="U75" i="2"/>
  <c r="Y75" i="2"/>
  <c r="AC75" i="2"/>
  <c r="AG75" i="2"/>
  <c r="AO75" i="2"/>
  <c r="AS75" i="2"/>
  <c r="AW75" i="2"/>
  <c r="BA75" i="2"/>
  <c r="BE75" i="2"/>
  <c r="BI75" i="2"/>
  <c r="BM75" i="2"/>
  <c r="BQ75" i="2"/>
  <c r="BU75" i="2"/>
  <c r="BY75" i="2"/>
  <c r="CC75" i="2"/>
  <c r="CG75" i="2"/>
  <c r="CK75" i="2"/>
  <c r="CO75" i="2"/>
  <c r="F75" i="2"/>
  <c r="J75" i="2"/>
  <c r="N75" i="2"/>
  <c r="R75" i="2"/>
  <c r="V75" i="2"/>
  <c r="Z75" i="2"/>
  <c r="AD75" i="2"/>
  <c r="AH75" i="2"/>
  <c r="AL75" i="2"/>
  <c r="AP75" i="2"/>
  <c r="AT75" i="2"/>
  <c r="AX75" i="2"/>
  <c r="BB75" i="2"/>
  <c r="BF75" i="2"/>
  <c r="BJ75" i="2"/>
  <c r="BN75" i="2"/>
  <c r="BR75" i="2"/>
  <c r="BV75" i="2"/>
  <c r="BZ75" i="2"/>
  <c r="CD75" i="2"/>
  <c r="CH75" i="2"/>
  <c r="CL75" i="2"/>
  <c r="CP75" i="2"/>
  <c r="G75" i="2"/>
  <c r="K75" i="2"/>
  <c r="O75" i="2"/>
  <c r="S75" i="2"/>
  <c r="W75" i="2"/>
  <c r="AA75" i="2"/>
  <c r="AE75" i="2"/>
  <c r="AI75" i="2"/>
  <c r="AM75" i="2"/>
  <c r="AQ75" i="2"/>
  <c r="AU75" i="2"/>
  <c r="AY75" i="2"/>
  <c r="BC75" i="2"/>
  <c r="BG75" i="2"/>
  <c r="BK75" i="2"/>
  <c r="BO75" i="2"/>
  <c r="BS75" i="2"/>
  <c r="BW75" i="2"/>
  <c r="CA75" i="2"/>
  <c r="CE75" i="2"/>
  <c r="CI75" i="2"/>
  <c r="CM75" i="2"/>
  <c r="CQ75" i="2"/>
  <c r="E73" i="2"/>
  <c r="Y31" i="2"/>
  <c r="E10" i="2"/>
  <c r="Y79" i="2"/>
  <c r="G86" i="2"/>
  <c r="K86" i="2"/>
  <c r="O86" i="2"/>
  <c r="S86" i="2"/>
  <c r="W86" i="2"/>
  <c r="AA86" i="2"/>
  <c r="AE86" i="2"/>
  <c r="AI86" i="2"/>
  <c r="AQ86" i="2"/>
  <c r="AU86" i="2"/>
  <c r="AY86" i="2"/>
  <c r="BC86" i="2"/>
  <c r="BG86" i="2"/>
  <c r="BK86" i="2"/>
  <c r="BO86" i="2"/>
  <c r="BS86" i="2"/>
  <c r="BW86" i="2"/>
  <c r="CA86" i="2"/>
  <c r="CE86" i="2"/>
  <c r="CI86" i="2"/>
  <c r="CM86" i="2"/>
  <c r="CQ86" i="2"/>
  <c r="D86" i="2"/>
  <c r="H86" i="2"/>
  <c r="L86" i="2"/>
  <c r="P86" i="2"/>
  <c r="T86" i="2"/>
  <c r="X86" i="2"/>
  <c r="AB86" i="2"/>
  <c r="AF86" i="2"/>
  <c r="AJ86" i="2"/>
  <c r="AN86" i="2"/>
  <c r="AR86" i="2"/>
  <c r="AV86" i="2"/>
  <c r="AZ86" i="2"/>
  <c r="BD86" i="2"/>
  <c r="BH86" i="2"/>
  <c r="BL86" i="2"/>
  <c r="BP86" i="2"/>
  <c r="BT86" i="2"/>
  <c r="BX86" i="2"/>
  <c r="CB86" i="2"/>
  <c r="CF86" i="2"/>
  <c r="CJ86" i="2"/>
  <c r="CN86" i="2"/>
  <c r="I86" i="2"/>
  <c r="M86" i="2"/>
  <c r="Q86" i="2"/>
  <c r="U86" i="2"/>
  <c r="AC86" i="2"/>
  <c r="AG86" i="2"/>
  <c r="AO86" i="2"/>
  <c r="AS86" i="2"/>
  <c r="AW86" i="2"/>
  <c r="BA86" i="2"/>
  <c r="BE86" i="2"/>
  <c r="BI86" i="2"/>
  <c r="BM86" i="2"/>
  <c r="BQ86" i="2"/>
  <c r="BU86" i="2"/>
  <c r="BY86" i="2"/>
  <c r="CC86" i="2"/>
  <c r="CG86" i="2"/>
  <c r="CK86" i="2"/>
  <c r="CO86" i="2"/>
  <c r="F86" i="2"/>
  <c r="J86" i="2"/>
  <c r="N86" i="2"/>
  <c r="R86" i="2"/>
  <c r="V86" i="2"/>
  <c r="Z86" i="2"/>
  <c r="AD86" i="2"/>
  <c r="AH86" i="2"/>
  <c r="AL86" i="2"/>
  <c r="AP86" i="2"/>
  <c r="AT86" i="2"/>
  <c r="AX86" i="2"/>
  <c r="BB86" i="2"/>
  <c r="BF86" i="2"/>
  <c r="BJ86" i="2"/>
  <c r="BN86" i="2"/>
  <c r="BR86" i="2"/>
  <c r="BV86" i="2"/>
  <c r="BZ86" i="2"/>
  <c r="CD86" i="2"/>
  <c r="CH86" i="2"/>
  <c r="CL86" i="2"/>
  <c r="CP86" i="2"/>
  <c r="E86" i="2"/>
  <c r="K36" i="2"/>
  <c r="O36" i="2"/>
  <c r="S36" i="2"/>
  <c r="W36" i="2"/>
  <c r="AA36" i="2"/>
  <c r="AE36" i="2"/>
  <c r="AM36" i="2"/>
  <c r="AQ36" i="2"/>
  <c r="AU36" i="2"/>
  <c r="AY36" i="2"/>
  <c r="BC36" i="2"/>
  <c r="BG36" i="2"/>
  <c r="BK36" i="2"/>
  <c r="BO36" i="2"/>
  <c r="BS36" i="2"/>
  <c r="BW36" i="2"/>
  <c r="CA36" i="2"/>
  <c r="CE36" i="2"/>
  <c r="CI36" i="2"/>
  <c r="CM36" i="2"/>
  <c r="CQ36" i="2"/>
  <c r="D36" i="2"/>
  <c r="H36" i="2"/>
  <c r="L36" i="2"/>
  <c r="T36" i="2"/>
  <c r="X36" i="2"/>
  <c r="AB36" i="2"/>
  <c r="AF36" i="2"/>
  <c r="AJ36" i="2"/>
  <c r="AN36" i="2"/>
  <c r="AR36" i="2"/>
  <c r="AV36" i="2"/>
  <c r="AZ36" i="2"/>
  <c r="BD36" i="2"/>
  <c r="BH36" i="2"/>
  <c r="BL36" i="2"/>
  <c r="BP36" i="2"/>
  <c r="BT36" i="2"/>
  <c r="BX36" i="2"/>
  <c r="CB36" i="2"/>
  <c r="CF36" i="2"/>
  <c r="CJ36" i="2"/>
  <c r="CN36" i="2"/>
  <c r="I36" i="2"/>
  <c r="M36" i="2"/>
  <c r="U36" i="2"/>
  <c r="AC36" i="2"/>
  <c r="AK36" i="2"/>
  <c r="AO36" i="2"/>
  <c r="AS36" i="2"/>
  <c r="AW36" i="2"/>
  <c r="BA36" i="2"/>
  <c r="BE36" i="2"/>
  <c r="BM36" i="2"/>
  <c r="BQ36" i="2"/>
  <c r="BU36" i="2"/>
  <c r="BY36" i="2"/>
  <c r="CC36" i="2"/>
  <c r="CG36" i="2"/>
  <c r="CK36" i="2"/>
  <c r="CO36" i="2"/>
  <c r="J36" i="2"/>
  <c r="Z36" i="2"/>
  <c r="AP36" i="2"/>
  <c r="BF36" i="2"/>
  <c r="BV36" i="2"/>
  <c r="CL36" i="2"/>
  <c r="N36" i="2"/>
  <c r="AD36" i="2"/>
  <c r="AT36" i="2"/>
  <c r="BJ36" i="2"/>
  <c r="BZ36" i="2"/>
  <c r="CP36" i="2"/>
  <c r="R36" i="2"/>
  <c r="AH36" i="2"/>
  <c r="AX36" i="2"/>
  <c r="BN36" i="2"/>
  <c r="CD36" i="2"/>
  <c r="V36" i="2"/>
  <c r="AL36" i="2"/>
  <c r="BB36" i="2"/>
  <c r="BR36" i="2"/>
  <c r="CH36" i="2"/>
  <c r="G39" i="2"/>
  <c r="K39" i="2"/>
  <c r="O39" i="2"/>
  <c r="S39" i="2"/>
  <c r="W39" i="2"/>
  <c r="AA39" i="2"/>
  <c r="AE39" i="2"/>
  <c r="AI39" i="2"/>
  <c r="AM39" i="2"/>
  <c r="AQ39" i="2"/>
  <c r="AU39" i="2"/>
  <c r="AY39" i="2"/>
  <c r="BC39" i="2"/>
  <c r="BG39" i="2"/>
  <c r="BK39" i="2"/>
  <c r="BO39" i="2"/>
  <c r="BS39" i="2"/>
  <c r="BW39" i="2"/>
  <c r="CA39" i="2"/>
  <c r="CE39" i="2"/>
  <c r="CI39" i="2"/>
  <c r="CM39" i="2"/>
  <c r="CQ39" i="2"/>
  <c r="D39" i="2"/>
  <c r="I39" i="2"/>
  <c r="N39" i="2"/>
  <c r="T39" i="2"/>
  <c r="AD39" i="2"/>
  <c r="AJ39" i="2"/>
  <c r="AO39" i="2"/>
  <c r="AT39" i="2"/>
  <c r="AZ39" i="2"/>
  <c r="BE39" i="2"/>
  <c r="BJ39" i="2"/>
  <c r="BP39" i="2"/>
  <c r="BU39" i="2"/>
  <c r="BZ39" i="2"/>
  <c r="CF39" i="2"/>
  <c r="CK39" i="2"/>
  <c r="CP39" i="2"/>
  <c r="J39" i="2"/>
  <c r="P39" i="2"/>
  <c r="U39" i="2"/>
  <c r="Z39" i="2"/>
  <c r="AF39" i="2"/>
  <c r="AK39" i="2"/>
  <c r="AP39" i="2"/>
  <c r="AV39" i="2"/>
  <c r="BA39" i="2"/>
  <c r="BF39" i="2"/>
  <c r="BL39" i="2"/>
  <c r="BQ39" i="2"/>
  <c r="BV39" i="2"/>
  <c r="CB39" i="2"/>
  <c r="CG39" i="2"/>
  <c r="CL39" i="2"/>
  <c r="F39" i="2"/>
  <c r="L39" i="2"/>
  <c r="V39" i="2"/>
  <c r="AB39" i="2"/>
  <c r="AG39" i="2"/>
  <c r="AL39" i="2"/>
  <c r="AR39" i="2"/>
  <c r="AW39" i="2"/>
  <c r="BB39" i="2"/>
  <c r="BH39" i="2"/>
  <c r="BM39" i="2"/>
  <c r="BR39" i="2"/>
  <c r="BX39" i="2"/>
  <c r="CC39" i="2"/>
  <c r="CH39" i="2"/>
  <c r="CN39" i="2"/>
  <c r="H39" i="2"/>
  <c r="M39" i="2"/>
  <c r="R39" i="2"/>
  <c r="X39" i="2"/>
  <c r="AC39" i="2"/>
  <c r="AH39" i="2"/>
  <c r="AN39" i="2"/>
  <c r="AS39" i="2"/>
  <c r="AX39" i="2"/>
  <c r="BD39" i="2"/>
  <c r="BI39" i="2"/>
  <c r="BN39" i="2"/>
  <c r="BT39" i="2"/>
  <c r="BY39" i="2"/>
  <c r="CD39" i="2"/>
  <c r="CJ39" i="2"/>
  <c r="CO39" i="2"/>
  <c r="Q39" i="2"/>
  <c r="E39" i="2"/>
  <c r="Y39" i="2"/>
  <c r="AI36" i="2"/>
  <c r="F42" i="2"/>
  <c r="J42" i="2"/>
  <c r="N42" i="2"/>
  <c r="R42" i="2"/>
  <c r="V42" i="2"/>
  <c r="Z42" i="2"/>
  <c r="AD42" i="2"/>
  <c r="AH42" i="2"/>
  <c r="AL42" i="2"/>
  <c r="AP42" i="2"/>
  <c r="AT42" i="2"/>
  <c r="AX42" i="2"/>
  <c r="BB42" i="2"/>
  <c r="BF42" i="2"/>
  <c r="BJ42" i="2"/>
  <c r="BN42" i="2"/>
  <c r="BR42" i="2"/>
  <c r="BV42" i="2"/>
  <c r="BZ42" i="2"/>
  <c r="CD42" i="2"/>
  <c r="CH42" i="2"/>
  <c r="CL42" i="2"/>
  <c r="CP42" i="2"/>
  <c r="K42" i="2"/>
  <c r="O42" i="2"/>
  <c r="S42" i="2"/>
  <c r="W42" i="2"/>
  <c r="AA42" i="2"/>
  <c r="AE42" i="2"/>
  <c r="AM42" i="2"/>
  <c r="AQ42" i="2"/>
  <c r="AU42" i="2"/>
  <c r="AY42" i="2"/>
  <c r="BC42" i="2"/>
  <c r="BG42" i="2"/>
  <c r="BO42" i="2"/>
  <c r="BS42" i="2"/>
  <c r="BW42" i="2"/>
  <c r="CA42" i="2"/>
  <c r="CE42" i="2"/>
  <c r="CI42" i="2"/>
  <c r="CM42" i="2"/>
  <c r="CQ42" i="2"/>
  <c r="D42" i="2"/>
  <c r="H42" i="2"/>
  <c r="L42" i="2"/>
  <c r="P42" i="2"/>
  <c r="T42" i="2"/>
  <c r="X42" i="2"/>
  <c r="AB42" i="2"/>
  <c r="AF42" i="2"/>
  <c r="AJ42" i="2"/>
  <c r="AN42" i="2"/>
  <c r="AR42" i="2"/>
  <c r="AV42" i="2"/>
  <c r="AZ42" i="2"/>
  <c r="BD42" i="2"/>
  <c r="BH42" i="2"/>
  <c r="BL42" i="2"/>
  <c r="BP42" i="2"/>
  <c r="BT42" i="2"/>
  <c r="BX42" i="2"/>
  <c r="CB42" i="2"/>
  <c r="CF42" i="2"/>
  <c r="CJ42" i="2"/>
  <c r="CN42" i="2"/>
  <c r="E42" i="2"/>
  <c r="I42" i="2"/>
  <c r="M42" i="2"/>
  <c r="U42" i="2"/>
  <c r="Y42" i="2"/>
  <c r="AC42" i="2"/>
  <c r="AG42" i="2"/>
  <c r="AK42" i="2"/>
  <c r="AO42" i="2"/>
  <c r="AS42" i="2"/>
  <c r="AW42" i="2"/>
  <c r="BA42" i="2"/>
  <c r="BE42" i="2"/>
  <c r="BQ42" i="2"/>
  <c r="BU42" i="2"/>
  <c r="BY42" i="2"/>
  <c r="CC42" i="2"/>
  <c r="CG42" i="2"/>
  <c r="CK42" i="2"/>
  <c r="CO42" i="2"/>
  <c r="BK42" i="2"/>
  <c r="K50" i="2"/>
  <c r="O50" i="2"/>
  <c r="S50" i="2"/>
  <c r="W50" i="2"/>
  <c r="AA50" i="2"/>
  <c r="AE50" i="2"/>
  <c r="AQ50" i="2"/>
  <c r="AU50" i="2"/>
  <c r="AY50" i="2"/>
  <c r="BC50" i="2"/>
  <c r="BG50" i="2"/>
  <c r="BK50" i="2"/>
  <c r="BO50" i="2"/>
  <c r="BS50" i="2"/>
  <c r="BW50" i="2"/>
  <c r="CA50" i="2"/>
  <c r="CE50" i="2"/>
  <c r="CI50" i="2"/>
  <c r="CM50" i="2"/>
  <c r="CQ50" i="2"/>
  <c r="D50" i="2"/>
  <c r="H50" i="2"/>
  <c r="L50" i="2"/>
  <c r="P50" i="2"/>
  <c r="T50" i="2"/>
  <c r="X50" i="2"/>
  <c r="AB50" i="2"/>
  <c r="AF50" i="2"/>
  <c r="AJ50" i="2"/>
  <c r="AN50" i="2"/>
  <c r="AR50" i="2"/>
  <c r="AV50" i="2"/>
  <c r="AZ50" i="2"/>
  <c r="BD50" i="2"/>
  <c r="BH50" i="2"/>
  <c r="BL50" i="2"/>
  <c r="BP50" i="2"/>
  <c r="BT50" i="2"/>
  <c r="BX50" i="2"/>
  <c r="CB50" i="2"/>
  <c r="J50" i="2"/>
  <c r="R50" i="2"/>
  <c r="Z50" i="2"/>
  <c r="AH50" i="2"/>
  <c r="AP50" i="2"/>
  <c r="AX50" i="2"/>
  <c r="BF50" i="2"/>
  <c r="BN50" i="2"/>
  <c r="BV50" i="2"/>
  <c r="CD50" i="2"/>
  <c r="CJ50" i="2"/>
  <c r="CO50" i="2"/>
  <c r="M50" i="2"/>
  <c r="U50" i="2"/>
  <c r="AC50" i="2"/>
  <c r="AK50" i="2"/>
  <c r="AS50" i="2"/>
  <c r="BA50" i="2"/>
  <c r="BI50" i="2"/>
  <c r="BQ50" i="2"/>
  <c r="BY50" i="2"/>
  <c r="CF50" i="2"/>
  <c r="CK50" i="2"/>
  <c r="CP50" i="2"/>
  <c r="N50" i="2"/>
  <c r="V50" i="2"/>
  <c r="AD50" i="2"/>
  <c r="AL50" i="2"/>
  <c r="AT50" i="2"/>
  <c r="BB50" i="2"/>
  <c r="BJ50" i="2"/>
  <c r="BR50" i="2"/>
  <c r="BZ50" i="2"/>
  <c r="CG50" i="2"/>
  <c r="CL50" i="2"/>
  <c r="I50" i="2"/>
  <c r="Q50" i="2"/>
  <c r="AG50" i="2"/>
  <c r="AO50" i="2"/>
  <c r="AW50" i="2"/>
  <c r="BE50" i="2"/>
  <c r="BM50" i="2"/>
  <c r="BU50" i="2"/>
  <c r="CC50" i="2"/>
  <c r="CH50" i="2"/>
  <c r="CN50" i="2"/>
  <c r="Y50" i="2"/>
  <c r="AI50" i="2"/>
  <c r="G90" i="2"/>
  <c r="K90" i="2"/>
  <c r="O90" i="2"/>
  <c r="S90" i="2"/>
  <c r="W90" i="2"/>
  <c r="AA90" i="2"/>
  <c r="AE90" i="2"/>
  <c r="AI90" i="2"/>
  <c r="AQ90" i="2"/>
  <c r="AU90" i="2"/>
  <c r="AY90" i="2"/>
  <c r="BC90" i="2"/>
  <c r="BG90" i="2"/>
  <c r="BK90" i="2"/>
  <c r="BO90" i="2"/>
  <c r="BS90" i="2"/>
  <c r="BW90" i="2"/>
  <c r="CA90" i="2"/>
  <c r="CE90" i="2"/>
  <c r="CI90" i="2"/>
  <c r="CM90" i="2"/>
  <c r="CQ90" i="2"/>
  <c r="D90" i="2"/>
  <c r="H90" i="2"/>
  <c r="L90" i="2"/>
  <c r="P90" i="2"/>
  <c r="T90" i="2"/>
  <c r="X90" i="2"/>
  <c r="AB90" i="2"/>
  <c r="AF90" i="2"/>
  <c r="AJ90" i="2"/>
  <c r="AN90" i="2"/>
  <c r="AR90" i="2"/>
  <c r="AV90" i="2"/>
  <c r="AZ90" i="2"/>
  <c r="BD90" i="2"/>
  <c r="BH90" i="2"/>
  <c r="BL90" i="2"/>
  <c r="BP90" i="2"/>
  <c r="BT90" i="2"/>
  <c r="BX90" i="2"/>
  <c r="CB90" i="2"/>
  <c r="CF90" i="2"/>
  <c r="CJ90" i="2"/>
  <c r="CN90" i="2"/>
  <c r="E90" i="2"/>
  <c r="I90" i="2"/>
  <c r="Q90" i="2"/>
  <c r="U90" i="2"/>
  <c r="AC90" i="2"/>
  <c r="AG90" i="2"/>
  <c r="AK90" i="2"/>
  <c r="AO90" i="2"/>
  <c r="AS90" i="2"/>
  <c r="AW90" i="2"/>
  <c r="BA90" i="2"/>
  <c r="BE90" i="2"/>
  <c r="BI90" i="2"/>
  <c r="BM90" i="2"/>
  <c r="BQ90" i="2"/>
  <c r="BU90" i="2"/>
  <c r="BY90" i="2"/>
  <c r="CC90" i="2"/>
  <c r="CG90" i="2"/>
  <c r="CK90" i="2"/>
  <c r="CO90" i="2"/>
  <c r="F90" i="2"/>
  <c r="J90" i="2"/>
  <c r="N90" i="2"/>
  <c r="R90" i="2"/>
  <c r="V90" i="2"/>
  <c r="Z90" i="2"/>
  <c r="AD90" i="2"/>
  <c r="AH90" i="2"/>
  <c r="AL90" i="2"/>
  <c r="AP90" i="2"/>
  <c r="AT90" i="2"/>
  <c r="AX90" i="2"/>
  <c r="BB90" i="2"/>
  <c r="BF90" i="2"/>
  <c r="BJ90" i="2"/>
  <c r="BN90" i="2"/>
  <c r="BR90" i="2"/>
  <c r="BV90" i="2"/>
  <c r="BZ90" i="2"/>
  <c r="CD90" i="2"/>
  <c r="CH90" i="2"/>
  <c r="CL90" i="2"/>
  <c r="CP90" i="2"/>
  <c r="G95" i="2"/>
  <c r="K95" i="2"/>
  <c r="O95" i="2"/>
  <c r="S95" i="2"/>
  <c r="W95" i="2"/>
  <c r="AA95" i="2"/>
  <c r="AE95" i="2"/>
  <c r="AI95" i="2"/>
  <c r="AM95" i="2"/>
  <c r="AQ95" i="2"/>
  <c r="AU95" i="2"/>
  <c r="AY95" i="2"/>
  <c r="BC95" i="2"/>
  <c r="BG95" i="2"/>
  <c r="BK95" i="2"/>
  <c r="BO95" i="2"/>
  <c r="BS95" i="2"/>
  <c r="BW95" i="2"/>
  <c r="CA95" i="2"/>
  <c r="CE95" i="2"/>
  <c r="CI95" i="2"/>
  <c r="CM95" i="2"/>
  <c r="CQ95" i="2"/>
  <c r="H95" i="2"/>
  <c r="M95" i="2"/>
  <c r="R95" i="2"/>
  <c r="AC95" i="2"/>
  <c r="AH95" i="2"/>
  <c r="AN95" i="2"/>
  <c r="AS95" i="2"/>
  <c r="AX95" i="2"/>
  <c r="BD95" i="2"/>
  <c r="BI95" i="2"/>
  <c r="BN95" i="2"/>
  <c r="BT95" i="2"/>
  <c r="BY95" i="2"/>
  <c r="CD95" i="2"/>
  <c r="CJ95" i="2"/>
  <c r="CO95" i="2"/>
  <c r="D95" i="2"/>
  <c r="I95" i="2"/>
  <c r="N95" i="2"/>
  <c r="T95" i="2"/>
  <c r="Y95" i="2"/>
  <c r="AD95" i="2"/>
  <c r="AJ95" i="2"/>
  <c r="AO95" i="2"/>
  <c r="AT95" i="2"/>
  <c r="AZ95" i="2"/>
  <c r="BE95" i="2"/>
  <c r="BJ95" i="2"/>
  <c r="BP95" i="2"/>
  <c r="BU95" i="2"/>
  <c r="BZ95" i="2"/>
  <c r="CF95" i="2"/>
  <c r="CK95" i="2"/>
  <c r="CP95" i="2"/>
  <c r="E95" i="2"/>
  <c r="J95" i="2"/>
  <c r="P95" i="2"/>
  <c r="U95" i="2"/>
  <c r="Z95" i="2"/>
  <c r="AF95" i="2"/>
  <c r="AK95" i="2"/>
  <c r="AP95" i="2"/>
  <c r="AV95" i="2"/>
  <c r="BA95" i="2"/>
  <c r="BF95" i="2"/>
  <c r="BL95" i="2"/>
  <c r="BQ95" i="2"/>
  <c r="BV95" i="2"/>
  <c r="CB95" i="2"/>
  <c r="CG95" i="2"/>
  <c r="CL95" i="2"/>
  <c r="F95" i="2"/>
  <c r="L95" i="2"/>
  <c r="Q95" i="2"/>
  <c r="V95" i="2"/>
  <c r="AB95" i="2"/>
  <c r="AG95" i="2"/>
  <c r="AR95" i="2"/>
  <c r="AW95" i="2"/>
  <c r="BB95" i="2"/>
  <c r="BH95" i="2"/>
  <c r="BM95" i="2"/>
  <c r="BR95" i="2"/>
  <c r="BX95" i="2"/>
  <c r="CC95" i="2"/>
  <c r="CH95" i="2"/>
  <c r="CN95" i="2"/>
  <c r="G99" i="2"/>
  <c r="K99" i="2"/>
  <c r="O99" i="2"/>
  <c r="S99" i="2"/>
  <c r="W99" i="2"/>
  <c r="AA99" i="2"/>
  <c r="AE99" i="2"/>
  <c r="AI99" i="2"/>
  <c r="AM99" i="2"/>
  <c r="AQ99" i="2"/>
  <c r="AU99" i="2"/>
  <c r="AY99" i="2"/>
  <c r="BC99" i="2"/>
  <c r="BG99" i="2"/>
  <c r="BK99" i="2"/>
  <c r="BO99" i="2"/>
  <c r="BS99" i="2"/>
  <c r="BW99" i="2"/>
  <c r="CA99" i="2"/>
  <c r="CE99" i="2"/>
  <c r="CI99" i="2"/>
  <c r="CM99" i="2"/>
  <c r="CQ99" i="2"/>
  <c r="D99" i="2"/>
  <c r="H99" i="2"/>
  <c r="L99" i="2"/>
  <c r="P99" i="2"/>
  <c r="T99" i="2"/>
  <c r="AB99" i="2"/>
  <c r="AF99" i="2"/>
  <c r="AJ99" i="2"/>
  <c r="AN99" i="2"/>
  <c r="AR99" i="2"/>
  <c r="AV99" i="2"/>
  <c r="AZ99" i="2"/>
  <c r="BD99" i="2"/>
  <c r="BH99" i="2"/>
  <c r="BL99" i="2"/>
  <c r="BP99" i="2"/>
  <c r="BT99" i="2"/>
  <c r="BX99" i="2"/>
  <c r="CB99" i="2"/>
  <c r="CF99" i="2"/>
  <c r="CJ99" i="2"/>
  <c r="CN99" i="2"/>
  <c r="E99" i="2"/>
  <c r="I99" i="2"/>
  <c r="M99" i="2"/>
  <c r="Q99" i="2"/>
  <c r="U99" i="2"/>
  <c r="Y99" i="2"/>
  <c r="AC99" i="2"/>
  <c r="AG99" i="2"/>
  <c r="AK99" i="2"/>
  <c r="AO99" i="2"/>
  <c r="AS99" i="2"/>
  <c r="AW99" i="2"/>
  <c r="BA99" i="2"/>
  <c r="BE99" i="2"/>
  <c r="BI99" i="2"/>
  <c r="BM99" i="2"/>
  <c r="BQ99" i="2"/>
  <c r="BU99" i="2"/>
  <c r="BY99" i="2"/>
  <c r="CC99" i="2"/>
  <c r="CG99" i="2"/>
  <c r="CK99" i="2"/>
  <c r="CO99" i="2"/>
  <c r="F99" i="2"/>
  <c r="J99" i="2"/>
  <c r="N99" i="2"/>
  <c r="R99" i="2"/>
  <c r="V99" i="2"/>
  <c r="Z99" i="2"/>
  <c r="AD99" i="2"/>
  <c r="AH99" i="2"/>
  <c r="AL99" i="2"/>
  <c r="AP99" i="2"/>
  <c r="AT99" i="2"/>
  <c r="AX99" i="2"/>
  <c r="BB99" i="2"/>
  <c r="BF99" i="2"/>
  <c r="BJ99" i="2"/>
  <c r="BN99" i="2"/>
  <c r="BR99" i="2"/>
  <c r="BV99" i="2"/>
  <c r="BZ99" i="2"/>
  <c r="CD99" i="2"/>
  <c r="CH99" i="2"/>
  <c r="CL99" i="2"/>
  <c r="CP99" i="2"/>
  <c r="G57" i="2"/>
  <c r="K57" i="2"/>
  <c r="O57" i="2"/>
  <c r="S57" i="2"/>
  <c r="W57" i="2"/>
  <c r="AA57" i="2"/>
  <c r="AE57" i="2"/>
  <c r="AI57" i="2"/>
  <c r="AM57" i="2"/>
  <c r="AQ57" i="2"/>
  <c r="AU57" i="2"/>
  <c r="AY57" i="2"/>
  <c r="BC57" i="2"/>
  <c r="BG57" i="2"/>
  <c r="BK57" i="2"/>
  <c r="BO57" i="2"/>
  <c r="BS57" i="2"/>
  <c r="BW57" i="2"/>
  <c r="CA57" i="2"/>
  <c r="CE57" i="2"/>
  <c r="CI57" i="2"/>
  <c r="CM57" i="2"/>
  <c r="CQ57" i="2"/>
  <c r="H57" i="2"/>
  <c r="L57" i="2"/>
  <c r="P57" i="2"/>
  <c r="T57" i="2"/>
  <c r="AB57" i="2"/>
  <c r="AF57" i="2"/>
  <c r="AJ57" i="2"/>
  <c r="AN57" i="2"/>
  <c r="AR57" i="2"/>
  <c r="AV57" i="2"/>
  <c r="AZ57" i="2"/>
  <c r="BD57" i="2"/>
  <c r="BH57" i="2"/>
  <c r="BL57" i="2"/>
  <c r="BP57" i="2"/>
  <c r="BT57" i="2"/>
  <c r="BX57" i="2"/>
  <c r="CB57" i="2"/>
  <c r="CF57" i="2"/>
  <c r="CJ57" i="2"/>
  <c r="CN57" i="2"/>
  <c r="E57" i="2"/>
  <c r="I57" i="2"/>
  <c r="M57" i="2"/>
  <c r="Q57" i="2"/>
  <c r="U57" i="2"/>
  <c r="Y57" i="2"/>
  <c r="AC57" i="2"/>
  <c r="AG57" i="2"/>
  <c r="AK57" i="2"/>
  <c r="AO57" i="2"/>
  <c r="AS57" i="2"/>
  <c r="AW57" i="2"/>
  <c r="BA57" i="2"/>
  <c r="BE57" i="2"/>
  <c r="BI57" i="2"/>
  <c r="BM57" i="2"/>
  <c r="BQ57" i="2"/>
  <c r="BU57" i="2"/>
  <c r="BY57" i="2"/>
  <c r="CC57" i="2"/>
  <c r="CG57" i="2"/>
  <c r="CK57" i="2"/>
  <c r="CO57" i="2"/>
  <c r="F57" i="2"/>
  <c r="J57" i="2"/>
  <c r="N57" i="2"/>
  <c r="R57" i="2"/>
  <c r="V57" i="2"/>
  <c r="Z57" i="2"/>
  <c r="AD57" i="2"/>
  <c r="AH57" i="2"/>
  <c r="AL57" i="2"/>
  <c r="AP57" i="2"/>
  <c r="AT57" i="2"/>
  <c r="AX57" i="2"/>
  <c r="BB57" i="2"/>
  <c r="BF57" i="2"/>
  <c r="BJ57" i="2"/>
  <c r="BN57" i="2"/>
  <c r="BR57" i="2"/>
  <c r="BV57" i="2"/>
  <c r="BZ57" i="2"/>
  <c r="CD57" i="2"/>
  <c r="CH57" i="2"/>
  <c r="CL57" i="2"/>
  <c r="CP57" i="2"/>
  <c r="K102" i="2"/>
  <c r="O102" i="2"/>
  <c r="S102" i="2"/>
  <c r="W102" i="2"/>
  <c r="AA102" i="2"/>
  <c r="AE102" i="2"/>
  <c r="AI102" i="2"/>
  <c r="AQ102" i="2"/>
  <c r="AU102" i="2"/>
  <c r="AY102" i="2"/>
  <c r="BC102" i="2"/>
  <c r="BG102" i="2"/>
  <c r="BK102" i="2"/>
  <c r="BO102" i="2"/>
  <c r="BS102" i="2"/>
  <c r="BW102" i="2"/>
  <c r="CA102" i="2"/>
  <c r="CE102" i="2"/>
  <c r="CI102" i="2"/>
  <c r="CM102" i="2"/>
  <c r="CQ102" i="2"/>
  <c r="H102" i="2"/>
  <c r="L102" i="2"/>
  <c r="P102" i="2"/>
  <c r="T102" i="2"/>
  <c r="X102" i="2"/>
  <c r="AB102" i="2"/>
  <c r="AF102" i="2"/>
  <c r="AJ102" i="2"/>
  <c r="AN102" i="2"/>
  <c r="AR102" i="2"/>
  <c r="AV102" i="2"/>
  <c r="AZ102" i="2"/>
  <c r="BD102" i="2"/>
  <c r="BH102" i="2"/>
  <c r="BL102" i="2"/>
  <c r="BP102" i="2"/>
  <c r="BT102" i="2"/>
  <c r="BX102" i="2"/>
  <c r="CB102" i="2"/>
  <c r="CF102" i="2"/>
  <c r="CJ102" i="2"/>
  <c r="CN102" i="2"/>
  <c r="I102" i="2"/>
  <c r="M102" i="2"/>
  <c r="Q102" i="2"/>
  <c r="U102" i="2"/>
  <c r="AC102" i="2"/>
  <c r="AG102" i="2"/>
  <c r="AK102" i="2"/>
  <c r="AO102" i="2"/>
  <c r="AS102" i="2"/>
  <c r="AW102" i="2"/>
  <c r="BA102" i="2"/>
  <c r="BE102" i="2"/>
  <c r="BI102" i="2"/>
  <c r="BM102" i="2"/>
  <c r="BQ102" i="2"/>
  <c r="BU102" i="2"/>
  <c r="BY102" i="2"/>
  <c r="CC102" i="2"/>
  <c r="CG102" i="2"/>
  <c r="CK102" i="2"/>
  <c r="CO102" i="2"/>
  <c r="J102" i="2"/>
  <c r="N102" i="2"/>
  <c r="R102" i="2"/>
  <c r="V102" i="2"/>
  <c r="Z102" i="2"/>
  <c r="AD102" i="2"/>
  <c r="AH102" i="2"/>
  <c r="AL102" i="2"/>
  <c r="AP102" i="2"/>
  <c r="AT102" i="2"/>
  <c r="AX102" i="2"/>
  <c r="BB102" i="2"/>
  <c r="BF102" i="2"/>
  <c r="BJ102" i="2"/>
  <c r="BN102" i="2"/>
  <c r="BR102" i="2"/>
  <c r="BV102" i="2"/>
  <c r="BZ102" i="2"/>
  <c r="CD102" i="2"/>
  <c r="CH102" i="2"/>
  <c r="CL102" i="2"/>
  <c r="CP102" i="2"/>
  <c r="G102" i="2"/>
  <c r="F15" i="2"/>
  <c r="J15" i="2"/>
  <c r="N15" i="2"/>
  <c r="R15" i="2"/>
  <c r="V15" i="2"/>
  <c r="Z15" i="2"/>
  <c r="AD15" i="2"/>
  <c r="AH15" i="2"/>
  <c r="AL15" i="2"/>
  <c r="AP15" i="2"/>
  <c r="AT15" i="2"/>
  <c r="AX15" i="2"/>
  <c r="BB15" i="2"/>
  <c r="BF15" i="2"/>
  <c r="BJ15" i="2"/>
  <c r="BN15" i="2"/>
  <c r="BR15" i="2"/>
  <c r="BV15" i="2"/>
  <c r="BZ15" i="2"/>
  <c r="CD15" i="2"/>
  <c r="CH15" i="2"/>
  <c r="CL15" i="2"/>
  <c r="CP15" i="2"/>
  <c r="K15" i="2"/>
  <c r="O15" i="2"/>
  <c r="S15" i="2"/>
  <c r="W15" i="2"/>
  <c r="AA15" i="2"/>
  <c r="AE15" i="2"/>
  <c r="AI15" i="2"/>
  <c r="AM15" i="2"/>
  <c r="AQ15" i="2"/>
  <c r="AU15" i="2"/>
  <c r="AY15" i="2"/>
  <c r="BC15" i="2"/>
  <c r="BG15" i="2"/>
  <c r="BK15" i="2"/>
  <c r="BO15" i="2"/>
  <c r="BS15" i="2"/>
  <c r="BW15" i="2"/>
  <c r="CA15" i="2"/>
  <c r="CE15" i="2"/>
  <c r="CI15" i="2"/>
  <c r="CM15" i="2"/>
  <c r="CQ15" i="2"/>
  <c r="H15" i="2"/>
  <c r="L15" i="2"/>
  <c r="P15" i="2"/>
  <c r="T15" i="2"/>
  <c r="X15" i="2"/>
  <c r="AB15" i="2"/>
  <c r="AF15" i="2"/>
  <c r="AJ15" i="2"/>
  <c r="AN15" i="2"/>
  <c r="AR15" i="2"/>
  <c r="AV15" i="2"/>
  <c r="AZ15" i="2"/>
  <c r="BD15" i="2"/>
  <c r="BH15" i="2"/>
  <c r="BL15" i="2"/>
  <c r="BP15" i="2"/>
  <c r="BT15" i="2"/>
  <c r="BX15" i="2"/>
  <c r="CB15" i="2"/>
  <c r="CF15" i="2"/>
  <c r="CJ15" i="2"/>
  <c r="CN15" i="2"/>
  <c r="U15" i="2"/>
  <c r="AK15" i="2"/>
  <c r="BA15" i="2"/>
  <c r="BQ15" i="2"/>
  <c r="CG15" i="2"/>
  <c r="I15" i="2"/>
  <c r="Y15" i="2"/>
  <c r="AO15" i="2"/>
  <c r="BE15" i="2"/>
  <c r="BU15" i="2"/>
  <c r="CK15" i="2"/>
  <c r="M15" i="2"/>
  <c r="AC15" i="2"/>
  <c r="AS15" i="2"/>
  <c r="BI15" i="2"/>
  <c r="BY15" i="2"/>
  <c r="CO15" i="2"/>
  <c r="Q15" i="2"/>
  <c r="AG15" i="2"/>
  <c r="AW15" i="2"/>
  <c r="BM15" i="2"/>
  <c r="CC15" i="2"/>
  <c r="AW10" i="2"/>
  <c r="H69" i="2"/>
  <c r="L69" i="2"/>
  <c r="P69" i="2"/>
  <c r="T69" i="2"/>
  <c r="X69" i="2"/>
  <c r="AB69" i="2"/>
  <c r="AF69" i="2"/>
  <c r="AJ69" i="2"/>
  <c r="AN69" i="2"/>
  <c r="AR69" i="2"/>
  <c r="AV69" i="2"/>
  <c r="AZ69" i="2"/>
  <c r="BD69" i="2"/>
  <c r="BH69" i="2"/>
  <c r="BL69" i="2"/>
  <c r="BP69" i="2"/>
  <c r="BT69" i="2"/>
  <c r="BX69" i="2"/>
  <c r="CB69" i="2"/>
  <c r="CF69" i="2"/>
  <c r="CJ69" i="2"/>
  <c r="CN69" i="2"/>
  <c r="I69" i="2"/>
  <c r="M69" i="2"/>
  <c r="Q69" i="2"/>
  <c r="U69" i="2"/>
  <c r="Y69" i="2"/>
  <c r="AC69" i="2"/>
  <c r="AG69" i="2"/>
  <c r="AK69" i="2"/>
  <c r="AO69" i="2"/>
  <c r="AS69" i="2"/>
  <c r="AW69" i="2"/>
  <c r="BA69" i="2"/>
  <c r="BE69" i="2"/>
  <c r="BI69" i="2"/>
  <c r="BM69" i="2"/>
  <c r="BQ69" i="2"/>
  <c r="BU69" i="2"/>
  <c r="BY69" i="2"/>
  <c r="CC69" i="2"/>
  <c r="CG69" i="2"/>
  <c r="CK69" i="2"/>
  <c r="CO69" i="2"/>
  <c r="F69" i="2"/>
  <c r="J69" i="2"/>
  <c r="N69" i="2"/>
  <c r="R69" i="2"/>
  <c r="V69" i="2"/>
  <c r="Z69" i="2"/>
  <c r="AD69" i="2"/>
  <c r="AH69" i="2"/>
  <c r="AL69" i="2"/>
  <c r="AP69" i="2"/>
  <c r="AT69" i="2"/>
  <c r="AX69" i="2"/>
  <c r="BB69" i="2"/>
  <c r="BF69" i="2"/>
  <c r="BJ69" i="2"/>
  <c r="BN69" i="2"/>
  <c r="BR69" i="2"/>
  <c r="BV69" i="2"/>
  <c r="BZ69" i="2"/>
  <c r="CD69" i="2"/>
  <c r="CH69" i="2"/>
  <c r="CL69" i="2"/>
  <c r="CP69" i="2"/>
  <c r="G69" i="2"/>
  <c r="K69" i="2"/>
  <c r="O69" i="2"/>
  <c r="S69" i="2"/>
  <c r="W69" i="2"/>
  <c r="AA69" i="2"/>
  <c r="AE69" i="2"/>
  <c r="AI69" i="2"/>
  <c r="AM69" i="2"/>
  <c r="AQ69" i="2"/>
  <c r="AU69" i="2"/>
  <c r="AY69" i="2"/>
  <c r="BC69" i="2"/>
  <c r="BG69" i="2"/>
  <c r="BK69" i="2"/>
  <c r="BO69" i="2"/>
  <c r="BS69" i="2"/>
  <c r="BW69" i="2"/>
  <c r="CA69" i="2"/>
  <c r="CE69" i="2"/>
  <c r="CI69" i="2"/>
  <c r="CM69" i="2"/>
  <c r="CQ69" i="2"/>
  <c r="D73" i="2"/>
  <c r="D77" i="2"/>
  <c r="H77" i="2"/>
  <c r="L77" i="2"/>
  <c r="P77" i="2"/>
  <c r="T77" i="2"/>
  <c r="X77" i="2"/>
  <c r="AB77" i="2"/>
  <c r="AF77" i="2"/>
  <c r="AJ77" i="2"/>
  <c r="AN77" i="2"/>
  <c r="AR77" i="2"/>
  <c r="AV77" i="2"/>
  <c r="AZ77" i="2"/>
  <c r="BD77" i="2"/>
  <c r="BH77" i="2"/>
  <c r="BL77" i="2"/>
  <c r="BP77" i="2"/>
  <c r="BT77" i="2"/>
  <c r="BX77" i="2"/>
  <c r="CB77" i="2"/>
  <c r="CF77" i="2"/>
  <c r="CJ77" i="2"/>
  <c r="CN77" i="2"/>
  <c r="I77" i="2"/>
  <c r="M77" i="2"/>
  <c r="Q77" i="2"/>
  <c r="U77" i="2"/>
  <c r="AC77" i="2"/>
  <c r="AG77" i="2"/>
  <c r="AO77" i="2"/>
  <c r="AS77" i="2"/>
  <c r="AW77" i="2"/>
  <c r="BA77" i="2"/>
  <c r="BE77" i="2"/>
  <c r="BI77" i="2"/>
  <c r="BM77" i="2"/>
  <c r="BQ77" i="2"/>
  <c r="BU77" i="2"/>
  <c r="BY77" i="2"/>
  <c r="CC77" i="2"/>
  <c r="CG77" i="2"/>
  <c r="CK77" i="2"/>
  <c r="CO77" i="2"/>
  <c r="F77" i="2"/>
  <c r="J77" i="2"/>
  <c r="N77" i="2"/>
  <c r="R77" i="2"/>
  <c r="V77" i="2"/>
  <c r="Z77" i="2"/>
  <c r="AD77" i="2"/>
  <c r="AH77" i="2"/>
  <c r="AL77" i="2"/>
  <c r="AP77" i="2"/>
  <c r="AT77" i="2"/>
  <c r="AX77" i="2"/>
  <c r="BB77" i="2"/>
  <c r="BF77" i="2"/>
  <c r="BJ77" i="2"/>
  <c r="G77" i="2"/>
  <c r="K77" i="2"/>
  <c r="S77" i="2"/>
  <c r="W77" i="2"/>
  <c r="AA77" i="2"/>
  <c r="AE77" i="2"/>
  <c r="AI77" i="2"/>
  <c r="AQ77" i="2"/>
  <c r="AU77" i="2"/>
  <c r="AY77" i="2"/>
  <c r="BC77" i="2"/>
  <c r="BG77" i="2"/>
  <c r="BK77" i="2"/>
  <c r="BO77" i="2"/>
  <c r="BS77" i="2"/>
  <c r="BW77" i="2"/>
  <c r="BN77" i="2"/>
  <c r="CA77" i="2"/>
  <c r="CI77" i="2"/>
  <c r="CQ77" i="2"/>
  <c r="BR77" i="2"/>
  <c r="CD77" i="2"/>
  <c r="CL77" i="2"/>
  <c r="BV77" i="2"/>
  <c r="CE77" i="2"/>
  <c r="CM77" i="2"/>
  <c r="BZ77" i="2"/>
  <c r="CH77" i="2"/>
  <c r="CP77" i="2"/>
  <c r="Q18" i="2"/>
  <c r="AM78" i="2"/>
  <c r="G85" i="2"/>
  <c r="K85" i="2"/>
  <c r="O85" i="2"/>
  <c r="S85" i="2"/>
  <c r="W85" i="2"/>
  <c r="AA85" i="2"/>
  <c r="AE85" i="2"/>
  <c r="AI85" i="2"/>
  <c r="AQ85" i="2"/>
  <c r="AU85" i="2"/>
  <c r="AY85" i="2"/>
  <c r="BC85" i="2"/>
  <c r="BG85" i="2"/>
  <c r="BK85" i="2"/>
  <c r="BO85" i="2"/>
  <c r="BS85" i="2"/>
  <c r="BW85" i="2"/>
  <c r="CA85" i="2"/>
  <c r="CE85" i="2"/>
  <c r="CI85" i="2"/>
  <c r="CM85" i="2"/>
  <c r="CQ85" i="2"/>
  <c r="D85" i="2"/>
  <c r="H85" i="2"/>
  <c r="L85" i="2"/>
  <c r="P85" i="2"/>
  <c r="T85" i="2"/>
  <c r="X85" i="2"/>
  <c r="AB85" i="2"/>
  <c r="AF85" i="2"/>
  <c r="AJ85" i="2"/>
  <c r="AN85" i="2"/>
  <c r="AR85" i="2"/>
  <c r="AV85" i="2"/>
  <c r="AZ85" i="2"/>
  <c r="BD85" i="2"/>
  <c r="BH85" i="2"/>
  <c r="BL85" i="2"/>
  <c r="BP85" i="2"/>
  <c r="BT85" i="2"/>
  <c r="BX85" i="2"/>
  <c r="CB85" i="2"/>
  <c r="CF85" i="2"/>
  <c r="CJ85" i="2"/>
  <c r="CN85" i="2"/>
  <c r="I85" i="2"/>
  <c r="M85" i="2"/>
  <c r="Q85" i="2"/>
  <c r="U85" i="2"/>
  <c r="AC85" i="2"/>
  <c r="AG85" i="2"/>
  <c r="AO85" i="2"/>
  <c r="AS85" i="2"/>
  <c r="AW85" i="2"/>
  <c r="BA85" i="2"/>
  <c r="BE85" i="2"/>
  <c r="BI85" i="2"/>
  <c r="BM85" i="2"/>
  <c r="BQ85" i="2"/>
  <c r="BU85" i="2"/>
  <c r="BY85" i="2"/>
  <c r="CC85" i="2"/>
  <c r="CG85" i="2"/>
  <c r="CK85" i="2"/>
  <c r="CO85" i="2"/>
  <c r="F85" i="2"/>
  <c r="J85" i="2"/>
  <c r="N85" i="2"/>
  <c r="R85" i="2"/>
  <c r="V85" i="2"/>
  <c r="Z85" i="2"/>
  <c r="AD85" i="2"/>
  <c r="AH85" i="2"/>
  <c r="AL85" i="2"/>
  <c r="AP85" i="2"/>
  <c r="AT85" i="2"/>
  <c r="AX85" i="2"/>
  <c r="BB85" i="2"/>
  <c r="BF85" i="2"/>
  <c r="BJ85" i="2"/>
  <c r="BN85" i="2"/>
  <c r="BR85" i="2"/>
  <c r="BV85" i="2"/>
  <c r="BZ85" i="2"/>
  <c r="CD85" i="2"/>
  <c r="CH85" i="2"/>
  <c r="CL85" i="2"/>
  <c r="CP85" i="2"/>
  <c r="AM85" i="2"/>
  <c r="G35" i="2"/>
  <c r="K35" i="2"/>
  <c r="O35" i="2"/>
  <c r="S35" i="2"/>
  <c r="W35" i="2"/>
  <c r="AA35" i="2"/>
  <c r="AE35" i="2"/>
  <c r="AI35" i="2"/>
  <c r="AM35" i="2"/>
  <c r="AQ35" i="2"/>
  <c r="AU35" i="2"/>
  <c r="AY35" i="2"/>
  <c r="BC35" i="2"/>
  <c r="BG35" i="2"/>
  <c r="BK35" i="2"/>
  <c r="BO35" i="2"/>
  <c r="BS35" i="2"/>
  <c r="BW35" i="2"/>
  <c r="CA35" i="2"/>
  <c r="CE35" i="2"/>
  <c r="CI35" i="2"/>
  <c r="CM35" i="2"/>
  <c r="CQ35" i="2"/>
  <c r="D35" i="2"/>
  <c r="H35" i="2"/>
  <c r="L35" i="2"/>
  <c r="T35" i="2"/>
  <c r="X35" i="2"/>
  <c r="AB35" i="2"/>
  <c r="AF35" i="2"/>
  <c r="AJ35" i="2"/>
  <c r="AN35" i="2"/>
  <c r="AR35" i="2"/>
  <c r="AV35" i="2"/>
  <c r="AZ35" i="2"/>
  <c r="BD35" i="2"/>
  <c r="BH35" i="2"/>
  <c r="BL35" i="2"/>
  <c r="BP35" i="2"/>
  <c r="BT35" i="2"/>
  <c r="BX35" i="2"/>
  <c r="CB35" i="2"/>
  <c r="CF35" i="2"/>
  <c r="CJ35" i="2"/>
  <c r="CN35" i="2"/>
  <c r="E35" i="2"/>
  <c r="I35" i="2"/>
  <c r="M35" i="2"/>
  <c r="U35" i="2"/>
  <c r="AC35" i="2"/>
  <c r="AG35" i="2"/>
  <c r="AK35" i="2"/>
  <c r="AO35" i="2"/>
  <c r="AS35" i="2"/>
  <c r="AW35" i="2"/>
  <c r="BA35" i="2"/>
  <c r="BE35" i="2"/>
  <c r="BI35" i="2"/>
  <c r="BM35" i="2"/>
  <c r="BQ35" i="2"/>
  <c r="BU35" i="2"/>
  <c r="BY35" i="2"/>
  <c r="CC35" i="2"/>
  <c r="CG35" i="2"/>
  <c r="CK35" i="2"/>
  <c r="CO35" i="2"/>
  <c r="F35" i="2"/>
  <c r="V35" i="2"/>
  <c r="AL35" i="2"/>
  <c r="BB35" i="2"/>
  <c r="BR35" i="2"/>
  <c r="CH35" i="2"/>
  <c r="J35" i="2"/>
  <c r="Z35" i="2"/>
  <c r="AP35" i="2"/>
  <c r="BF35" i="2"/>
  <c r="BV35" i="2"/>
  <c r="CL35" i="2"/>
  <c r="N35" i="2"/>
  <c r="AD35" i="2"/>
  <c r="AT35" i="2"/>
  <c r="BJ35" i="2"/>
  <c r="BZ35" i="2"/>
  <c r="CP35" i="2"/>
  <c r="R35" i="2"/>
  <c r="AH35" i="2"/>
  <c r="AX35" i="2"/>
  <c r="BN35" i="2"/>
  <c r="CD35" i="2"/>
  <c r="K37" i="2"/>
  <c r="O37" i="2"/>
  <c r="S37" i="2"/>
  <c r="W37" i="2"/>
  <c r="AA37" i="2"/>
  <c r="AE37" i="2"/>
  <c r="AI37" i="2"/>
  <c r="AM37" i="2"/>
  <c r="AQ37" i="2"/>
  <c r="AU37" i="2"/>
  <c r="AY37" i="2"/>
  <c r="BC37" i="2"/>
  <c r="BG37" i="2"/>
  <c r="BK37" i="2"/>
  <c r="BO37" i="2"/>
  <c r="BS37" i="2"/>
  <c r="BW37" i="2"/>
  <c r="CA37" i="2"/>
  <c r="CE37" i="2"/>
  <c r="CI37" i="2"/>
  <c r="CM37" i="2"/>
  <c r="CQ37" i="2"/>
  <c r="H37" i="2"/>
  <c r="L37" i="2"/>
  <c r="T37" i="2"/>
  <c r="X37" i="2"/>
  <c r="AB37" i="2"/>
  <c r="AF37" i="2"/>
  <c r="AJ37" i="2"/>
  <c r="AN37" i="2"/>
  <c r="AR37" i="2"/>
  <c r="AV37" i="2"/>
  <c r="AZ37" i="2"/>
  <c r="BD37" i="2"/>
  <c r="BH37" i="2"/>
  <c r="BL37" i="2"/>
  <c r="BP37" i="2"/>
  <c r="BT37" i="2"/>
  <c r="BX37" i="2"/>
  <c r="CB37" i="2"/>
  <c r="CF37" i="2"/>
  <c r="CJ37" i="2"/>
  <c r="CN37" i="2"/>
  <c r="I37" i="2"/>
  <c r="M37" i="2"/>
  <c r="U37" i="2"/>
  <c r="AC37" i="2"/>
  <c r="AG37" i="2"/>
  <c r="AK37" i="2"/>
  <c r="AO37" i="2"/>
  <c r="AS37" i="2"/>
  <c r="AW37" i="2"/>
  <c r="BA37" i="2"/>
  <c r="BE37" i="2"/>
  <c r="BM37" i="2"/>
  <c r="BQ37" i="2"/>
  <c r="BU37" i="2"/>
  <c r="BY37" i="2"/>
  <c r="CC37" i="2"/>
  <c r="CG37" i="2"/>
  <c r="CK37" i="2"/>
  <c r="CO37" i="2"/>
  <c r="N37" i="2"/>
  <c r="AD37" i="2"/>
  <c r="AT37" i="2"/>
  <c r="BJ37" i="2"/>
  <c r="BZ37" i="2"/>
  <c r="CP37" i="2"/>
  <c r="R37" i="2"/>
  <c r="AH37" i="2"/>
  <c r="AX37" i="2"/>
  <c r="BN37" i="2"/>
  <c r="CD37" i="2"/>
  <c r="F37" i="2"/>
  <c r="V37" i="2"/>
  <c r="AL37" i="2"/>
  <c r="BB37" i="2"/>
  <c r="BR37" i="2"/>
  <c r="CH37" i="2"/>
  <c r="J37" i="2"/>
  <c r="Z37" i="2"/>
  <c r="AP37" i="2"/>
  <c r="BF37" i="2"/>
  <c r="BV37" i="2"/>
  <c r="CL37" i="2"/>
  <c r="P36" i="2"/>
  <c r="K40" i="2"/>
  <c r="O40" i="2"/>
  <c r="S40" i="2"/>
  <c r="W40" i="2"/>
  <c r="AA40" i="2"/>
  <c r="AE40" i="2"/>
  <c r="AM40" i="2"/>
  <c r="AQ40" i="2"/>
  <c r="AU40" i="2"/>
  <c r="H40" i="2"/>
  <c r="M40" i="2"/>
  <c r="R40" i="2"/>
  <c r="X40" i="2"/>
  <c r="AC40" i="2"/>
  <c r="AH40" i="2"/>
  <c r="AN40" i="2"/>
  <c r="AS40" i="2"/>
  <c r="AX40" i="2"/>
  <c r="BB40" i="2"/>
  <c r="BF40" i="2"/>
  <c r="BJ40" i="2"/>
  <c r="BN40" i="2"/>
  <c r="BR40" i="2"/>
  <c r="BV40" i="2"/>
  <c r="BZ40" i="2"/>
  <c r="CD40" i="2"/>
  <c r="CH40" i="2"/>
  <c r="CL40" i="2"/>
  <c r="CP40" i="2"/>
  <c r="D40" i="2"/>
  <c r="I40" i="2"/>
  <c r="N40" i="2"/>
  <c r="T40" i="2"/>
  <c r="AD40" i="2"/>
  <c r="AJ40" i="2"/>
  <c r="AO40" i="2"/>
  <c r="AT40" i="2"/>
  <c r="AY40" i="2"/>
  <c r="BC40" i="2"/>
  <c r="BG40" i="2"/>
  <c r="BK40" i="2"/>
  <c r="BO40" i="2"/>
  <c r="BS40" i="2"/>
  <c r="BW40" i="2"/>
  <c r="CA40" i="2"/>
  <c r="CE40" i="2"/>
  <c r="CI40" i="2"/>
  <c r="CM40" i="2"/>
  <c r="CQ40" i="2"/>
  <c r="J40" i="2"/>
  <c r="P40" i="2"/>
  <c r="U40" i="2"/>
  <c r="Z40" i="2"/>
  <c r="AF40" i="2"/>
  <c r="AK40" i="2"/>
  <c r="AP40" i="2"/>
  <c r="AV40" i="2"/>
  <c r="AZ40" i="2"/>
  <c r="BD40" i="2"/>
  <c r="BH40" i="2"/>
  <c r="BL40" i="2"/>
  <c r="BP40" i="2"/>
  <c r="BT40" i="2"/>
  <c r="BX40" i="2"/>
  <c r="CB40" i="2"/>
  <c r="CF40" i="2"/>
  <c r="CJ40" i="2"/>
  <c r="CN40" i="2"/>
  <c r="F40" i="2"/>
  <c r="L40" i="2"/>
  <c r="V40" i="2"/>
  <c r="AB40" i="2"/>
  <c r="AG40" i="2"/>
  <c r="AL40" i="2"/>
  <c r="AR40" i="2"/>
  <c r="AW40" i="2"/>
  <c r="BA40" i="2"/>
  <c r="BE40" i="2"/>
  <c r="BM40" i="2"/>
  <c r="BQ40" i="2"/>
  <c r="BU40" i="2"/>
  <c r="BY40" i="2"/>
  <c r="CC40" i="2"/>
  <c r="CG40" i="2"/>
  <c r="CK40" i="2"/>
  <c r="CO40" i="2"/>
  <c r="Q36" i="2"/>
  <c r="Q40" i="2"/>
  <c r="G40" i="2"/>
  <c r="E40" i="2"/>
  <c r="Y35" i="2"/>
  <c r="BI40" i="2"/>
  <c r="F43" i="2"/>
  <c r="J43" i="2"/>
  <c r="N43" i="2"/>
  <c r="R43" i="2"/>
  <c r="V43" i="2"/>
  <c r="Z43" i="2"/>
  <c r="AD43" i="2"/>
  <c r="AH43" i="2"/>
  <c r="AL43" i="2"/>
  <c r="AP43" i="2"/>
  <c r="AT43" i="2"/>
  <c r="AX43" i="2"/>
  <c r="BB43" i="2"/>
  <c r="BF43" i="2"/>
  <c r="BJ43" i="2"/>
  <c r="BN43" i="2"/>
  <c r="BR43" i="2"/>
  <c r="BV43" i="2"/>
  <c r="BZ43" i="2"/>
  <c r="CD43" i="2"/>
  <c r="CH43" i="2"/>
  <c r="CL43" i="2"/>
  <c r="CP43" i="2"/>
  <c r="K43" i="2"/>
  <c r="O43" i="2"/>
  <c r="S43" i="2"/>
  <c r="W43" i="2"/>
  <c r="AA43" i="2"/>
  <c r="AE43" i="2"/>
  <c r="AQ43" i="2"/>
  <c r="AU43" i="2"/>
  <c r="AY43" i="2"/>
  <c r="BC43" i="2"/>
  <c r="BG43" i="2"/>
  <c r="BO43" i="2"/>
  <c r="BS43" i="2"/>
  <c r="BW43" i="2"/>
  <c r="CA43" i="2"/>
  <c r="CE43" i="2"/>
  <c r="CI43" i="2"/>
  <c r="CM43" i="2"/>
  <c r="CQ43" i="2"/>
  <c r="D43" i="2"/>
  <c r="H43" i="2"/>
  <c r="L43" i="2"/>
  <c r="P43" i="2"/>
  <c r="T43" i="2"/>
  <c r="X43" i="2"/>
  <c r="AB43" i="2"/>
  <c r="AF43" i="2"/>
  <c r="AJ43" i="2"/>
  <c r="AN43" i="2"/>
  <c r="AR43" i="2"/>
  <c r="AV43" i="2"/>
  <c r="AZ43" i="2"/>
  <c r="BD43" i="2"/>
  <c r="BH43" i="2"/>
  <c r="BL43" i="2"/>
  <c r="BP43" i="2"/>
  <c r="BT43" i="2"/>
  <c r="BX43" i="2"/>
  <c r="CB43" i="2"/>
  <c r="CF43" i="2"/>
  <c r="CJ43" i="2"/>
  <c r="CN43" i="2"/>
  <c r="E43" i="2"/>
  <c r="I43" i="2"/>
  <c r="M43" i="2"/>
  <c r="U43" i="2"/>
  <c r="AC43" i="2"/>
  <c r="AG43" i="2"/>
  <c r="AK43" i="2"/>
  <c r="AO43" i="2"/>
  <c r="AS43" i="2"/>
  <c r="AW43" i="2"/>
  <c r="BA43" i="2"/>
  <c r="BE43" i="2"/>
  <c r="BI43" i="2"/>
  <c r="BQ43" i="2"/>
  <c r="BU43" i="2"/>
  <c r="BY43" i="2"/>
  <c r="CC43" i="2"/>
  <c r="CG43" i="2"/>
  <c r="CK43" i="2"/>
  <c r="CO43" i="2"/>
  <c r="Y43" i="2"/>
  <c r="AM43" i="2"/>
  <c r="BK43" i="2"/>
  <c r="K46" i="2"/>
  <c r="O46" i="2"/>
  <c r="S46" i="2"/>
  <c r="W46" i="2"/>
  <c r="AA46" i="2"/>
  <c r="AE46" i="2"/>
  <c r="AI46" i="2"/>
  <c r="AQ46" i="2"/>
  <c r="AU46" i="2"/>
  <c r="AY46" i="2"/>
  <c r="BC46" i="2"/>
  <c r="BG46" i="2"/>
  <c r="BK46" i="2"/>
  <c r="BO46" i="2"/>
  <c r="BS46" i="2"/>
  <c r="BW46" i="2"/>
  <c r="CA46" i="2"/>
  <c r="CE46" i="2"/>
  <c r="CI46" i="2"/>
  <c r="CM46" i="2"/>
  <c r="CQ46" i="2"/>
  <c r="H46" i="2"/>
  <c r="L46" i="2"/>
  <c r="P46" i="2"/>
  <c r="T46" i="2"/>
  <c r="X46" i="2"/>
  <c r="AB46" i="2"/>
  <c r="AF46" i="2"/>
  <c r="AJ46" i="2"/>
  <c r="AN46" i="2"/>
  <c r="AR46" i="2"/>
  <c r="AV46" i="2"/>
  <c r="AZ46" i="2"/>
  <c r="BD46" i="2"/>
  <c r="BH46" i="2"/>
  <c r="BL46" i="2"/>
  <c r="BP46" i="2"/>
  <c r="BT46" i="2"/>
  <c r="BX46" i="2"/>
  <c r="CB46" i="2"/>
  <c r="CF46" i="2"/>
  <c r="CJ46" i="2"/>
  <c r="CN46" i="2"/>
  <c r="I46" i="2"/>
  <c r="M46" i="2"/>
  <c r="Q46" i="2"/>
  <c r="U46" i="2"/>
  <c r="Y46" i="2"/>
  <c r="AC46" i="2"/>
  <c r="AG46" i="2"/>
  <c r="AK46" i="2"/>
  <c r="AO46" i="2"/>
  <c r="AS46" i="2"/>
  <c r="AW46" i="2"/>
  <c r="BA46" i="2"/>
  <c r="BE46" i="2"/>
  <c r="BI46" i="2"/>
  <c r="BM46" i="2"/>
  <c r="BQ46" i="2"/>
  <c r="BU46" i="2"/>
  <c r="BY46" i="2"/>
  <c r="CC46" i="2"/>
  <c r="CG46" i="2"/>
  <c r="CK46" i="2"/>
  <c r="CO46" i="2"/>
  <c r="N46" i="2"/>
  <c r="AD46" i="2"/>
  <c r="AT46" i="2"/>
  <c r="BJ46" i="2"/>
  <c r="BZ46" i="2"/>
  <c r="CP46" i="2"/>
  <c r="R46" i="2"/>
  <c r="AH46" i="2"/>
  <c r="AX46" i="2"/>
  <c r="BN46" i="2"/>
  <c r="CD46" i="2"/>
  <c r="F46" i="2"/>
  <c r="V46" i="2"/>
  <c r="AL46" i="2"/>
  <c r="BB46" i="2"/>
  <c r="BR46" i="2"/>
  <c r="CH46" i="2"/>
  <c r="J46" i="2"/>
  <c r="Z46" i="2"/>
  <c r="AP46" i="2"/>
  <c r="BF46" i="2"/>
  <c r="BV46" i="2"/>
  <c r="CL46" i="2"/>
  <c r="K51" i="2"/>
  <c r="O51" i="2"/>
  <c r="S51" i="2"/>
  <c r="W51" i="2"/>
  <c r="AA51" i="2"/>
  <c r="AE51" i="2"/>
  <c r="AQ51" i="2"/>
  <c r="AU51" i="2"/>
  <c r="AY51" i="2"/>
  <c r="BC51" i="2"/>
  <c r="BG51" i="2"/>
  <c r="BS51" i="2"/>
  <c r="BW51" i="2"/>
  <c r="CA51" i="2"/>
  <c r="CE51" i="2"/>
  <c r="CI51" i="2"/>
  <c r="CM51" i="2"/>
  <c r="CQ51" i="2"/>
  <c r="L51" i="2"/>
  <c r="Q51" i="2"/>
  <c r="V51" i="2"/>
  <c r="AB51" i="2"/>
  <c r="AG51" i="2"/>
  <c r="AL51" i="2"/>
  <c r="AR51" i="2"/>
  <c r="AW51" i="2"/>
  <c r="BB51" i="2"/>
  <c r="BH51" i="2"/>
  <c r="BM51" i="2"/>
  <c r="BR51" i="2"/>
  <c r="BX51" i="2"/>
  <c r="CC51" i="2"/>
  <c r="CH51" i="2"/>
  <c r="CN51" i="2"/>
  <c r="H51" i="2"/>
  <c r="M51" i="2"/>
  <c r="R51" i="2"/>
  <c r="AC51" i="2"/>
  <c r="AH51" i="2"/>
  <c r="AN51" i="2"/>
  <c r="AS51" i="2"/>
  <c r="AX51" i="2"/>
  <c r="BD51" i="2"/>
  <c r="BI51" i="2"/>
  <c r="BN51" i="2"/>
  <c r="BT51" i="2"/>
  <c r="BY51" i="2"/>
  <c r="CD51" i="2"/>
  <c r="CJ51" i="2"/>
  <c r="CO51" i="2"/>
  <c r="D51" i="2"/>
  <c r="I51" i="2"/>
  <c r="N51" i="2"/>
  <c r="T51" i="2"/>
  <c r="AD51" i="2"/>
  <c r="AJ51" i="2"/>
  <c r="AO51" i="2"/>
  <c r="AT51" i="2"/>
  <c r="AZ51" i="2"/>
  <c r="BE51" i="2"/>
  <c r="BJ51" i="2"/>
  <c r="BP51" i="2"/>
  <c r="BU51" i="2"/>
  <c r="BZ51" i="2"/>
  <c r="CF51" i="2"/>
  <c r="CK51" i="2"/>
  <c r="CP51" i="2"/>
  <c r="E51" i="2"/>
  <c r="J51" i="2"/>
  <c r="P51" i="2"/>
  <c r="U51" i="2"/>
  <c r="Z51" i="2"/>
  <c r="AF51" i="2"/>
  <c r="AK51" i="2"/>
  <c r="AP51" i="2"/>
  <c r="AV51" i="2"/>
  <c r="BA51" i="2"/>
  <c r="BF51" i="2"/>
  <c r="BL51" i="2"/>
  <c r="BQ51" i="2"/>
  <c r="BV51" i="2"/>
  <c r="CB51" i="2"/>
  <c r="CG51" i="2"/>
  <c r="CL51" i="2"/>
  <c r="G50" i="2"/>
  <c r="Y51" i="2"/>
  <c r="AI51" i="2"/>
  <c r="BO51" i="2"/>
  <c r="AM90" i="2"/>
  <c r="G91" i="2"/>
  <c r="K91" i="2"/>
  <c r="S91" i="2"/>
  <c r="W91" i="2"/>
  <c r="AE91" i="2"/>
  <c r="AI91" i="2"/>
  <c r="AQ91" i="2"/>
  <c r="AU91" i="2"/>
  <c r="AY91" i="2"/>
  <c r="BC91" i="2"/>
  <c r="BG91" i="2"/>
  <c r="BK91" i="2"/>
  <c r="BO91" i="2"/>
  <c r="BS91" i="2"/>
  <c r="BW91" i="2"/>
  <c r="CA91" i="2"/>
  <c r="CE91" i="2"/>
  <c r="CI91" i="2"/>
  <c r="CM91" i="2"/>
  <c r="CQ91" i="2"/>
  <c r="D91" i="2"/>
  <c r="H91" i="2"/>
  <c r="L91" i="2"/>
  <c r="P91" i="2"/>
  <c r="T91" i="2"/>
  <c r="X91" i="2"/>
  <c r="AB91" i="2"/>
  <c r="AF91" i="2"/>
  <c r="AJ91" i="2"/>
  <c r="AN91" i="2"/>
  <c r="AR91" i="2"/>
  <c r="AV91" i="2"/>
  <c r="AZ91" i="2"/>
  <c r="BD91" i="2"/>
  <c r="BH91" i="2"/>
  <c r="BL91" i="2"/>
  <c r="BP91" i="2"/>
  <c r="BT91" i="2"/>
  <c r="BX91" i="2"/>
  <c r="CB91" i="2"/>
  <c r="CF91" i="2"/>
  <c r="CJ91" i="2"/>
  <c r="CN91" i="2"/>
  <c r="E91" i="2"/>
  <c r="I91" i="2"/>
  <c r="Q91" i="2"/>
  <c r="U91" i="2"/>
  <c r="AC91" i="2"/>
  <c r="AG91" i="2"/>
  <c r="AO91" i="2"/>
  <c r="AS91" i="2"/>
  <c r="AW91" i="2"/>
  <c r="BA91" i="2"/>
  <c r="BE91" i="2"/>
  <c r="BI91" i="2"/>
  <c r="BM91" i="2"/>
  <c r="BQ91" i="2"/>
  <c r="BU91" i="2"/>
  <c r="BY91" i="2"/>
  <c r="CC91" i="2"/>
  <c r="CG91" i="2"/>
  <c r="CK91" i="2"/>
  <c r="CO91" i="2"/>
  <c r="F91" i="2"/>
  <c r="J91" i="2"/>
  <c r="N91" i="2"/>
  <c r="R91" i="2"/>
  <c r="V91" i="2"/>
  <c r="Z91" i="2"/>
  <c r="AD91" i="2"/>
  <c r="AH91" i="2"/>
  <c r="AL91" i="2"/>
  <c r="AP91" i="2"/>
  <c r="AT91" i="2"/>
  <c r="AX91" i="2"/>
  <c r="BB91" i="2"/>
  <c r="BF91" i="2"/>
  <c r="BJ91" i="2"/>
  <c r="BN91" i="2"/>
  <c r="BR91" i="2"/>
  <c r="BV91" i="2"/>
  <c r="CL91" i="2"/>
  <c r="BZ91" i="2"/>
  <c r="CP91" i="2"/>
  <c r="CD91" i="2"/>
  <c r="CH91" i="2"/>
  <c r="AM91" i="2"/>
  <c r="G92" i="2"/>
  <c r="K92" i="2"/>
  <c r="O92" i="2"/>
  <c r="S92" i="2"/>
  <c r="W92" i="2"/>
  <c r="AA92" i="2"/>
  <c r="AE92" i="2"/>
  <c r="AI92" i="2"/>
  <c r="AM92" i="2"/>
  <c r="AQ92" i="2"/>
  <c r="AU92" i="2"/>
  <c r="AY92" i="2"/>
  <c r="BC92" i="2"/>
  <c r="BG92" i="2"/>
  <c r="BK92" i="2"/>
  <c r="BO92" i="2"/>
  <c r="BS92" i="2"/>
  <c r="BW92" i="2"/>
  <c r="CA92" i="2"/>
  <c r="CE92" i="2"/>
  <c r="CI92" i="2"/>
  <c r="CM92" i="2"/>
  <c r="CQ92" i="2"/>
  <c r="D92" i="2"/>
  <c r="H92" i="2"/>
  <c r="L92" i="2"/>
  <c r="P92" i="2"/>
  <c r="T92" i="2"/>
  <c r="X92" i="2"/>
  <c r="AB92" i="2"/>
  <c r="AF92" i="2"/>
  <c r="AJ92" i="2"/>
  <c r="AN92" i="2"/>
  <c r="AR92" i="2"/>
  <c r="AV92" i="2"/>
  <c r="AZ92" i="2"/>
  <c r="BD92" i="2"/>
  <c r="BH92" i="2"/>
  <c r="BL92" i="2"/>
  <c r="BP92" i="2"/>
  <c r="BT92" i="2"/>
  <c r="BX92" i="2"/>
  <c r="CB92" i="2"/>
  <c r="CF92" i="2"/>
  <c r="CJ92" i="2"/>
  <c r="CN92" i="2"/>
  <c r="E92" i="2"/>
  <c r="I92" i="2"/>
  <c r="M92" i="2"/>
  <c r="Q92" i="2"/>
  <c r="U92" i="2"/>
  <c r="Y92" i="2"/>
  <c r="AC92" i="2"/>
  <c r="AG92" i="2"/>
  <c r="AK92" i="2"/>
  <c r="AO92" i="2"/>
  <c r="AS92" i="2"/>
  <c r="AW92" i="2"/>
  <c r="BA92" i="2"/>
  <c r="BE92" i="2"/>
  <c r="BI92" i="2"/>
  <c r="BM92" i="2"/>
  <c r="BQ92" i="2"/>
  <c r="BU92" i="2"/>
  <c r="BY92" i="2"/>
  <c r="CC92" i="2"/>
  <c r="CG92" i="2"/>
  <c r="CK92" i="2"/>
  <c r="CO92" i="2"/>
  <c r="N92" i="2"/>
  <c r="AD92" i="2"/>
  <c r="AT92" i="2"/>
  <c r="BJ92" i="2"/>
  <c r="BZ92" i="2"/>
  <c r="CP92" i="2"/>
  <c r="R92" i="2"/>
  <c r="AH92" i="2"/>
  <c r="AX92" i="2"/>
  <c r="BN92" i="2"/>
  <c r="CD92" i="2"/>
  <c r="F92" i="2"/>
  <c r="V92" i="2"/>
  <c r="AL92" i="2"/>
  <c r="BB92" i="2"/>
  <c r="BR92" i="2"/>
  <c r="CH92" i="2"/>
  <c r="J92" i="2"/>
  <c r="Z92" i="2"/>
  <c r="AP92" i="2"/>
  <c r="BF92" i="2"/>
  <c r="BV92" i="2"/>
  <c r="CL92" i="2"/>
  <c r="G96" i="2"/>
  <c r="K96" i="2"/>
  <c r="O96" i="2"/>
  <c r="S96" i="2"/>
  <c r="W96" i="2"/>
  <c r="AA96" i="2"/>
  <c r="AE96" i="2"/>
  <c r="AI96" i="2"/>
  <c r="AM96" i="2"/>
  <c r="F96" i="2"/>
  <c r="L96" i="2"/>
  <c r="Q96" i="2"/>
  <c r="V96" i="2"/>
  <c r="AB96" i="2"/>
  <c r="AG96" i="2"/>
  <c r="AL96" i="2"/>
  <c r="AQ96" i="2"/>
  <c r="AU96" i="2"/>
  <c r="AY96" i="2"/>
  <c r="BC96" i="2"/>
  <c r="BG96" i="2"/>
  <c r="BK96" i="2"/>
  <c r="BO96" i="2"/>
  <c r="BS96" i="2"/>
  <c r="BW96" i="2"/>
  <c r="CA96" i="2"/>
  <c r="CE96" i="2"/>
  <c r="CI96" i="2"/>
  <c r="CM96" i="2"/>
  <c r="CQ96" i="2"/>
  <c r="H96" i="2"/>
  <c r="M96" i="2"/>
  <c r="R96" i="2"/>
  <c r="X96" i="2"/>
  <c r="AC96" i="2"/>
  <c r="AH96" i="2"/>
  <c r="AN96" i="2"/>
  <c r="AR96" i="2"/>
  <c r="AV96" i="2"/>
  <c r="AZ96" i="2"/>
  <c r="BD96" i="2"/>
  <c r="BH96" i="2"/>
  <c r="BL96" i="2"/>
  <c r="BP96" i="2"/>
  <c r="BT96" i="2"/>
  <c r="BX96" i="2"/>
  <c r="CB96" i="2"/>
  <c r="CF96" i="2"/>
  <c r="CJ96" i="2"/>
  <c r="CN96" i="2"/>
  <c r="D96" i="2"/>
  <c r="I96" i="2"/>
  <c r="N96" i="2"/>
  <c r="T96" i="2"/>
  <c r="Y96" i="2"/>
  <c r="AD96" i="2"/>
  <c r="AJ96" i="2"/>
  <c r="AO96" i="2"/>
  <c r="AS96" i="2"/>
  <c r="AW96" i="2"/>
  <c r="BA96" i="2"/>
  <c r="BE96" i="2"/>
  <c r="BI96" i="2"/>
  <c r="BM96" i="2"/>
  <c r="BQ96" i="2"/>
  <c r="BU96" i="2"/>
  <c r="BY96" i="2"/>
  <c r="CC96" i="2"/>
  <c r="CG96" i="2"/>
  <c r="CK96" i="2"/>
  <c r="CO96" i="2"/>
  <c r="E96" i="2"/>
  <c r="J96" i="2"/>
  <c r="P96" i="2"/>
  <c r="U96" i="2"/>
  <c r="Z96" i="2"/>
  <c r="AF96" i="2"/>
  <c r="AK96" i="2"/>
  <c r="AP96" i="2"/>
  <c r="AT96" i="2"/>
  <c r="AX96" i="2"/>
  <c r="BB96" i="2"/>
  <c r="BF96" i="2"/>
  <c r="BJ96" i="2"/>
  <c r="BN96" i="2"/>
  <c r="BR96" i="2"/>
  <c r="BV96" i="2"/>
  <c r="BZ96" i="2"/>
  <c r="CD96" i="2"/>
  <c r="CH96" i="2"/>
  <c r="CL96" i="2"/>
  <c r="CP96" i="2"/>
  <c r="G101" i="2"/>
  <c r="K101" i="2"/>
  <c r="O101" i="2"/>
  <c r="S101" i="2"/>
  <c r="W101" i="2"/>
  <c r="AA101" i="2"/>
  <c r="AE101" i="2"/>
  <c r="AI101" i="2"/>
  <c r="AM101" i="2"/>
  <c r="AQ101" i="2"/>
  <c r="AU101" i="2"/>
  <c r="AY101" i="2"/>
  <c r="BC101" i="2"/>
  <c r="BG101" i="2"/>
  <c r="BK101" i="2"/>
  <c r="BO101" i="2"/>
  <c r="BS101" i="2"/>
  <c r="BW101" i="2"/>
  <c r="CA101" i="2"/>
  <c r="CE101" i="2"/>
  <c r="CI101" i="2"/>
  <c r="CM101" i="2"/>
  <c r="CQ101" i="2"/>
  <c r="D101" i="2"/>
  <c r="H101" i="2"/>
  <c r="L101" i="2"/>
  <c r="P101" i="2"/>
  <c r="T101" i="2"/>
  <c r="AB101" i="2"/>
  <c r="AF101" i="2"/>
  <c r="AJ101" i="2"/>
  <c r="AN101" i="2"/>
  <c r="AR101" i="2"/>
  <c r="AV101" i="2"/>
  <c r="AZ101" i="2"/>
  <c r="BD101" i="2"/>
  <c r="BH101" i="2"/>
  <c r="BL101" i="2"/>
  <c r="BP101" i="2"/>
  <c r="BT101" i="2"/>
  <c r="BX101" i="2"/>
  <c r="CB101" i="2"/>
  <c r="CF101" i="2"/>
  <c r="CJ101" i="2"/>
  <c r="CN101" i="2"/>
  <c r="E101" i="2"/>
  <c r="I101" i="2"/>
  <c r="M101" i="2"/>
  <c r="Q101" i="2"/>
  <c r="U101" i="2"/>
  <c r="Y101" i="2"/>
  <c r="AC101" i="2"/>
  <c r="AG101" i="2"/>
  <c r="AK101" i="2"/>
  <c r="AO101" i="2"/>
  <c r="AS101" i="2"/>
  <c r="AW101" i="2"/>
  <c r="BA101" i="2"/>
  <c r="BE101" i="2"/>
  <c r="BI101" i="2"/>
  <c r="BM101" i="2"/>
  <c r="BQ101" i="2"/>
  <c r="BU101" i="2"/>
  <c r="BY101" i="2"/>
  <c r="CC101" i="2"/>
  <c r="CG101" i="2"/>
  <c r="CK101" i="2"/>
  <c r="CO101" i="2"/>
  <c r="F101" i="2"/>
  <c r="J101" i="2"/>
  <c r="N101" i="2"/>
  <c r="R101" i="2"/>
  <c r="V101" i="2"/>
  <c r="Z101" i="2"/>
  <c r="AD101" i="2"/>
  <c r="AH101" i="2"/>
  <c r="AL101" i="2"/>
  <c r="AP101" i="2"/>
  <c r="AT101" i="2"/>
  <c r="AX101" i="2"/>
  <c r="BB101" i="2"/>
  <c r="BF101" i="2"/>
  <c r="BJ101" i="2"/>
  <c r="BN101" i="2"/>
  <c r="BR101" i="2"/>
  <c r="BV101" i="2"/>
  <c r="BZ101" i="2"/>
  <c r="CD101" i="2"/>
  <c r="CH101" i="2"/>
  <c r="CL101" i="2"/>
  <c r="CP101" i="2"/>
  <c r="AL95" i="2"/>
  <c r="G56" i="2"/>
  <c r="K56" i="2"/>
  <c r="O56" i="2"/>
  <c r="S56" i="2"/>
  <c r="W56" i="2"/>
  <c r="AA56" i="2"/>
  <c r="AE56" i="2"/>
  <c r="AI56" i="2"/>
  <c r="AM56" i="2"/>
  <c r="AQ56" i="2"/>
  <c r="AU56" i="2"/>
  <c r="AY56" i="2"/>
  <c r="BC56" i="2"/>
  <c r="BG56" i="2"/>
  <c r="BK56" i="2"/>
  <c r="BO56" i="2"/>
  <c r="BS56" i="2"/>
  <c r="BW56" i="2"/>
  <c r="CA56" i="2"/>
  <c r="CE56" i="2"/>
  <c r="CI56" i="2"/>
  <c r="CM56" i="2"/>
  <c r="CQ56" i="2"/>
  <c r="H56" i="2"/>
  <c r="L56" i="2"/>
  <c r="P56" i="2"/>
  <c r="T56" i="2"/>
  <c r="AB56" i="2"/>
  <c r="AF56" i="2"/>
  <c r="AJ56" i="2"/>
  <c r="AN56" i="2"/>
  <c r="AR56" i="2"/>
  <c r="AV56" i="2"/>
  <c r="AZ56" i="2"/>
  <c r="BD56" i="2"/>
  <c r="BH56" i="2"/>
  <c r="BL56" i="2"/>
  <c r="BP56" i="2"/>
  <c r="BT56" i="2"/>
  <c r="BX56" i="2"/>
  <c r="CB56" i="2"/>
  <c r="CF56" i="2"/>
  <c r="CJ56" i="2"/>
  <c r="CN56" i="2"/>
  <c r="E56" i="2"/>
  <c r="I56" i="2"/>
  <c r="M56" i="2"/>
  <c r="Q56" i="2"/>
  <c r="U56" i="2"/>
  <c r="Y56" i="2"/>
  <c r="AC56" i="2"/>
  <c r="AG56" i="2"/>
  <c r="AK56" i="2"/>
  <c r="AO56" i="2"/>
  <c r="AS56" i="2"/>
  <c r="AW56" i="2"/>
  <c r="BA56" i="2"/>
  <c r="BE56" i="2"/>
  <c r="BI56" i="2"/>
  <c r="BM56" i="2"/>
  <c r="BQ56" i="2"/>
  <c r="BU56" i="2"/>
  <c r="BY56" i="2"/>
  <c r="CC56" i="2"/>
  <c r="CG56" i="2"/>
  <c r="CK56" i="2"/>
  <c r="CO56" i="2"/>
  <c r="F56" i="2"/>
  <c r="J56" i="2"/>
  <c r="N56" i="2"/>
  <c r="R56" i="2"/>
  <c r="V56" i="2"/>
  <c r="Z56" i="2"/>
  <c r="AD56" i="2"/>
  <c r="AH56" i="2"/>
  <c r="AL56" i="2"/>
  <c r="AP56" i="2"/>
  <c r="AT56" i="2"/>
  <c r="AX56" i="2"/>
  <c r="BB56" i="2"/>
  <c r="BF56" i="2"/>
  <c r="BJ56" i="2"/>
  <c r="BN56" i="2"/>
  <c r="BR56" i="2"/>
  <c r="BV56" i="2"/>
  <c r="BZ56" i="2"/>
  <c r="CD56" i="2"/>
  <c r="CH56" i="2"/>
  <c r="CL56" i="2"/>
  <c r="CP56" i="2"/>
  <c r="X57" i="2"/>
  <c r="D102" i="2"/>
  <c r="E102" i="2"/>
  <c r="F29" i="2"/>
  <c r="J29" i="2"/>
  <c r="N29" i="2"/>
  <c r="R29" i="2"/>
  <c r="V29" i="2"/>
  <c r="Z29" i="2"/>
  <c r="AD29" i="2"/>
  <c r="AH29" i="2"/>
  <c r="AL29" i="2"/>
  <c r="AP29" i="2"/>
  <c r="AT29" i="2"/>
  <c r="AX29" i="2"/>
  <c r="BB29" i="2"/>
  <c r="BF29" i="2"/>
  <c r="BJ29" i="2"/>
  <c r="BN29" i="2"/>
  <c r="BR29" i="2"/>
  <c r="BV29" i="2"/>
  <c r="BZ29" i="2"/>
  <c r="CD29" i="2"/>
  <c r="CH29" i="2"/>
  <c r="CL29" i="2"/>
  <c r="CP29" i="2"/>
  <c r="G29" i="2"/>
  <c r="K29" i="2"/>
  <c r="O29" i="2"/>
  <c r="S29" i="2"/>
  <c r="W29" i="2"/>
  <c r="AA29" i="2"/>
  <c r="AE29" i="2"/>
  <c r="AM29" i="2"/>
  <c r="AQ29" i="2"/>
  <c r="AU29" i="2"/>
  <c r="AY29" i="2"/>
  <c r="BC29" i="2"/>
  <c r="BG29" i="2"/>
  <c r="BK29" i="2"/>
  <c r="BO29" i="2"/>
  <c r="BS29" i="2"/>
  <c r="BW29" i="2"/>
  <c r="CA29" i="2"/>
  <c r="CE29" i="2"/>
  <c r="CI29" i="2"/>
  <c r="CM29" i="2"/>
  <c r="CQ29" i="2"/>
  <c r="H29" i="2"/>
  <c r="L29" i="2"/>
  <c r="P29" i="2"/>
  <c r="T29" i="2"/>
  <c r="X29" i="2"/>
  <c r="AB29" i="2"/>
  <c r="AF29" i="2"/>
  <c r="AJ29" i="2"/>
  <c r="AN29" i="2"/>
  <c r="AR29" i="2"/>
  <c r="AV29" i="2"/>
  <c r="AZ29" i="2"/>
  <c r="BD29" i="2"/>
  <c r="BH29" i="2"/>
  <c r="BL29" i="2"/>
  <c r="BP29" i="2"/>
  <c r="BT29" i="2"/>
  <c r="BX29" i="2"/>
  <c r="CB29" i="2"/>
  <c r="CF29" i="2"/>
  <c r="CJ29" i="2"/>
  <c r="CN29" i="2"/>
  <c r="I29" i="2"/>
  <c r="M29" i="2"/>
  <c r="U29" i="2"/>
  <c r="Y29" i="2"/>
  <c r="AC29" i="2"/>
  <c r="AG29" i="2"/>
  <c r="AK29" i="2"/>
  <c r="AO29" i="2"/>
  <c r="AS29" i="2"/>
  <c r="AW29" i="2"/>
  <c r="BA29" i="2"/>
  <c r="BE29" i="2"/>
  <c r="BI29" i="2"/>
  <c r="BM29" i="2"/>
  <c r="BQ29" i="2"/>
  <c r="BU29" i="2"/>
  <c r="BY29" i="2"/>
  <c r="CC29" i="2"/>
  <c r="CG29" i="2"/>
  <c r="CK29" i="2"/>
  <c r="CO29" i="2"/>
  <c r="AM73" i="2"/>
  <c r="M75" i="2"/>
  <c r="F19" i="2"/>
  <c r="J19" i="2"/>
  <c r="N19" i="2"/>
  <c r="R19" i="2"/>
  <c r="V19" i="2"/>
  <c r="Z19" i="2"/>
  <c r="AD19" i="2"/>
  <c r="AH19" i="2"/>
  <c r="AL19" i="2"/>
  <c r="AP19" i="2"/>
  <c r="AT19" i="2"/>
  <c r="AX19" i="2"/>
  <c r="BB19" i="2"/>
  <c r="BF19" i="2"/>
  <c r="BJ19" i="2"/>
  <c r="BN19" i="2"/>
  <c r="BR19" i="2"/>
  <c r="BV19" i="2"/>
  <c r="BZ19" i="2"/>
  <c r="CD19" i="2"/>
  <c r="CH19" i="2"/>
  <c r="CL19" i="2"/>
  <c r="CP19" i="2"/>
  <c r="K19" i="2"/>
  <c r="O19" i="2"/>
  <c r="S19" i="2"/>
  <c r="W19" i="2"/>
  <c r="AA19" i="2"/>
  <c r="AE19" i="2"/>
  <c r="AI19" i="2"/>
  <c r="M19" i="2"/>
  <c r="U19" i="2"/>
  <c r="AC19" i="2"/>
  <c r="AK19" i="2"/>
  <c r="AQ19" i="2"/>
  <c r="AV19" i="2"/>
  <c r="BA19" i="2"/>
  <c r="BG19" i="2"/>
  <c r="BL19" i="2"/>
  <c r="BQ19" i="2"/>
  <c r="BW19" i="2"/>
  <c r="CB19" i="2"/>
  <c r="CG19" i="2"/>
  <c r="CM19" i="2"/>
  <c r="H19" i="2"/>
  <c r="P19" i="2"/>
  <c r="X19" i="2"/>
  <c r="AF19" i="2"/>
  <c r="AR19" i="2"/>
  <c r="AW19" i="2"/>
  <c r="BC19" i="2"/>
  <c r="BH19" i="2"/>
  <c r="BM19" i="2"/>
  <c r="BS19" i="2"/>
  <c r="BX19" i="2"/>
  <c r="CC19" i="2"/>
  <c r="CI19" i="2"/>
  <c r="CN19" i="2"/>
  <c r="I19" i="2"/>
  <c r="AG19" i="2"/>
  <c r="AN19" i="2"/>
  <c r="AS19" i="2"/>
  <c r="AY19" i="2"/>
  <c r="BD19" i="2"/>
  <c r="BI19" i="2"/>
  <c r="BO19" i="2"/>
  <c r="BT19" i="2"/>
  <c r="BY19" i="2"/>
  <c r="CE19" i="2"/>
  <c r="CJ19" i="2"/>
  <c r="CO19" i="2"/>
  <c r="L19" i="2"/>
  <c r="T19" i="2"/>
  <c r="AB19" i="2"/>
  <c r="AJ19" i="2"/>
  <c r="AO19" i="2"/>
  <c r="AU19" i="2"/>
  <c r="AZ19" i="2"/>
  <c r="BE19" i="2"/>
  <c r="BK19" i="2"/>
  <c r="BP19" i="2"/>
  <c r="BU19" i="2"/>
  <c r="CA19" i="2"/>
  <c r="CF19" i="2"/>
  <c r="CK19" i="2"/>
  <c r="CQ19" i="2"/>
  <c r="G59" i="2"/>
  <c r="K59" i="2"/>
  <c r="O59" i="2"/>
  <c r="S59" i="2"/>
  <c r="W59" i="2"/>
  <c r="AA59" i="2"/>
  <c r="AE59" i="2"/>
  <c r="AI59" i="2"/>
  <c r="AM59" i="2"/>
  <c r="AQ59" i="2"/>
  <c r="AU59" i="2"/>
  <c r="AY59" i="2"/>
  <c r="BC59" i="2"/>
  <c r="BG59" i="2"/>
  <c r="BK59" i="2"/>
  <c r="BO59" i="2"/>
  <c r="BS59" i="2"/>
  <c r="BW59" i="2"/>
  <c r="CA59" i="2"/>
  <c r="CE59" i="2"/>
  <c r="CI59" i="2"/>
  <c r="CM59" i="2"/>
  <c r="CQ59" i="2"/>
  <c r="H59" i="2"/>
  <c r="L59" i="2"/>
  <c r="P59" i="2"/>
  <c r="T59" i="2"/>
  <c r="X59" i="2"/>
  <c r="AB59" i="2"/>
  <c r="AF59" i="2"/>
  <c r="AJ59" i="2"/>
  <c r="AN59" i="2"/>
  <c r="AR59" i="2"/>
  <c r="AV59" i="2"/>
  <c r="AZ59" i="2"/>
  <c r="BD59" i="2"/>
  <c r="BH59" i="2"/>
  <c r="BL59" i="2"/>
  <c r="BP59" i="2"/>
  <c r="BT59" i="2"/>
  <c r="BX59" i="2"/>
  <c r="CB59" i="2"/>
  <c r="CF59" i="2"/>
  <c r="CJ59" i="2"/>
  <c r="CN59" i="2"/>
  <c r="E59" i="2"/>
  <c r="I59" i="2"/>
  <c r="M59" i="2"/>
  <c r="Q59" i="2"/>
  <c r="U59" i="2"/>
  <c r="Y59" i="2"/>
  <c r="AC59" i="2"/>
  <c r="AG59" i="2"/>
  <c r="AK59" i="2"/>
  <c r="AO59" i="2"/>
  <c r="AS59" i="2"/>
  <c r="AW59" i="2"/>
  <c r="BA59" i="2"/>
  <c r="BE59" i="2"/>
  <c r="BI59" i="2"/>
  <c r="BM59" i="2"/>
  <c r="BQ59" i="2"/>
  <c r="BU59" i="2"/>
  <c r="BY59" i="2"/>
  <c r="CC59" i="2"/>
  <c r="CG59" i="2"/>
  <c r="CK59" i="2"/>
  <c r="CO59" i="2"/>
  <c r="F59" i="2"/>
  <c r="J59" i="2"/>
  <c r="R59" i="2"/>
  <c r="V59" i="2"/>
  <c r="Z59" i="2"/>
  <c r="AD59" i="2"/>
  <c r="AH59" i="2"/>
  <c r="AP59" i="2"/>
  <c r="AT59" i="2"/>
  <c r="AX59" i="2"/>
  <c r="BB59" i="2"/>
  <c r="BF59" i="2"/>
  <c r="BJ59" i="2"/>
  <c r="BN59" i="2"/>
  <c r="BR59" i="2"/>
  <c r="BV59" i="2"/>
  <c r="BZ59" i="2"/>
  <c r="CD59" i="2"/>
  <c r="CH59" i="2"/>
  <c r="CL59" i="2"/>
  <c r="CP59" i="2"/>
  <c r="G63" i="2"/>
  <c r="K63" i="2"/>
  <c r="O63" i="2"/>
  <c r="S63" i="2"/>
  <c r="W63" i="2"/>
  <c r="AA63" i="2"/>
  <c r="AE63" i="2"/>
  <c r="AI63" i="2"/>
  <c r="AM63" i="2"/>
  <c r="AQ63" i="2"/>
  <c r="AU63" i="2"/>
  <c r="AY63" i="2"/>
  <c r="BC63" i="2"/>
  <c r="BG63" i="2"/>
  <c r="BK63" i="2"/>
  <c r="BO63" i="2"/>
  <c r="BS63" i="2"/>
  <c r="BW63" i="2"/>
  <c r="CA63" i="2"/>
  <c r="CE63" i="2"/>
  <c r="CI63" i="2"/>
  <c r="CM63" i="2"/>
  <c r="CQ63" i="2"/>
  <c r="F63" i="2"/>
  <c r="L63" i="2"/>
  <c r="Q63" i="2"/>
  <c r="V63" i="2"/>
  <c r="AB63" i="2"/>
  <c r="AG63" i="2"/>
  <c r="AR63" i="2"/>
  <c r="AW63" i="2"/>
  <c r="BB63" i="2"/>
  <c r="BH63" i="2"/>
  <c r="BM63" i="2"/>
  <c r="BR63" i="2"/>
  <c r="BX63" i="2"/>
  <c r="CC63" i="2"/>
  <c r="CH63" i="2"/>
  <c r="CN63" i="2"/>
  <c r="H63" i="2"/>
  <c r="M63" i="2"/>
  <c r="R63" i="2"/>
  <c r="X63" i="2"/>
  <c r="AC63" i="2"/>
  <c r="AH63" i="2"/>
  <c r="AN63" i="2"/>
  <c r="AS63" i="2"/>
  <c r="AX63" i="2"/>
  <c r="BD63" i="2"/>
  <c r="BI63" i="2"/>
  <c r="BN63" i="2"/>
  <c r="BT63" i="2"/>
  <c r="BY63" i="2"/>
  <c r="CD63" i="2"/>
  <c r="CJ63" i="2"/>
  <c r="CO63" i="2"/>
  <c r="I63" i="2"/>
  <c r="N63" i="2"/>
  <c r="T63" i="2"/>
  <c r="Y63" i="2"/>
  <c r="AD63" i="2"/>
  <c r="AJ63" i="2"/>
  <c r="AO63" i="2"/>
  <c r="AT63" i="2"/>
  <c r="AZ63" i="2"/>
  <c r="BE63" i="2"/>
  <c r="BJ63" i="2"/>
  <c r="BP63" i="2"/>
  <c r="BU63" i="2"/>
  <c r="BZ63" i="2"/>
  <c r="CF63" i="2"/>
  <c r="CK63" i="2"/>
  <c r="CP63" i="2"/>
  <c r="E63" i="2"/>
  <c r="J63" i="2"/>
  <c r="P63" i="2"/>
  <c r="U63" i="2"/>
  <c r="Z63" i="2"/>
  <c r="AF63" i="2"/>
  <c r="AK63" i="2"/>
  <c r="AP63" i="2"/>
  <c r="AV63" i="2"/>
  <c r="BA63" i="2"/>
  <c r="BF63" i="2"/>
  <c r="BL63" i="2"/>
  <c r="BQ63" i="2"/>
  <c r="BV63" i="2"/>
  <c r="CB63" i="2"/>
  <c r="CG63" i="2"/>
  <c r="CL63" i="2"/>
  <c r="H67" i="2"/>
  <c r="L67" i="2"/>
  <c r="P67" i="2"/>
  <c r="T67" i="2"/>
  <c r="X67" i="2"/>
  <c r="AB67" i="2"/>
  <c r="AF67" i="2"/>
  <c r="AJ67" i="2"/>
  <c r="AN67" i="2"/>
  <c r="AR67" i="2"/>
  <c r="AV67" i="2"/>
  <c r="AZ67" i="2"/>
  <c r="BD67" i="2"/>
  <c r="BH67" i="2"/>
  <c r="BL67" i="2"/>
  <c r="BP67" i="2"/>
  <c r="BT67" i="2"/>
  <c r="BX67" i="2"/>
  <c r="CB67" i="2"/>
  <c r="CF67" i="2"/>
  <c r="CJ67" i="2"/>
  <c r="CN67" i="2"/>
  <c r="I67" i="2"/>
  <c r="M67" i="2"/>
  <c r="Q67" i="2"/>
  <c r="U67" i="2"/>
  <c r="AC67" i="2"/>
  <c r="AG67" i="2"/>
  <c r="AK67" i="2"/>
  <c r="AO67" i="2"/>
  <c r="AS67" i="2"/>
  <c r="AW67" i="2"/>
  <c r="BA67" i="2"/>
  <c r="BE67" i="2"/>
  <c r="BI67" i="2"/>
  <c r="BM67" i="2"/>
  <c r="BQ67" i="2"/>
  <c r="BU67" i="2"/>
  <c r="BY67" i="2"/>
  <c r="CC67" i="2"/>
  <c r="CG67" i="2"/>
  <c r="CK67" i="2"/>
  <c r="CO67" i="2"/>
  <c r="F67" i="2"/>
  <c r="J67" i="2"/>
  <c r="R67" i="2"/>
  <c r="V67" i="2"/>
  <c r="Z67" i="2"/>
  <c r="AD67" i="2"/>
  <c r="AH67" i="2"/>
  <c r="AP67" i="2"/>
  <c r="AT67" i="2"/>
  <c r="AX67" i="2"/>
  <c r="BB67" i="2"/>
  <c r="BF67" i="2"/>
  <c r="BJ67" i="2"/>
  <c r="BN67" i="2"/>
  <c r="BR67" i="2"/>
  <c r="BV67" i="2"/>
  <c r="BZ67" i="2"/>
  <c r="CD67" i="2"/>
  <c r="CH67" i="2"/>
  <c r="CL67" i="2"/>
  <c r="CP67" i="2"/>
  <c r="G67" i="2"/>
  <c r="K67" i="2"/>
  <c r="O67" i="2"/>
  <c r="S67" i="2"/>
  <c r="W67" i="2"/>
  <c r="AA67" i="2"/>
  <c r="AE67" i="2"/>
  <c r="AI67" i="2"/>
  <c r="AM67" i="2"/>
  <c r="AQ67" i="2"/>
  <c r="AU67" i="2"/>
  <c r="AY67" i="2"/>
  <c r="BC67" i="2"/>
  <c r="BG67" i="2"/>
  <c r="BK67" i="2"/>
  <c r="BO67" i="2"/>
  <c r="BS67" i="2"/>
  <c r="BW67" i="2"/>
  <c r="CA67" i="2"/>
  <c r="CE67" i="2"/>
  <c r="CI67" i="2"/>
  <c r="CM67" i="2"/>
  <c r="CQ67" i="2"/>
  <c r="Y67" i="2"/>
  <c r="AK72" i="2"/>
  <c r="G11" i="2"/>
  <c r="O73" i="2"/>
  <c r="F17" i="2"/>
  <c r="J17" i="2"/>
  <c r="N17" i="2"/>
  <c r="R17" i="2"/>
  <c r="V17" i="2"/>
  <c r="Z17" i="2"/>
  <c r="AD17" i="2"/>
  <c r="AH17" i="2"/>
  <c r="AL17" i="2"/>
  <c r="AP17" i="2"/>
  <c r="AT17" i="2"/>
  <c r="AX17" i="2"/>
  <c r="BB17" i="2"/>
  <c r="BF17" i="2"/>
  <c r="BJ17" i="2"/>
  <c r="BN17" i="2"/>
  <c r="BR17" i="2"/>
  <c r="BV17" i="2"/>
  <c r="BZ17" i="2"/>
  <c r="CD17" i="2"/>
  <c r="CH17" i="2"/>
  <c r="CL17" i="2"/>
  <c r="CP17" i="2"/>
  <c r="G17" i="2"/>
  <c r="K17" i="2"/>
  <c r="O17" i="2"/>
  <c r="S17" i="2"/>
  <c r="W17" i="2"/>
  <c r="AA17" i="2"/>
  <c r="AE17" i="2"/>
  <c r="AI17" i="2"/>
  <c r="AQ17" i="2"/>
  <c r="AU17" i="2"/>
  <c r="AY17" i="2"/>
  <c r="BC17" i="2"/>
  <c r="BG17" i="2"/>
  <c r="BK17" i="2"/>
  <c r="BO17" i="2"/>
  <c r="BS17" i="2"/>
  <c r="BW17" i="2"/>
  <c r="CA17" i="2"/>
  <c r="CE17" i="2"/>
  <c r="CI17" i="2"/>
  <c r="CM17" i="2"/>
  <c r="CQ17" i="2"/>
  <c r="H17" i="2"/>
  <c r="L17" i="2"/>
  <c r="P17" i="2"/>
  <c r="T17" i="2"/>
  <c r="X17" i="2"/>
  <c r="AB17" i="2"/>
  <c r="AF17" i="2"/>
  <c r="AJ17" i="2"/>
  <c r="AN17" i="2"/>
  <c r="AR17" i="2"/>
  <c r="AV17" i="2"/>
  <c r="AZ17" i="2"/>
  <c r="BD17" i="2"/>
  <c r="BH17" i="2"/>
  <c r="BL17" i="2"/>
  <c r="BP17" i="2"/>
  <c r="BT17" i="2"/>
  <c r="BX17" i="2"/>
  <c r="CB17" i="2"/>
  <c r="CF17" i="2"/>
  <c r="CJ17" i="2"/>
  <c r="CN17" i="2"/>
  <c r="M17" i="2"/>
  <c r="AC17" i="2"/>
  <c r="AS17" i="2"/>
  <c r="BI17" i="2"/>
  <c r="BY17" i="2"/>
  <c r="CO17" i="2"/>
  <c r="Q17" i="2"/>
  <c r="AG17" i="2"/>
  <c r="AW17" i="2"/>
  <c r="BM17" i="2"/>
  <c r="CC17" i="2"/>
  <c r="U17" i="2"/>
  <c r="AK17" i="2"/>
  <c r="BA17" i="2"/>
  <c r="BQ17" i="2"/>
  <c r="CG17" i="2"/>
  <c r="I17" i="2"/>
  <c r="Y17" i="2"/>
  <c r="AO17" i="2"/>
  <c r="BE17" i="2"/>
  <c r="BU17" i="2"/>
  <c r="CK17" i="2"/>
  <c r="E75" i="2"/>
  <c r="D78" i="2"/>
  <c r="H78" i="2"/>
  <c r="L78" i="2"/>
  <c r="P78" i="2"/>
  <c r="T78" i="2"/>
  <c r="X78" i="2"/>
  <c r="AB78" i="2"/>
  <c r="AF78" i="2"/>
  <c r="AJ78" i="2"/>
  <c r="AN78" i="2"/>
  <c r="AR78" i="2"/>
  <c r="AV78" i="2"/>
  <c r="AZ78" i="2"/>
  <c r="BD78" i="2"/>
  <c r="BH78" i="2"/>
  <c r="BL78" i="2"/>
  <c r="BP78" i="2"/>
  <c r="BT78" i="2"/>
  <c r="BX78" i="2"/>
  <c r="CB78" i="2"/>
  <c r="CF78" i="2"/>
  <c r="CJ78" i="2"/>
  <c r="CN78" i="2"/>
  <c r="I78" i="2"/>
  <c r="M78" i="2"/>
  <c r="Q78" i="2"/>
  <c r="U78" i="2"/>
  <c r="AC78" i="2"/>
  <c r="AG78" i="2"/>
  <c r="K78" i="2"/>
  <c r="S78" i="2"/>
  <c r="AA78" i="2"/>
  <c r="AI78" i="2"/>
  <c r="AP78" i="2"/>
  <c r="AU78" i="2"/>
  <c r="BA78" i="2"/>
  <c r="BF78" i="2"/>
  <c r="BK78" i="2"/>
  <c r="BQ78" i="2"/>
  <c r="BV78" i="2"/>
  <c r="CA78" i="2"/>
  <c r="CG78" i="2"/>
  <c r="CL78" i="2"/>
  <c r="CQ78" i="2"/>
  <c r="F78" i="2"/>
  <c r="N78" i="2"/>
  <c r="V78" i="2"/>
  <c r="AD78" i="2"/>
  <c r="AL78" i="2"/>
  <c r="AQ78" i="2"/>
  <c r="AW78" i="2"/>
  <c r="BB78" i="2"/>
  <c r="BG78" i="2"/>
  <c r="BM78" i="2"/>
  <c r="BR78" i="2"/>
  <c r="BW78" i="2"/>
  <c r="CC78" i="2"/>
  <c r="CH78" i="2"/>
  <c r="CM78" i="2"/>
  <c r="G78" i="2"/>
  <c r="O78" i="2"/>
  <c r="W78" i="2"/>
  <c r="AE78" i="2"/>
  <c r="AS78" i="2"/>
  <c r="AX78" i="2"/>
  <c r="BC78" i="2"/>
  <c r="BI78" i="2"/>
  <c r="BN78" i="2"/>
  <c r="BS78" i="2"/>
  <c r="BY78" i="2"/>
  <c r="CD78" i="2"/>
  <c r="CI78" i="2"/>
  <c r="CO78" i="2"/>
  <c r="J78" i="2"/>
  <c r="R78" i="2"/>
  <c r="Z78" i="2"/>
  <c r="AH78" i="2"/>
  <c r="AO78" i="2"/>
  <c r="AT78" i="2"/>
  <c r="AY78" i="2"/>
  <c r="BE78" i="2"/>
  <c r="BJ78" i="2"/>
  <c r="BO78" i="2"/>
  <c r="BU78" i="2"/>
  <c r="BZ78" i="2"/>
  <c r="CE78" i="2"/>
  <c r="CK78" i="2"/>
  <c r="CP78" i="2"/>
  <c r="E47" i="2"/>
  <c r="AI34" i="2"/>
  <c r="E17" i="2"/>
  <c r="O77" i="2"/>
  <c r="E78" i="2"/>
  <c r="Y85" i="2"/>
  <c r="D59" i="2"/>
  <c r="G60" i="2"/>
  <c r="K60" i="2"/>
  <c r="O60" i="2"/>
  <c r="S60" i="2"/>
  <c r="W60" i="2"/>
  <c r="AA60" i="2"/>
  <c r="AE60" i="2"/>
  <c r="AI60" i="2"/>
  <c r="AM60" i="2"/>
  <c r="AQ60" i="2"/>
  <c r="AU60" i="2"/>
  <c r="AY60" i="2"/>
  <c r="BC60" i="2"/>
  <c r="BG60" i="2"/>
  <c r="BK60" i="2"/>
  <c r="BO60" i="2"/>
  <c r="BS60" i="2"/>
  <c r="BW60" i="2"/>
  <c r="CA60" i="2"/>
  <c r="CE60" i="2"/>
  <c r="CI60" i="2"/>
  <c r="CM60" i="2"/>
  <c r="CQ60" i="2"/>
  <c r="H60" i="2"/>
  <c r="L60" i="2"/>
  <c r="P60" i="2"/>
  <c r="T60" i="2"/>
  <c r="X60" i="2"/>
  <c r="AB60" i="2"/>
  <c r="AF60" i="2"/>
  <c r="AJ60" i="2"/>
  <c r="AN60" i="2"/>
  <c r="AR60" i="2"/>
  <c r="AV60" i="2"/>
  <c r="AZ60" i="2"/>
  <c r="BD60" i="2"/>
  <c r="BH60" i="2"/>
  <c r="BL60" i="2"/>
  <c r="BP60" i="2"/>
  <c r="BT60" i="2"/>
  <c r="BX60" i="2"/>
  <c r="CB60" i="2"/>
  <c r="CF60" i="2"/>
  <c r="CJ60" i="2"/>
  <c r="CN60" i="2"/>
  <c r="E60" i="2"/>
  <c r="I60" i="2"/>
  <c r="M60" i="2"/>
  <c r="Q60" i="2"/>
  <c r="U60" i="2"/>
  <c r="Y60" i="2"/>
  <c r="AC60" i="2"/>
  <c r="AG60" i="2"/>
  <c r="AK60" i="2"/>
  <c r="AO60" i="2"/>
  <c r="AS60" i="2"/>
  <c r="AW60" i="2"/>
  <c r="BA60" i="2"/>
  <c r="BE60" i="2"/>
  <c r="BI60" i="2"/>
  <c r="BM60" i="2"/>
  <c r="BQ60" i="2"/>
  <c r="BU60" i="2"/>
  <c r="BY60" i="2"/>
  <c r="CC60" i="2"/>
  <c r="CG60" i="2"/>
  <c r="CK60" i="2"/>
  <c r="CO60" i="2"/>
  <c r="F60" i="2"/>
  <c r="J60" i="2"/>
  <c r="R60" i="2"/>
  <c r="V60" i="2"/>
  <c r="Z60" i="2"/>
  <c r="AD60" i="2"/>
  <c r="AH60" i="2"/>
  <c r="AP60" i="2"/>
  <c r="AT60" i="2"/>
  <c r="AX60" i="2"/>
  <c r="BB60" i="2"/>
  <c r="BF60" i="2"/>
  <c r="BJ60" i="2"/>
  <c r="BN60" i="2"/>
  <c r="BR60" i="2"/>
  <c r="BV60" i="2"/>
  <c r="BZ60" i="2"/>
  <c r="CD60" i="2"/>
  <c r="CH60" i="2"/>
  <c r="CL60" i="2"/>
  <c r="CP60" i="2"/>
  <c r="G62" i="2"/>
  <c r="K62" i="2"/>
  <c r="O62" i="2"/>
  <c r="S62" i="2"/>
  <c r="W62" i="2"/>
  <c r="AA62" i="2"/>
  <c r="AE62" i="2"/>
  <c r="AI62" i="2"/>
  <c r="AM62" i="2"/>
  <c r="AQ62" i="2"/>
  <c r="AU62" i="2"/>
  <c r="AY62" i="2"/>
  <c r="BC62" i="2"/>
  <c r="BG62" i="2"/>
  <c r="BK62" i="2"/>
  <c r="BO62" i="2"/>
  <c r="BS62" i="2"/>
  <c r="BW62" i="2"/>
  <c r="CA62" i="2"/>
  <c r="CE62" i="2"/>
  <c r="CI62" i="2"/>
  <c r="CM62" i="2"/>
  <c r="CQ62" i="2"/>
  <c r="H62" i="2"/>
  <c r="L62" i="2"/>
  <c r="P62" i="2"/>
  <c r="T62" i="2"/>
  <c r="X62" i="2"/>
  <c r="AB62" i="2"/>
  <c r="AF62" i="2"/>
  <c r="AJ62" i="2"/>
  <c r="AN62" i="2"/>
  <c r="E62" i="2"/>
  <c r="I62" i="2"/>
  <c r="M62" i="2"/>
  <c r="Q62" i="2"/>
  <c r="U62" i="2"/>
  <c r="Y62" i="2"/>
  <c r="AC62" i="2"/>
  <c r="AG62" i="2"/>
  <c r="AK62" i="2"/>
  <c r="AO62" i="2"/>
  <c r="AS62" i="2"/>
  <c r="AW62" i="2"/>
  <c r="BA62" i="2"/>
  <c r="BE62" i="2"/>
  <c r="BI62" i="2"/>
  <c r="BM62" i="2"/>
  <c r="BQ62" i="2"/>
  <c r="F62" i="2"/>
  <c r="J62" i="2"/>
  <c r="N62" i="2"/>
  <c r="R62" i="2"/>
  <c r="V62" i="2"/>
  <c r="AL62" i="2"/>
  <c r="AV62" i="2"/>
  <c r="BD62" i="2"/>
  <c r="BL62" i="2"/>
  <c r="BT62" i="2"/>
  <c r="BY62" i="2"/>
  <c r="CD62" i="2"/>
  <c r="CJ62" i="2"/>
  <c r="CO62" i="2"/>
  <c r="Z62" i="2"/>
  <c r="AP62" i="2"/>
  <c r="AX62" i="2"/>
  <c r="BF62" i="2"/>
  <c r="BN62" i="2"/>
  <c r="BU62" i="2"/>
  <c r="BZ62" i="2"/>
  <c r="CF62" i="2"/>
  <c r="CK62" i="2"/>
  <c r="CP62" i="2"/>
  <c r="AD62" i="2"/>
  <c r="AR62" i="2"/>
  <c r="AZ62" i="2"/>
  <c r="BH62" i="2"/>
  <c r="BP62" i="2"/>
  <c r="BV62" i="2"/>
  <c r="CB62" i="2"/>
  <c r="CG62" i="2"/>
  <c r="CL62" i="2"/>
  <c r="AH62" i="2"/>
  <c r="AT62" i="2"/>
  <c r="BB62" i="2"/>
  <c r="BJ62" i="2"/>
  <c r="BR62" i="2"/>
  <c r="BX62" i="2"/>
  <c r="CC62" i="2"/>
  <c r="CH62" i="2"/>
  <c r="CN62" i="2"/>
  <c r="G64" i="2"/>
  <c r="K64" i="2"/>
  <c r="O64" i="2"/>
  <c r="S64" i="2"/>
  <c r="W64" i="2"/>
  <c r="AA64" i="2"/>
  <c r="AE64" i="2"/>
  <c r="AI64" i="2"/>
  <c r="AM64" i="2"/>
  <c r="AQ64" i="2"/>
  <c r="AU64" i="2"/>
  <c r="E64" i="2"/>
  <c r="J64" i="2"/>
  <c r="P64" i="2"/>
  <c r="U64" i="2"/>
  <c r="Z64" i="2"/>
  <c r="AF64" i="2"/>
  <c r="AK64" i="2"/>
  <c r="AP64" i="2"/>
  <c r="AV64" i="2"/>
  <c r="AZ64" i="2"/>
  <c r="BD64" i="2"/>
  <c r="BH64" i="2"/>
  <c r="BL64" i="2"/>
  <c r="BP64" i="2"/>
  <c r="BT64" i="2"/>
  <c r="BX64" i="2"/>
  <c r="CB64" i="2"/>
  <c r="CF64" i="2"/>
  <c r="CJ64" i="2"/>
  <c r="CN64" i="2"/>
  <c r="F64" i="2"/>
  <c r="L64" i="2"/>
  <c r="Q64" i="2"/>
  <c r="V64" i="2"/>
  <c r="AB64" i="2"/>
  <c r="AG64" i="2"/>
  <c r="AR64" i="2"/>
  <c r="AW64" i="2"/>
  <c r="BA64" i="2"/>
  <c r="BE64" i="2"/>
  <c r="BI64" i="2"/>
  <c r="BM64" i="2"/>
  <c r="BQ64" i="2"/>
  <c r="BU64" i="2"/>
  <c r="BY64" i="2"/>
  <c r="CC64" i="2"/>
  <c r="CG64" i="2"/>
  <c r="CK64" i="2"/>
  <c r="CO64" i="2"/>
  <c r="H64" i="2"/>
  <c r="M64" i="2"/>
  <c r="R64" i="2"/>
  <c r="X64" i="2"/>
  <c r="AC64" i="2"/>
  <c r="AH64" i="2"/>
  <c r="AN64" i="2"/>
  <c r="AS64" i="2"/>
  <c r="AX64" i="2"/>
  <c r="BB64" i="2"/>
  <c r="BF64" i="2"/>
  <c r="BJ64" i="2"/>
  <c r="BN64" i="2"/>
  <c r="BR64" i="2"/>
  <c r="BV64" i="2"/>
  <c r="BZ64" i="2"/>
  <c r="CD64" i="2"/>
  <c r="CH64" i="2"/>
  <c r="CL64" i="2"/>
  <c r="CP64" i="2"/>
  <c r="I64" i="2"/>
  <c r="N64" i="2"/>
  <c r="T64" i="2"/>
  <c r="AD64" i="2"/>
  <c r="AJ64" i="2"/>
  <c r="AO64" i="2"/>
  <c r="AT64" i="2"/>
  <c r="AY64" i="2"/>
  <c r="BC64" i="2"/>
  <c r="BG64" i="2"/>
  <c r="BK64" i="2"/>
  <c r="BO64" i="2"/>
  <c r="BS64" i="2"/>
  <c r="BW64" i="2"/>
  <c r="CA64" i="2"/>
  <c r="CE64" i="2"/>
  <c r="CI64" i="2"/>
  <c r="CM64" i="2"/>
  <c r="CQ64" i="2"/>
  <c r="AL67" i="2"/>
  <c r="H68" i="2"/>
  <c r="L68" i="2"/>
  <c r="P68" i="2"/>
  <c r="T68" i="2"/>
  <c r="AB68" i="2"/>
  <c r="AF68" i="2"/>
  <c r="AJ68" i="2"/>
  <c r="AN68" i="2"/>
  <c r="AR68" i="2"/>
  <c r="AV68" i="2"/>
  <c r="AZ68" i="2"/>
  <c r="BD68" i="2"/>
  <c r="BH68" i="2"/>
  <c r="BL68" i="2"/>
  <c r="BP68" i="2"/>
  <c r="BT68" i="2"/>
  <c r="BX68" i="2"/>
  <c r="CB68" i="2"/>
  <c r="CF68" i="2"/>
  <c r="CJ68" i="2"/>
  <c r="CN68" i="2"/>
  <c r="E68" i="2"/>
  <c r="I68" i="2"/>
  <c r="M68" i="2"/>
  <c r="Q68" i="2"/>
  <c r="U68" i="2"/>
  <c r="Y68" i="2"/>
  <c r="AC68" i="2"/>
  <c r="AG68" i="2"/>
  <c r="AK68" i="2"/>
  <c r="AO68" i="2"/>
  <c r="AS68" i="2"/>
  <c r="AW68" i="2"/>
  <c r="BA68" i="2"/>
  <c r="BE68" i="2"/>
  <c r="BI68" i="2"/>
  <c r="BM68" i="2"/>
  <c r="BQ68" i="2"/>
  <c r="BU68" i="2"/>
  <c r="BY68" i="2"/>
  <c r="CC68" i="2"/>
  <c r="CG68" i="2"/>
  <c r="CK68" i="2"/>
  <c r="CO68" i="2"/>
  <c r="F68" i="2"/>
  <c r="J68" i="2"/>
  <c r="N68" i="2"/>
  <c r="R68" i="2"/>
  <c r="V68" i="2"/>
  <c r="Z68" i="2"/>
  <c r="AD68" i="2"/>
  <c r="AH68" i="2"/>
  <c r="AL68" i="2"/>
  <c r="AP68" i="2"/>
  <c r="AT68" i="2"/>
  <c r="AX68" i="2"/>
  <c r="BB68" i="2"/>
  <c r="BF68" i="2"/>
  <c r="BJ68" i="2"/>
  <c r="BN68" i="2"/>
  <c r="BR68" i="2"/>
  <c r="BV68" i="2"/>
  <c r="BZ68" i="2"/>
  <c r="CD68" i="2"/>
  <c r="CH68" i="2"/>
  <c r="CL68" i="2"/>
  <c r="CP68" i="2"/>
  <c r="G68" i="2"/>
  <c r="K68" i="2"/>
  <c r="O68" i="2"/>
  <c r="S68" i="2"/>
  <c r="W68" i="2"/>
  <c r="AA68" i="2"/>
  <c r="AE68" i="2"/>
  <c r="AI68" i="2"/>
  <c r="AM68" i="2"/>
  <c r="AQ68" i="2"/>
  <c r="AU68" i="2"/>
  <c r="AY68" i="2"/>
  <c r="BC68" i="2"/>
  <c r="BG68" i="2"/>
  <c r="BK68" i="2"/>
  <c r="BO68" i="2"/>
  <c r="BS68" i="2"/>
  <c r="BW68" i="2"/>
  <c r="CA68" i="2"/>
  <c r="CE68" i="2"/>
  <c r="CI68" i="2"/>
  <c r="CM68" i="2"/>
  <c r="CQ68" i="2"/>
  <c r="P31" i="2"/>
  <c r="E29" i="2"/>
  <c r="Q31" i="2"/>
  <c r="G31" i="2"/>
  <c r="H71" i="2"/>
  <c r="L71" i="2"/>
  <c r="P71" i="2"/>
  <c r="T71" i="2"/>
  <c r="X71" i="2"/>
  <c r="AB71" i="2"/>
  <c r="AF71" i="2"/>
  <c r="AJ71" i="2"/>
  <c r="AN71" i="2"/>
  <c r="AR71" i="2"/>
  <c r="AV71" i="2"/>
  <c r="AZ71" i="2"/>
  <c r="BD71" i="2"/>
  <c r="BH71" i="2"/>
  <c r="BL71" i="2"/>
  <c r="BP71" i="2"/>
  <c r="BT71" i="2"/>
  <c r="BX71" i="2"/>
  <c r="CB71" i="2"/>
  <c r="CF71" i="2"/>
  <c r="CJ71" i="2"/>
  <c r="CN71" i="2"/>
  <c r="I71" i="2"/>
  <c r="M71" i="2"/>
  <c r="Q71" i="2"/>
  <c r="U71" i="2"/>
  <c r="Y71" i="2"/>
  <c r="AC71" i="2"/>
  <c r="AG71" i="2"/>
  <c r="AO71" i="2"/>
  <c r="AS71" i="2"/>
  <c r="AW71" i="2"/>
  <c r="BA71" i="2"/>
  <c r="BE71" i="2"/>
  <c r="BI71" i="2"/>
  <c r="BM71" i="2"/>
  <c r="BQ71" i="2"/>
  <c r="BU71" i="2"/>
  <c r="BY71" i="2"/>
  <c r="CC71" i="2"/>
  <c r="CG71" i="2"/>
  <c r="CK71" i="2"/>
  <c r="CO71" i="2"/>
  <c r="F71" i="2"/>
  <c r="J71" i="2"/>
  <c r="N71" i="2"/>
  <c r="R71" i="2"/>
  <c r="V71" i="2"/>
  <c r="Z71" i="2"/>
  <c r="AD71" i="2"/>
  <c r="AH71" i="2"/>
  <c r="AL71" i="2"/>
  <c r="AP71" i="2"/>
  <c r="AT71" i="2"/>
  <c r="AX71" i="2"/>
  <c r="BB71" i="2"/>
  <c r="BF71" i="2"/>
  <c r="BJ71" i="2"/>
  <c r="BN71" i="2"/>
  <c r="BR71" i="2"/>
  <c r="BV71" i="2"/>
  <c r="BZ71" i="2"/>
  <c r="CD71" i="2"/>
  <c r="CH71" i="2"/>
  <c r="CL71" i="2"/>
  <c r="CP71" i="2"/>
  <c r="G71" i="2"/>
  <c r="K71" i="2"/>
  <c r="S71" i="2"/>
  <c r="W71" i="2"/>
  <c r="AA71" i="2"/>
  <c r="AE71" i="2"/>
  <c r="AQ71" i="2"/>
  <c r="AU71" i="2"/>
  <c r="AY71" i="2"/>
  <c r="BC71" i="2"/>
  <c r="BG71" i="2"/>
  <c r="BK71" i="2"/>
  <c r="BO71" i="2"/>
  <c r="BS71" i="2"/>
  <c r="BW71" i="2"/>
  <c r="CA71" i="2"/>
  <c r="CE71" i="2"/>
  <c r="CI71" i="2"/>
  <c r="CM71" i="2"/>
  <c r="CQ71" i="2"/>
  <c r="D11" i="2"/>
  <c r="E71" i="2"/>
  <c r="O72" i="2"/>
  <c r="AI71" i="2"/>
  <c r="F11" i="2"/>
  <c r="Y11" i="2"/>
  <c r="AU73" i="2"/>
  <c r="J13" i="2"/>
  <c r="N13" i="2"/>
  <c r="R13" i="2"/>
  <c r="V13" i="2"/>
  <c r="Z13" i="2"/>
  <c r="AD13" i="2"/>
  <c r="AH13" i="2"/>
  <c r="AL13" i="2"/>
  <c r="AP13" i="2"/>
  <c r="AT13" i="2"/>
  <c r="AX13" i="2"/>
  <c r="BB13" i="2"/>
  <c r="K13" i="2"/>
  <c r="O13" i="2"/>
  <c r="S13" i="2"/>
  <c r="W13" i="2"/>
  <c r="AA13" i="2"/>
  <c r="AE13" i="2"/>
  <c r="AI13" i="2"/>
  <c r="AQ13" i="2"/>
  <c r="AU13" i="2"/>
  <c r="AY13" i="2"/>
  <c r="BC13" i="2"/>
  <c r="BG13" i="2"/>
  <c r="BK13" i="2"/>
  <c r="BO13" i="2"/>
  <c r="BS13" i="2"/>
  <c r="BW13" i="2"/>
  <c r="CA13" i="2"/>
  <c r="CE13" i="2"/>
  <c r="CI13" i="2"/>
  <c r="CM13" i="2"/>
  <c r="CQ13" i="2"/>
  <c r="L13" i="2"/>
  <c r="T13" i="2"/>
  <c r="AB13" i="2"/>
  <c r="AJ13" i="2"/>
  <c r="AR13" i="2"/>
  <c r="AZ13" i="2"/>
  <c r="BF13" i="2"/>
  <c r="BL13" i="2"/>
  <c r="BQ13" i="2"/>
  <c r="BV13" i="2"/>
  <c r="CB13" i="2"/>
  <c r="CG13" i="2"/>
  <c r="CL13" i="2"/>
  <c r="M13" i="2"/>
  <c r="U13" i="2"/>
  <c r="AC13" i="2"/>
  <c r="AK13" i="2"/>
  <c r="AS13" i="2"/>
  <c r="BA13" i="2"/>
  <c r="BH13" i="2"/>
  <c r="BM13" i="2"/>
  <c r="BR13" i="2"/>
  <c r="BX13" i="2"/>
  <c r="CC13" i="2"/>
  <c r="CH13" i="2"/>
  <c r="CN13" i="2"/>
  <c r="H13" i="2"/>
  <c r="P13" i="2"/>
  <c r="X13" i="2"/>
  <c r="AF13" i="2"/>
  <c r="AN13" i="2"/>
  <c r="AV13" i="2"/>
  <c r="BD13" i="2"/>
  <c r="BI13" i="2"/>
  <c r="BN13" i="2"/>
  <c r="BT13" i="2"/>
  <c r="BY13" i="2"/>
  <c r="CD13" i="2"/>
  <c r="CJ13" i="2"/>
  <c r="CO13" i="2"/>
  <c r="Q13" i="2"/>
  <c r="AW13" i="2"/>
  <c r="BU13" i="2"/>
  <c r="CP13" i="2"/>
  <c r="Y13" i="2"/>
  <c r="BE13" i="2"/>
  <c r="BZ13" i="2"/>
  <c r="AG13" i="2"/>
  <c r="BJ13" i="2"/>
  <c r="CF13" i="2"/>
  <c r="I13" i="2"/>
  <c r="AO13" i="2"/>
  <c r="BP13" i="2"/>
  <c r="CK13" i="2"/>
  <c r="D15" i="2"/>
  <c r="F16" i="2"/>
  <c r="J16" i="2"/>
  <c r="N16" i="2"/>
  <c r="R16" i="2"/>
  <c r="V16" i="2"/>
  <c r="Z16" i="2"/>
  <c r="AD16" i="2"/>
  <c r="AH16" i="2"/>
  <c r="AL16" i="2"/>
  <c r="AP16" i="2"/>
  <c r="AT16" i="2"/>
  <c r="AX16" i="2"/>
  <c r="BB16" i="2"/>
  <c r="BF16" i="2"/>
  <c r="BJ16" i="2"/>
  <c r="BN16" i="2"/>
  <c r="BR16" i="2"/>
  <c r="BV16" i="2"/>
  <c r="BZ16" i="2"/>
  <c r="CD16" i="2"/>
  <c r="CH16" i="2"/>
  <c r="CL16" i="2"/>
  <c r="CP16" i="2"/>
  <c r="K16" i="2"/>
  <c r="O16" i="2"/>
  <c r="S16" i="2"/>
  <c r="W16" i="2"/>
  <c r="AA16" i="2"/>
  <c r="AE16" i="2"/>
  <c r="AI16" i="2"/>
  <c r="AM16" i="2"/>
  <c r="AQ16" i="2"/>
  <c r="AU16" i="2"/>
  <c r="AY16" i="2"/>
  <c r="BC16" i="2"/>
  <c r="BG16" i="2"/>
  <c r="BK16" i="2"/>
  <c r="BO16" i="2"/>
  <c r="BS16" i="2"/>
  <c r="BW16" i="2"/>
  <c r="CA16" i="2"/>
  <c r="CE16" i="2"/>
  <c r="CI16" i="2"/>
  <c r="CM16" i="2"/>
  <c r="CQ16" i="2"/>
  <c r="H16" i="2"/>
  <c r="L16" i="2"/>
  <c r="P16" i="2"/>
  <c r="T16" i="2"/>
  <c r="X16" i="2"/>
  <c r="AB16" i="2"/>
  <c r="AF16" i="2"/>
  <c r="AJ16" i="2"/>
  <c r="AN16" i="2"/>
  <c r="AR16" i="2"/>
  <c r="AV16" i="2"/>
  <c r="AZ16" i="2"/>
  <c r="BD16" i="2"/>
  <c r="BH16" i="2"/>
  <c r="BL16" i="2"/>
  <c r="BP16" i="2"/>
  <c r="BT16" i="2"/>
  <c r="BX16" i="2"/>
  <c r="CB16" i="2"/>
  <c r="CF16" i="2"/>
  <c r="CJ16" i="2"/>
  <c r="CN16" i="2"/>
  <c r="I16" i="2"/>
  <c r="AO16" i="2"/>
  <c r="BE16" i="2"/>
  <c r="BU16" i="2"/>
  <c r="CK16" i="2"/>
  <c r="M16" i="2"/>
  <c r="AC16" i="2"/>
  <c r="AS16" i="2"/>
  <c r="BI16" i="2"/>
  <c r="BY16" i="2"/>
  <c r="CO16" i="2"/>
  <c r="Q16" i="2"/>
  <c r="AG16" i="2"/>
  <c r="AW16" i="2"/>
  <c r="BM16" i="2"/>
  <c r="CC16" i="2"/>
  <c r="U16" i="2"/>
  <c r="AK16" i="2"/>
  <c r="BA16" i="2"/>
  <c r="BQ16" i="2"/>
  <c r="CG16" i="2"/>
  <c r="G10" i="2"/>
  <c r="E15" i="2"/>
  <c r="AM13" i="2"/>
  <c r="F33" i="2"/>
  <c r="J33" i="2"/>
  <c r="N33" i="2"/>
  <c r="R33" i="2"/>
  <c r="V33" i="2"/>
  <c r="Z33" i="2"/>
  <c r="AD33" i="2"/>
  <c r="AH33" i="2"/>
  <c r="AL33" i="2"/>
  <c r="AP33" i="2"/>
  <c r="AT33" i="2"/>
  <c r="AX33" i="2"/>
  <c r="BB33" i="2"/>
  <c r="BF33" i="2"/>
  <c r="BJ33" i="2"/>
  <c r="BN33" i="2"/>
  <c r="BR33" i="2"/>
  <c r="BV33" i="2"/>
  <c r="BZ33" i="2"/>
  <c r="CD33" i="2"/>
  <c r="CH33" i="2"/>
  <c r="CL33" i="2"/>
  <c r="CP33" i="2"/>
  <c r="K33" i="2"/>
  <c r="O33" i="2"/>
  <c r="S33" i="2"/>
  <c r="W33" i="2"/>
  <c r="AA33" i="2"/>
  <c r="AE33" i="2"/>
  <c r="AM33" i="2"/>
  <c r="AQ33" i="2"/>
  <c r="AU33" i="2"/>
  <c r="AY33" i="2"/>
  <c r="BC33" i="2"/>
  <c r="BG33" i="2"/>
  <c r="BK33" i="2"/>
  <c r="BO33" i="2"/>
  <c r="BS33" i="2"/>
  <c r="BW33" i="2"/>
  <c r="CA33" i="2"/>
  <c r="CE33" i="2"/>
  <c r="CI33" i="2"/>
  <c r="CM33" i="2"/>
  <c r="CQ33" i="2"/>
  <c r="H33" i="2"/>
  <c r="L33" i="2"/>
  <c r="T33" i="2"/>
  <c r="AB33" i="2"/>
  <c r="AF33" i="2"/>
  <c r="AJ33" i="2"/>
  <c r="AN33" i="2"/>
  <c r="AR33" i="2"/>
  <c r="AV33" i="2"/>
  <c r="AZ33" i="2"/>
  <c r="BD33" i="2"/>
  <c r="BH33" i="2"/>
  <c r="BL33" i="2"/>
  <c r="BP33" i="2"/>
  <c r="BT33" i="2"/>
  <c r="BX33" i="2"/>
  <c r="CB33" i="2"/>
  <c r="CF33" i="2"/>
  <c r="CJ33" i="2"/>
  <c r="CN33" i="2"/>
  <c r="I33" i="2"/>
  <c r="M33" i="2"/>
  <c r="U33" i="2"/>
  <c r="AC33" i="2"/>
  <c r="AK33" i="2"/>
  <c r="AO33" i="2"/>
  <c r="AS33" i="2"/>
  <c r="AW33" i="2"/>
  <c r="BA33" i="2"/>
  <c r="BE33" i="2"/>
  <c r="BI33" i="2"/>
  <c r="BM33" i="2"/>
  <c r="BQ33" i="2"/>
  <c r="BU33" i="2"/>
  <c r="BY33" i="2"/>
  <c r="CC33" i="2"/>
  <c r="CG33" i="2"/>
  <c r="CK33" i="2"/>
  <c r="CO33" i="2"/>
  <c r="X33" i="2"/>
  <c r="G21" i="2"/>
  <c r="K21" i="2"/>
  <c r="O21" i="2"/>
  <c r="S21" i="2"/>
  <c r="W21" i="2"/>
  <c r="AA21" i="2"/>
  <c r="AE21" i="2"/>
  <c r="AI21" i="2"/>
  <c r="AQ21" i="2"/>
  <c r="AU21" i="2"/>
  <c r="AY21" i="2"/>
  <c r="BC21" i="2"/>
  <c r="BG21" i="2"/>
  <c r="BK21" i="2"/>
  <c r="BO21" i="2"/>
  <c r="BS21" i="2"/>
  <c r="BW21" i="2"/>
  <c r="CA21" i="2"/>
  <c r="CE21" i="2"/>
  <c r="CI21" i="2"/>
  <c r="CM21" i="2"/>
  <c r="CQ21" i="2"/>
  <c r="H21" i="2"/>
  <c r="L21" i="2"/>
  <c r="P21" i="2"/>
  <c r="T21" i="2"/>
  <c r="X21" i="2"/>
  <c r="AB21" i="2"/>
  <c r="AF21" i="2"/>
  <c r="AJ21" i="2"/>
  <c r="AN21" i="2"/>
  <c r="AR21" i="2"/>
  <c r="AV21" i="2"/>
  <c r="AZ21" i="2"/>
  <c r="BD21" i="2"/>
  <c r="BH21" i="2"/>
  <c r="BL21" i="2"/>
  <c r="BP21" i="2"/>
  <c r="BT21" i="2"/>
  <c r="BX21" i="2"/>
  <c r="CB21" i="2"/>
  <c r="CF21" i="2"/>
  <c r="CJ21" i="2"/>
  <c r="CN21" i="2"/>
  <c r="I21" i="2"/>
  <c r="M21" i="2"/>
  <c r="Q21" i="2"/>
  <c r="U21" i="2"/>
  <c r="AC21" i="2"/>
  <c r="AG21" i="2"/>
  <c r="AK21" i="2"/>
  <c r="AO21" i="2"/>
  <c r="AS21" i="2"/>
  <c r="AW21" i="2"/>
  <c r="BA21" i="2"/>
  <c r="BE21" i="2"/>
  <c r="BI21" i="2"/>
  <c r="BM21" i="2"/>
  <c r="BQ21" i="2"/>
  <c r="BU21" i="2"/>
  <c r="BY21" i="2"/>
  <c r="CC21" i="2"/>
  <c r="CG21" i="2"/>
  <c r="CK21" i="2"/>
  <c r="CO21" i="2"/>
  <c r="F21" i="2"/>
  <c r="J21" i="2"/>
  <c r="N21" i="2"/>
  <c r="R21" i="2"/>
  <c r="V21" i="2"/>
  <c r="Z21" i="2"/>
  <c r="AD21" i="2"/>
  <c r="AH21" i="2"/>
  <c r="AL21" i="2"/>
  <c r="AP21" i="2"/>
  <c r="AT21" i="2"/>
  <c r="AX21" i="2"/>
  <c r="BB21" i="2"/>
  <c r="BF21" i="2"/>
  <c r="BJ21" i="2"/>
  <c r="BN21" i="2"/>
  <c r="BR21" i="2"/>
  <c r="BV21" i="2"/>
  <c r="BZ21" i="2"/>
  <c r="CD21" i="2"/>
  <c r="CH21" i="2"/>
  <c r="CL21" i="2"/>
  <c r="CP21" i="2"/>
  <c r="D19" i="2"/>
  <c r="F45" i="2"/>
  <c r="J45" i="2"/>
  <c r="N45" i="2"/>
  <c r="R45" i="2"/>
  <c r="V45" i="2"/>
  <c r="Z45" i="2"/>
  <c r="AD45" i="2"/>
  <c r="AH45" i="2"/>
  <c r="AL45" i="2"/>
  <c r="AP45" i="2"/>
  <c r="AT45" i="2"/>
  <c r="AX45" i="2"/>
  <c r="BB45" i="2"/>
  <c r="G45" i="2"/>
  <c r="K45" i="2"/>
  <c r="O45" i="2"/>
  <c r="S45" i="2"/>
  <c r="W45" i="2"/>
  <c r="AA45" i="2"/>
  <c r="AE45" i="2"/>
  <c r="AI45" i="2"/>
  <c r="AQ45" i="2"/>
  <c r="AU45" i="2"/>
  <c r="AY45" i="2"/>
  <c r="BC45" i="2"/>
  <c r="BG45" i="2"/>
  <c r="BK45" i="2"/>
  <c r="BO45" i="2"/>
  <c r="BS45" i="2"/>
  <c r="BW45" i="2"/>
  <c r="CA45" i="2"/>
  <c r="CE45" i="2"/>
  <c r="CI45" i="2"/>
  <c r="CM45" i="2"/>
  <c r="CQ45" i="2"/>
  <c r="H45" i="2"/>
  <c r="L45" i="2"/>
  <c r="P45" i="2"/>
  <c r="T45" i="2"/>
  <c r="X45" i="2"/>
  <c r="AB45" i="2"/>
  <c r="AF45" i="2"/>
  <c r="AJ45" i="2"/>
  <c r="AN45" i="2"/>
  <c r="AR45" i="2"/>
  <c r="AV45" i="2"/>
  <c r="AZ45" i="2"/>
  <c r="BD45" i="2"/>
  <c r="BH45" i="2"/>
  <c r="BL45" i="2"/>
  <c r="BP45" i="2"/>
  <c r="BT45" i="2"/>
  <c r="BX45" i="2"/>
  <c r="CB45" i="2"/>
  <c r="CF45" i="2"/>
  <c r="CJ45" i="2"/>
  <c r="CN45" i="2"/>
  <c r="I45" i="2"/>
  <c r="M45" i="2"/>
  <c r="Q45" i="2"/>
  <c r="U45" i="2"/>
  <c r="Y45" i="2"/>
  <c r="AC45" i="2"/>
  <c r="AK45" i="2"/>
  <c r="AO45" i="2"/>
  <c r="AS45" i="2"/>
  <c r="AW45" i="2"/>
  <c r="BA45" i="2"/>
  <c r="BE45" i="2"/>
  <c r="BI45" i="2"/>
  <c r="BM45" i="2"/>
  <c r="BQ45" i="2"/>
  <c r="BU45" i="2"/>
  <c r="BY45" i="2"/>
  <c r="CC45" i="2"/>
  <c r="CG45" i="2"/>
  <c r="CK45" i="2"/>
  <c r="CO45" i="2"/>
  <c r="BF45" i="2"/>
  <c r="BV45" i="2"/>
  <c r="CL45" i="2"/>
  <c r="BJ45" i="2"/>
  <c r="BZ45" i="2"/>
  <c r="CP45" i="2"/>
  <c r="BN45" i="2"/>
  <c r="CD45" i="2"/>
  <c r="BR45" i="2"/>
  <c r="CH45" i="2"/>
  <c r="AM45" i="2"/>
  <c r="G46" i="2"/>
  <c r="Y33" i="2"/>
  <c r="Q33" i="2"/>
  <c r="E21" i="2"/>
  <c r="E19" i="2"/>
  <c r="G19" i="2"/>
  <c r="Y77" i="2"/>
  <c r="Q19" i="2"/>
  <c r="Y18" i="2"/>
  <c r="AM17" i="2"/>
  <c r="D81" i="2"/>
  <c r="H81" i="2"/>
  <c r="L81" i="2"/>
  <c r="P81" i="2"/>
  <c r="T81" i="2"/>
  <c r="AB81" i="2"/>
  <c r="AF81" i="2"/>
  <c r="AJ81" i="2"/>
  <c r="AN81" i="2"/>
  <c r="AR81" i="2"/>
  <c r="AV81" i="2"/>
  <c r="AZ81" i="2"/>
  <c r="BD81" i="2"/>
  <c r="BH81" i="2"/>
  <c r="BL81" i="2"/>
  <c r="BP81" i="2"/>
  <c r="BT81" i="2"/>
  <c r="BX81" i="2"/>
  <c r="CB81" i="2"/>
  <c r="CF81" i="2"/>
  <c r="CJ81" i="2"/>
  <c r="F81" i="2"/>
  <c r="K81" i="2"/>
  <c r="Q81" i="2"/>
  <c r="V81" i="2"/>
  <c r="AA81" i="2"/>
  <c r="AG81" i="2"/>
  <c r="AL81" i="2"/>
  <c r="AQ81" i="2"/>
  <c r="AW81" i="2"/>
  <c r="BB81" i="2"/>
  <c r="BG81" i="2"/>
  <c r="BM81" i="2"/>
  <c r="BR81" i="2"/>
  <c r="BW81" i="2"/>
  <c r="CC81" i="2"/>
  <c r="CH81" i="2"/>
  <c r="CM81" i="2"/>
  <c r="CQ81" i="2"/>
  <c r="G81" i="2"/>
  <c r="M81" i="2"/>
  <c r="R81" i="2"/>
  <c r="W81" i="2"/>
  <c r="AC81" i="2"/>
  <c r="AH81" i="2"/>
  <c r="AS81" i="2"/>
  <c r="AX81" i="2"/>
  <c r="BC81" i="2"/>
  <c r="BI81" i="2"/>
  <c r="BN81" i="2"/>
  <c r="BS81" i="2"/>
  <c r="BY81" i="2"/>
  <c r="CD81" i="2"/>
  <c r="CI81" i="2"/>
  <c r="CN81" i="2"/>
  <c r="I81" i="2"/>
  <c r="N81" i="2"/>
  <c r="S81" i="2"/>
  <c r="AD81" i="2"/>
  <c r="AO81" i="2"/>
  <c r="AT81" i="2"/>
  <c r="AY81" i="2"/>
  <c r="BE81" i="2"/>
  <c r="BJ81" i="2"/>
  <c r="BO81" i="2"/>
  <c r="BU81" i="2"/>
  <c r="BZ81" i="2"/>
  <c r="CE81" i="2"/>
  <c r="CK81" i="2"/>
  <c r="CO81" i="2"/>
  <c r="J81" i="2"/>
  <c r="U81" i="2"/>
  <c r="Z81" i="2"/>
  <c r="AE81" i="2"/>
  <c r="AK81" i="2"/>
  <c r="AP81" i="2"/>
  <c r="AU81" i="2"/>
  <c r="BA81" i="2"/>
  <c r="BF81" i="2"/>
  <c r="BK81" i="2"/>
  <c r="BQ81" i="2"/>
  <c r="BV81" i="2"/>
  <c r="CA81" i="2"/>
  <c r="CG81" i="2"/>
  <c r="CL81" i="2"/>
  <c r="CP81" i="2"/>
  <c r="G83" i="2"/>
  <c r="K83" i="2"/>
  <c r="S83" i="2"/>
  <c r="W83" i="2"/>
  <c r="AA83" i="2"/>
  <c r="AE83" i="2"/>
  <c r="AI83" i="2"/>
  <c r="AQ83" i="2"/>
  <c r="AU83" i="2"/>
  <c r="AY83" i="2"/>
  <c r="BC83" i="2"/>
  <c r="BG83" i="2"/>
  <c r="BK83" i="2"/>
  <c r="BO83" i="2"/>
  <c r="BS83" i="2"/>
  <c r="BW83" i="2"/>
  <c r="CA83" i="2"/>
  <c r="CE83" i="2"/>
  <c r="CI83" i="2"/>
  <c r="CM83" i="2"/>
  <c r="CQ83" i="2"/>
  <c r="D83" i="2"/>
  <c r="H83" i="2"/>
  <c r="L83" i="2"/>
  <c r="P83" i="2"/>
  <c r="T83" i="2"/>
  <c r="X83" i="2"/>
  <c r="AB83" i="2"/>
  <c r="AF83" i="2"/>
  <c r="AJ83" i="2"/>
  <c r="AN83" i="2"/>
  <c r="AR83" i="2"/>
  <c r="AV83" i="2"/>
  <c r="AZ83" i="2"/>
  <c r="BD83" i="2"/>
  <c r="BH83" i="2"/>
  <c r="BL83" i="2"/>
  <c r="BP83" i="2"/>
  <c r="BT83" i="2"/>
  <c r="BX83" i="2"/>
  <c r="CB83" i="2"/>
  <c r="CF83" i="2"/>
  <c r="CJ83" i="2"/>
  <c r="CN83" i="2"/>
  <c r="I83" i="2"/>
  <c r="M83" i="2"/>
  <c r="Q83" i="2"/>
  <c r="U83" i="2"/>
  <c r="AC83" i="2"/>
  <c r="AG83" i="2"/>
  <c r="AK83" i="2"/>
  <c r="AO83" i="2"/>
  <c r="AS83" i="2"/>
  <c r="AW83" i="2"/>
  <c r="BA83" i="2"/>
  <c r="BI83" i="2"/>
  <c r="BM83" i="2"/>
  <c r="BQ83" i="2"/>
  <c r="BU83" i="2"/>
  <c r="BY83" i="2"/>
  <c r="CC83" i="2"/>
  <c r="CG83" i="2"/>
  <c r="CK83" i="2"/>
  <c r="CO83" i="2"/>
  <c r="F83" i="2"/>
  <c r="J83" i="2"/>
  <c r="N83" i="2"/>
  <c r="R83" i="2"/>
  <c r="V83" i="2"/>
  <c r="Z83" i="2"/>
  <c r="AD83" i="2"/>
  <c r="AH83" i="2"/>
  <c r="AL83" i="2"/>
  <c r="AP83" i="2"/>
  <c r="AT83" i="2"/>
  <c r="AX83" i="2"/>
  <c r="BB83" i="2"/>
  <c r="BF83" i="2"/>
  <c r="BJ83" i="2"/>
  <c r="BN83" i="2"/>
  <c r="BR83" i="2"/>
  <c r="BV83" i="2"/>
  <c r="BZ83" i="2"/>
  <c r="CD83" i="2"/>
  <c r="CH83" i="2"/>
  <c r="CL83" i="2"/>
  <c r="CP83" i="2"/>
  <c r="E79" i="2"/>
  <c r="O82" i="2"/>
  <c r="O79" i="2"/>
  <c r="Y83" i="2"/>
  <c r="AI82" i="2"/>
  <c r="AM79" i="2"/>
  <c r="AM83" i="2"/>
  <c r="G84" i="2"/>
  <c r="K84" i="2"/>
  <c r="S84" i="2"/>
  <c r="W84" i="2"/>
  <c r="AA84" i="2"/>
  <c r="AE84" i="2"/>
  <c r="AI84" i="2"/>
  <c r="AQ84" i="2"/>
  <c r="AU84" i="2"/>
  <c r="AY84" i="2"/>
  <c r="BC84" i="2"/>
  <c r="BK84" i="2"/>
  <c r="BO84" i="2"/>
  <c r="BS84" i="2"/>
  <c r="BW84" i="2"/>
  <c r="CA84" i="2"/>
  <c r="CE84" i="2"/>
  <c r="CI84" i="2"/>
  <c r="CM84" i="2"/>
  <c r="CQ84" i="2"/>
  <c r="D84" i="2"/>
  <c r="H84" i="2"/>
  <c r="L84" i="2"/>
  <c r="P84" i="2"/>
  <c r="T84" i="2"/>
  <c r="AB84" i="2"/>
  <c r="AF84" i="2"/>
  <c r="AJ84" i="2"/>
  <c r="AN84" i="2"/>
  <c r="AR84" i="2"/>
  <c r="AV84" i="2"/>
  <c r="AZ84" i="2"/>
  <c r="BD84" i="2"/>
  <c r="BH84" i="2"/>
  <c r="BL84" i="2"/>
  <c r="BP84" i="2"/>
  <c r="BT84" i="2"/>
  <c r="BX84" i="2"/>
  <c r="CB84" i="2"/>
  <c r="CF84" i="2"/>
  <c r="CJ84" i="2"/>
  <c r="CN84" i="2"/>
  <c r="I84" i="2"/>
  <c r="M84" i="2"/>
  <c r="Q84" i="2"/>
  <c r="U84" i="2"/>
  <c r="AC84" i="2"/>
  <c r="AG84" i="2"/>
  <c r="AK84" i="2"/>
  <c r="AO84" i="2"/>
  <c r="AS84" i="2"/>
  <c r="AW84" i="2"/>
  <c r="BA84" i="2"/>
  <c r="BI84" i="2"/>
  <c r="BM84" i="2"/>
  <c r="BQ84" i="2"/>
  <c r="BU84" i="2"/>
  <c r="BY84" i="2"/>
  <c r="CC84" i="2"/>
  <c r="CG84" i="2"/>
  <c r="CK84" i="2"/>
  <c r="CO84" i="2"/>
  <c r="F84" i="2"/>
  <c r="J84" i="2"/>
  <c r="N84" i="2"/>
  <c r="R84" i="2"/>
  <c r="V84" i="2"/>
  <c r="Z84" i="2"/>
  <c r="AD84" i="2"/>
  <c r="AH84" i="2"/>
  <c r="AL84" i="2"/>
  <c r="AP84" i="2"/>
  <c r="AT84" i="2"/>
  <c r="AX84" i="2"/>
  <c r="BB84" i="2"/>
  <c r="BF84" i="2"/>
  <c r="BJ84" i="2"/>
  <c r="BN84" i="2"/>
  <c r="BR84" i="2"/>
  <c r="BV84" i="2"/>
  <c r="BZ84" i="2"/>
  <c r="CD84" i="2"/>
  <c r="CH84" i="2"/>
  <c r="CL84" i="2"/>
  <c r="CP84" i="2"/>
  <c r="G88" i="2"/>
  <c r="K88" i="2"/>
  <c r="S88" i="2"/>
  <c r="W88" i="2"/>
  <c r="AA88" i="2"/>
  <c r="AE88" i="2"/>
  <c r="AI88" i="2"/>
  <c r="AQ88" i="2"/>
  <c r="AU88" i="2"/>
  <c r="AY88" i="2"/>
  <c r="BC88" i="2"/>
  <c r="BG88" i="2"/>
  <c r="BK88" i="2"/>
  <c r="BO88" i="2"/>
  <c r="BS88" i="2"/>
  <c r="BW88" i="2"/>
  <c r="CA88" i="2"/>
  <c r="CE88" i="2"/>
  <c r="CI88" i="2"/>
  <c r="CM88" i="2"/>
  <c r="CQ88" i="2"/>
  <c r="D88" i="2"/>
  <c r="H88" i="2"/>
  <c r="L88" i="2"/>
  <c r="P88" i="2"/>
  <c r="T88" i="2"/>
  <c r="X88" i="2"/>
  <c r="AB88" i="2"/>
  <c r="AF88" i="2"/>
  <c r="AJ88" i="2"/>
  <c r="AN88" i="2"/>
  <c r="AR88" i="2"/>
  <c r="AV88" i="2"/>
  <c r="AZ88" i="2"/>
  <c r="BD88" i="2"/>
  <c r="BH88" i="2"/>
  <c r="BL88" i="2"/>
  <c r="BP88" i="2"/>
  <c r="BT88" i="2"/>
  <c r="BX88" i="2"/>
  <c r="CB88" i="2"/>
  <c r="CF88" i="2"/>
  <c r="CJ88" i="2"/>
  <c r="CN88" i="2"/>
  <c r="I88" i="2"/>
  <c r="M88" i="2"/>
  <c r="Q88" i="2"/>
  <c r="U88" i="2"/>
  <c r="AC88" i="2"/>
  <c r="AG88" i="2"/>
  <c r="AO88" i="2"/>
  <c r="AS88" i="2"/>
  <c r="AW88" i="2"/>
  <c r="BA88" i="2"/>
  <c r="BE88" i="2"/>
  <c r="BI88" i="2"/>
  <c r="BM88" i="2"/>
  <c r="BQ88" i="2"/>
  <c r="BU88" i="2"/>
  <c r="BY88" i="2"/>
  <c r="CC88" i="2"/>
  <c r="CG88" i="2"/>
  <c r="CK88" i="2"/>
  <c r="CO88" i="2"/>
  <c r="F88" i="2"/>
  <c r="J88" i="2"/>
  <c r="N88" i="2"/>
  <c r="R88" i="2"/>
  <c r="V88" i="2"/>
  <c r="Z88" i="2"/>
  <c r="AD88" i="2"/>
  <c r="AH88" i="2"/>
  <c r="AL88" i="2"/>
  <c r="AP88" i="2"/>
  <c r="AT88" i="2"/>
  <c r="AX88" i="2"/>
  <c r="BB88" i="2"/>
  <c r="BF88" i="2"/>
  <c r="BJ88" i="2"/>
  <c r="BN88" i="2"/>
  <c r="BR88" i="2"/>
  <c r="BV88" i="2"/>
  <c r="BZ88" i="2"/>
  <c r="CD88" i="2"/>
  <c r="CH88" i="2"/>
  <c r="CL88" i="2"/>
  <c r="CP88" i="2"/>
  <c r="AM88" i="2"/>
  <c r="O88" i="2"/>
  <c r="Y86" i="2"/>
  <c r="AK86" i="2"/>
  <c r="E85" i="2"/>
  <c r="BE84" i="2"/>
  <c r="E34" i="2"/>
  <c r="K38" i="2"/>
  <c r="O38" i="2"/>
  <c r="S38" i="2"/>
  <c r="W38" i="2"/>
  <c r="AA38" i="2"/>
  <c r="AE38" i="2"/>
  <c r="AM38" i="2"/>
  <c r="AQ38" i="2"/>
  <c r="AU38" i="2"/>
  <c r="AY38" i="2"/>
  <c r="BC38" i="2"/>
  <c r="BG38" i="2"/>
  <c r="BK38" i="2"/>
  <c r="BO38" i="2"/>
  <c r="BS38" i="2"/>
  <c r="BW38" i="2"/>
  <c r="CA38" i="2"/>
  <c r="CE38" i="2"/>
  <c r="CI38" i="2"/>
  <c r="CM38" i="2"/>
  <c r="CQ38" i="2"/>
  <c r="D38" i="2"/>
  <c r="H38" i="2"/>
  <c r="L38" i="2"/>
  <c r="P38" i="2"/>
  <c r="T38" i="2"/>
  <c r="X38" i="2"/>
  <c r="AB38" i="2"/>
  <c r="AF38" i="2"/>
  <c r="AJ38" i="2"/>
  <c r="AN38" i="2"/>
  <c r="AR38" i="2"/>
  <c r="AV38" i="2"/>
  <c r="AZ38" i="2"/>
  <c r="BD38" i="2"/>
  <c r="BH38" i="2"/>
  <c r="BL38" i="2"/>
  <c r="I38" i="2"/>
  <c r="M38" i="2"/>
  <c r="U38" i="2"/>
  <c r="Y38" i="2"/>
  <c r="AC38" i="2"/>
  <c r="AG38" i="2"/>
  <c r="AK38" i="2"/>
  <c r="AO38" i="2"/>
  <c r="AS38" i="2"/>
  <c r="AW38" i="2"/>
  <c r="BA38" i="2"/>
  <c r="BE38" i="2"/>
  <c r="R38" i="2"/>
  <c r="AH38" i="2"/>
  <c r="AX38" i="2"/>
  <c r="BJ38" i="2"/>
  <c r="BQ38" i="2"/>
  <c r="BV38" i="2"/>
  <c r="CB38" i="2"/>
  <c r="CG38" i="2"/>
  <c r="CL38" i="2"/>
  <c r="F38" i="2"/>
  <c r="V38" i="2"/>
  <c r="AL38" i="2"/>
  <c r="BB38" i="2"/>
  <c r="BM38" i="2"/>
  <c r="BR38" i="2"/>
  <c r="BX38" i="2"/>
  <c r="CC38" i="2"/>
  <c r="CH38" i="2"/>
  <c r="CN38" i="2"/>
  <c r="J38" i="2"/>
  <c r="Z38" i="2"/>
  <c r="AP38" i="2"/>
  <c r="BF38" i="2"/>
  <c r="BN38" i="2"/>
  <c r="BT38" i="2"/>
  <c r="BY38" i="2"/>
  <c r="CD38" i="2"/>
  <c r="CJ38" i="2"/>
  <c r="CO38" i="2"/>
  <c r="N38" i="2"/>
  <c r="AD38" i="2"/>
  <c r="AT38" i="2"/>
  <c r="BI38" i="2"/>
  <c r="BP38" i="2"/>
  <c r="BU38" i="2"/>
  <c r="BZ38" i="2"/>
  <c r="CF38" i="2"/>
  <c r="CK38" i="2"/>
  <c r="CP38" i="2"/>
  <c r="P37" i="2"/>
  <c r="Q37" i="2"/>
  <c r="G36" i="2"/>
  <c r="E37" i="2"/>
  <c r="Y36" i="2"/>
  <c r="Y40" i="2"/>
  <c r="AI40" i="2"/>
  <c r="E36" i="2"/>
  <c r="Q42" i="2"/>
  <c r="BI42" i="2"/>
  <c r="BM42" i="2"/>
  <c r="G48" i="2"/>
  <c r="K48" i="2"/>
  <c r="O48" i="2"/>
  <c r="S48" i="2"/>
  <c r="W48" i="2"/>
  <c r="AA48" i="2"/>
  <c r="AE48" i="2"/>
  <c r="AI48" i="2"/>
  <c r="AQ48" i="2"/>
  <c r="AU48" i="2"/>
  <c r="AY48" i="2"/>
  <c r="BC48" i="2"/>
  <c r="BK48" i="2"/>
  <c r="BO48" i="2"/>
  <c r="BS48" i="2"/>
  <c r="BW48" i="2"/>
  <c r="CA48" i="2"/>
  <c r="CE48" i="2"/>
  <c r="CI48" i="2"/>
  <c r="CM48" i="2"/>
  <c r="CQ48" i="2"/>
  <c r="D48" i="2"/>
  <c r="H48" i="2"/>
  <c r="L48" i="2"/>
  <c r="P48" i="2"/>
  <c r="T48" i="2"/>
  <c r="X48" i="2"/>
  <c r="AB48" i="2"/>
  <c r="AF48" i="2"/>
  <c r="AJ48" i="2"/>
  <c r="AN48" i="2"/>
  <c r="AR48" i="2"/>
  <c r="AV48" i="2"/>
  <c r="AZ48" i="2"/>
  <c r="BD48" i="2"/>
  <c r="BH48" i="2"/>
  <c r="BL48" i="2"/>
  <c r="BP48" i="2"/>
  <c r="BT48" i="2"/>
  <c r="BX48" i="2"/>
  <c r="CB48" i="2"/>
  <c r="CF48" i="2"/>
  <c r="CJ48" i="2"/>
  <c r="CN48" i="2"/>
  <c r="I48" i="2"/>
  <c r="M48" i="2"/>
  <c r="Q48" i="2"/>
  <c r="U48" i="2"/>
  <c r="AC48" i="2"/>
  <c r="AG48" i="2"/>
  <c r="AK48" i="2"/>
  <c r="AO48" i="2"/>
  <c r="AS48" i="2"/>
  <c r="AW48" i="2"/>
  <c r="BA48" i="2"/>
  <c r="BE48" i="2"/>
  <c r="BI48" i="2"/>
  <c r="BM48" i="2"/>
  <c r="BQ48" i="2"/>
  <c r="BU48" i="2"/>
  <c r="BY48" i="2"/>
  <c r="CC48" i="2"/>
  <c r="CG48" i="2"/>
  <c r="CK48" i="2"/>
  <c r="CO48" i="2"/>
  <c r="F48" i="2"/>
  <c r="V48" i="2"/>
  <c r="AL48" i="2"/>
  <c r="BB48" i="2"/>
  <c r="BR48" i="2"/>
  <c r="CH48" i="2"/>
  <c r="J48" i="2"/>
  <c r="Z48" i="2"/>
  <c r="AP48" i="2"/>
  <c r="BF48" i="2"/>
  <c r="BV48" i="2"/>
  <c r="CL48" i="2"/>
  <c r="N48" i="2"/>
  <c r="AD48" i="2"/>
  <c r="AT48" i="2"/>
  <c r="BJ48" i="2"/>
  <c r="BZ48" i="2"/>
  <c r="CP48" i="2"/>
  <c r="R48" i="2"/>
  <c r="AH48" i="2"/>
  <c r="AX48" i="2"/>
  <c r="BN48" i="2"/>
  <c r="CD48" i="2"/>
  <c r="E48" i="2"/>
  <c r="G49" i="2"/>
  <c r="K49" i="2"/>
  <c r="O49" i="2"/>
  <c r="S49" i="2"/>
  <c r="W49" i="2"/>
  <c r="AA49" i="2"/>
  <c r="AE49" i="2"/>
  <c r="AI49" i="2"/>
  <c r="AQ49" i="2"/>
  <c r="AU49" i="2"/>
  <c r="AY49" i="2"/>
  <c r="BC49" i="2"/>
  <c r="BK49" i="2"/>
  <c r="BO49" i="2"/>
  <c r="BS49" i="2"/>
  <c r="BW49" i="2"/>
  <c r="CA49" i="2"/>
  <c r="CE49" i="2"/>
  <c r="CI49" i="2"/>
  <c r="CM49" i="2"/>
  <c r="CQ49" i="2"/>
  <c r="D49" i="2"/>
  <c r="H49" i="2"/>
  <c r="L49" i="2"/>
  <c r="P49" i="2"/>
  <c r="T49" i="2"/>
  <c r="X49" i="2"/>
  <c r="AB49" i="2"/>
  <c r="AF49" i="2"/>
  <c r="AJ49" i="2"/>
  <c r="AN49" i="2"/>
  <c r="AR49" i="2"/>
  <c r="AV49" i="2"/>
  <c r="AZ49" i="2"/>
  <c r="BD49" i="2"/>
  <c r="BH49" i="2"/>
  <c r="BL49" i="2"/>
  <c r="BP49" i="2"/>
  <c r="BT49" i="2"/>
  <c r="BX49" i="2"/>
  <c r="CB49" i="2"/>
  <c r="CF49" i="2"/>
  <c r="CJ49" i="2"/>
  <c r="CN49" i="2"/>
  <c r="I49" i="2"/>
  <c r="M49" i="2"/>
  <c r="Q49" i="2"/>
  <c r="U49" i="2"/>
  <c r="AC49" i="2"/>
  <c r="AG49" i="2"/>
  <c r="AK49" i="2"/>
  <c r="AO49" i="2"/>
  <c r="AS49" i="2"/>
  <c r="AW49" i="2"/>
  <c r="J49" i="2"/>
  <c r="Z49" i="2"/>
  <c r="AP49" i="2"/>
  <c r="BB49" i="2"/>
  <c r="BJ49" i="2"/>
  <c r="BR49" i="2"/>
  <c r="BZ49" i="2"/>
  <c r="CH49" i="2"/>
  <c r="CP49" i="2"/>
  <c r="N49" i="2"/>
  <c r="AD49" i="2"/>
  <c r="AT49" i="2"/>
  <c r="BE49" i="2"/>
  <c r="BM49" i="2"/>
  <c r="BU49" i="2"/>
  <c r="CC49" i="2"/>
  <c r="CK49" i="2"/>
  <c r="R49" i="2"/>
  <c r="AH49" i="2"/>
  <c r="AX49" i="2"/>
  <c r="BF49" i="2"/>
  <c r="BN49" i="2"/>
  <c r="BV49" i="2"/>
  <c r="CD49" i="2"/>
  <c r="CL49" i="2"/>
  <c r="F49" i="2"/>
  <c r="V49" i="2"/>
  <c r="AL49" i="2"/>
  <c r="BA49" i="2"/>
  <c r="BI49" i="2"/>
  <c r="BQ49" i="2"/>
  <c r="BY49" i="2"/>
  <c r="CG49" i="2"/>
  <c r="CO49" i="2"/>
  <c r="G51" i="2"/>
  <c r="AM50" i="2"/>
  <c r="M91" i="2"/>
  <c r="F44" i="2"/>
  <c r="J44" i="2"/>
  <c r="N44" i="2"/>
  <c r="R44" i="2"/>
  <c r="V44" i="2"/>
  <c r="Z44" i="2"/>
  <c r="AD44" i="2"/>
  <c r="AH44" i="2"/>
  <c r="AL44" i="2"/>
  <c r="AP44" i="2"/>
  <c r="AT44" i="2"/>
  <c r="AX44" i="2"/>
  <c r="BB44" i="2"/>
  <c r="BF44" i="2"/>
  <c r="BJ44" i="2"/>
  <c r="BN44" i="2"/>
  <c r="BR44" i="2"/>
  <c r="BV44" i="2"/>
  <c r="BZ44" i="2"/>
  <c r="CD44" i="2"/>
  <c r="CH44" i="2"/>
  <c r="CL44" i="2"/>
  <c r="CP44" i="2"/>
  <c r="K44" i="2"/>
  <c r="O44" i="2"/>
  <c r="S44" i="2"/>
  <c r="W44" i="2"/>
  <c r="AA44" i="2"/>
  <c r="AE44" i="2"/>
  <c r="AQ44" i="2"/>
  <c r="AU44" i="2"/>
  <c r="AY44" i="2"/>
  <c r="BC44" i="2"/>
  <c r="BG44" i="2"/>
  <c r="BK44" i="2"/>
  <c r="BO44" i="2"/>
  <c r="BS44" i="2"/>
  <c r="BW44" i="2"/>
  <c r="CA44" i="2"/>
  <c r="CE44" i="2"/>
  <c r="CI44" i="2"/>
  <c r="CM44" i="2"/>
  <c r="CQ44" i="2"/>
  <c r="H44" i="2"/>
  <c r="L44" i="2"/>
  <c r="T44" i="2"/>
  <c r="X44" i="2"/>
  <c r="AB44" i="2"/>
  <c r="AF44" i="2"/>
  <c r="AJ44" i="2"/>
  <c r="AN44" i="2"/>
  <c r="AR44" i="2"/>
  <c r="AV44" i="2"/>
  <c r="AZ44" i="2"/>
  <c r="BD44" i="2"/>
  <c r="BH44" i="2"/>
  <c r="BL44" i="2"/>
  <c r="BP44" i="2"/>
  <c r="BT44" i="2"/>
  <c r="BX44" i="2"/>
  <c r="CB44" i="2"/>
  <c r="CF44" i="2"/>
  <c r="CJ44" i="2"/>
  <c r="CN44" i="2"/>
  <c r="I44" i="2"/>
  <c r="M44" i="2"/>
  <c r="U44" i="2"/>
  <c r="Y44" i="2"/>
  <c r="AC44" i="2"/>
  <c r="AK44" i="2"/>
  <c r="AO44" i="2"/>
  <c r="AS44" i="2"/>
  <c r="AW44" i="2"/>
  <c r="BE44" i="2"/>
  <c r="BI44" i="2"/>
  <c r="BM44" i="2"/>
  <c r="BQ44" i="2"/>
  <c r="BU44" i="2"/>
  <c r="BY44" i="2"/>
  <c r="CC44" i="2"/>
  <c r="CG44" i="2"/>
  <c r="CK44" i="2"/>
  <c r="CO44" i="2"/>
  <c r="E44" i="2"/>
  <c r="AI44" i="2"/>
  <c r="G93" i="2"/>
  <c r="K93" i="2"/>
  <c r="O93" i="2"/>
  <c r="S93" i="2"/>
  <c r="W93" i="2"/>
  <c r="AA93" i="2"/>
  <c r="AE93" i="2"/>
  <c r="AI93" i="2"/>
  <c r="AM93" i="2"/>
  <c r="AQ93" i="2"/>
  <c r="AU93" i="2"/>
  <c r="AY93" i="2"/>
  <c r="BC93" i="2"/>
  <c r="BG93" i="2"/>
  <c r="BK93" i="2"/>
  <c r="BO93" i="2"/>
  <c r="BS93" i="2"/>
  <c r="BW93" i="2"/>
  <c r="CA93" i="2"/>
  <c r="CE93" i="2"/>
  <c r="CI93" i="2"/>
  <c r="CM93" i="2"/>
  <c r="CQ93" i="2"/>
  <c r="D93" i="2"/>
  <c r="H93" i="2"/>
  <c r="L93" i="2"/>
  <c r="P93" i="2"/>
  <c r="T93" i="2"/>
  <c r="X93" i="2"/>
  <c r="AB93" i="2"/>
  <c r="AF93" i="2"/>
  <c r="AJ93" i="2"/>
  <c r="AN93" i="2"/>
  <c r="AR93" i="2"/>
  <c r="AV93" i="2"/>
  <c r="AZ93" i="2"/>
  <c r="BD93" i="2"/>
  <c r="BH93" i="2"/>
  <c r="BL93" i="2"/>
  <c r="BP93" i="2"/>
  <c r="BT93" i="2"/>
  <c r="BX93" i="2"/>
  <c r="CB93" i="2"/>
  <c r="CF93" i="2"/>
  <c r="CJ93" i="2"/>
  <c r="CN93" i="2"/>
  <c r="E93" i="2"/>
  <c r="I93" i="2"/>
  <c r="M93" i="2"/>
  <c r="Q93" i="2"/>
  <c r="U93" i="2"/>
  <c r="Y93" i="2"/>
  <c r="AC93" i="2"/>
  <c r="AG93" i="2"/>
  <c r="AK93" i="2"/>
  <c r="AO93" i="2"/>
  <c r="AS93" i="2"/>
  <c r="AW93" i="2"/>
  <c r="BA93" i="2"/>
  <c r="BE93" i="2"/>
  <c r="BI93" i="2"/>
  <c r="BM93" i="2"/>
  <c r="BQ93" i="2"/>
  <c r="BU93" i="2"/>
  <c r="R93" i="2"/>
  <c r="AH93" i="2"/>
  <c r="AX93" i="2"/>
  <c r="BN93" i="2"/>
  <c r="BZ93" i="2"/>
  <c r="CH93" i="2"/>
  <c r="CP93" i="2"/>
  <c r="F93" i="2"/>
  <c r="V93" i="2"/>
  <c r="AL93" i="2"/>
  <c r="BB93" i="2"/>
  <c r="BR93" i="2"/>
  <c r="CC93" i="2"/>
  <c r="CK93" i="2"/>
  <c r="J93" i="2"/>
  <c r="Z93" i="2"/>
  <c r="AP93" i="2"/>
  <c r="BF93" i="2"/>
  <c r="BV93" i="2"/>
  <c r="CD93" i="2"/>
  <c r="CL93" i="2"/>
  <c r="N93" i="2"/>
  <c r="AD93" i="2"/>
  <c r="AT93" i="2"/>
  <c r="BJ93" i="2"/>
  <c r="BY93" i="2"/>
  <c r="CG93" i="2"/>
  <c r="CO93" i="2"/>
  <c r="G97" i="2"/>
  <c r="K97" i="2"/>
  <c r="O97" i="2"/>
  <c r="S97" i="2"/>
  <c r="W97" i="2"/>
  <c r="AA97" i="2"/>
  <c r="AE97" i="2"/>
  <c r="AI97" i="2"/>
  <c r="AM97" i="2"/>
  <c r="AQ97" i="2"/>
  <c r="AU97" i="2"/>
  <c r="AY97" i="2"/>
  <c r="BC97" i="2"/>
  <c r="BG97" i="2"/>
  <c r="BK97" i="2"/>
  <c r="BO97" i="2"/>
  <c r="BS97" i="2"/>
  <c r="BW97" i="2"/>
  <c r="CA97" i="2"/>
  <c r="CE97" i="2"/>
  <c r="CI97" i="2"/>
  <c r="CM97" i="2"/>
  <c r="CQ97" i="2"/>
  <c r="D97" i="2"/>
  <c r="H97" i="2"/>
  <c r="L97" i="2"/>
  <c r="P97" i="2"/>
  <c r="T97" i="2"/>
  <c r="AB97" i="2"/>
  <c r="AF97" i="2"/>
  <c r="AJ97" i="2"/>
  <c r="AN97" i="2"/>
  <c r="AR97" i="2"/>
  <c r="AV97" i="2"/>
  <c r="AZ97" i="2"/>
  <c r="BD97" i="2"/>
  <c r="BH97" i="2"/>
  <c r="BL97" i="2"/>
  <c r="BP97" i="2"/>
  <c r="BT97" i="2"/>
  <c r="BX97" i="2"/>
  <c r="CB97" i="2"/>
  <c r="CF97" i="2"/>
  <c r="CJ97" i="2"/>
  <c r="CN97" i="2"/>
  <c r="E97" i="2"/>
  <c r="I97" i="2"/>
  <c r="M97" i="2"/>
  <c r="Q97" i="2"/>
  <c r="U97" i="2"/>
  <c r="Y97" i="2"/>
  <c r="AC97" i="2"/>
  <c r="AG97" i="2"/>
  <c r="AK97" i="2"/>
  <c r="AO97" i="2"/>
  <c r="AS97" i="2"/>
  <c r="AW97" i="2"/>
  <c r="BA97" i="2"/>
  <c r="BE97" i="2"/>
  <c r="BI97" i="2"/>
  <c r="BM97" i="2"/>
  <c r="BQ97" i="2"/>
  <c r="BU97" i="2"/>
  <c r="BY97" i="2"/>
  <c r="CC97" i="2"/>
  <c r="CG97" i="2"/>
  <c r="CK97" i="2"/>
  <c r="CO97" i="2"/>
  <c r="F97" i="2"/>
  <c r="J97" i="2"/>
  <c r="N97" i="2"/>
  <c r="R97" i="2"/>
  <c r="V97" i="2"/>
  <c r="Z97" i="2"/>
  <c r="AD97" i="2"/>
  <c r="AH97" i="2"/>
  <c r="AP97" i="2"/>
  <c r="AT97" i="2"/>
  <c r="AX97" i="2"/>
  <c r="BB97" i="2"/>
  <c r="BF97" i="2"/>
  <c r="BJ97" i="2"/>
  <c r="BN97" i="2"/>
  <c r="BR97" i="2"/>
  <c r="BV97" i="2"/>
  <c r="BZ97" i="2"/>
  <c r="CD97" i="2"/>
  <c r="CH97" i="2"/>
  <c r="CL97" i="2"/>
  <c r="CP97" i="2"/>
  <c r="G100" i="2"/>
  <c r="K100" i="2"/>
  <c r="O100" i="2"/>
  <c r="S100" i="2"/>
  <c r="W100" i="2"/>
  <c r="AA100" i="2"/>
  <c r="AE100" i="2"/>
  <c r="AI100" i="2"/>
  <c r="AM100" i="2"/>
  <c r="AQ100" i="2"/>
  <c r="AU100" i="2"/>
  <c r="AY100" i="2"/>
  <c r="BC100" i="2"/>
  <c r="BG100" i="2"/>
  <c r="BK100" i="2"/>
  <c r="BO100" i="2"/>
  <c r="BS100" i="2"/>
  <c r="BW100" i="2"/>
  <c r="CA100" i="2"/>
  <c r="CE100" i="2"/>
  <c r="CI100" i="2"/>
  <c r="CM100" i="2"/>
  <c r="CQ100" i="2"/>
  <c r="D100" i="2"/>
  <c r="H100" i="2"/>
  <c r="L100" i="2"/>
  <c r="P100" i="2"/>
  <c r="T100" i="2"/>
  <c r="AB100" i="2"/>
  <c r="AF100" i="2"/>
  <c r="AJ100" i="2"/>
  <c r="AN100" i="2"/>
  <c r="AR100" i="2"/>
  <c r="AV100" i="2"/>
  <c r="AZ100" i="2"/>
  <c r="BD100" i="2"/>
  <c r="BH100" i="2"/>
  <c r="BL100" i="2"/>
  <c r="BP100" i="2"/>
  <c r="BT100" i="2"/>
  <c r="BX100" i="2"/>
  <c r="CB100" i="2"/>
  <c r="CF100" i="2"/>
  <c r="CJ100" i="2"/>
  <c r="CN100" i="2"/>
  <c r="E100" i="2"/>
  <c r="I100" i="2"/>
  <c r="M100" i="2"/>
  <c r="Q100" i="2"/>
  <c r="U100" i="2"/>
  <c r="Y100" i="2"/>
  <c r="AC100" i="2"/>
  <c r="AG100" i="2"/>
  <c r="AK100" i="2"/>
  <c r="AO100" i="2"/>
  <c r="AS100" i="2"/>
  <c r="AW100" i="2"/>
  <c r="BA100" i="2"/>
  <c r="BE100" i="2"/>
  <c r="BI100" i="2"/>
  <c r="BM100" i="2"/>
  <c r="BQ100" i="2"/>
  <c r="BU100" i="2"/>
  <c r="BY100" i="2"/>
  <c r="CC100" i="2"/>
  <c r="CG100" i="2"/>
  <c r="CK100" i="2"/>
  <c r="CO100" i="2"/>
  <c r="F100" i="2"/>
  <c r="J100" i="2"/>
  <c r="N100" i="2"/>
  <c r="R100" i="2"/>
  <c r="V100" i="2"/>
  <c r="Z100" i="2"/>
  <c r="AD100" i="2"/>
  <c r="AH100" i="2"/>
  <c r="AL100" i="2"/>
  <c r="AP100" i="2"/>
  <c r="AT100" i="2"/>
  <c r="AX100" i="2"/>
  <c r="BB100" i="2"/>
  <c r="BF100" i="2"/>
  <c r="BJ100" i="2"/>
  <c r="BN100" i="2"/>
  <c r="BR100" i="2"/>
  <c r="BV100" i="2"/>
  <c r="BZ100" i="2"/>
  <c r="CD100" i="2"/>
  <c r="CH100" i="2"/>
  <c r="CL100" i="2"/>
  <c r="CP100" i="2"/>
  <c r="X99" i="2"/>
  <c r="AL97" i="2"/>
  <c r="D56" i="2"/>
  <c r="F102" i="2"/>
  <c r="Y91" i="2"/>
  <c r="Y102" i="2"/>
  <c r="DA104" i="2"/>
  <c r="DN102" i="2"/>
  <c r="CZ103" i="2"/>
  <c r="CU103" i="2"/>
  <c r="DJ102" i="2"/>
  <c r="CV40" i="2"/>
  <c r="CX40" i="2" s="1"/>
  <c r="CV51" i="2"/>
  <c r="CX51" i="2" s="1"/>
  <c r="CV49" i="2"/>
  <c r="CX49" i="2" s="1"/>
  <c r="CV12" i="2"/>
  <c r="CX12" i="2" s="1"/>
  <c r="CV20" i="2"/>
  <c r="CX20" i="2" s="1"/>
  <c r="CV29" i="2"/>
  <c r="CX29" i="2" s="1"/>
  <c r="CV31" i="2"/>
  <c r="CX31" i="2" s="1"/>
  <c r="CV10" i="2"/>
  <c r="CX10" i="2" s="1"/>
  <c r="CV15" i="2"/>
  <c r="CX15" i="2" s="1"/>
  <c r="CV19" i="2"/>
  <c r="CX19" i="2" s="1"/>
  <c r="CV36" i="2"/>
  <c r="CX36" i="2" s="1"/>
  <c r="CV42" i="2"/>
  <c r="CX42" i="2" s="1"/>
  <c r="CV50" i="2"/>
  <c r="CX50" i="2" s="1"/>
  <c r="CV44" i="2"/>
  <c r="CX44" i="2" s="1"/>
  <c r="CV41" i="2"/>
  <c r="CX41" i="2" s="1"/>
  <c r="CV32" i="2"/>
  <c r="CX32" i="2" s="1"/>
  <c r="CV11" i="2"/>
  <c r="CX11" i="2" s="1"/>
  <c r="CV17" i="2"/>
  <c r="CX17" i="2" s="1"/>
  <c r="CV18" i="2"/>
  <c r="CX18" i="2" s="1"/>
  <c r="CV35" i="2"/>
  <c r="CX35" i="2" s="1"/>
  <c r="CV37" i="2"/>
  <c r="CX37" i="2" s="1"/>
  <c r="CV52" i="2"/>
  <c r="CX52" i="2" s="1"/>
  <c r="CV21" i="2"/>
  <c r="CX21" i="2" s="1"/>
  <c r="CV30" i="2"/>
  <c r="CX30" i="2" s="1"/>
  <c r="CV14" i="2"/>
  <c r="CX14" i="2" s="1"/>
  <c r="CV34" i="2"/>
  <c r="CX34" i="2" s="1"/>
  <c r="CV47" i="2"/>
  <c r="CX47" i="2" s="1"/>
  <c r="CV13" i="2"/>
  <c r="CX13" i="2" s="1"/>
  <c r="CV16" i="2"/>
  <c r="CX16" i="2" s="1"/>
  <c r="CV33" i="2"/>
  <c r="CX33" i="2" s="1"/>
  <c r="CV45" i="2"/>
  <c r="CX45" i="2" s="1"/>
  <c r="CV39" i="2"/>
  <c r="CX39" i="2" s="1"/>
  <c r="CV43" i="2"/>
  <c r="CX43" i="2" s="1"/>
  <c r="CV48" i="2"/>
  <c r="CX48" i="2" s="1"/>
  <c r="CV38" i="2"/>
  <c r="CX38" i="2" s="1"/>
  <c r="CV46" i="2"/>
  <c r="CX46" i="2" s="1"/>
  <c r="E26" i="1"/>
  <c r="CS23" i="1"/>
  <c r="CS4" i="1"/>
  <c r="E5" i="1"/>
  <c r="B4" i="2"/>
  <c r="B5" i="2"/>
  <c r="B6" i="2"/>
  <c r="B7" i="2"/>
  <c r="B8" i="2"/>
  <c r="B9" i="2"/>
  <c r="B22" i="2"/>
  <c r="B23" i="2"/>
  <c r="B24" i="2"/>
  <c r="B25" i="2"/>
  <c r="B26" i="2"/>
  <c r="B27" i="2"/>
  <c r="B28" i="2"/>
  <c r="B53" i="2"/>
  <c r="B54" i="2"/>
  <c r="B58" i="2"/>
  <c r="B3" i="2"/>
  <c r="AL59" i="1"/>
  <c r="X59" i="1"/>
  <c r="D59" i="1"/>
  <c r="C59" i="1"/>
  <c r="C55" i="1"/>
  <c r="Q25" i="1"/>
  <c r="DK117" i="2" l="1"/>
  <c r="DI111" i="2"/>
  <c r="DI103" i="2"/>
  <c r="DJ103" i="2" s="1"/>
  <c r="DM109" i="2"/>
  <c r="DN109" i="2" s="1"/>
  <c r="DL133" i="2"/>
  <c r="DN104" i="2"/>
  <c r="DI113" i="2"/>
  <c r="DJ133" i="2"/>
  <c r="DI115" i="2"/>
  <c r="DJ113" i="2"/>
  <c r="DK113" i="2"/>
  <c r="DJ115" i="2"/>
  <c r="DK115" i="2"/>
  <c r="DI105" i="2"/>
  <c r="DJ128" i="2"/>
  <c r="DI109" i="2"/>
  <c r="DI107" i="2"/>
  <c r="DL131" i="2"/>
  <c r="DL115" i="2"/>
  <c r="DB109" i="2"/>
  <c r="DM131" i="2"/>
  <c r="DM113" i="2"/>
  <c r="DM115" i="2"/>
  <c r="DM133" i="2"/>
  <c r="DM123" i="2"/>
  <c r="DM119" i="2"/>
  <c r="DJ132" i="2"/>
  <c r="DK132" i="2"/>
  <c r="DL121" i="2"/>
  <c r="DM117" i="2"/>
  <c r="DM111" i="2"/>
  <c r="DM107" i="2"/>
  <c r="DN124" i="2"/>
  <c r="DO124" i="2"/>
  <c r="DK103" i="2"/>
  <c r="DN112" i="2"/>
  <c r="DO112" i="2"/>
  <c r="DL103" i="2"/>
  <c r="DM125" i="2"/>
  <c r="DN130" i="2"/>
  <c r="DO130" i="2"/>
  <c r="DN126" i="2"/>
  <c r="DO126" i="2"/>
  <c r="DL119" i="2"/>
  <c r="DL109" i="2"/>
  <c r="DL123" i="2"/>
  <c r="DM127" i="2"/>
  <c r="DL117" i="2"/>
  <c r="DL111" i="2"/>
  <c r="DL107" i="2"/>
  <c r="DN122" i="2"/>
  <c r="DO122" i="2"/>
  <c r="DJ111" i="2"/>
  <c r="DK111" i="2"/>
  <c r="DN108" i="2"/>
  <c r="DO108" i="2"/>
  <c r="DM103" i="2"/>
  <c r="DL125" i="2"/>
  <c r="DM129" i="2"/>
  <c r="DO120" i="2"/>
  <c r="DN120" i="2"/>
  <c r="DN134" i="2"/>
  <c r="DO134" i="2"/>
  <c r="DO132" i="2"/>
  <c r="DN132" i="2"/>
  <c r="DL105" i="2"/>
  <c r="DM105" i="2"/>
  <c r="DN118" i="2"/>
  <c r="DO118" i="2"/>
  <c r="DL113" i="2"/>
  <c r="DL129" i="2"/>
  <c r="DO106" i="2"/>
  <c r="DN106" i="2"/>
  <c r="DN114" i="2"/>
  <c r="DO114" i="2"/>
  <c r="DN110" i="2"/>
  <c r="DO110" i="2"/>
  <c r="DM121" i="2"/>
  <c r="DN116" i="2"/>
  <c r="DO116" i="2"/>
  <c r="DJ108" i="2"/>
  <c r="DK108" i="2"/>
  <c r="DL127" i="2"/>
  <c r="CU128" i="2"/>
  <c r="DB128" i="2" s="1"/>
  <c r="DB129" i="2"/>
  <c r="CZ129" i="2"/>
  <c r="DA114" i="2"/>
  <c r="CT108" i="2"/>
  <c r="DE108" i="2"/>
  <c r="DF108" i="2" s="1"/>
  <c r="CZ108" i="2"/>
  <c r="DA124" i="2"/>
  <c r="DB125" i="2"/>
  <c r="CU108" i="2"/>
  <c r="DA108" i="2"/>
  <c r="CU126" i="2"/>
  <c r="DB126" i="2" s="1"/>
  <c r="DA126" i="2"/>
  <c r="CZ119" i="2"/>
  <c r="CU119" i="2"/>
  <c r="DB119" i="2" s="1"/>
  <c r="CZ118" i="2"/>
  <c r="DB124" i="2"/>
  <c r="CU116" i="2"/>
  <c r="DB116" i="2" s="1"/>
  <c r="CZ115" i="2"/>
  <c r="CU117" i="2"/>
  <c r="CU115" i="2"/>
  <c r="DB115" i="2" s="1"/>
  <c r="CZ124" i="2"/>
  <c r="DA122" i="2"/>
  <c r="CZ113" i="2"/>
  <c r="CU113" i="2"/>
  <c r="DB113" i="2" s="1"/>
  <c r="CZ125" i="2"/>
  <c r="Z88" i="9"/>
  <c r="Z75" i="9"/>
  <c r="CZ74" i="2"/>
  <c r="Y29" i="4"/>
  <c r="CT121" i="2"/>
  <c r="CZ116" i="2"/>
  <c r="CU121" i="2"/>
  <c r="U69" i="4"/>
  <c r="L31" i="9"/>
  <c r="P19" i="9"/>
  <c r="Q51" i="9"/>
  <c r="DB120" i="2"/>
  <c r="CU85" i="2"/>
  <c r="K66" i="4"/>
  <c r="M45" i="4"/>
  <c r="Y72" i="4"/>
  <c r="CU74" i="2"/>
  <c r="X80" i="9"/>
  <c r="S14" i="4"/>
  <c r="O77" i="9"/>
  <c r="H95" i="9"/>
  <c r="U68" i="9"/>
  <c r="CZ66" i="2"/>
  <c r="S65" i="9"/>
  <c r="CU118" i="2"/>
  <c r="DB118" i="2" s="1"/>
  <c r="CZ120" i="2"/>
  <c r="DA120" i="2"/>
  <c r="CT117" i="2"/>
  <c r="CZ114" i="2"/>
  <c r="CT123" i="2"/>
  <c r="CZ123" i="2"/>
  <c r="CU123" i="2"/>
  <c r="DA123" i="2"/>
  <c r="CT56" i="2"/>
  <c r="J33" i="9"/>
  <c r="O82" i="9"/>
  <c r="L44" i="9"/>
  <c r="Z14" i="9"/>
  <c r="L12" i="9"/>
  <c r="G58" i="2"/>
  <c r="K58" i="2"/>
  <c r="O58" i="2"/>
  <c r="S58" i="2"/>
  <c r="W58" i="2"/>
  <c r="AA58" i="2"/>
  <c r="AE58" i="2"/>
  <c r="AI58" i="2"/>
  <c r="AM58" i="2"/>
  <c r="AQ58" i="2"/>
  <c r="AU58" i="2"/>
  <c r="AY58" i="2"/>
  <c r="BC58" i="2"/>
  <c r="BG58" i="2"/>
  <c r="BK58" i="2"/>
  <c r="BO58" i="2"/>
  <c r="BS58" i="2"/>
  <c r="BW58" i="2"/>
  <c r="CA58" i="2"/>
  <c r="CE58" i="2"/>
  <c r="CI58" i="2"/>
  <c r="CM58" i="2"/>
  <c r="CQ58" i="2"/>
  <c r="H58" i="2"/>
  <c r="L58" i="2"/>
  <c r="P58" i="2"/>
  <c r="T58" i="2"/>
  <c r="AB58" i="2"/>
  <c r="AF58" i="2"/>
  <c r="AJ58" i="2"/>
  <c r="AN58" i="2"/>
  <c r="AR58" i="2"/>
  <c r="AV58" i="2"/>
  <c r="AZ58" i="2"/>
  <c r="BD58" i="2"/>
  <c r="BH58" i="2"/>
  <c r="BL58" i="2"/>
  <c r="BP58" i="2"/>
  <c r="BT58" i="2"/>
  <c r="BX58" i="2"/>
  <c r="CB58" i="2"/>
  <c r="CF58" i="2"/>
  <c r="CJ58" i="2"/>
  <c r="CN58" i="2"/>
  <c r="E58" i="2"/>
  <c r="I58" i="2"/>
  <c r="M58" i="2"/>
  <c r="Q58" i="2"/>
  <c r="U58" i="2"/>
  <c r="Y58" i="2"/>
  <c r="AC58" i="2"/>
  <c r="AG58" i="2"/>
  <c r="AK58" i="2"/>
  <c r="AO58" i="2"/>
  <c r="AS58" i="2"/>
  <c r="AW58" i="2"/>
  <c r="BA58" i="2"/>
  <c r="BE58" i="2"/>
  <c r="BI58" i="2"/>
  <c r="BM58" i="2"/>
  <c r="BQ58" i="2"/>
  <c r="BU58" i="2"/>
  <c r="BY58" i="2"/>
  <c r="CC58" i="2"/>
  <c r="CG58" i="2"/>
  <c r="CK58" i="2"/>
  <c r="CO58" i="2"/>
  <c r="F58" i="2"/>
  <c r="J58" i="2"/>
  <c r="N58" i="2"/>
  <c r="R58" i="2"/>
  <c r="V58" i="2"/>
  <c r="Z58" i="2"/>
  <c r="AD58" i="2"/>
  <c r="AH58" i="2"/>
  <c r="AP58" i="2"/>
  <c r="AT58" i="2"/>
  <c r="AX58" i="2"/>
  <c r="BB58" i="2"/>
  <c r="BF58" i="2"/>
  <c r="BJ58" i="2"/>
  <c r="BN58" i="2"/>
  <c r="BR58" i="2"/>
  <c r="BV58" i="2"/>
  <c r="BZ58" i="2"/>
  <c r="CD58" i="2"/>
  <c r="CH58" i="2"/>
  <c r="CL58" i="2"/>
  <c r="CP58" i="2"/>
  <c r="X58" i="2"/>
  <c r="C99" i="9"/>
  <c r="C47" i="9"/>
  <c r="P35" i="9"/>
  <c r="E87" i="4"/>
  <c r="T18" i="9"/>
  <c r="D67" i="9"/>
  <c r="P16" i="9"/>
  <c r="L58" i="9"/>
  <c r="D95" i="4"/>
  <c r="C50" i="4"/>
  <c r="S42" i="4"/>
  <c r="S34" i="9"/>
  <c r="G85" i="4"/>
  <c r="G97" i="9"/>
  <c r="G97" i="11" s="1"/>
  <c r="Z40" i="9"/>
  <c r="CU14" i="2"/>
  <c r="O15" i="4"/>
  <c r="J30" i="4"/>
  <c r="CT71" i="2"/>
  <c r="S81" i="9"/>
  <c r="D58" i="2"/>
  <c r="G54" i="2"/>
  <c r="K54" i="2"/>
  <c r="O54" i="2"/>
  <c r="S54" i="2"/>
  <c r="W54" i="2"/>
  <c r="AA54" i="2"/>
  <c r="AE54" i="2"/>
  <c r="AI54" i="2"/>
  <c r="AM54" i="2"/>
  <c r="AQ54" i="2"/>
  <c r="AU54" i="2"/>
  <c r="AY54" i="2"/>
  <c r="BC54" i="2"/>
  <c r="BG54" i="2"/>
  <c r="BK54" i="2"/>
  <c r="BO54" i="2"/>
  <c r="BS54" i="2"/>
  <c r="BW54" i="2"/>
  <c r="CA54" i="2"/>
  <c r="CE54" i="2"/>
  <c r="CI54" i="2"/>
  <c r="CM54" i="2"/>
  <c r="CQ54" i="2"/>
  <c r="D54" i="2"/>
  <c r="H54" i="2"/>
  <c r="L54" i="2"/>
  <c r="P54" i="2"/>
  <c r="T54" i="2"/>
  <c r="X54" i="2"/>
  <c r="AB54" i="2"/>
  <c r="AF54" i="2"/>
  <c r="AJ54" i="2"/>
  <c r="AN54" i="2"/>
  <c r="AR54" i="2"/>
  <c r="AV54" i="2"/>
  <c r="AZ54" i="2"/>
  <c r="BD54" i="2"/>
  <c r="BH54" i="2"/>
  <c r="BL54" i="2"/>
  <c r="BP54" i="2"/>
  <c r="BT54" i="2"/>
  <c r="BX54" i="2"/>
  <c r="CB54" i="2"/>
  <c r="CF54" i="2"/>
  <c r="CJ54" i="2"/>
  <c r="CN54" i="2"/>
  <c r="E54" i="2"/>
  <c r="I54" i="2"/>
  <c r="M54" i="2"/>
  <c r="Q54" i="2"/>
  <c r="U54" i="2"/>
  <c r="Y54" i="2"/>
  <c r="AC54" i="2"/>
  <c r="AG54" i="2"/>
  <c r="AK54" i="2"/>
  <c r="AO54" i="2"/>
  <c r="AS54" i="2"/>
  <c r="AW54" i="2"/>
  <c r="BA54" i="2"/>
  <c r="BE54" i="2"/>
  <c r="BI54" i="2"/>
  <c r="BM54" i="2"/>
  <c r="BQ54" i="2"/>
  <c r="BU54" i="2"/>
  <c r="BY54" i="2"/>
  <c r="CC54" i="2"/>
  <c r="CG54" i="2"/>
  <c r="CK54" i="2"/>
  <c r="CO54" i="2"/>
  <c r="F54" i="2"/>
  <c r="J54" i="2"/>
  <c r="N54" i="2"/>
  <c r="R54" i="2"/>
  <c r="V54" i="2"/>
  <c r="Z54" i="2"/>
  <c r="AD54" i="2"/>
  <c r="AH54" i="2"/>
  <c r="AL54" i="2"/>
  <c r="AP54" i="2"/>
  <c r="AT54" i="2"/>
  <c r="AX54" i="2"/>
  <c r="BB54" i="2"/>
  <c r="BF54" i="2"/>
  <c r="BJ54" i="2"/>
  <c r="BN54" i="2"/>
  <c r="BR54" i="2"/>
  <c r="BV54" i="2"/>
  <c r="BZ54" i="2"/>
  <c r="CD54" i="2"/>
  <c r="CH54" i="2"/>
  <c r="CL54" i="2"/>
  <c r="CP54" i="2"/>
  <c r="AL58" i="2"/>
  <c r="O92" i="9"/>
  <c r="O92" i="11" s="1"/>
  <c r="W43" i="9"/>
  <c r="Z78" i="9"/>
  <c r="M20" i="9"/>
  <c r="DE11" i="2"/>
  <c r="DF11" i="2" s="1"/>
  <c r="CU102" i="2"/>
  <c r="Z100" i="9"/>
  <c r="Z100" i="11" s="1"/>
  <c r="AA90" i="4"/>
  <c r="F39" i="9"/>
  <c r="DE40" i="2"/>
  <c r="DF40" i="2" s="1"/>
  <c r="K76" i="4"/>
  <c r="V98" i="9"/>
  <c r="V98" i="10" s="1"/>
  <c r="CT95" i="2"/>
  <c r="M54" i="4"/>
  <c r="CU38" i="2"/>
  <c r="D36" i="4"/>
  <c r="B76" i="9"/>
  <c r="N67" i="4"/>
  <c r="DB114" i="2"/>
  <c r="X99" i="4"/>
  <c r="B96" i="9"/>
  <c r="B96" i="10" s="1"/>
  <c r="C48" i="4"/>
  <c r="B37" i="4"/>
  <c r="G83" i="4"/>
  <c r="C80" i="4"/>
  <c r="X61" i="9"/>
  <c r="H59" i="9"/>
  <c r="D77" i="4"/>
  <c r="CU56" i="2"/>
  <c r="Z90" i="9"/>
  <c r="W34" i="4"/>
  <c r="O84" i="4"/>
  <c r="C49" i="4"/>
  <c r="K85" i="9"/>
  <c r="L9" i="9"/>
  <c r="CU55" i="2"/>
  <c r="O97" i="4"/>
  <c r="R93" i="9"/>
  <c r="R93" i="10" s="1"/>
  <c r="T93" i="4"/>
  <c r="CZ87" i="2"/>
  <c r="CU18" i="2"/>
  <c r="N79" i="4"/>
  <c r="R32" i="4"/>
  <c r="CU65" i="2"/>
  <c r="S61" i="4"/>
  <c r="H46" i="4"/>
  <c r="E28" i="4"/>
  <c r="Q47" i="4"/>
  <c r="CT83" i="2"/>
  <c r="DE102" i="2"/>
  <c r="DF102" i="2" s="1"/>
  <c r="Y100" i="4"/>
  <c r="S91" i="4"/>
  <c r="C50" i="9"/>
  <c r="CU57" i="2"/>
  <c r="H98" i="4"/>
  <c r="W94" i="9"/>
  <c r="K41" i="9"/>
  <c r="I38" i="4"/>
  <c r="CT122" i="2"/>
  <c r="DB122" i="2" s="1"/>
  <c r="CZ122" i="2"/>
  <c r="L40" i="4"/>
  <c r="AA88" i="4"/>
  <c r="X86" i="9"/>
  <c r="G79" i="9"/>
  <c r="Q44" i="4"/>
  <c r="Y10" i="9"/>
  <c r="L71" i="9"/>
  <c r="E11" i="4"/>
  <c r="Y81" i="4"/>
  <c r="F74" i="4"/>
  <c r="CT105" i="2"/>
  <c r="DE105" i="2"/>
  <c r="DF105" i="2" s="1"/>
  <c r="CU105" i="2"/>
  <c r="CU104" i="2"/>
  <c r="DA103" i="2"/>
  <c r="CZ104" i="2"/>
  <c r="DE104" i="2"/>
  <c r="DF104" i="2" s="1"/>
  <c r="CT104" i="2"/>
  <c r="DE112" i="2"/>
  <c r="DF112" i="2" s="1"/>
  <c r="CT112" i="2"/>
  <c r="CZ112" i="2"/>
  <c r="CU112" i="2"/>
  <c r="DA112" i="2"/>
  <c r="CT111" i="2"/>
  <c r="DE111" i="2"/>
  <c r="DF111" i="2" s="1"/>
  <c r="CZ111" i="2"/>
  <c r="CU111" i="2"/>
  <c r="DA111" i="2"/>
  <c r="DA106" i="2"/>
  <c r="CU106" i="2"/>
  <c r="DE106" i="2"/>
  <c r="DF106" i="2" s="1"/>
  <c r="CZ106" i="2"/>
  <c r="CT106" i="2"/>
  <c r="Z18" i="4"/>
  <c r="S74" i="9"/>
  <c r="DE103" i="2"/>
  <c r="DF103" i="2" s="1"/>
  <c r="I89" i="9"/>
  <c r="N36" i="9"/>
  <c r="Z72" i="9"/>
  <c r="M9" i="4"/>
  <c r="E15" i="9"/>
  <c r="CT69" i="2"/>
  <c r="V29" i="9"/>
  <c r="Y33" i="4"/>
  <c r="DE20" i="2"/>
  <c r="DF20" i="2" s="1"/>
  <c r="N13" i="4"/>
  <c r="E83" i="9"/>
  <c r="J91" i="9"/>
  <c r="J91" i="11" s="1"/>
  <c r="O78" i="4"/>
  <c r="M92" i="4"/>
  <c r="Y63" i="9"/>
  <c r="R64" i="4"/>
  <c r="Q75" i="4"/>
  <c r="P20" i="4"/>
  <c r="AA45" i="9"/>
  <c r="H66" i="9"/>
  <c r="CT97" i="2"/>
  <c r="X56" i="4"/>
  <c r="CT103" i="2"/>
  <c r="DB103" i="2" s="1"/>
  <c r="CS45" i="1"/>
  <c r="CW44" i="2" s="1"/>
  <c r="CY44" i="2" s="1"/>
  <c r="CS49" i="1"/>
  <c r="CW48" i="2" s="1"/>
  <c r="CY48" i="2" s="1"/>
  <c r="CS52" i="1"/>
  <c r="CW51" i="2" s="1"/>
  <c r="CS51" i="1"/>
  <c r="CW50" i="2" s="1"/>
  <c r="CY50" i="2" s="1"/>
  <c r="CS53" i="1"/>
  <c r="CW52" i="2" s="1"/>
  <c r="CY52" i="2" s="1"/>
  <c r="CS50" i="1"/>
  <c r="CW49" i="2" s="1"/>
  <c r="CY49" i="2" s="1"/>
  <c r="CS43" i="1"/>
  <c r="CW42" i="2" s="1"/>
  <c r="CY42" i="2" s="1"/>
  <c r="CS42" i="1"/>
  <c r="CW41" i="2" s="1"/>
  <c r="CY41" i="2" s="1"/>
  <c r="CS44" i="1"/>
  <c r="CW43" i="2" s="1"/>
  <c r="CY43" i="2" s="1"/>
  <c r="CS41" i="1"/>
  <c r="CW40" i="2" s="1"/>
  <c r="CY40" i="2" s="1"/>
  <c r="CS40" i="1"/>
  <c r="CW39" i="2" s="1"/>
  <c r="CY39" i="2" s="1"/>
  <c r="CS37" i="1"/>
  <c r="CW36" i="2" s="1"/>
  <c r="CY36" i="2" s="1"/>
  <c r="CS38" i="1"/>
  <c r="CW37" i="2" s="1"/>
  <c r="CY37" i="2" s="1"/>
  <c r="CS36" i="1"/>
  <c r="CW35" i="2" s="1"/>
  <c r="CY35" i="2" s="1"/>
  <c r="CS39" i="1"/>
  <c r="CW38" i="2" s="1"/>
  <c r="CY38" i="2" s="1"/>
  <c r="CS46" i="1"/>
  <c r="CW45" i="2" s="1"/>
  <c r="CY45" i="2" s="1"/>
  <c r="CS48" i="1"/>
  <c r="CW47" i="2" s="1"/>
  <c r="CY47" i="2" s="1"/>
  <c r="CS47" i="1"/>
  <c r="CW46" i="2" s="1"/>
  <c r="CY46" i="2" s="1"/>
  <c r="CS19" i="1"/>
  <c r="CW18" i="2" s="1"/>
  <c r="CY18" i="2" s="1"/>
  <c r="CS21" i="1"/>
  <c r="CW20" i="2" s="1"/>
  <c r="CY20" i="2" s="1"/>
  <c r="CS20" i="1"/>
  <c r="CW19" i="2" s="1"/>
  <c r="CY19" i="2" s="1"/>
  <c r="CS22" i="1"/>
  <c r="CW21" i="2" s="1"/>
  <c r="CY21" i="2" s="1"/>
  <c r="CS34" i="1"/>
  <c r="CW33" i="2" s="1"/>
  <c r="CY33" i="2" s="1"/>
  <c r="CS35" i="1"/>
  <c r="CW34" i="2" s="1"/>
  <c r="CY34" i="2" s="1"/>
  <c r="CS18" i="1"/>
  <c r="CW17" i="2" s="1"/>
  <c r="CY17" i="2" s="1"/>
  <c r="CS17" i="1"/>
  <c r="CW16" i="2" s="1"/>
  <c r="CY16" i="2" s="1"/>
  <c r="CS14" i="1"/>
  <c r="CW13" i="2" s="1"/>
  <c r="CY13" i="2" s="1"/>
  <c r="CS16" i="1"/>
  <c r="CW15" i="2" s="1"/>
  <c r="CY15" i="2" s="1"/>
  <c r="CS15" i="1"/>
  <c r="CW14" i="2" s="1"/>
  <c r="CS8" i="1"/>
  <c r="CS13" i="1"/>
  <c r="CW12" i="2" s="1"/>
  <c r="CY12" i="2" s="1"/>
  <c r="CS11" i="1"/>
  <c r="CW10" i="2" s="1"/>
  <c r="CY10" i="2" s="1"/>
  <c r="CS12" i="1"/>
  <c r="CW11" i="2" s="1"/>
  <c r="CY11" i="2" s="1"/>
  <c r="CS30" i="1"/>
  <c r="CW29" i="2" s="1"/>
  <c r="CY29" i="2" s="1"/>
  <c r="CS31" i="1"/>
  <c r="CW30" i="2" s="1"/>
  <c r="CY30" i="2" s="1"/>
  <c r="CS33" i="1"/>
  <c r="CW32" i="2" s="1"/>
  <c r="CY32" i="2" s="1"/>
  <c r="CS32" i="1"/>
  <c r="CW31" i="2" s="1"/>
  <c r="CY31" i="2" s="1"/>
  <c r="CS9" i="1"/>
  <c r="CS6" i="1"/>
  <c r="CS26" i="1"/>
  <c r="CS5" i="1"/>
  <c r="CS10" i="1"/>
  <c r="CS7" i="1"/>
  <c r="CS25" i="1"/>
  <c r="CS29" i="1"/>
  <c r="CS27" i="1"/>
  <c r="CS24" i="1"/>
  <c r="CS28" i="1"/>
  <c r="B22" i="3"/>
  <c r="B13" i="3"/>
  <c r="B14" i="3"/>
  <c r="B15" i="3"/>
  <c r="B16" i="3"/>
  <c r="B17" i="3"/>
  <c r="B18" i="3"/>
  <c r="B19" i="3"/>
  <c r="B20" i="3"/>
  <c r="B21" i="3"/>
  <c r="B3" i="3"/>
  <c r="B4" i="3"/>
  <c r="B5" i="3"/>
  <c r="B6" i="3"/>
  <c r="B7" i="3"/>
  <c r="B8" i="3"/>
  <c r="B9" i="3"/>
  <c r="B10" i="3"/>
  <c r="B11" i="3"/>
  <c r="B12" i="3"/>
  <c r="B2" i="3"/>
  <c r="DO109" i="2" l="1"/>
  <c r="DJ107" i="2"/>
  <c r="DK107" i="2"/>
  <c r="DK109" i="2"/>
  <c r="DJ109" i="2"/>
  <c r="DJ105" i="2"/>
  <c r="DK105" i="2"/>
  <c r="DB117" i="2"/>
  <c r="DO103" i="2"/>
  <c r="DN103" i="2"/>
  <c r="DN117" i="2"/>
  <c r="DO117" i="2"/>
  <c r="DN119" i="2"/>
  <c r="DO119" i="2"/>
  <c r="DN113" i="2"/>
  <c r="DO113" i="2"/>
  <c r="DN123" i="2"/>
  <c r="DO123" i="2"/>
  <c r="DN131" i="2"/>
  <c r="DO131" i="2"/>
  <c r="DN105" i="2"/>
  <c r="DO105" i="2"/>
  <c r="DN129" i="2"/>
  <c r="DO129" i="2"/>
  <c r="DO127" i="2"/>
  <c r="DN127" i="2"/>
  <c r="DN125" i="2"/>
  <c r="DO125" i="2"/>
  <c r="DN107" i="2"/>
  <c r="DO107" i="2"/>
  <c r="DN133" i="2"/>
  <c r="DO133" i="2"/>
  <c r="DN121" i="2"/>
  <c r="DO121" i="2"/>
  <c r="DN111" i="2"/>
  <c r="DO111" i="2"/>
  <c r="DN115" i="2"/>
  <c r="DO115" i="2"/>
  <c r="DB108" i="2"/>
  <c r="DB121" i="2"/>
  <c r="DB123" i="2"/>
  <c r="S53" i="4"/>
  <c r="Q99" i="9"/>
  <c r="F100" i="9"/>
  <c r="F100" i="11" s="1"/>
  <c r="M100" i="9"/>
  <c r="M100" i="11" s="1"/>
  <c r="DB105" i="2"/>
  <c r="DA62" i="2"/>
  <c r="R54" i="4"/>
  <c r="R54" i="6" s="1"/>
  <c r="V91" i="9"/>
  <c r="V91" i="11" s="1"/>
  <c r="N93" i="4"/>
  <c r="N93" i="6" s="1"/>
  <c r="R95" i="9"/>
  <c r="R95" i="11" s="1"/>
  <c r="Y54" i="4"/>
  <c r="Y54" i="6" s="1"/>
  <c r="O54" i="4"/>
  <c r="O54" i="6" s="1"/>
  <c r="T95" i="9"/>
  <c r="T95" i="10" s="1"/>
  <c r="DB104" i="2"/>
  <c r="U100" i="9"/>
  <c r="U100" i="10" s="1"/>
  <c r="Y99" i="9"/>
  <c r="Y99" i="11" s="1"/>
  <c r="D99" i="9"/>
  <c r="D99" i="11" s="1"/>
  <c r="P99" i="9"/>
  <c r="P99" i="11" s="1"/>
  <c r="Q98" i="9"/>
  <c r="Q98" i="11" s="1"/>
  <c r="O99" i="9"/>
  <c r="O99" i="11" s="1"/>
  <c r="L98" i="9"/>
  <c r="L98" i="11" s="1"/>
  <c r="J100" i="9"/>
  <c r="J100" i="10" s="1"/>
  <c r="W99" i="9"/>
  <c r="W99" i="11" s="1"/>
  <c r="X95" i="9"/>
  <c r="X95" i="11" s="1"/>
  <c r="N100" i="9"/>
  <c r="N100" i="10" s="1"/>
  <c r="B99" i="9"/>
  <c r="B99" i="11" s="1"/>
  <c r="CT87" i="2"/>
  <c r="M98" i="9"/>
  <c r="M98" i="11" s="1"/>
  <c r="D93" i="9"/>
  <c r="D93" i="11" s="1"/>
  <c r="Y92" i="4"/>
  <c r="Y92" i="7" s="1"/>
  <c r="E97" i="9"/>
  <c r="E97" i="10" s="1"/>
  <c r="K99" i="9"/>
  <c r="K99" i="11" s="1"/>
  <c r="AA100" i="9"/>
  <c r="AA100" i="11" s="1"/>
  <c r="U99" i="9"/>
  <c r="U99" i="10" s="1"/>
  <c r="AA98" i="9"/>
  <c r="AA98" i="11" s="1"/>
  <c r="Y98" i="9"/>
  <c r="Y98" i="10" s="1"/>
  <c r="DB106" i="2"/>
  <c r="G99" i="9"/>
  <c r="G99" i="11" s="1"/>
  <c r="P98" i="9"/>
  <c r="P98" i="11" s="1"/>
  <c r="O96" i="9"/>
  <c r="O96" i="11" s="1"/>
  <c r="X96" i="9"/>
  <c r="X96" i="10" s="1"/>
  <c r="AA99" i="9"/>
  <c r="AA99" i="10" s="1"/>
  <c r="DA94" i="2"/>
  <c r="C93" i="9"/>
  <c r="C93" i="10" s="1"/>
  <c r="J98" i="9"/>
  <c r="J98" i="10" s="1"/>
  <c r="DB111" i="2"/>
  <c r="DB112" i="2"/>
  <c r="Q98" i="4"/>
  <c r="Q98" i="6" s="1"/>
  <c r="Q91" i="9"/>
  <c r="Q91" i="11" s="1"/>
  <c r="C95" i="9"/>
  <c r="C95" i="11" s="1"/>
  <c r="I95" i="9"/>
  <c r="I95" i="10" s="1"/>
  <c r="X70" i="4"/>
  <c r="X70" i="7" s="1"/>
  <c r="CZ55" i="2"/>
  <c r="X98" i="4"/>
  <c r="X98" i="6" s="1"/>
  <c r="M55" i="9"/>
  <c r="M55" i="11" s="1"/>
  <c r="M93" i="4"/>
  <c r="M93" i="6" s="1"/>
  <c r="C96" i="9"/>
  <c r="C96" i="11" s="1"/>
  <c r="D92" i="4"/>
  <c r="D92" i="6" s="1"/>
  <c r="L92" i="4"/>
  <c r="L92" i="6" s="1"/>
  <c r="CZ83" i="2"/>
  <c r="V17" i="9"/>
  <c r="V17" i="11" s="1"/>
  <c r="DE55" i="2"/>
  <c r="DF55" i="2" s="1"/>
  <c r="Z54" i="4"/>
  <c r="Z54" i="7" s="1"/>
  <c r="N98" i="4"/>
  <c r="N98" i="7" s="1"/>
  <c r="AA93" i="4"/>
  <c r="AA93" i="7" s="1"/>
  <c r="K54" i="9"/>
  <c r="K54" i="11" s="1"/>
  <c r="L95" i="9"/>
  <c r="L95" i="10" s="1"/>
  <c r="D98" i="4"/>
  <c r="D98" i="6" s="1"/>
  <c r="I55" i="9"/>
  <c r="I55" i="11" s="1"/>
  <c r="CT94" i="2"/>
  <c r="E54" i="4"/>
  <c r="E54" i="6" s="1"/>
  <c r="U93" i="4"/>
  <c r="U93" i="6" s="1"/>
  <c r="K95" i="9"/>
  <c r="K95" i="11" s="1"/>
  <c r="DA95" i="2"/>
  <c r="CT55" i="2"/>
  <c r="DB55" i="2" s="1"/>
  <c r="Q54" i="4"/>
  <c r="Q54" i="7" s="1"/>
  <c r="J54" i="4"/>
  <c r="J54" i="7" s="1"/>
  <c r="U55" i="9"/>
  <c r="U55" i="10" s="1"/>
  <c r="E93" i="4"/>
  <c r="E93" i="6" s="1"/>
  <c r="S93" i="4"/>
  <c r="S93" i="7" s="1"/>
  <c r="G54" i="4"/>
  <c r="G54" i="6" s="1"/>
  <c r="S95" i="9"/>
  <c r="S95" i="11" s="1"/>
  <c r="Y98" i="4"/>
  <c r="Y98" i="6" s="1"/>
  <c r="Y54" i="9"/>
  <c r="Y54" i="11" s="1"/>
  <c r="K98" i="4"/>
  <c r="K98" i="6" s="1"/>
  <c r="DE83" i="2"/>
  <c r="DF83" i="2" s="1"/>
  <c r="I54" i="4"/>
  <c r="I54" i="6" s="1"/>
  <c r="B54" i="4"/>
  <c r="B54" i="7" s="1"/>
  <c r="O91" i="9"/>
  <c r="O91" i="11" s="1"/>
  <c r="G93" i="4"/>
  <c r="G93" i="6" s="1"/>
  <c r="C55" i="9"/>
  <c r="C55" i="11" s="1"/>
  <c r="B93" i="4"/>
  <c r="B93" i="6" s="1"/>
  <c r="M95" i="9"/>
  <c r="M95" i="10" s="1"/>
  <c r="E91" i="9"/>
  <c r="E91" i="11" s="1"/>
  <c r="P94" i="9"/>
  <c r="P94" i="11" s="1"/>
  <c r="H55" i="9"/>
  <c r="H55" i="11" s="1"/>
  <c r="CT99" i="2"/>
  <c r="W91" i="9"/>
  <c r="W91" i="11" s="1"/>
  <c r="E95" i="9"/>
  <c r="E95" i="10" s="1"/>
  <c r="J95" i="9"/>
  <c r="J95" i="11" s="1"/>
  <c r="V98" i="4"/>
  <c r="V98" i="7" s="1"/>
  <c r="F93" i="4"/>
  <c r="F93" i="7" s="1"/>
  <c r="Y95" i="9"/>
  <c r="Y95" i="11" s="1"/>
  <c r="W55" i="9"/>
  <c r="W55" i="11" s="1"/>
  <c r="X93" i="4"/>
  <c r="X93" i="7" s="1"/>
  <c r="R93" i="4"/>
  <c r="R93" i="6" s="1"/>
  <c r="Z98" i="4"/>
  <c r="Z98" i="6" s="1"/>
  <c r="S91" i="9"/>
  <c r="S91" i="11" s="1"/>
  <c r="K93" i="4"/>
  <c r="K93" i="7" s="1"/>
  <c r="F54" i="9"/>
  <c r="F54" i="11" s="1"/>
  <c r="F95" i="9"/>
  <c r="F95" i="11" s="1"/>
  <c r="C98" i="4"/>
  <c r="C98" i="7" s="1"/>
  <c r="DA96" i="2"/>
  <c r="I98" i="4"/>
  <c r="I98" i="7" s="1"/>
  <c r="P93" i="4"/>
  <c r="P93" i="7" s="1"/>
  <c r="W95" i="9"/>
  <c r="W95" i="10" s="1"/>
  <c r="G98" i="4"/>
  <c r="G98" i="6" s="1"/>
  <c r="N95" i="9"/>
  <c r="N95" i="10" s="1"/>
  <c r="H94" i="9"/>
  <c r="H94" i="10" s="1"/>
  <c r="X91" i="9"/>
  <c r="X91" i="11" s="1"/>
  <c r="F98" i="4"/>
  <c r="F98" i="6" s="1"/>
  <c r="V93" i="4"/>
  <c r="V93" i="7" s="1"/>
  <c r="B98" i="4"/>
  <c r="B98" i="6" s="1"/>
  <c r="O95" i="9"/>
  <c r="O95" i="10" s="1"/>
  <c r="O98" i="4"/>
  <c r="O98" i="7" s="1"/>
  <c r="DA56" i="2"/>
  <c r="C93" i="4"/>
  <c r="C93" i="7" s="1"/>
  <c r="DE94" i="2"/>
  <c r="DF94" i="2" s="1"/>
  <c r="C91" i="9"/>
  <c r="C91" i="11" s="1"/>
  <c r="P95" i="9"/>
  <c r="P95" i="10" s="1"/>
  <c r="S98" i="4"/>
  <c r="S98" i="6" s="1"/>
  <c r="L98" i="4"/>
  <c r="L98" i="7" s="1"/>
  <c r="T54" i="9"/>
  <c r="T54" i="11" s="1"/>
  <c r="X55" i="9"/>
  <c r="X55" i="11" s="1"/>
  <c r="CU96" i="2"/>
  <c r="C97" i="9"/>
  <c r="C97" i="11" s="1"/>
  <c r="N93" i="9"/>
  <c r="N93" i="11" s="1"/>
  <c r="AA92" i="4"/>
  <c r="J96" i="9"/>
  <c r="J96" i="11" s="1"/>
  <c r="W56" i="4"/>
  <c r="W56" i="6" s="1"/>
  <c r="AA97" i="9"/>
  <c r="AA97" i="10" s="1"/>
  <c r="I99" i="9"/>
  <c r="I99" i="11" s="1"/>
  <c r="F97" i="9"/>
  <c r="F97" i="10" s="1"/>
  <c r="X98" i="9"/>
  <c r="X98" i="10" s="1"/>
  <c r="S92" i="4"/>
  <c r="S92" i="7" s="1"/>
  <c r="W98" i="9"/>
  <c r="W98" i="10" s="1"/>
  <c r="G98" i="9"/>
  <c r="G98" i="10" s="1"/>
  <c r="F98" i="9"/>
  <c r="F98" i="10" s="1"/>
  <c r="P92" i="9"/>
  <c r="P92" i="11" s="1"/>
  <c r="R92" i="9"/>
  <c r="R92" i="11" s="1"/>
  <c r="L92" i="9"/>
  <c r="L92" i="11" s="1"/>
  <c r="E55" i="9"/>
  <c r="E55" i="10" s="1"/>
  <c r="U98" i="4"/>
  <c r="U98" i="6" s="1"/>
  <c r="M98" i="4"/>
  <c r="R98" i="4"/>
  <c r="R98" i="6" s="1"/>
  <c r="K55" i="9"/>
  <c r="K55" i="11" s="1"/>
  <c r="W98" i="4"/>
  <c r="W98" i="7" s="1"/>
  <c r="CZ99" i="2"/>
  <c r="W93" i="4"/>
  <c r="W93" i="6" s="1"/>
  <c r="S55" i="9"/>
  <c r="S55" i="11" s="1"/>
  <c r="H93" i="4"/>
  <c r="H93" i="7" s="1"/>
  <c r="L93" i="4"/>
  <c r="Z93" i="4"/>
  <c r="Z93" i="6" s="1"/>
  <c r="P98" i="4"/>
  <c r="P98" i="6" s="1"/>
  <c r="I93" i="4"/>
  <c r="I93" i="7" s="1"/>
  <c r="P55" i="9"/>
  <c r="P55" i="10" s="1"/>
  <c r="E98" i="4"/>
  <c r="E98" i="6" s="1"/>
  <c r="DE99" i="2"/>
  <c r="DF99" i="2" s="1"/>
  <c r="O93" i="4"/>
  <c r="O93" i="6" s="1"/>
  <c r="Q93" i="4"/>
  <c r="Y55" i="9"/>
  <c r="Y55" i="10" s="1"/>
  <c r="J98" i="4"/>
  <c r="J98" i="6" s="1"/>
  <c r="J93" i="4"/>
  <c r="J93" i="6" s="1"/>
  <c r="DA81" i="2"/>
  <c r="CU41" i="2"/>
  <c r="CT66" i="2"/>
  <c r="U65" i="4"/>
  <c r="U65" i="6" s="1"/>
  <c r="R56" i="4"/>
  <c r="Q96" i="4"/>
  <c r="Q96" i="6" s="1"/>
  <c r="T56" i="4"/>
  <c r="T56" i="6" s="1"/>
  <c r="U56" i="4"/>
  <c r="U56" i="6" s="1"/>
  <c r="D96" i="9"/>
  <c r="D96" i="11" s="1"/>
  <c r="CU98" i="2"/>
  <c r="F93" i="9"/>
  <c r="F93" i="11" s="1"/>
  <c r="D97" i="9"/>
  <c r="D97" i="11" s="1"/>
  <c r="H96" i="4"/>
  <c r="D96" i="4"/>
  <c r="D96" i="6" s="1"/>
  <c r="F56" i="4"/>
  <c r="F56" i="6" s="1"/>
  <c r="Y96" i="4"/>
  <c r="Y96" i="7" s="1"/>
  <c r="P96" i="9"/>
  <c r="P96" i="10" s="1"/>
  <c r="Q93" i="9"/>
  <c r="Q93" i="11" s="1"/>
  <c r="M93" i="9"/>
  <c r="M93" i="11" s="1"/>
  <c r="G93" i="9"/>
  <c r="G93" i="10" s="1"/>
  <c r="CZ81" i="2"/>
  <c r="E96" i="4"/>
  <c r="E96" i="7" s="1"/>
  <c r="L97" i="9"/>
  <c r="L97" i="11" s="1"/>
  <c r="AA96" i="4"/>
  <c r="AA96" i="7" s="1"/>
  <c r="E96" i="9"/>
  <c r="E96" i="11" s="1"/>
  <c r="I96" i="9"/>
  <c r="I96" i="11" s="1"/>
  <c r="L96" i="9"/>
  <c r="L96" i="11" s="1"/>
  <c r="N56" i="4"/>
  <c r="N56" i="7" s="1"/>
  <c r="V93" i="9"/>
  <c r="V93" i="10" s="1"/>
  <c r="X97" i="9"/>
  <c r="X97" i="10" s="1"/>
  <c r="H92" i="4"/>
  <c r="H92" i="7" s="1"/>
  <c r="N96" i="9"/>
  <c r="N96" i="11" s="1"/>
  <c r="T97" i="9"/>
  <c r="DE97" i="2"/>
  <c r="DF97" i="2" s="1"/>
  <c r="V96" i="4"/>
  <c r="V96" i="6" s="1"/>
  <c r="R96" i="9"/>
  <c r="R96" i="11" s="1"/>
  <c r="O92" i="4"/>
  <c r="Q97" i="9"/>
  <c r="Q97" i="11" s="1"/>
  <c r="Z96" i="9"/>
  <c r="Z96" i="10" s="1"/>
  <c r="S96" i="4"/>
  <c r="S96" i="6" s="1"/>
  <c r="Y93" i="9"/>
  <c r="Y93" i="11" s="1"/>
  <c r="U93" i="9"/>
  <c r="U93" i="10" s="1"/>
  <c r="CU94" i="2"/>
  <c r="O93" i="9"/>
  <c r="L96" i="4"/>
  <c r="T93" i="9"/>
  <c r="T93" i="11" s="1"/>
  <c r="M56" i="4"/>
  <c r="M56" i="6" s="1"/>
  <c r="U97" i="9"/>
  <c r="U97" i="10" s="1"/>
  <c r="W96" i="9"/>
  <c r="W96" i="11" s="1"/>
  <c r="CU97" i="2"/>
  <c r="DB97" i="2" s="1"/>
  <c r="R96" i="4"/>
  <c r="R96" i="6" s="1"/>
  <c r="C96" i="4"/>
  <c r="C96" i="6" s="1"/>
  <c r="X93" i="9"/>
  <c r="X93" i="10" s="1"/>
  <c r="K96" i="9"/>
  <c r="K96" i="10" s="1"/>
  <c r="P96" i="4"/>
  <c r="P96" i="7" s="1"/>
  <c r="T96" i="9"/>
  <c r="T96" i="10" s="1"/>
  <c r="Z93" i="9"/>
  <c r="Z93" i="10" s="1"/>
  <c r="N97" i="9"/>
  <c r="N97" i="11" s="1"/>
  <c r="U96" i="9"/>
  <c r="U96" i="10" s="1"/>
  <c r="S96" i="9"/>
  <c r="S96" i="10" s="1"/>
  <c r="H96" i="9"/>
  <c r="H96" i="11" s="1"/>
  <c r="X96" i="4"/>
  <c r="X96" i="7" s="1"/>
  <c r="P93" i="9"/>
  <c r="P93" i="11" s="1"/>
  <c r="E93" i="9"/>
  <c r="E93" i="10" s="1"/>
  <c r="DA97" i="2"/>
  <c r="S93" i="9"/>
  <c r="K93" i="9"/>
  <c r="K93" i="11" s="1"/>
  <c r="I56" i="4"/>
  <c r="I56" i="7" s="1"/>
  <c r="B97" i="9"/>
  <c r="B97" i="11" s="1"/>
  <c r="U92" i="4"/>
  <c r="U92" i="6" s="1"/>
  <c r="G96" i="4"/>
  <c r="G96" i="6" s="1"/>
  <c r="Q96" i="9"/>
  <c r="Q96" i="11" s="1"/>
  <c r="S56" i="4"/>
  <c r="E56" i="4"/>
  <c r="E56" i="6" s="1"/>
  <c r="M97" i="9"/>
  <c r="M97" i="11" s="1"/>
  <c r="V96" i="9"/>
  <c r="V96" i="11" s="1"/>
  <c r="CZ97" i="2"/>
  <c r="W97" i="9"/>
  <c r="W97" i="11" s="1"/>
  <c r="L56" i="4"/>
  <c r="L56" i="6" s="1"/>
  <c r="P97" i="9"/>
  <c r="P97" i="11" s="1"/>
  <c r="P56" i="4"/>
  <c r="P56" i="6" s="1"/>
  <c r="H93" i="9"/>
  <c r="H93" i="10" s="1"/>
  <c r="K96" i="4"/>
  <c r="K96" i="7" s="1"/>
  <c r="O56" i="4"/>
  <c r="O56" i="6" s="1"/>
  <c r="AA96" i="9"/>
  <c r="AA96" i="10" s="1"/>
  <c r="F96" i="9"/>
  <c r="F96" i="10" s="1"/>
  <c r="T99" i="9"/>
  <c r="T99" i="11" s="1"/>
  <c r="G96" i="9"/>
  <c r="G96" i="11" s="1"/>
  <c r="Z96" i="4"/>
  <c r="M96" i="9"/>
  <c r="M96" i="11" s="1"/>
  <c r="Y56" i="4"/>
  <c r="Y56" i="6" s="1"/>
  <c r="J93" i="9"/>
  <c r="J93" i="11" s="1"/>
  <c r="H97" i="9"/>
  <c r="AA56" i="4"/>
  <c r="AA56" i="6" s="1"/>
  <c r="Y96" i="9"/>
  <c r="Y96" i="11" s="1"/>
  <c r="DA98" i="2"/>
  <c r="I93" i="9"/>
  <c r="I93" i="10" s="1"/>
  <c r="B93" i="9"/>
  <c r="B93" i="10" s="1"/>
  <c r="L93" i="9"/>
  <c r="L93" i="10" s="1"/>
  <c r="W93" i="9"/>
  <c r="W93" i="11" s="1"/>
  <c r="AA93" i="9"/>
  <c r="AA93" i="11" s="1"/>
  <c r="H92" i="9"/>
  <c r="H92" i="11" s="1"/>
  <c r="J91" i="10"/>
  <c r="V97" i="9"/>
  <c r="V97" i="11" s="1"/>
  <c r="B56" i="4"/>
  <c r="DE57" i="2"/>
  <c r="DF57" i="2" s="1"/>
  <c r="W96" i="4"/>
  <c r="W96" i="7" s="1"/>
  <c r="B96" i="4"/>
  <c r="B96" i="6" s="1"/>
  <c r="J97" i="9"/>
  <c r="J97" i="11" s="1"/>
  <c r="U96" i="4"/>
  <c r="U96" i="6" s="1"/>
  <c r="T96" i="4"/>
  <c r="T96" i="7" s="1"/>
  <c r="D56" i="4"/>
  <c r="D56" i="6" s="1"/>
  <c r="I96" i="4"/>
  <c r="I96" i="7" s="1"/>
  <c r="I97" i="9"/>
  <c r="I97" i="11" s="1"/>
  <c r="Q92" i="4"/>
  <c r="Q92" i="6" s="1"/>
  <c r="T92" i="9"/>
  <c r="T92" i="10" s="1"/>
  <c r="N92" i="9"/>
  <c r="N92" i="10" s="1"/>
  <c r="Q56" i="4"/>
  <c r="Q56" i="6" s="1"/>
  <c r="Z92" i="9"/>
  <c r="Z92" i="11" s="1"/>
  <c r="AA92" i="9"/>
  <c r="AA92" i="11" s="1"/>
  <c r="G92" i="9"/>
  <c r="G92" i="11" s="1"/>
  <c r="D92" i="9"/>
  <c r="D92" i="11" s="1"/>
  <c r="Q92" i="9"/>
  <c r="Q92" i="11" s="1"/>
  <c r="U92" i="9"/>
  <c r="U92" i="11" s="1"/>
  <c r="C92" i="9"/>
  <c r="C92" i="11" s="1"/>
  <c r="DE101" i="2"/>
  <c r="DF101" i="2" s="1"/>
  <c r="M92" i="9"/>
  <c r="M92" i="11" s="1"/>
  <c r="B92" i="9"/>
  <c r="B92" i="11" s="1"/>
  <c r="K56" i="4"/>
  <c r="K56" i="6" s="1"/>
  <c r="V56" i="4"/>
  <c r="V56" i="6" s="1"/>
  <c r="H56" i="4"/>
  <c r="C56" i="4"/>
  <c r="C56" i="7" s="1"/>
  <c r="O97" i="9"/>
  <c r="O97" i="10" s="1"/>
  <c r="J96" i="4"/>
  <c r="J96" i="7" s="1"/>
  <c r="N96" i="4"/>
  <c r="N96" i="7" s="1"/>
  <c r="Z97" i="9"/>
  <c r="Z97" i="11" s="1"/>
  <c r="J56" i="4"/>
  <c r="J56" i="6" s="1"/>
  <c r="O96" i="4"/>
  <c r="O96" i="6" s="1"/>
  <c r="M96" i="4"/>
  <c r="M96" i="7" s="1"/>
  <c r="CT93" i="2"/>
  <c r="F96" i="4"/>
  <c r="F96" i="7" s="1"/>
  <c r="V56" i="7"/>
  <c r="M92" i="6"/>
  <c r="M92" i="7"/>
  <c r="R93" i="11"/>
  <c r="CT57" i="2"/>
  <c r="DB57" i="2" s="1"/>
  <c r="Z56" i="4"/>
  <c r="Z56" i="6" s="1"/>
  <c r="CZ57" i="2"/>
  <c r="H98" i="6"/>
  <c r="H98" i="7"/>
  <c r="CU54" i="2"/>
  <c r="J97" i="4"/>
  <c r="J97" i="7" s="1"/>
  <c r="AA100" i="4"/>
  <c r="AA100" i="6" s="1"/>
  <c r="Y94" i="4"/>
  <c r="B96" i="11"/>
  <c r="R56" i="9"/>
  <c r="R56" i="11" s="1"/>
  <c r="M100" i="4"/>
  <c r="M100" i="6" s="1"/>
  <c r="W94" i="4"/>
  <c r="W94" i="7" s="1"/>
  <c r="X97" i="4"/>
  <c r="X97" i="7" s="1"/>
  <c r="CZ102" i="2"/>
  <c r="CT102" i="2"/>
  <c r="DB102" i="2" s="1"/>
  <c r="L94" i="4"/>
  <c r="L94" i="6" s="1"/>
  <c r="E100" i="4"/>
  <c r="E100" i="6" s="1"/>
  <c r="R100" i="4"/>
  <c r="R100" i="6" s="1"/>
  <c r="J57" i="9"/>
  <c r="J100" i="4"/>
  <c r="J100" i="6" s="1"/>
  <c r="G97" i="10"/>
  <c r="O100" i="4"/>
  <c r="F94" i="4"/>
  <c r="F94" i="6" s="1"/>
  <c r="S97" i="4"/>
  <c r="S97" i="6" s="1"/>
  <c r="Q97" i="4"/>
  <c r="Q97" i="7" s="1"/>
  <c r="H100" i="4"/>
  <c r="H100" i="6" s="1"/>
  <c r="F100" i="4"/>
  <c r="F100" i="6" s="1"/>
  <c r="C97" i="4"/>
  <c r="C97" i="7" s="1"/>
  <c r="Y97" i="4"/>
  <c r="Y97" i="7" s="1"/>
  <c r="O100" i="9"/>
  <c r="O100" i="10" s="1"/>
  <c r="P100" i="9"/>
  <c r="E97" i="4"/>
  <c r="E97" i="7" s="1"/>
  <c r="P97" i="4"/>
  <c r="P97" i="6" s="1"/>
  <c r="Z97" i="4"/>
  <c r="Z97" i="7" s="1"/>
  <c r="M94" i="4"/>
  <c r="M94" i="6" s="1"/>
  <c r="M97" i="4"/>
  <c r="M97" i="7" s="1"/>
  <c r="Z100" i="10"/>
  <c r="E100" i="9"/>
  <c r="D100" i="9"/>
  <c r="H100" i="9"/>
  <c r="H100" i="10" s="1"/>
  <c r="B100" i="9"/>
  <c r="B100" i="11" s="1"/>
  <c r="U56" i="9"/>
  <c r="CT101" i="2"/>
  <c r="H94" i="4"/>
  <c r="H94" i="7" s="1"/>
  <c r="U94" i="4"/>
  <c r="U94" i="6" s="1"/>
  <c r="W100" i="4"/>
  <c r="Z94" i="4"/>
  <c r="Z94" i="6" s="1"/>
  <c r="Z100" i="4"/>
  <c r="Z100" i="7" s="1"/>
  <c r="T100" i="4"/>
  <c r="T100" i="6" s="1"/>
  <c r="W100" i="9"/>
  <c r="W100" i="10" s="1"/>
  <c r="G100" i="9"/>
  <c r="G100" i="11" s="1"/>
  <c r="X100" i="9"/>
  <c r="X100" i="10" s="1"/>
  <c r="K97" i="4"/>
  <c r="K97" i="6" s="1"/>
  <c r="DE98" i="2"/>
  <c r="DF98" i="2" s="1"/>
  <c r="E94" i="4"/>
  <c r="E94" i="6" s="1"/>
  <c r="I100" i="9"/>
  <c r="I100" i="10" s="1"/>
  <c r="K100" i="9"/>
  <c r="K100" i="11" s="1"/>
  <c r="Q100" i="9"/>
  <c r="Q100" i="10" s="1"/>
  <c r="R100" i="9"/>
  <c r="R100" i="10" s="1"/>
  <c r="T100" i="9"/>
  <c r="T100" i="10" s="1"/>
  <c r="CU101" i="2"/>
  <c r="S92" i="9"/>
  <c r="S92" i="11" s="1"/>
  <c r="CU100" i="2"/>
  <c r="G91" i="4"/>
  <c r="AA94" i="4"/>
  <c r="L97" i="4"/>
  <c r="L97" i="7" s="1"/>
  <c r="I97" i="4"/>
  <c r="C100" i="9"/>
  <c r="B100" i="4"/>
  <c r="B100" i="6" s="1"/>
  <c r="P100" i="4"/>
  <c r="P100" i="6" s="1"/>
  <c r="N100" i="4"/>
  <c r="N100" i="7" s="1"/>
  <c r="Q100" i="4"/>
  <c r="Q100" i="7" s="1"/>
  <c r="DA101" i="2"/>
  <c r="V97" i="4"/>
  <c r="V97" i="7" s="1"/>
  <c r="D94" i="4"/>
  <c r="D94" i="7" s="1"/>
  <c r="S100" i="9"/>
  <c r="S100" i="11" s="1"/>
  <c r="Y100" i="9"/>
  <c r="L100" i="9"/>
  <c r="V100" i="9"/>
  <c r="V100" i="11" s="1"/>
  <c r="E99" i="9"/>
  <c r="E99" i="10" s="1"/>
  <c r="N99" i="9"/>
  <c r="CZ95" i="2"/>
  <c r="X99" i="9"/>
  <c r="H99" i="9"/>
  <c r="H99" i="10" s="1"/>
  <c r="T93" i="7"/>
  <c r="T93" i="6"/>
  <c r="T92" i="4"/>
  <c r="T92" i="7" s="1"/>
  <c r="J92" i="4"/>
  <c r="J92" i="6" s="1"/>
  <c r="X92" i="4"/>
  <c r="X92" i="6" s="1"/>
  <c r="F92" i="4"/>
  <c r="F94" i="9"/>
  <c r="F94" i="11" s="1"/>
  <c r="V92" i="9"/>
  <c r="V92" i="11" s="1"/>
  <c r="CU93" i="2"/>
  <c r="Y97" i="9"/>
  <c r="Y97" i="11" s="1"/>
  <c r="J92" i="9"/>
  <c r="W92" i="9"/>
  <c r="B95" i="9"/>
  <c r="U95" i="9"/>
  <c r="Z99" i="9"/>
  <c r="X94" i="9"/>
  <c r="M99" i="9"/>
  <c r="M99" i="11" s="1"/>
  <c r="O54" i="9"/>
  <c r="O54" i="11" s="1"/>
  <c r="D98" i="9"/>
  <c r="D98" i="11" s="1"/>
  <c r="R98" i="9"/>
  <c r="R98" i="11" s="1"/>
  <c r="T94" i="9"/>
  <c r="DA99" i="2"/>
  <c r="CZ93" i="2"/>
  <c r="C92" i="4"/>
  <c r="C92" i="6" s="1"/>
  <c r="Y93" i="4"/>
  <c r="DA100" i="2"/>
  <c r="P92" i="4"/>
  <c r="P92" i="6" s="1"/>
  <c r="T98" i="4"/>
  <c r="DA102" i="2"/>
  <c r="CZ85" i="2"/>
  <c r="N94" i="9"/>
  <c r="N94" i="10" s="1"/>
  <c r="V98" i="11"/>
  <c r="N84" i="4"/>
  <c r="N84" i="6" s="1"/>
  <c r="Z92" i="4"/>
  <c r="Z92" i="6" s="1"/>
  <c r="B94" i="9"/>
  <c r="B94" i="10" s="1"/>
  <c r="B92" i="4"/>
  <c r="B92" i="7" s="1"/>
  <c r="DE93" i="2"/>
  <c r="DF93" i="2" s="1"/>
  <c r="D94" i="9"/>
  <c r="D94" i="11" s="1"/>
  <c r="C94" i="9"/>
  <c r="C94" i="11" s="1"/>
  <c r="CU95" i="2"/>
  <c r="DB95" i="2" s="1"/>
  <c r="W92" i="4"/>
  <c r="W92" i="7" s="1"/>
  <c r="X55" i="4"/>
  <c r="X55" i="6" s="1"/>
  <c r="DE85" i="2"/>
  <c r="DF85" i="2" s="1"/>
  <c r="G92" i="4"/>
  <c r="E92" i="4"/>
  <c r="E92" i="7" s="1"/>
  <c r="D84" i="4"/>
  <c r="D84" i="6" s="1"/>
  <c r="K92" i="4"/>
  <c r="K92" i="6" s="1"/>
  <c r="I92" i="4"/>
  <c r="I92" i="7" s="1"/>
  <c r="Z94" i="9"/>
  <c r="Z94" i="10" s="1"/>
  <c r="R92" i="4"/>
  <c r="R92" i="6" s="1"/>
  <c r="V92" i="4"/>
  <c r="V92" i="6" s="1"/>
  <c r="DA93" i="2"/>
  <c r="N92" i="4"/>
  <c r="Q95" i="9"/>
  <c r="Q95" i="11" s="1"/>
  <c r="R97" i="9"/>
  <c r="R97" i="11" s="1"/>
  <c r="S99" i="9"/>
  <c r="S99" i="11" s="1"/>
  <c r="G95" i="9"/>
  <c r="G95" i="10" s="1"/>
  <c r="E92" i="9"/>
  <c r="E92" i="11" s="1"/>
  <c r="I92" i="9"/>
  <c r="I92" i="10" s="1"/>
  <c r="K92" i="9"/>
  <c r="K92" i="11" s="1"/>
  <c r="F92" i="9"/>
  <c r="CZ94" i="2"/>
  <c r="S97" i="9"/>
  <c r="S97" i="10" s="1"/>
  <c r="Y92" i="9"/>
  <c r="Y92" i="11" s="1"/>
  <c r="Z95" i="9"/>
  <c r="Z95" i="11" s="1"/>
  <c r="D95" i="9"/>
  <c r="F99" i="9"/>
  <c r="F99" i="10" s="1"/>
  <c r="L99" i="9"/>
  <c r="AA95" i="9"/>
  <c r="AA95" i="10" s="1"/>
  <c r="R99" i="9"/>
  <c r="V95" i="9"/>
  <c r="Z98" i="9"/>
  <c r="CU99" i="2"/>
  <c r="V99" i="9"/>
  <c r="D93" i="4"/>
  <c r="D93" i="6" s="1"/>
  <c r="G56" i="4"/>
  <c r="K97" i="9"/>
  <c r="J99" i="9"/>
  <c r="X92" i="9"/>
  <c r="AA98" i="4"/>
  <c r="CU16" i="2"/>
  <c r="CT35" i="2"/>
  <c r="DA59" i="2"/>
  <c r="CU60" i="2"/>
  <c r="CT73" i="2"/>
  <c r="X37" i="9"/>
  <c r="X37" i="10" s="1"/>
  <c r="G94" i="4"/>
  <c r="Z54" i="9"/>
  <c r="Z54" i="10" s="1"/>
  <c r="Q54" i="9"/>
  <c r="Q54" i="10" s="1"/>
  <c r="E54" i="9"/>
  <c r="W94" i="10"/>
  <c r="W94" i="11"/>
  <c r="Q94" i="9"/>
  <c r="S94" i="9"/>
  <c r="O94" i="9"/>
  <c r="O94" i="11" s="1"/>
  <c r="AA94" i="9"/>
  <c r="Y94" i="9"/>
  <c r="U94" i="9"/>
  <c r="U94" i="11" s="1"/>
  <c r="R94" i="9"/>
  <c r="R94" i="11" s="1"/>
  <c r="E94" i="9"/>
  <c r="J94" i="9"/>
  <c r="I94" i="9"/>
  <c r="M94" i="9"/>
  <c r="M94" i="10" s="1"/>
  <c r="K94" i="9"/>
  <c r="K94" i="11" s="1"/>
  <c r="CZ101" i="2"/>
  <c r="S100" i="4"/>
  <c r="S100" i="6" s="1"/>
  <c r="G100" i="4"/>
  <c r="G100" i="6" s="1"/>
  <c r="D100" i="4"/>
  <c r="D100" i="6" s="1"/>
  <c r="V100" i="4"/>
  <c r="V100" i="6" s="1"/>
  <c r="L100" i="4"/>
  <c r="L100" i="6" s="1"/>
  <c r="X100" i="4"/>
  <c r="U100" i="4"/>
  <c r="C100" i="4"/>
  <c r="I100" i="4"/>
  <c r="N94" i="4"/>
  <c r="Q94" i="4"/>
  <c r="V94" i="4"/>
  <c r="B94" i="4"/>
  <c r="I94" i="4"/>
  <c r="X94" i="4"/>
  <c r="X94" i="6" s="1"/>
  <c r="S94" i="4"/>
  <c r="C94" i="4"/>
  <c r="R94" i="4"/>
  <c r="K94" i="4"/>
  <c r="DE95" i="2"/>
  <c r="DF95" i="2" s="1"/>
  <c r="J94" i="4"/>
  <c r="P94" i="4"/>
  <c r="R97" i="4"/>
  <c r="H97" i="4"/>
  <c r="H97" i="7" s="1"/>
  <c r="B97" i="4"/>
  <c r="B97" i="6" s="1"/>
  <c r="G97" i="4"/>
  <c r="G97" i="6" s="1"/>
  <c r="D97" i="4"/>
  <c r="D97" i="6" s="1"/>
  <c r="F97" i="4"/>
  <c r="F97" i="7" s="1"/>
  <c r="U97" i="4"/>
  <c r="U97" i="6" s="1"/>
  <c r="N97" i="4"/>
  <c r="CZ98" i="2"/>
  <c r="CT98" i="2"/>
  <c r="T97" i="4"/>
  <c r="T97" i="6" s="1"/>
  <c r="AA97" i="4"/>
  <c r="AA97" i="7" s="1"/>
  <c r="W97" i="4"/>
  <c r="W97" i="7" s="1"/>
  <c r="CZ70" i="2"/>
  <c r="CT20" i="2"/>
  <c r="CU17" i="2"/>
  <c r="CZ73" i="2"/>
  <c r="CU59" i="2"/>
  <c r="CT68" i="2"/>
  <c r="DE77" i="2"/>
  <c r="DF77" i="2" s="1"/>
  <c r="CT62" i="2"/>
  <c r="I54" i="9"/>
  <c r="I54" i="11" s="1"/>
  <c r="DA55" i="2"/>
  <c r="R54" i="9"/>
  <c r="R54" i="11" s="1"/>
  <c r="F95" i="4"/>
  <c r="F95" i="6" s="1"/>
  <c r="AA54" i="4"/>
  <c r="U54" i="4"/>
  <c r="U54" i="6" s="1"/>
  <c r="X56" i="6"/>
  <c r="X56" i="7"/>
  <c r="C99" i="11"/>
  <c r="C99" i="10"/>
  <c r="D91" i="9"/>
  <c r="D91" i="10" s="1"/>
  <c r="CU92" i="2"/>
  <c r="K91" i="9"/>
  <c r="I91" i="9"/>
  <c r="I91" i="11" s="1"/>
  <c r="Y91" i="9"/>
  <c r="Y91" i="11" s="1"/>
  <c r="H91" i="9"/>
  <c r="G91" i="9"/>
  <c r="U91" i="9"/>
  <c r="U91" i="11" s="1"/>
  <c r="V56" i="9"/>
  <c r="S56" i="9"/>
  <c r="C56" i="9"/>
  <c r="C56" i="11" s="1"/>
  <c r="L56" i="9"/>
  <c r="T94" i="4"/>
  <c r="M54" i="9"/>
  <c r="N54" i="9"/>
  <c r="N54" i="11" s="1"/>
  <c r="V54" i="9"/>
  <c r="V54" i="11" s="1"/>
  <c r="S54" i="9"/>
  <c r="D54" i="9"/>
  <c r="D54" i="10" s="1"/>
  <c r="G54" i="9"/>
  <c r="G54" i="11" s="1"/>
  <c r="B54" i="9"/>
  <c r="B54" i="11" s="1"/>
  <c r="L54" i="9"/>
  <c r="AA54" i="9"/>
  <c r="AA54" i="11" s="1"/>
  <c r="H54" i="9"/>
  <c r="CZ11" i="2"/>
  <c r="CU45" i="2"/>
  <c r="CZ35" i="2"/>
  <c r="DE73" i="2"/>
  <c r="DF73" i="2" s="1"/>
  <c r="DE84" i="2"/>
  <c r="DF84" i="2" s="1"/>
  <c r="DE68" i="2"/>
  <c r="DF68" i="2" s="1"/>
  <c r="CT74" i="2"/>
  <c r="DB74" i="2" s="1"/>
  <c r="J54" i="9"/>
  <c r="J54" i="11" s="1"/>
  <c r="P54" i="9"/>
  <c r="P54" i="10" s="1"/>
  <c r="U54" i="9"/>
  <c r="U54" i="10" s="1"/>
  <c r="T11" i="4"/>
  <c r="T11" i="6" s="1"/>
  <c r="X54" i="9"/>
  <c r="X54" i="11" s="1"/>
  <c r="C54" i="9"/>
  <c r="C54" i="11" s="1"/>
  <c r="V94" i="9"/>
  <c r="V94" i="10" s="1"/>
  <c r="W54" i="9"/>
  <c r="W54" i="11" s="1"/>
  <c r="L94" i="9"/>
  <c r="G94" i="9"/>
  <c r="K100" i="4"/>
  <c r="O94" i="4"/>
  <c r="N55" i="9"/>
  <c r="N55" i="11" s="1"/>
  <c r="T55" i="9"/>
  <c r="T55" i="11" s="1"/>
  <c r="B98" i="9"/>
  <c r="B98" i="11" s="1"/>
  <c r="I98" i="9"/>
  <c r="C98" i="9"/>
  <c r="E98" i="9"/>
  <c r="T98" i="9"/>
  <c r="N98" i="9"/>
  <c r="R55" i="9"/>
  <c r="O55" i="9"/>
  <c r="O55" i="11" s="1"/>
  <c r="Z55" i="9"/>
  <c r="F55" i="9"/>
  <c r="F55" i="10" s="1"/>
  <c r="L55" i="9"/>
  <c r="L55" i="11" s="1"/>
  <c r="H98" i="9"/>
  <c r="S98" i="9"/>
  <c r="K98" i="9"/>
  <c r="O98" i="9"/>
  <c r="U98" i="9"/>
  <c r="DA74" i="2"/>
  <c r="CZ77" i="2"/>
  <c r="CT89" i="2"/>
  <c r="CT78" i="2"/>
  <c r="CZ68" i="2"/>
  <c r="B79" i="9"/>
  <c r="Z79" i="9"/>
  <c r="Z79" i="10" s="1"/>
  <c r="AA14" i="4"/>
  <c r="AA14" i="6" s="1"/>
  <c r="I49" i="4"/>
  <c r="I49" i="6" s="1"/>
  <c r="L29" i="9"/>
  <c r="L29" i="10" s="1"/>
  <c r="J77" i="4"/>
  <c r="J77" i="7" s="1"/>
  <c r="H12" i="9"/>
  <c r="H12" i="10" s="1"/>
  <c r="D48" i="4"/>
  <c r="D48" i="6" s="1"/>
  <c r="X9" i="4"/>
  <c r="X9" i="6" s="1"/>
  <c r="X82" i="4"/>
  <c r="X82" i="6" s="1"/>
  <c r="I86" i="9"/>
  <c r="I86" i="10" s="1"/>
  <c r="AA72" i="9"/>
  <c r="AA72" i="10" s="1"/>
  <c r="S49" i="4"/>
  <c r="U58" i="9"/>
  <c r="U58" i="10" s="1"/>
  <c r="Q34" i="9"/>
  <c r="Q34" i="11" s="1"/>
  <c r="T46" i="4"/>
  <c r="T46" i="6" s="1"/>
  <c r="G67" i="4"/>
  <c r="X45" i="9"/>
  <c r="X45" i="11" s="1"/>
  <c r="V31" i="9"/>
  <c r="V31" i="11" s="1"/>
  <c r="E86" i="9"/>
  <c r="E86" i="10" s="1"/>
  <c r="Q55" i="9"/>
  <c r="J55" i="9"/>
  <c r="G56" i="9"/>
  <c r="B56" i="9"/>
  <c r="P56" i="9"/>
  <c r="R91" i="9"/>
  <c r="B91" i="9"/>
  <c r="I91" i="4"/>
  <c r="T91" i="9"/>
  <c r="E56" i="9"/>
  <c r="I56" i="9"/>
  <c r="F56" i="9"/>
  <c r="X56" i="9"/>
  <c r="DA89" i="2"/>
  <c r="CZ19" i="2"/>
  <c r="DE89" i="2"/>
  <c r="DF89" i="2" s="1"/>
  <c r="DA60" i="2"/>
  <c r="CT77" i="2"/>
  <c r="CU36" i="2"/>
  <c r="L45" i="9"/>
  <c r="L45" i="11" s="1"/>
  <c r="N86" i="9"/>
  <c r="L79" i="4"/>
  <c r="L79" i="7" s="1"/>
  <c r="AA18" i="4"/>
  <c r="AA18" i="7" s="1"/>
  <c r="E34" i="9"/>
  <c r="E34" i="11" s="1"/>
  <c r="W13" i="4"/>
  <c r="O59" i="9"/>
  <c r="O59" i="10" s="1"/>
  <c r="F32" i="4"/>
  <c r="F32" i="6" s="1"/>
  <c r="Y48" i="4"/>
  <c r="Y48" i="7" s="1"/>
  <c r="H43" i="9"/>
  <c r="AA10" i="9"/>
  <c r="AA10" i="10" s="1"/>
  <c r="D81" i="9"/>
  <c r="D81" i="10" s="1"/>
  <c r="E12" i="9"/>
  <c r="E12" i="11" s="1"/>
  <c r="U18" i="9"/>
  <c r="U18" i="11" s="1"/>
  <c r="G76" i="4"/>
  <c r="G76" i="6" s="1"/>
  <c r="K13" i="4"/>
  <c r="AA91" i="9"/>
  <c r="AA55" i="9"/>
  <c r="AA55" i="11" s="1"/>
  <c r="V55" i="9"/>
  <c r="D55" i="9"/>
  <c r="W56" i="9"/>
  <c r="AA56" i="9"/>
  <c r="H56" i="9"/>
  <c r="Z91" i="9"/>
  <c r="N91" i="9"/>
  <c r="N91" i="10" s="1"/>
  <c r="O91" i="4"/>
  <c r="O91" i="6" s="1"/>
  <c r="V91" i="4"/>
  <c r="V91" i="7" s="1"/>
  <c r="J91" i="4"/>
  <c r="J91" i="6" s="1"/>
  <c r="P91" i="9"/>
  <c r="P54" i="4"/>
  <c r="K56" i="9"/>
  <c r="L91" i="9"/>
  <c r="DA92" i="2"/>
  <c r="M56" i="9"/>
  <c r="O56" i="9"/>
  <c r="Z56" i="9"/>
  <c r="T56" i="9"/>
  <c r="I80" i="4"/>
  <c r="I80" i="6" s="1"/>
  <c r="L88" i="4"/>
  <c r="L88" i="7" s="1"/>
  <c r="D85" i="9"/>
  <c r="D85" i="11" s="1"/>
  <c r="G36" i="4"/>
  <c r="G36" i="6" s="1"/>
  <c r="X33" i="4"/>
  <c r="X33" i="6" s="1"/>
  <c r="U44" i="9"/>
  <c r="U44" i="11" s="1"/>
  <c r="M29" i="4"/>
  <c r="O79" i="9"/>
  <c r="E18" i="9"/>
  <c r="E18" i="10" s="1"/>
  <c r="S29" i="4"/>
  <c r="S29" i="7" s="1"/>
  <c r="Q76" i="9"/>
  <c r="F66" i="4"/>
  <c r="F66" i="7" s="1"/>
  <c r="L82" i="4"/>
  <c r="L82" i="6" s="1"/>
  <c r="L34" i="4"/>
  <c r="L34" i="6" s="1"/>
  <c r="H73" i="9"/>
  <c r="U81" i="9"/>
  <c r="DA80" i="2"/>
  <c r="CZ89" i="2"/>
  <c r="CT80" i="2"/>
  <c r="DE62" i="2"/>
  <c r="DF62" i="2" s="1"/>
  <c r="DE35" i="2"/>
  <c r="DF35" i="2" s="1"/>
  <c r="CU30" i="2"/>
  <c r="M65" i="9"/>
  <c r="U73" i="9"/>
  <c r="U73" i="11" s="1"/>
  <c r="V72" i="9"/>
  <c r="V72" i="11" s="1"/>
  <c r="H34" i="9"/>
  <c r="H34" i="11" s="1"/>
  <c r="W76" i="9"/>
  <c r="W76" i="11" s="1"/>
  <c r="R46" i="4"/>
  <c r="R46" i="7" s="1"/>
  <c r="X67" i="4"/>
  <c r="X67" i="6" s="1"/>
  <c r="B42" i="4"/>
  <c r="B42" i="7" s="1"/>
  <c r="F79" i="9"/>
  <c r="F79" i="11" s="1"/>
  <c r="F65" i="9"/>
  <c r="F65" i="11" s="1"/>
  <c r="J88" i="9"/>
  <c r="J88" i="11" s="1"/>
  <c r="F86" i="9"/>
  <c r="F86" i="11" s="1"/>
  <c r="Z13" i="4"/>
  <c r="Q87" i="4"/>
  <c r="J15" i="9"/>
  <c r="J15" i="10" s="1"/>
  <c r="W18" i="4"/>
  <c r="W18" i="6" s="1"/>
  <c r="F45" i="9"/>
  <c r="F45" i="11" s="1"/>
  <c r="B55" i="9"/>
  <c r="B55" i="11" s="1"/>
  <c r="G55" i="9"/>
  <c r="Y56" i="9"/>
  <c r="J56" i="9"/>
  <c r="Q56" i="9"/>
  <c r="F91" i="9"/>
  <c r="F91" i="10" s="1"/>
  <c r="M91" i="9"/>
  <c r="W91" i="4"/>
  <c r="W91" i="6" s="1"/>
  <c r="N91" i="4"/>
  <c r="N91" i="6" s="1"/>
  <c r="N56" i="9"/>
  <c r="D56" i="9"/>
  <c r="DA57" i="2"/>
  <c r="L69" i="9"/>
  <c r="L69" i="10" s="1"/>
  <c r="F69" i="9"/>
  <c r="F69" i="11" s="1"/>
  <c r="V69" i="9"/>
  <c r="R69" i="9"/>
  <c r="R69" i="11" s="1"/>
  <c r="X69" i="9"/>
  <c r="X69" i="11" s="1"/>
  <c r="W69" i="9"/>
  <c r="W69" i="11" s="1"/>
  <c r="DA70" i="2"/>
  <c r="U69" i="9"/>
  <c r="U69" i="11" s="1"/>
  <c r="Z69" i="9"/>
  <c r="Z69" i="10" s="1"/>
  <c r="H63" i="4"/>
  <c r="H63" i="7" s="1"/>
  <c r="I63" i="4"/>
  <c r="G63" i="4"/>
  <c r="G63" i="6" s="1"/>
  <c r="AA63" i="4"/>
  <c r="AA63" i="6" s="1"/>
  <c r="S63" i="4"/>
  <c r="S63" i="6" s="1"/>
  <c r="P63" i="4"/>
  <c r="V63" i="4"/>
  <c r="V63" i="7" s="1"/>
  <c r="O63" i="4"/>
  <c r="O63" i="7" s="1"/>
  <c r="L63" i="4"/>
  <c r="L63" i="7" s="1"/>
  <c r="Z38" i="9"/>
  <c r="Z38" i="10" s="1"/>
  <c r="O38" i="9"/>
  <c r="X38" i="9"/>
  <c r="X38" i="11" s="1"/>
  <c r="Y38" i="9"/>
  <c r="Y38" i="11" s="1"/>
  <c r="M38" i="9"/>
  <c r="AA38" i="9"/>
  <c r="S38" i="9"/>
  <c r="S38" i="11" s="1"/>
  <c r="K12" i="4"/>
  <c r="K12" i="6" s="1"/>
  <c r="Y12" i="4"/>
  <c r="AA12" i="4"/>
  <c r="AA12" i="6" s="1"/>
  <c r="I12" i="4"/>
  <c r="I12" i="6" s="1"/>
  <c r="B12" i="4"/>
  <c r="B12" i="7" s="1"/>
  <c r="Q43" i="4"/>
  <c r="M43" i="4"/>
  <c r="Y43" i="4"/>
  <c r="Y43" i="6" s="1"/>
  <c r="N43" i="4"/>
  <c r="N43" i="7" s="1"/>
  <c r="O35" i="4"/>
  <c r="M35" i="4"/>
  <c r="Q35" i="4"/>
  <c r="Q35" i="6" s="1"/>
  <c r="N35" i="4"/>
  <c r="N35" i="6" s="1"/>
  <c r="H35" i="4"/>
  <c r="H35" i="7" s="1"/>
  <c r="C35" i="4"/>
  <c r="C35" i="6" s="1"/>
  <c r="AA16" i="4"/>
  <c r="AA16" i="6" s="1"/>
  <c r="C16" i="4"/>
  <c r="C16" i="6" s="1"/>
  <c r="V16" i="4"/>
  <c r="V16" i="6" s="1"/>
  <c r="M16" i="4"/>
  <c r="M16" i="7" s="1"/>
  <c r="X16" i="4"/>
  <c r="X16" i="6" s="1"/>
  <c r="I16" i="4"/>
  <c r="I16" i="7" s="1"/>
  <c r="T16" i="4"/>
  <c r="W16" i="4"/>
  <c r="W16" i="6" s="1"/>
  <c r="J16" i="4"/>
  <c r="J16" i="7" s="1"/>
  <c r="X17" i="4"/>
  <c r="X17" i="6" s="1"/>
  <c r="E17" i="4"/>
  <c r="K17" i="4"/>
  <c r="K17" i="7" s="1"/>
  <c r="M17" i="4"/>
  <c r="M17" i="6" s="1"/>
  <c r="C17" i="4"/>
  <c r="C17" i="7" s="1"/>
  <c r="H17" i="4"/>
  <c r="R17" i="4"/>
  <c r="Z59" i="4"/>
  <c r="Z59" i="7" s="1"/>
  <c r="U59" i="4"/>
  <c r="U59" i="6" s="1"/>
  <c r="O59" i="4"/>
  <c r="O59" i="7" s="1"/>
  <c r="AA59" i="4"/>
  <c r="Q59" i="4"/>
  <c r="Q59" i="6" s="1"/>
  <c r="D59" i="4"/>
  <c r="D59" i="6" s="1"/>
  <c r="V59" i="4"/>
  <c r="V59" i="6" s="1"/>
  <c r="E59" i="4"/>
  <c r="E59" i="7" s="1"/>
  <c r="W59" i="4"/>
  <c r="W59" i="6" s="1"/>
  <c r="C28" i="9"/>
  <c r="C28" i="10" s="1"/>
  <c r="M28" i="9"/>
  <c r="M28" i="11" s="1"/>
  <c r="P28" i="9"/>
  <c r="P28" i="11" s="1"/>
  <c r="Z28" i="9"/>
  <c r="Z28" i="11" s="1"/>
  <c r="T28" i="9"/>
  <c r="T28" i="11" s="1"/>
  <c r="M48" i="9"/>
  <c r="X48" i="9"/>
  <c r="U48" i="9"/>
  <c r="U48" i="10" s="1"/>
  <c r="E48" i="9"/>
  <c r="E48" i="10" s="1"/>
  <c r="N48" i="9"/>
  <c r="N48" i="11" s="1"/>
  <c r="Z48" i="9"/>
  <c r="Z48" i="11" s="1"/>
  <c r="O48" i="9"/>
  <c r="O48" i="11" s="1"/>
  <c r="P48" i="9"/>
  <c r="P48" i="11" s="1"/>
  <c r="AA32" i="9"/>
  <c r="AA32" i="10" s="1"/>
  <c r="W32" i="9"/>
  <c r="X32" i="9"/>
  <c r="X32" i="11" s="1"/>
  <c r="O32" i="9"/>
  <c r="O32" i="10" s="1"/>
  <c r="E32" i="9"/>
  <c r="E32" i="10" s="1"/>
  <c r="Z43" i="4"/>
  <c r="J17" i="4"/>
  <c r="J17" i="6" s="1"/>
  <c r="E35" i="4"/>
  <c r="E35" i="6" s="1"/>
  <c r="E44" i="4"/>
  <c r="Z32" i="9"/>
  <c r="Z32" i="11" s="1"/>
  <c r="CU75" i="2"/>
  <c r="G74" i="9"/>
  <c r="X74" i="9"/>
  <c r="DA75" i="2"/>
  <c r="J74" i="9"/>
  <c r="J74" i="11" s="1"/>
  <c r="D74" i="9"/>
  <c r="D74" i="11" s="1"/>
  <c r="U74" i="9"/>
  <c r="U74" i="11" s="1"/>
  <c r="B74" i="9"/>
  <c r="B74" i="11" s="1"/>
  <c r="AA74" i="9"/>
  <c r="AA74" i="10" s="1"/>
  <c r="L62" i="4"/>
  <c r="L62" i="7" s="1"/>
  <c r="C62" i="4"/>
  <c r="F62" i="4"/>
  <c r="F62" i="7" s="1"/>
  <c r="V62" i="4"/>
  <c r="V62" i="6" s="1"/>
  <c r="T62" i="4"/>
  <c r="B62" i="4"/>
  <c r="B62" i="6" s="1"/>
  <c r="I62" i="4"/>
  <c r="I62" i="6" s="1"/>
  <c r="N58" i="4"/>
  <c r="N58" i="7" s="1"/>
  <c r="X58" i="4"/>
  <c r="E58" i="4"/>
  <c r="O58" i="4"/>
  <c r="O58" i="7" s="1"/>
  <c r="H58" i="4"/>
  <c r="H58" i="6" s="1"/>
  <c r="J58" i="4"/>
  <c r="J58" i="7" s="1"/>
  <c r="P58" i="4"/>
  <c r="P58" i="7" s="1"/>
  <c r="M58" i="4"/>
  <c r="M58" i="6" s="1"/>
  <c r="V58" i="4"/>
  <c r="V58" i="7" s="1"/>
  <c r="D41" i="4"/>
  <c r="D41" i="7" s="1"/>
  <c r="L41" i="4"/>
  <c r="L41" i="7" s="1"/>
  <c r="K41" i="4"/>
  <c r="K41" i="6" s="1"/>
  <c r="X41" i="4"/>
  <c r="X41" i="6" s="1"/>
  <c r="G41" i="4"/>
  <c r="N41" i="4"/>
  <c r="N41" i="6" s="1"/>
  <c r="E41" i="4"/>
  <c r="E41" i="7" s="1"/>
  <c r="M41" i="4"/>
  <c r="M41" i="6" s="1"/>
  <c r="O41" i="4"/>
  <c r="Q70" i="9"/>
  <c r="Q70" i="10" s="1"/>
  <c r="B70" i="9"/>
  <c r="B70" i="10" s="1"/>
  <c r="K70" i="9"/>
  <c r="K70" i="10" s="1"/>
  <c r="U70" i="9"/>
  <c r="P70" i="9"/>
  <c r="O70" i="9"/>
  <c r="O70" i="10" s="1"/>
  <c r="I70" i="9"/>
  <c r="I70" i="11" s="1"/>
  <c r="AA51" i="9"/>
  <c r="U51" i="9"/>
  <c r="L51" i="9"/>
  <c r="L51" i="11" s="1"/>
  <c r="N51" i="9"/>
  <c r="N51" i="11" s="1"/>
  <c r="G51" i="9"/>
  <c r="G51" i="11" s="1"/>
  <c r="D51" i="9"/>
  <c r="N46" i="9"/>
  <c r="N46" i="10" s="1"/>
  <c r="V46" i="9"/>
  <c r="V46" i="11" s="1"/>
  <c r="M46" i="9"/>
  <c r="M46" i="11" s="1"/>
  <c r="K46" i="9"/>
  <c r="K46" i="11" s="1"/>
  <c r="I46" i="9"/>
  <c r="I46" i="10" s="1"/>
  <c r="E46" i="9"/>
  <c r="E46" i="11" s="1"/>
  <c r="X46" i="9"/>
  <c r="X46" i="11" s="1"/>
  <c r="H46" i="9"/>
  <c r="P46" i="9"/>
  <c r="P46" i="11" s="1"/>
  <c r="G42" i="9"/>
  <c r="G42" i="10" s="1"/>
  <c r="W42" i="9"/>
  <c r="C42" i="9"/>
  <c r="C42" i="11" s="1"/>
  <c r="M42" i="9"/>
  <c r="M42" i="11" s="1"/>
  <c r="F42" i="9"/>
  <c r="F42" i="10" s="1"/>
  <c r="L20" i="9"/>
  <c r="L20" i="10" s="1"/>
  <c r="C20" i="9"/>
  <c r="B20" i="9"/>
  <c r="B20" i="11" s="1"/>
  <c r="Y20" i="9"/>
  <c r="Y20" i="11" s="1"/>
  <c r="AA20" i="9"/>
  <c r="AA20" i="11" s="1"/>
  <c r="J20" i="9"/>
  <c r="E20" i="9"/>
  <c r="E20" i="11" s="1"/>
  <c r="X49" i="9"/>
  <c r="X49" i="10" s="1"/>
  <c r="V49" i="9"/>
  <c r="V49" i="11" s="1"/>
  <c r="N49" i="9"/>
  <c r="N49" i="11" s="1"/>
  <c r="B49" i="9"/>
  <c r="B49" i="10" s="1"/>
  <c r="U49" i="9"/>
  <c r="U49" i="11" s="1"/>
  <c r="G49" i="9"/>
  <c r="G49" i="10" s="1"/>
  <c r="N81" i="4"/>
  <c r="N81" i="6" s="1"/>
  <c r="E81" i="4"/>
  <c r="E81" i="6" s="1"/>
  <c r="O81" i="4"/>
  <c r="O81" i="6" s="1"/>
  <c r="H81" i="4"/>
  <c r="V81" i="4"/>
  <c r="V81" i="6" s="1"/>
  <c r="R81" i="4"/>
  <c r="R81" i="6" s="1"/>
  <c r="K81" i="4"/>
  <c r="K81" i="6" s="1"/>
  <c r="J81" i="4"/>
  <c r="J81" i="6" s="1"/>
  <c r="Y35" i="4"/>
  <c r="Y35" i="6" s="1"/>
  <c r="R71" i="4"/>
  <c r="R71" i="6" s="1"/>
  <c r="CZ72" i="2"/>
  <c r="N60" i="9"/>
  <c r="N60" i="10" s="1"/>
  <c r="DA61" i="2"/>
  <c r="N28" i="9"/>
  <c r="N28" i="11" s="1"/>
  <c r="F49" i="9"/>
  <c r="F49" i="10" s="1"/>
  <c r="P62" i="4"/>
  <c r="P62" i="7" s="1"/>
  <c r="AA17" i="4"/>
  <c r="AA17" i="7" s="1"/>
  <c r="Y32" i="9"/>
  <c r="Y32" i="11" s="1"/>
  <c r="U43" i="4"/>
  <c r="U43" i="6" s="1"/>
  <c r="P81" i="4"/>
  <c r="V38" i="9"/>
  <c r="V38" i="11" s="1"/>
  <c r="D17" i="4"/>
  <c r="D17" i="6" s="1"/>
  <c r="J47" i="4"/>
  <c r="J47" i="7" s="1"/>
  <c r="D47" i="4"/>
  <c r="D47" i="6" s="1"/>
  <c r="U47" i="4"/>
  <c r="AA47" i="4"/>
  <c r="AA47" i="6" s="1"/>
  <c r="K47" i="4"/>
  <c r="K47" i="6" s="1"/>
  <c r="R47" i="4"/>
  <c r="I47" i="4"/>
  <c r="I47" i="7" s="1"/>
  <c r="P47" i="4"/>
  <c r="P47" i="7" s="1"/>
  <c r="E47" i="4"/>
  <c r="E47" i="6" s="1"/>
  <c r="K30" i="4"/>
  <c r="L30" i="4"/>
  <c r="L30" i="6" s="1"/>
  <c r="M30" i="4"/>
  <c r="M30" i="6" s="1"/>
  <c r="H30" i="4"/>
  <c r="H30" i="6" s="1"/>
  <c r="C30" i="4"/>
  <c r="C30" i="7" s="1"/>
  <c r="B30" i="4"/>
  <c r="B30" i="6" s="1"/>
  <c r="CT31" i="2"/>
  <c r="Q87" i="9"/>
  <c r="Q87" i="11" s="1"/>
  <c r="O87" i="9"/>
  <c r="O87" i="10" s="1"/>
  <c r="Y87" i="9"/>
  <c r="Y87" i="11" s="1"/>
  <c r="U87" i="9"/>
  <c r="U87" i="10" s="1"/>
  <c r="R87" i="9"/>
  <c r="R87" i="10" s="1"/>
  <c r="K51" i="4"/>
  <c r="F51" i="4"/>
  <c r="F51" i="6" s="1"/>
  <c r="D51" i="4"/>
  <c r="D51" i="7" s="1"/>
  <c r="S51" i="4"/>
  <c r="S51" i="7" s="1"/>
  <c r="I51" i="4"/>
  <c r="C51" i="4"/>
  <c r="W51" i="4"/>
  <c r="W51" i="7" s="1"/>
  <c r="Z51" i="4"/>
  <c r="Z51" i="6" s="1"/>
  <c r="P51" i="4"/>
  <c r="V89" i="4"/>
  <c r="V89" i="6" s="1"/>
  <c r="Q89" i="4"/>
  <c r="Q89" i="6" s="1"/>
  <c r="O89" i="4"/>
  <c r="O89" i="7" s="1"/>
  <c r="T89" i="4"/>
  <c r="T89" i="7" s="1"/>
  <c r="J89" i="4"/>
  <c r="J89" i="6" s="1"/>
  <c r="DF90" i="2"/>
  <c r="CZ90" i="2"/>
  <c r="Y89" i="4"/>
  <c r="E89" i="4"/>
  <c r="I89" i="4"/>
  <c r="I89" i="6" s="1"/>
  <c r="B89" i="4"/>
  <c r="B89" i="6" s="1"/>
  <c r="AA89" i="4"/>
  <c r="AA89" i="6" s="1"/>
  <c r="V44" i="4"/>
  <c r="V44" i="6" s="1"/>
  <c r="L44" i="4"/>
  <c r="L44" i="7" s="1"/>
  <c r="G44" i="4"/>
  <c r="G44" i="6" s="1"/>
  <c r="J44" i="4"/>
  <c r="J44" i="6" s="1"/>
  <c r="N44" i="4"/>
  <c r="W44" i="4"/>
  <c r="W44" i="6" s="1"/>
  <c r="M44" i="4"/>
  <c r="M44" i="6" s="1"/>
  <c r="D44" i="4"/>
  <c r="D44" i="7" s="1"/>
  <c r="U83" i="9"/>
  <c r="U83" i="11" s="1"/>
  <c r="F83" i="9"/>
  <c r="F83" i="11" s="1"/>
  <c r="L83" i="9"/>
  <c r="L83" i="10" s="1"/>
  <c r="Z60" i="4"/>
  <c r="Z60" i="6" s="1"/>
  <c r="O60" i="4"/>
  <c r="U60" i="4"/>
  <c r="U60" i="7" s="1"/>
  <c r="Q60" i="4"/>
  <c r="Q60" i="6" s="1"/>
  <c r="H60" i="4"/>
  <c r="H60" i="7" s="1"/>
  <c r="I60" i="4"/>
  <c r="I60" i="6" s="1"/>
  <c r="AA60" i="4"/>
  <c r="AA60" i="6" s="1"/>
  <c r="L60" i="4"/>
  <c r="L60" i="7" s="1"/>
  <c r="D11" i="9"/>
  <c r="J11" i="9"/>
  <c r="J11" i="11" s="1"/>
  <c r="R11" i="9"/>
  <c r="R11" i="11" s="1"/>
  <c r="CU12" i="2"/>
  <c r="T11" i="9"/>
  <c r="I11" i="9"/>
  <c r="I11" i="11" s="1"/>
  <c r="X11" i="9"/>
  <c r="X11" i="11" s="1"/>
  <c r="U11" i="9"/>
  <c r="U11" i="11" s="1"/>
  <c r="CU33" i="2"/>
  <c r="DE63" i="2"/>
  <c r="DF63" i="2" s="1"/>
  <c r="R58" i="4"/>
  <c r="R58" i="7" s="1"/>
  <c r="CZ36" i="2"/>
  <c r="G47" i="4"/>
  <c r="F30" i="4"/>
  <c r="V60" i="4"/>
  <c r="V60" i="7" s="1"/>
  <c r="G59" i="4"/>
  <c r="G59" i="6" s="1"/>
  <c r="T12" i="4"/>
  <c r="T12" i="7" s="1"/>
  <c r="N62" i="4"/>
  <c r="N62" i="7" s="1"/>
  <c r="H59" i="4"/>
  <c r="H59" i="6" s="1"/>
  <c r="J70" i="9"/>
  <c r="J70" i="11" s="1"/>
  <c r="O30" i="4"/>
  <c r="O30" i="6" s="1"/>
  <c r="X12" i="4"/>
  <c r="X12" i="6" s="1"/>
  <c r="B51" i="9"/>
  <c r="B51" i="11" s="1"/>
  <c r="H51" i="4"/>
  <c r="H51" i="6" s="1"/>
  <c r="S89" i="4"/>
  <c r="S89" i="7" s="1"/>
  <c r="O16" i="4"/>
  <c r="O16" i="6" s="1"/>
  <c r="C63" i="4"/>
  <c r="C63" i="6" s="1"/>
  <c r="I32" i="9"/>
  <c r="I32" i="11" s="1"/>
  <c r="K83" i="9"/>
  <c r="K83" i="10" s="1"/>
  <c r="E12" i="4"/>
  <c r="E12" i="7" s="1"/>
  <c r="Z62" i="4"/>
  <c r="Z62" i="6" s="1"/>
  <c r="T42" i="9"/>
  <c r="T42" i="11" s="1"/>
  <c r="G10" i="9"/>
  <c r="G10" i="10" s="1"/>
  <c r="V10" i="9"/>
  <c r="K10" i="9"/>
  <c r="K10" i="10" s="1"/>
  <c r="Q31" i="4"/>
  <c r="Q31" i="7" s="1"/>
  <c r="S31" i="4"/>
  <c r="S31" i="6" s="1"/>
  <c r="N14" i="4"/>
  <c r="N14" i="7" s="1"/>
  <c r="H14" i="4"/>
  <c r="H14" i="7" s="1"/>
  <c r="X39" i="9"/>
  <c r="X39" i="11" s="1"/>
  <c r="N39" i="9"/>
  <c r="N39" i="10" s="1"/>
  <c r="E37" i="4"/>
  <c r="E37" i="6" s="1"/>
  <c r="S37" i="4"/>
  <c r="S37" i="6" s="1"/>
  <c r="D37" i="4"/>
  <c r="D37" i="7" s="1"/>
  <c r="M30" i="9"/>
  <c r="U30" i="9"/>
  <c r="U30" i="11" s="1"/>
  <c r="H41" i="9"/>
  <c r="H41" i="11" s="1"/>
  <c r="L41" i="9"/>
  <c r="L41" i="11" s="1"/>
  <c r="N41" i="9"/>
  <c r="N41" i="11" s="1"/>
  <c r="CU67" i="2"/>
  <c r="N66" i="9"/>
  <c r="N66" i="11" s="1"/>
  <c r="J11" i="4"/>
  <c r="J11" i="7" s="1"/>
  <c r="H11" i="4"/>
  <c r="H11" i="7" s="1"/>
  <c r="Q11" i="4"/>
  <c r="Q11" i="6" s="1"/>
  <c r="U11" i="4"/>
  <c r="U11" i="6" s="1"/>
  <c r="R86" i="4"/>
  <c r="R86" i="7" s="1"/>
  <c r="C86" i="4"/>
  <c r="C86" i="7" s="1"/>
  <c r="N40" i="9"/>
  <c r="G40" i="9"/>
  <c r="G40" i="10" s="1"/>
  <c r="CU66" i="2"/>
  <c r="N65" i="9"/>
  <c r="DA63" i="2"/>
  <c r="K62" i="9"/>
  <c r="K62" i="11" s="1"/>
  <c r="E80" i="9"/>
  <c r="E80" i="11" s="1"/>
  <c r="B80" i="9"/>
  <c r="B80" i="10" s="1"/>
  <c r="F80" i="9"/>
  <c r="F80" i="11" s="1"/>
  <c r="P50" i="9"/>
  <c r="P50" i="11" s="1"/>
  <c r="I50" i="9"/>
  <c r="I50" i="11" s="1"/>
  <c r="CZ69" i="2"/>
  <c r="G68" i="4"/>
  <c r="G68" i="6" s="1"/>
  <c r="Y68" i="4"/>
  <c r="Y68" i="7" s="1"/>
  <c r="CU62" i="2"/>
  <c r="S61" i="9"/>
  <c r="S61" i="11" s="1"/>
  <c r="U61" i="9"/>
  <c r="AA31" i="9"/>
  <c r="AA31" i="11" s="1"/>
  <c r="K31" i="9"/>
  <c r="K31" i="11" s="1"/>
  <c r="E65" i="4"/>
  <c r="E65" i="7" s="1"/>
  <c r="K65" i="4"/>
  <c r="K65" i="6" s="1"/>
  <c r="Y65" i="4"/>
  <c r="Y65" i="6" s="1"/>
  <c r="B17" i="9"/>
  <c r="B17" i="11" s="1"/>
  <c r="Y86" i="9"/>
  <c r="Y86" i="11" s="1"/>
  <c r="O86" i="4"/>
  <c r="O86" i="7" s="1"/>
  <c r="V73" i="9"/>
  <c r="V73" i="11" s="1"/>
  <c r="Y79" i="4"/>
  <c r="Y79" i="6" s="1"/>
  <c r="Q88" i="4"/>
  <c r="V88" i="9"/>
  <c r="V88" i="10" s="1"/>
  <c r="E30" i="9"/>
  <c r="E30" i="11" s="1"/>
  <c r="E9" i="4"/>
  <c r="E9" i="6" s="1"/>
  <c r="S72" i="4"/>
  <c r="R14" i="4"/>
  <c r="R14" i="7" s="1"/>
  <c r="O18" i="9"/>
  <c r="O18" i="10" s="1"/>
  <c r="M35" i="9"/>
  <c r="M35" i="11" s="1"/>
  <c r="E41" i="9"/>
  <c r="E41" i="11" s="1"/>
  <c r="S33" i="4"/>
  <c r="N31" i="4"/>
  <c r="N31" i="7" s="1"/>
  <c r="C58" i="9"/>
  <c r="C58" i="10" s="1"/>
  <c r="J58" i="9"/>
  <c r="J58" i="11" s="1"/>
  <c r="AA62" i="9"/>
  <c r="AA62" i="11" s="1"/>
  <c r="J76" i="9"/>
  <c r="J76" i="11" s="1"/>
  <c r="N76" i="4"/>
  <c r="N76" i="6" s="1"/>
  <c r="G34" i="4"/>
  <c r="G34" i="7" s="1"/>
  <c r="P36" i="4"/>
  <c r="P36" i="6" s="1"/>
  <c r="Q66" i="9"/>
  <c r="Q66" i="11" s="1"/>
  <c r="T29" i="9"/>
  <c r="T29" i="11" s="1"/>
  <c r="C13" i="4"/>
  <c r="C13" i="6" s="1"/>
  <c r="U33" i="4"/>
  <c r="U33" i="7" s="1"/>
  <c r="AA81" i="9"/>
  <c r="AA81" i="11" s="1"/>
  <c r="W59" i="9"/>
  <c r="W59" i="10" s="1"/>
  <c r="I61" i="4"/>
  <c r="Z67" i="9"/>
  <c r="Z67" i="11" s="1"/>
  <c r="H70" i="4"/>
  <c r="H70" i="6" s="1"/>
  <c r="AA12" i="9"/>
  <c r="AA12" i="11" s="1"/>
  <c r="W15" i="9"/>
  <c r="W15" i="11" s="1"/>
  <c r="G32" i="4"/>
  <c r="G32" i="6" s="1"/>
  <c r="U20" i="4"/>
  <c r="U20" i="6" s="1"/>
  <c r="M16" i="9"/>
  <c r="M16" i="10" s="1"/>
  <c r="Z42" i="4"/>
  <c r="Z42" i="7" s="1"/>
  <c r="V45" i="9"/>
  <c r="O80" i="9"/>
  <c r="O80" i="11" s="1"/>
  <c r="H87" i="4"/>
  <c r="H87" i="7" s="1"/>
  <c r="B35" i="9"/>
  <c r="B35" i="10" s="1"/>
  <c r="W48" i="4"/>
  <c r="O88" i="4"/>
  <c r="O88" i="6" s="1"/>
  <c r="M14" i="9"/>
  <c r="M14" i="11" s="1"/>
  <c r="H16" i="9"/>
  <c r="H16" i="11" s="1"/>
  <c r="L34" i="9"/>
  <c r="L34" i="11" s="1"/>
  <c r="H67" i="9"/>
  <c r="H67" i="10" s="1"/>
  <c r="X15" i="9"/>
  <c r="X15" i="11" s="1"/>
  <c r="N34" i="4"/>
  <c r="N34" i="6" s="1"/>
  <c r="F87" i="4"/>
  <c r="F87" i="7" s="1"/>
  <c r="C37" i="4"/>
  <c r="C37" i="6" s="1"/>
  <c r="M45" i="9"/>
  <c r="M45" i="10" s="1"/>
  <c r="B13" i="4"/>
  <c r="B13" i="6" s="1"/>
  <c r="P86" i="4"/>
  <c r="T79" i="4"/>
  <c r="T79" i="6" s="1"/>
  <c r="O9" i="4"/>
  <c r="O9" i="6" s="1"/>
  <c r="J14" i="4"/>
  <c r="J14" i="6" s="1"/>
  <c r="D18" i="4"/>
  <c r="D18" i="6" s="1"/>
  <c r="F35" i="9"/>
  <c r="F35" i="10" s="1"/>
  <c r="J41" i="9"/>
  <c r="J41" i="11" s="1"/>
  <c r="D49" i="4"/>
  <c r="R43" i="9"/>
  <c r="B73" i="9"/>
  <c r="B73" i="11" s="1"/>
  <c r="F58" i="9"/>
  <c r="F58" i="10" s="1"/>
  <c r="F68" i="4"/>
  <c r="F68" i="6" s="1"/>
  <c r="N17" i="9"/>
  <c r="T76" i="4"/>
  <c r="T76" i="6" s="1"/>
  <c r="T34" i="4"/>
  <c r="T34" i="7" s="1"/>
  <c r="M29" i="9"/>
  <c r="M29" i="11" s="1"/>
  <c r="C14" i="9"/>
  <c r="C14" i="10" s="1"/>
  <c r="S77" i="4"/>
  <c r="S77" i="7" s="1"/>
  <c r="W65" i="4"/>
  <c r="W65" i="6" s="1"/>
  <c r="U67" i="4"/>
  <c r="U67" i="6" s="1"/>
  <c r="I10" i="9"/>
  <c r="I10" i="11" s="1"/>
  <c r="D15" i="9"/>
  <c r="D15" i="11" s="1"/>
  <c r="F20" i="4"/>
  <c r="F20" i="6" s="1"/>
  <c r="L42" i="4"/>
  <c r="L42" i="6" s="1"/>
  <c r="B80" i="4"/>
  <c r="B80" i="6" s="1"/>
  <c r="J37" i="9"/>
  <c r="J37" i="11" s="1"/>
  <c r="K37" i="4"/>
  <c r="K37" i="6" s="1"/>
  <c r="K86" i="4"/>
  <c r="K86" i="7" s="1"/>
  <c r="G49" i="4"/>
  <c r="G49" i="7" s="1"/>
  <c r="V33" i="4"/>
  <c r="V33" i="6" s="1"/>
  <c r="W45" i="9"/>
  <c r="W45" i="11" s="1"/>
  <c r="E88" i="4"/>
  <c r="E88" i="6" s="1"/>
  <c r="AA36" i="4"/>
  <c r="AA36" i="7" s="1"/>
  <c r="M61" i="4"/>
  <c r="M61" i="7" s="1"/>
  <c r="AA15" i="9"/>
  <c r="AA15" i="11" s="1"/>
  <c r="G61" i="4"/>
  <c r="B11" i="4"/>
  <c r="B11" i="7" s="1"/>
  <c r="X35" i="9"/>
  <c r="X35" i="11" s="1"/>
  <c r="B20" i="4"/>
  <c r="B20" i="7" s="1"/>
  <c r="U42" i="4"/>
  <c r="F86" i="4"/>
  <c r="F86" i="7" s="1"/>
  <c r="G73" i="9"/>
  <c r="G73" i="10" s="1"/>
  <c r="K79" i="9"/>
  <c r="Y88" i="4"/>
  <c r="R30" i="9"/>
  <c r="R30" i="11" s="1"/>
  <c r="U31" i="4"/>
  <c r="U31" i="7" s="1"/>
  <c r="K58" i="9"/>
  <c r="K58" i="10" s="1"/>
  <c r="C68" i="4"/>
  <c r="J16" i="9"/>
  <c r="J16" i="11" s="1"/>
  <c r="G16" i="9"/>
  <c r="G16" i="11" s="1"/>
  <c r="Y39" i="9"/>
  <c r="Y39" i="11" s="1"/>
  <c r="Y66" i="4"/>
  <c r="Y66" i="7" s="1"/>
  <c r="Q29" i="4"/>
  <c r="Q29" i="7" s="1"/>
  <c r="O61" i="9"/>
  <c r="O61" i="10" s="1"/>
  <c r="G65" i="9"/>
  <c r="U70" i="4"/>
  <c r="U70" i="6" s="1"/>
  <c r="Q32" i="4"/>
  <c r="Q32" i="7" s="1"/>
  <c r="G45" i="9"/>
  <c r="G45" i="10" s="1"/>
  <c r="Y37" i="4"/>
  <c r="Y37" i="7" s="1"/>
  <c r="Z82" i="4"/>
  <c r="Z82" i="6" s="1"/>
  <c r="M14" i="4"/>
  <c r="M14" i="6" s="1"/>
  <c r="T31" i="9"/>
  <c r="T31" i="11" s="1"/>
  <c r="U36" i="4"/>
  <c r="F46" i="4"/>
  <c r="F46" i="6" s="1"/>
  <c r="O61" i="4"/>
  <c r="O61" i="6" s="1"/>
  <c r="W32" i="4"/>
  <c r="W32" i="7" s="1"/>
  <c r="G50" i="9"/>
  <c r="V37" i="9"/>
  <c r="V37" i="10" s="1"/>
  <c r="M85" i="9"/>
  <c r="M85" i="10" s="1"/>
  <c r="G30" i="9"/>
  <c r="G30" i="10" s="1"/>
  <c r="P72" i="9"/>
  <c r="P72" i="10" s="1"/>
  <c r="I30" i="9"/>
  <c r="E85" i="9"/>
  <c r="E85" i="10" s="1"/>
  <c r="AA41" i="9"/>
  <c r="AA41" i="10" s="1"/>
  <c r="N43" i="9"/>
  <c r="Q40" i="9"/>
  <c r="M68" i="4"/>
  <c r="M68" i="6" s="1"/>
  <c r="Q36" i="4"/>
  <c r="Q36" i="7" s="1"/>
  <c r="J66" i="9"/>
  <c r="J66" i="11" s="1"/>
  <c r="Q81" i="9"/>
  <c r="R70" i="4"/>
  <c r="R70" i="7" s="1"/>
  <c r="J80" i="9"/>
  <c r="J80" i="10" s="1"/>
  <c r="U37" i="9"/>
  <c r="L50" i="9"/>
  <c r="L50" i="10" s="1"/>
  <c r="J73" i="9"/>
  <c r="J73" i="10" s="1"/>
  <c r="D37" i="9"/>
  <c r="D37" i="10" s="1"/>
  <c r="Z86" i="4"/>
  <c r="Z86" i="7" s="1"/>
  <c r="S30" i="9"/>
  <c r="L62" i="9"/>
  <c r="L62" i="10" s="1"/>
  <c r="S91" i="7"/>
  <c r="S91" i="6"/>
  <c r="CZ78" i="2"/>
  <c r="M77" i="4"/>
  <c r="M77" i="6" s="1"/>
  <c r="H77" i="4"/>
  <c r="H77" i="6" s="1"/>
  <c r="CZ80" i="2"/>
  <c r="D79" i="4"/>
  <c r="D79" i="6" s="1"/>
  <c r="M79" i="4"/>
  <c r="M79" i="6" s="1"/>
  <c r="DE19" i="2"/>
  <c r="DF19" i="2" s="1"/>
  <c r="J18" i="4"/>
  <c r="Q18" i="4"/>
  <c r="Q18" i="7" s="1"/>
  <c r="D45" i="4"/>
  <c r="D45" i="6" s="1"/>
  <c r="Y45" i="4"/>
  <c r="Y45" i="7" s="1"/>
  <c r="U45" i="4"/>
  <c r="J45" i="4"/>
  <c r="K76" i="9"/>
  <c r="K76" i="10" s="1"/>
  <c r="I76" i="9"/>
  <c r="I76" i="10" s="1"/>
  <c r="S76" i="9"/>
  <c r="M76" i="9"/>
  <c r="H76" i="9"/>
  <c r="H76" i="11" s="1"/>
  <c r="P88" i="4"/>
  <c r="P88" i="6" s="1"/>
  <c r="X88" i="4"/>
  <c r="X88" i="7" s="1"/>
  <c r="Z88" i="4"/>
  <c r="CU80" i="2"/>
  <c r="D79" i="9"/>
  <c r="D79" i="11" s="1"/>
  <c r="Y79" i="9"/>
  <c r="L79" i="9"/>
  <c r="O33" i="4"/>
  <c r="O33" i="6" s="1"/>
  <c r="Q33" i="4"/>
  <c r="Q33" i="7" s="1"/>
  <c r="M33" i="4"/>
  <c r="M33" i="6" s="1"/>
  <c r="H20" i="4"/>
  <c r="I20" i="4"/>
  <c r="I20" i="7" s="1"/>
  <c r="S20" i="4"/>
  <c r="S20" i="6" s="1"/>
  <c r="Z20" i="4"/>
  <c r="Z20" i="6" s="1"/>
  <c r="CU89" i="2"/>
  <c r="Q88" i="9"/>
  <c r="Q88" i="10" s="1"/>
  <c r="V67" i="9"/>
  <c r="V67" i="11" s="1"/>
  <c r="E67" i="9"/>
  <c r="E67" i="11" s="1"/>
  <c r="P67" i="9"/>
  <c r="P67" i="10" s="1"/>
  <c r="J76" i="4"/>
  <c r="J76" i="7" s="1"/>
  <c r="L76" i="4"/>
  <c r="L76" i="6" s="1"/>
  <c r="R76" i="4"/>
  <c r="R76" i="7" s="1"/>
  <c r="D76" i="4"/>
  <c r="R61" i="4"/>
  <c r="R61" i="6" s="1"/>
  <c r="Z61" i="4"/>
  <c r="Z61" i="7" s="1"/>
  <c r="L86" i="9"/>
  <c r="U86" i="9"/>
  <c r="U86" i="10" s="1"/>
  <c r="W86" i="9"/>
  <c r="W86" i="11" s="1"/>
  <c r="S9" i="4"/>
  <c r="S9" i="7" s="1"/>
  <c r="D9" i="4"/>
  <c r="D9" i="6" s="1"/>
  <c r="B9" i="4"/>
  <c r="Y13" i="4"/>
  <c r="Y13" i="7" s="1"/>
  <c r="R13" i="4"/>
  <c r="R13" i="7" s="1"/>
  <c r="T13" i="4"/>
  <c r="I32" i="4"/>
  <c r="I32" i="7" s="1"/>
  <c r="D32" i="4"/>
  <c r="D32" i="7" s="1"/>
  <c r="C32" i="4"/>
  <c r="C32" i="6" s="1"/>
  <c r="N32" i="4"/>
  <c r="O29" i="4"/>
  <c r="O29" i="7" s="1"/>
  <c r="T29" i="4"/>
  <c r="T29" i="6" s="1"/>
  <c r="D45" i="9"/>
  <c r="D45" i="11" s="1"/>
  <c r="H45" i="9"/>
  <c r="K45" i="9"/>
  <c r="X42" i="4"/>
  <c r="X42" i="6" s="1"/>
  <c r="M42" i="4"/>
  <c r="M42" i="7" s="1"/>
  <c r="Q42" i="4"/>
  <c r="Q42" i="7" s="1"/>
  <c r="F42" i="4"/>
  <c r="F42" i="7" s="1"/>
  <c r="O17" i="9"/>
  <c r="O17" i="11" s="1"/>
  <c r="Y17" i="9"/>
  <c r="Y17" i="10" s="1"/>
  <c r="AA17" i="9"/>
  <c r="AA17" i="10" s="1"/>
  <c r="F17" i="9"/>
  <c r="F17" i="11" s="1"/>
  <c r="N59" i="9"/>
  <c r="N59" i="10" s="1"/>
  <c r="F59" i="9"/>
  <c r="F59" i="11" s="1"/>
  <c r="AA59" i="9"/>
  <c r="AA59" i="11" s="1"/>
  <c r="I44" i="9"/>
  <c r="I44" i="10" s="1"/>
  <c r="Q44" i="9"/>
  <c r="Q44" i="10" s="1"/>
  <c r="CU19" i="2"/>
  <c r="P18" i="9"/>
  <c r="P18" i="10" s="1"/>
  <c r="I18" i="9"/>
  <c r="I18" i="10" s="1"/>
  <c r="O12" i="9"/>
  <c r="O12" i="10" s="1"/>
  <c r="Q12" i="9"/>
  <c r="Q12" i="11" s="1"/>
  <c r="P12" i="9"/>
  <c r="P12" i="10" s="1"/>
  <c r="R72" i="4"/>
  <c r="R72" i="6" s="1"/>
  <c r="AA72" i="4"/>
  <c r="AA72" i="6" s="1"/>
  <c r="E72" i="4"/>
  <c r="E72" i="6" s="1"/>
  <c r="G35" i="9"/>
  <c r="G35" i="10" s="1"/>
  <c r="AA35" i="9"/>
  <c r="V35" i="9"/>
  <c r="V35" i="11" s="1"/>
  <c r="Y35" i="9"/>
  <c r="Y35" i="11" s="1"/>
  <c r="Y29" i="9"/>
  <c r="P29" i="9"/>
  <c r="P29" i="10" s="1"/>
  <c r="G29" i="9"/>
  <c r="G29" i="11" s="1"/>
  <c r="E29" i="9"/>
  <c r="E29" i="10" s="1"/>
  <c r="B29" i="9"/>
  <c r="B29" i="10" s="1"/>
  <c r="F34" i="4"/>
  <c r="M34" i="4"/>
  <c r="M34" i="6" s="1"/>
  <c r="K15" i="9"/>
  <c r="K15" i="10" s="1"/>
  <c r="B15" i="9"/>
  <c r="C15" i="9"/>
  <c r="G15" i="9"/>
  <c r="G15" i="10" s="1"/>
  <c r="Q58" i="9"/>
  <c r="Q58" i="10" s="1"/>
  <c r="O58" i="9"/>
  <c r="O58" i="11" s="1"/>
  <c r="Q67" i="4"/>
  <c r="M67" i="4"/>
  <c r="M67" i="6" s="1"/>
  <c r="T67" i="4"/>
  <c r="T67" i="6" s="1"/>
  <c r="I67" i="4"/>
  <c r="I67" i="6" s="1"/>
  <c r="E42" i="4"/>
  <c r="E42" i="6" s="1"/>
  <c r="J44" i="9"/>
  <c r="J44" i="10" s="1"/>
  <c r="J34" i="4"/>
  <c r="J34" i="6" s="1"/>
  <c r="D86" i="9"/>
  <c r="D86" i="10" s="1"/>
  <c r="E73" i="9"/>
  <c r="E73" i="10" s="1"/>
  <c r="R79" i="9"/>
  <c r="R79" i="11" s="1"/>
  <c r="J79" i="4"/>
  <c r="J79" i="7" s="1"/>
  <c r="D88" i="4"/>
  <c r="D88" i="6" s="1"/>
  <c r="Z9" i="4"/>
  <c r="Z9" i="6" s="1"/>
  <c r="Y72" i="9"/>
  <c r="Y72" i="11" s="1"/>
  <c r="O14" i="9"/>
  <c r="O14" i="10" s="1"/>
  <c r="C18" i="4"/>
  <c r="W85" i="9"/>
  <c r="W85" i="10" s="1"/>
  <c r="Z35" i="9"/>
  <c r="Z35" i="10" s="1"/>
  <c r="Z49" i="4"/>
  <c r="Z49" i="6" s="1"/>
  <c r="N31" i="9"/>
  <c r="G62" i="9"/>
  <c r="H10" i="9"/>
  <c r="H10" i="11" s="1"/>
  <c r="R16" i="9"/>
  <c r="R16" i="11" s="1"/>
  <c r="G17" i="9"/>
  <c r="G17" i="10" s="1"/>
  <c r="S76" i="4"/>
  <c r="U34" i="4"/>
  <c r="U34" i="6" s="1"/>
  <c r="K29" i="9"/>
  <c r="K29" i="11" s="1"/>
  <c r="F29" i="4"/>
  <c r="F29" i="7" s="1"/>
  <c r="Q13" i="4"/>
  <c r="Q13" i="7" s="1"/>
  <c r="I77" i="4"/>
  <c r="I77" i="6" s="1"/>
  <c r="Z81" i="9"/>
  <c r="Z81" i="10" s="1"/>
  <c r="L59" i="9"/>
  <c r="L59" i="10" s="1"/>
  <c r="V61" i="4"/>
  <c r="C65" i="4"/>
  <c r="C65" i="6" s="1"/>
  <c r="H67" i="4"/>
  <c r="H67" i="6" s="1"/>
  <c r="R12" i="9"/>
  <c r="R12" i="11" s="1"/>
  <c r="N15" i="9"/>
  <c r="N15" i="11" s="1"/>
  <c r="AA33" i="4"/>
  <c r="AA33" i="6" s="1"/>
  <c r="S50" i="9"/>
  <c r="S50" i="10" s="1"/>
  <c r="P80" i="4"/>
  <c r="P80" i="7" s="1"/>
  <c r="K82" i="4"/>
  <c r="M88" i="9"/>
  <c r="M88" i="10" s="1"/>
  <c r="F45" i="4"/>
  <c r="F45" i="6" s="1"/>
  <c r="B43" i="9"/>
  <c r="B43" i="10" s="1"/>
  <c r="K9" i="4"/>
  <c r="K9" i="7" s="1"/>
  <c r="R18" i="4"/>
  <c r="R18" i="7" s="1"/>
  <c r="E43" i="9"/>
  <c r="E43" i="11" s="1"/>
  <c r="Q76" i="4"/>
  <c r="X66" i="4"/>
  <c r="X66" i="7" s="1"/>
  <c r="G77" i="4"/>
  <c r="G77" i="7" s="1"/>
  <c r="V70" i="4"/>
  <c r="V70" i="7" s="1"/>
  <c r="N80" i="4"/>
  <c r="C79" i="4"/>
  <c r="C79" i="7" s="1"/>
  <c r="N88" i="4"/>
  <c r="N88" i="7" s="1"/>
  <c r="T30" i="9"/>
  <c r="T30" i="11" s="1"/>
  <c r="H72" i="4"/>
  <c r="I14" i="9"/>
  <c r="I14" i="11" s="1"/>
  <c r="V18" i="9"/>
  <c r="V18" i="10" s="1"/>
  <c r="X85" i="9"/>
  <c r="X85" i="11" s="1"/>
  <c r="X31" i="4"/>
  <c r="Q62" i="9"/>
  <c r="Q62" i="11" s="1"/>
  <c r="R10" i="9"/>
  <c r="R10" i="10" s="1"/>
  <c r="AA16" i="9"/>
  <c r="AA16" i="10" s="1"/>
  <c r="E76" i="4"/>
  <c r="E76" i="6" s="1"/>
  <c r="F34" i="9"/>
  <c r="Z36" i="4"/>
  <c r="Z36" i="6" s="1"/>
  <c r="S66" i="9"/>
  <c r="S66" i="10" s="1"/>
  <c r="J29" i="4"/>
  <c r="H17" i="9"/>
  <c r="Y61" i="9"/>
  <c r="Y61" i="11" s="1"/>
  <c r="J65" i="9"/>
  <c r="J65" i="11" s="1"/>
  <c r="K67" i="9"/>
  <c r="K67" i="10" s="1"/>
  <c r="Y12" i="9"/>
  <c r="AA32" i="4"/>
  <c r="AA32" i="6" s="1"/>
  <c r="E44" i="9"/>
  <c r="E44" i="11" s="1"/>
  <c r="R48" i="4"/>
  <c r="R48" i="7" s="1"/>
  <c r="S80" i="4"/>
  <c r="Z87" i="4"/>
  <c r="Z87" i="6" s="1"/>
  <c r="E48" i="4"/>
  <c r="E48" i="6" s="1"/>
  <c r="AA9" i="4"/>
  <c r="M66" i="4"/>
  <c r="I72" i="4"/>
  <c r="I72" i="6" s="1"/>
  <c r="F43" i="9"/>
  <c r="F43" i="11" s="1"/>
  <c r="C16" i="9"/>
  <c r="V67" i="4"/>
  <c r="K17" i="9"/>
  <c r="K17" i="11" s="1"/>
  <c r="H18" i="9"/>
  <c r="H18" i="11" s="1"/>
  <c r="H95" i="11"/>
  <c r="H95" i="10"/>
  <c r="D95" i="6"/>
  <c r="D95" i="7"/>
  <c r="X99" i="6"/>
  <c r="X99" i="7"/>
  <c r="DE100" i="2"/>
  <c r="DF100" i="2" s="1"/>
  <c r="D99" i="4"/>
  <c r="U99" i="4"/>
  <c r="CZ100" i="2"/>
  <c r="AA99" i="4"/>
  <c r="I99" i="4"/>
  <c r="Y99" i="4"/>
  <c r="CT100" i="2"/>
  <c r="M99" i="4"/>
  <c r="DE96" i="2"/>
  <c r="DF96" i="2" s="1"/>
  <c r="C95" i="4"/>
  <c r="B95" i="4"/>
  <c r="I95" i="4"/>
  <c r="Y95" i="4"/>
  <c r="CT96" i="2"/>
  <c r="CZ96" i="2"/>
  <c r="E95" i="4"/>
  <c r="Q95" i="4"/>
  <c r="S95" i="4"/>
  <c r="U95" i="4"/>
  <c r="S99" i="4"/>
  <c r="V99" i="4"/>
  <c r="X95" i="4"/>
  <c r="G99" i="4"/>
  <c r="C55" i="4"/>
  <c r="DB56" i="2"/>
  <c r="DE56" i="2"/>
  <c r="DF56" i="2" s="1"/>
  <c r="J55" i="4"/>
  <c r="M55" i="4"/>
  <c r="K55" i="4"/>
  <c r="O55" i="4"/>
  <c r="R55" i="4"/>
  <c r="I55" i="4"/>
  <c r="CZ56" i="2"/>
  <c r="Z55" i="4"/>
  <c r="N55" i="4"/>
  <c r="D55" i="4"/>
  <c r="U55" i="4"/>
  <c r="E55" i="4"/>
  <c r="W55" i="4"/>
  <c r="V55" i="4"/>
  <c r="L55" i="4"/>
  <c r="B55" i="4"/>
  <c r="Q55" i="4"/>
  <c r="N95" i="4"/>
  <c r="L99" i="4"/>
  <c r="M95" i="4"/>
  <c r="T55" i="4"/>
  <c r="O95" i="4"/>
  <c r="N99" i="4"/>
  <c r="K95" i="4"/>
  <c r="P55" i="4"/>
  <c r="Z95" i="4"/>
  <c r="G95" i="4"/>
  <c r="R99" i="4"/>
  <c r="H55" i="4"/>
  <c r="P95" i="4"/>
  <c r="J99" i="4"/>
  <c r="W95" i="4"/>
  <c r="Y55" i="4"/>
  <c r="G55" i="4"/>
  <c r="X91" i="4"/>
  <c r="T95" i="4"/>
  <c r="D91" i="4"/>
  <c r="Z91" i="4"/>
  <c r="W99" i="4"/>
  <c r="B91" i="4"/>
  <c r="R95" i="4"/>
  <c r="AA95" i="4"/>
  <c r="P99" i="4"/>
  <c r="F91" i="4"/>
  <c r="H95" i="4"/>
  <c r="H99" i="4"/>
  <c r="Z99" i="4"/>
  <c r="S55" i="4"/>
  <c r="C54" i="4"/>
  <c r="Q99" i="4"/>
  <c r="F55" i="4"/>
  <c r="L95" i="4"/>
  <c r="C99" i="4"/>
  <c r="V95" i="4"/>
  <c r="B99" i="4"/>
  <c r="DE92" i="2"/>
  <c r="DF92" i="2" s="1"/>
  <c r="E91" i="4"/>
  <c r="U91" i="4"/>
  <c r="K91" i="4"/>
  <c r="CZ92" i="2"/>
  <c r="R91" i="4"/>
  <c r="Y91" i="4"/>
  <c r="Q91" i="4"/>
  <c r="P91" i="4"/>
  <c r="M91" i="4"/>
  <c r="CT92" i="2"/>
  <c r="H91" i="4"/>
  <c r="J95" i="4"/>
  <c r="L91" i="4"/>
  <c r="F99" i="4"/>
  <c r="W54" i="4"/>
  <c r="T54" i="4"/>
  <c r="D54" i="4"/>
  <c r="X54" i="4"/>
  <c r="S54" i="4"/>
  <c r="F54" i="4"/>
  <c r="L54" i="4"/>
  <c r="K54" i="4"/>
  <c r="H54" i="4"/>
  <c r="C91" i="4"/>
  <c r="T91" i="4"/>
  <c r="T99" i="4"/>
  <c r="O99" i="4"/>
  <c r="AA91" i="4"/>
  <c r="AA55" i="4"/>
  <c r="V54" i="4"/>
  <c r="K99" i="4"/>
  <c r="E99" i="4"/>
  <c r="N54" i="4"/>
  <c r="P99" i="10"/>
  <c r="O92" i="10"/>
  <c r="Z90" i="11"/>
  <c r="Z90" i="10"/>
  <c r="R64" i="7"/>
  <c r="R64" i="6"/>
  <c r="F74" i="6"/>
  <c r="F74" i="7"/>
  <c r="O15" i="7"/>
  <c r="O15" i="6"/>
  <c r="L71" i="11"/>
  <c r="L71" i="10"/>
  <c r="Z75" i="11"/>
  <c r="Z75" i="10"/>
  <c r="L9" i="11"/>
  <c r="L9" i="10"/>
  <c r="E28" i="7"/>
  <c r="E28" i="6"/>
  <c r="Y63" i="11"/>
  <c r="Y63" i="10"/>
  <c r="J33" i="11"/>
  <c r="J33" i="10"/>
  <c r="Q75" i="6"/>
  <c r="Q75" i="7"/>
  <c r="U68" i="11"/>
  <c r="U68" i="10"/>
  <c r="Z78" i="11"/>
  <c r="Z78" i="10"/>
  <c r="O77" i="11"/>
  <c r="O77" i="10"/>
  <c r="G85" i="6"/>
  <c r="G85" i="7"/>
  <c r="U69" i="6"/>
  <c r="U69" i="7"/>
  <c r="G83" i="6"/>
  <c r="G83" i="7"/>
  <c r="P19" i="11"/>
  <c r="P19" i="10"/>
  <c r="D36" i="7"/>
  <c r="D36" i="6"/>
  <c r="S81" i="11"/>
  <c r="S81" i="10"/>
  <c r="P16" i="11"/>
  <c r="P16" i="10"/>
  <c r="K85" i="11"/>
  <c r="K85" i="10"/>
  <c r="S34" i="11"/>
  <c r="S34" i="10"/>
  <c r="C80" i="6"/>
  <c r="C80" i="7"/>
  <c r="AA90" i="6"/>
  <c r="AA90" i="7"/>
  <c r="K66" i="6"/>
  <c r="K66" i="7"/>
  <c r="Z72" i="11"/>
  <c r="Z72" i="10"/>
  <c r="Z14" i="11"/>
  <c r="Z14" i="10"/>
  <c r="O84" i="6"/>
  <c r="O84" i="7"/>
  <c r="O78" i="6"/>
  <c r="O78" i="7"/>
  <c r="C50" i="6"/>
  <c r="C50" i="7"/>
  <c r="I89" i="11"/>
  <c r="I89" i="10"/>
  <c r="C47" i="11"/>
  <c r="C47" i="10"/>
  <c r="N36" i="11"/>
  <c r="N36" i="10"/>
  <c r="AA64" i="9"/>
  <c r="P69" i="4"/>
  <c r="D73" i="4"/>
  <c r="AA19" i="4"/>
  <c r="V9" i="9"/>
  <c r="I75" i="9"/>
  <c r="W78" i="9"/>
  <c r="I33" i="9"/>
  <c r="M85" i="4"/>
  <c r="AA75" i="4"/>
  <c r="Z40" i="11"/>
  <c r="Z40" i="10"/>
  <c r="O68" i="9"/>
  <c r="Y10" i="11"/>
  <c r="Y10" i="10"/>
  <c r="D39" i="4"/>
  <c r="Z36" i="9"/>
  <c r="H71" i="4"/>
  <c r="I13" i="9"/>
  <c r="L33" i="9"/>
  <c r="S77" i="9"/>
  <c r="M63" i="9"/>
  <c r="L12" i="11"/>
  <c r="L12" i="10"/>
  <c r="P15" i="4"/>
  <c r="R83" i="4"/>
  <c r="E50" i="4"/>
  <c r="E83" i="11"/>
  <c r="E83" i="10"/>
  <c r="S42" i="6"/>
  <c r="S42" i="7"/>
  <c r="C74" i="4"/>
  <c r="C85" i="4"/>
  <c r="X75" i="4"/>
  <c r="W10" i="4"/>
  <c r="B39" i="4"/>
  <c r="P56" i="7"/>
  <c r="B76" i="11"/>
  <c r="B76" i="10"/>
  <c r="B37" i="7"/>
  <c r="B37" i="6"/>
  <c r="Q51" i="11"/>
  <c r="Q51" i="10"/>
  <c r="E64" i="9"/>
  <c r="Z69" i="4"/>
  <c r="E11" i="6"/>
  <c r="E11" i="7"/>
  <c r="U73" i="4"/>
  <c r="R73" i="4"/>
  <c r="L19" i="9"/>
  <c r="F9" i="9"/>
  <c r="V78" i="9"/>
  <c r="O89" i="9"/>
  <c r="T60" i="9"/>
  <c r="L31" i="11"/>
  <c r="L31" i="10"/>
  <c r="O75" i="9"/>
  <c r="J68" i="9"/>
  <c r="R10" i="4"/>
  <c r="AA84" i="9"/>
  <c r="H84" i="9"/>
  <c r="Y36" i="9"/>
  <c r="F39" i="11"/>
  <c r="F39" i="10"/>
  <c r="J36" i="9"/>
  <c r="J71" i="9"/>
  <c r="K13" i="9"/>
  <c r="P13" i="9"/>
  <c r="Y33" i="6"/>
  <c r="Y33" i="7"/>
  <c r="H59" i="11"/>
  <c r="H59" i="10"/>
  <c r="AA63" i="9"/>
  <c r="S65" i="11"/>
  <c r="S65" i="10"/>
  <c r="D67" i="11"/>
  <c r="D67" i="10"/>
  <c r="E15" i="4"/>
  <c r="R32" i="6"/>
  <c r="R32" i="7"/>
  <c r="Q44" i="6"/>
  <c r="Q44" i="7"/>
  <c r="AA45" i="11"/>
  <c r="AA45" i="10"/>
  <c r="N47" i="9"/>
  <c r="Q82" i="9"/>
  <c r="M45" i="6"/>
  <c r="M45" i="7"/>
  <c r="F50" i="4"/>
  <c r="R50" i="4"/>
  <c r="F69" i="4"/>
  <c r="M73" i="4"/>
  <c r="T19" i="9"/>
  <c r="S74" i="4"/>
  <c r="K78" i="9"/>
  <c r="H75" i="4"/>
  <c r="Y13" i="9"/>
  <c r="P83" i="4"/>
  <c r="B47" i="9"/>
  <c r="I77" i="9"/>
  <c r="N37" i="4"/>
  <c r="H64" i="9"/>
  <c r="U64" i="4"/>
  <c r="K69" i="4"/>
  <c r="F73" i="4"/>
  <c r="G19" i="4"/>
  <c r="J19" i="9"/>
  <c r="F28" i="4"/>
  <c r="G9" i="9"/>
  <c r="Q14" i="4"/>
  <c r="W78" i="4"/>
  <c r="R85" i="9"/>
  <c r="N49" i="4"/>
  <c r="Y89" i="9"/>
  <c r="R31" i="4"/>
  <c r="N75" i="4"/>
  <c r="F68" i="9"/>
  <c r="U10" i="4"/>
  <c r="J84" i="9"/>
  <c r="R34" i="9"/>
  <c r="W36" i="9"/>
  <c r="P39" i="4"/>
  <c r="M66" i="9"/>
  <c r="Q66" i="4"/>
  <c r="I71" i="4"/>
  <c r="V71" i="4"/>
  <c r="V46" i="4"/>
  <c r="D77" i="9"/>
  <c r="W77" i="9"/>
  <c r="O63" i="9"/>
  <c r="K65" i="9"/>
  <c r="L70" i="4"/>
  <c r="I15" i="4"/>
  <c r="W46" i="4"/>
  <c r="O50" i="9"/>
  <c r="D80" i="9"/>
  <c r="F82" i="4"/>
  <c r="W82" i="4"/>
  <c r="O87" i="4"/>
  <c r="O37" i="9"/>
  <c r="K48" i="4"/>
  <c r="I86" i="4"/>
  <c r="I64" i="9"/>
  <c r="W11" i="4"/>
  <c r="D19" i="4"/>
  <c r="P28" i="4"/>
  <c r="AA9" i="9"/>
  <c r="P74" i="4"/>
  <c r="R85" i="4"/>
  <c r="S38" i="4"/>
  <c r="I40" i="9"/>
  <c r="X43" i="9"/>
  <c r="T31" i="4"/>
  <c r="I40" i="4"/>
  <c r="AA68" i="9"/>
  <c r="AA36" i="9"/>
  <c r="H66" i="4"/>
  <c r="C71" i="9"/>
  <c r="V65" i="9"/>
  <c r="Z43" i="9"/>
  <c r="H83" i="4"/>
  <c r="N87" i="4"/>
  <c r="O47" i="9"/>
  <c r="CZ86" i="2"/>
  <c r="DA85" i="2"/>
  <c r="DA65" i="2"/>
  <c r="CZ63" i="2"/>
  <c r="CZ20" i="2"/>
  <c r="CT40" i="2"/>
  <c r="CZ15" i="2"/>
  <c r="CU32" i="2"/>
  <c r="CU61" i="2"/>
  <c r="CT70" i="2"/>
  <c r="CT72" i="2"/>
  <c r="CT85" i="2"/>
  <c r="DB85" i="2" s="1"/>
  <c r="CT84" i="2"/>
  <c r="DE66" i="2"/>
  <c r="DF66" i="2" s="1"/>
  <c r="DE74" i="2"/>
  <c r="DF74" i="2" s="1"/>
  <c r="CZ76" i="2"/>
  <c r="L96" i="6"/>
  <c r="L96" i="7"/>
  <c r="S56" i="6"/>
  <c r="S56" i="7"/>
  <c r="P49" i="9"/>
  <c r="I81" i="9"/>
  <c r="M62" i="4"/>
  <c r="H48" i="9"/>
  <c r="I72" i="9"/>
  <c r="V82" i="9"/>
  <c r="B48" i="9"/>
  <c r="P44" i="9"/>
  <c r="I20" i="9"/>
  <c r="J50" i="4"/>
  <c r="R37" i="4"/>
  <c r="G70" i="9"/>
  <c r="I42" i="9"/>
  <c r="S47" i="4"/>
  <c r="G86" i="9"/>
  <c r="N86" i="4"/>
  <c r="V86" i="9"/>
  <c r="G51" i="4"/>
  <c r="O51" i="9"/>
  <c r="X51" i="4"/>
  <c r="C64" i="9"/>
  <c r="P64" i="4"/>
  <c r="K64" i="4"/>
  <c r="X69" i="4"/>
  <c r="Q69" i="9"/>
  <c r="H69" i="9"/>
  <c r="M11" i="4"/>
  <c r="I11" i="4"/>
  <c r="D73" i="9"/>
  <c r="AA73" i="4"/>
  <c r="Q73" i="9"/>
  <c r="C19" i="4"/>
  <c r="F19" i="4"/>
  <c r="Y19" i="9"/>
  <c r="X19" i="9"/>
  <c r="I79" i="4"/>
  <c r="U79" i="9"/>
  <c r="V79" i="4"/>
  <c r="K88" i="9"/>
  <c r="T88" i="4"/>
  <c r="C51" i="9"/>
  <c r="I28" i="4"/>
  <c r="E28" i="9"/>
  <c r="O30" i="9"/>
  <c r="Z30" i="9"/>
  <c r="V30" i="4"/>
  <c r="U9" i="4"/>
  <c r="T9" i="9"/>
  <c r="L9" i="4"/>
  <c r="J72" i="4"/>
  <c r="C72" i="9"/>
  <c r="L72" i="4"/>
  <c r="C74" i="9"/>
  <c r="J74" i="4"/>
  <c r="H74" i="9"/>
  <c r="W14" i="9"/>
  <c r="L14" i="4"/>
  <c r="E14" i="4"/>
  <c r="H33" i="4"/>
  <c r="K18" i="4"/>
  <c r="W18" i="9"/>
  <c r="L78" i="9"/>
  <c r="S78" i="4"/>
  <c r="J78" i="4"/>
  <c r="U17" i="9"/>
  <c r="D85" i="4"/>
  <c r="N85" i="9"/>
  <c r="W85" i="4"/>
  <c r="U35" i="9"/>
  <c r="T35" i="4"/>
  <c r="H34" i="4"/>
  <c r="L38" i="9"/>
  <c r="G38" i="4"/>
  <c r="K35" i="9"/>
  <c r="O41" i="9"/>
  <c r="C41" i="4"/>
  <c r="Q49" i="4"/>
  <c r="B49" i="4"/>
  <c r="C89" i="4"/>
  <c r="K89" i="9"/>
  <c r="R89" i="4"/>
  <c r="X89" i="4"/>
  <c r="P43" i="4"/>
  <c r="K43" i="4"/>
  <c r="X44" i="9"/>
  <c r="G30" i="4"/>
  <c r="Y60" i="4"/>
  <c r="F60" i="4"/>
  <c r="L60" i="9"/>
  <c r="V31" i="4"/>
  <c r="D31" i="9"/>
  <c r="C75" i="4"/>
  <c r="K75" i="9"/>
  <c r="R75" i="4"/>
  <c r="F75" i="9"/>
  <c r="O40" i="9"/>
  <c r="R40" i="4"/>
  <c r="K58" i="4"/>
  <c r="S58" i="9"/>
  <c r="Z58" i="4"/>
  <c r="G62" i="4"/>
  <c r="O62" i="9"/>
  <c r="X62" i="4"/>
  <c r="D68" i="4"/>
  <c r="K68" i="4"/>
  <c r="D68" i="9"/>
  <c r="Z68" i="9"/>
  <c r="P10" i="9"/>
  <c r="O10" i="9"/>
  <c r="Q10" i="4"/>
  <c r="R16" i="4"/>
  <c r="Z16" i="9"/>
  <c r="Q16" i="9"/>
  <c r="S17" i="9"/>
  <c r="Z17" i="4"/>
  <c r="O17" i="4"/>
  <c r="T76" i="9"/>
  <c r="AA76" i="4"/>
  <c r="X76" i="4"/>
  <c r="Q84" i="9"/>
  <c r="V84" i="4"/>
  <c r="U84" i="4"/>
  <c r="D34" i="9"/>
  <c r="O34" i="9"/>
  <c r="P34" i="4"/>
  <c r="O36" i="4"/>
  <c r="X36" i="4"/>
  <c r="G39" i="4"/>
  <c r="L39" i="4"/>
  <c r="R39" i="9"/>
  <c r="D49" i="9"/>
  <c r="R34" i="4"/>
  <c r="P66" i="9"/>
  <c r="Y66" i="9"/>
  <c r="R66" i="4"/>
  <c r="S29" i="9"/>
  <c r="D29" i="4"/>
  <c r="V29" i="4"/>
  <c r="U71" i="4"/>
  <c r="U71" i="9"/>
  <c r="V71" i="9"/>
  <c r="S13" i="9"/>
  <c r="J13" i="9"/>
  <c r="X13" i="9"/>
  <c r="G33" i="9"/>
  <c r="T33" i="9"/>
  <c r="J33" i="4"/>
  <c r="Q46" i="9"/>
  <c r="Z46" i="4"/>
  <c r="H77" i="9"/>
  <c r="Q77" i="4"/>
  <c r="AA77" i="9"/>
  <c r="G76" i="9"/>
  <c r="Z81" i="4"/>
  <c r="I81" i="4"/>
  <c r="W81" i="9"/>
  <c r="Y59" i="4"/>
  <c r="F59" i="4"/>
  <c r="V59" i="9"/>
  <c r="Q61" i="4"/>
  <c r="W61" i="9"/>
  <c r="P61" i="9"/>
  <c r="K63" i="4"/>
  <c r="T63" i="4"/>
  <c r="W63" i="9"/>
  <c r="H65" i="9"/>
  <c r="Q65" i="9"/>
  <c r="S65" i="4"/>
  <c r="B67" i="9"/>
  <c r="I67" i="9"/>
  <c r="C67" i="4"/>
  <c r="E67" i="4"/>
  <c r="P70" i="4"/>
  <c r="C70" i="9"/>
  <c r="Z70" i="9"/>
  <c r="C10" i="4"/>
  <c r="F12" i="9"/>
  <c r="W12" i="4"/>
  <c r="X12" i="9"/>
  <c r="X15" i="4"/>
  <c r="P15" i="9"/>
  <c r="W15" i="4"/>
  <c r="P32" i="4"/>
  <c r="Y32" i="4"/>
  <c r="V32" i="9"/>
  <c r="D20" i="4"/>
  <c r="F20" i="9"/>
  <c r="C44" i="9"/>
  <c r="N44" i="9"/>
  <c r="H44" i="4"/>
  <c r="C40" i="4"/>
  <c r="O43" i="4"/>
  <c r="S31" i="9"/>
  <c r="J42" i="4"/>
  <c r="Q45" i="9"/>
  <c r="E50" i="9"/>
  <c r="X47" i="9"/>
  <c r="L45" i="4"/>
  <c r="I37" i="4"/>
  <c r="X80" i="4"/>
  <c r="G80" i="4"/>
  <c r="B82" i="4"/>
  <c r="J82" i="9"/>
  <c r="S82" i="4"/>
  <c r="I82" i="9"/>
  <c r="Z83" i="4"/>
  <c r="M83" i="4"/>
  <c r="E87" i="9"/>
  <c r="P87" i="4"/>
  <c r="Z87" i="9"/>
  <c r="B84" i="9"/>
  <c r="I37" i="9"/>
  <c r="X41" i="9"/>
  <c r="S48" i="9"/>
  <c r="H47" i="4"/>
  <c r="V42" i="9"/>
  <c r="V50" i="9"/>
  <c r="O48" i="4"/>
  <c r="Z45" i="9"/>
  <c r="C42" i="4"/>
  <c r="S32" i="9"/>
  <c r="G79" i="4"/>
  <c r="S88" i="9"/>
  <c r="G28" i="4"/>
  <c r="D30" i="9"/>
  <c r="I9" i="9"/>
  <c r="T72" i="9"/>
  <c r="AA74" i="4"/>
  <c r="C14" i="4"/>
  <c r="J18" i="9"/>
  <c r="J78" i="9"/>
  <c r="M86" i="4"/>
  <c r="Y85" i="4"/>
  <c r="G38" i="9"/>
  <c r="I38" i="9"/>
  <c r="O49" i="4"/>
  <c r="G89" i="9"/>
  <c r="L43" i="9"/>
  <c r="V34" i="4"/>
  <c r="D60" i="9"/>
  <c r="Z31" i="9"/>
  <c r="V75" i="9"/>
  <c r="W40" i="4"/>
  <c r="V58" i="9"/>
  <c r="X62" i="9"/>
  <c r="I68" i="9"/>
  <c r="P10" i="4"/>
  <c r="E16" i="4"/>
  <c r="R17" i="9"/>
  <c r="U76" i="9"/>
  <c r="D84" i="9"/>
  <c r="M34" i="9"/>
  <c r="V36" i="4"/>
  <c r="Z39" i="4"/>
  <c r="G35" i="4"/>
  <c r="C66" i="4"/>
  <c r="I31" i="4"/>
  <c r="Y71" i="9"/>
  <c r="Y33" i="9"/>
  <c r="F46" i="9"/>
  <c r="W77" i="4"/>
  <c r="X81" i="9"/>
  <c r="U59" i="9"/>
  <c r="E61" i="9"/>
  <c r="J63" i="4"/>
  <c r="E65" i="9"/>
  <c r="G67" i="9"/>
  <c r="N70" i="4"/>
  <c r="Q72" i="9"/>
  <c r="U12" i="9"/>
  <c r="L15" i="9"/>
  <c r="U32" i="9"/>
  <c r="W20" i="9"/>
  <c r="B18" i="9"/>
  <c r="M87" i="4"/>
  <c r="F48" i="4"/>
  <c r="N80" i="9"/>
  <c r="Z82" i="9"/>
  <c r="Z83" i="9"/>
  <c r="F87" i="9"/>
  <c r="Q37" i="9"/>
  <c r="S45" i="4"/>
  <c r="Y47" i="9"/>
  <c r="R94" i="10"/>
  <c r="W33" i="4"/>
  <c r="B36" i="4"/>
  <c r="B66" i="4"/>
  <c r="B61" i="4"/>
  <c r="S9" i="9"/>
  <c r="B83" i="9"/>
  <c r="D50" i="4"/>
  <c r="V37" i="4"/>
  <c r="M80" i="9"/>
  <c r="D48" i="9"/>
  <c r="T20" i="9"/>
  <c r="J32" i="9"/>
  <c r="C49" i="9"/>
  <c r="R42" i="9"/>
  <c r="S86" i="9"/>
  <c r="X86" i="4"/>
  <c r="Y86" i="4"/>
  <c r="Q51" i="4"/>
  <c r="B51" i="4"/>
  <c r="F64" i="9"/>
  <c r="M64" i="9"/>
  <c r="Q64" i="4"/>
  <c r="H31" i="9"/>
  <c r="I69" i="4"/>
  <c r="N69" i="9"/>
  <c r="F11" i="4"/>
  <c r="O11" i="9"/>
  <c r="N11" i="9"/>
  <c r="F73" i="9"/>
  <c r="C73" i="9"/>
  <c r="T73" i="4"/>
  <c r="E19" i="4"/>
  <c r="H19" i="4"/>
  <c r="F19" i="9"/>
  <c r="B19" i="4"/>
  <c r="K79" i="4"/>
  <c r="W79" i="9"/>
  <c r="C88" i="4"/>
  <c r="O88" i="9"/>
  <c r="V88" i="4"/>
  <c r="D28" i="4"/>
  <c r="K28" i="4"/>
  <c r="I28" i="9"/>
  <c r="Q30" i="9"/>
  <c r="D30" i="4"/>
  <c r="Z30" i="4"/>
  <c r="W9" i="4"/>
  <c r="H9" i="9"/>
  <c r="Z9" i="9"/>
  <c r="X72" i="9"/>
  <c r="U72" i="9"/>
  <c r="G72" i="4"/>
  <c r="W74" i="4"/>
  <c r="D74" i="4"/>
  <c r="T74" i="9"/>
  <c r="Q14" i="9"/>
  <c r="D14" i="4"/>
  <c r="T14" i="9"/>
  <c r="B9" i="9"/>
  <c r="E18" i="4"/>
  <c r="Q18" i="9"/>
  <c r="F18" i="4"/>
  <c r="E78" i="4"/>
  <c r="Q78" i="9"/>
  <c r="H78" i="4"/>
  <c r="Q85" i="9"/>
  <c r="V85" i="4"/>
  <c r="S85" i="4"/>
  <c r="W88" i="9"/>
  <c r="R35" i="9"/>
  <c r="B35" i="4"/>
  <c r="U38" i="9"/>
  <c r="F38" i="4"/>
  <c r="P38" i="4"/>
  <c r="R41" i="9"/>
  <c r="Q41" i="4"/>
  <c r="W41" i="4"/>
  <c r="AA49" i="4"/>
  <c r="L49" i="4"/>
  <c r="M89" i="4"/>
  <c r="W89" i="9"/>
  <c r="R89" i="9"/>
  <c r="J43" i="4"/>
  <c r="D43" i="4"/>
  <c r="Y43" i="9"/>
  <c r="P41" i="4"/>
  <c r="C60" i="4"/>
  <c r="I60" i="9"/>
  <c r="P60" i="4"/>
  <c r="P60" i="9"/>
  <c r="E31" i="4"/>
  <c r="E31" i="9"/>
  <c r="M75" i="4"/>
  <c r="W75" i="9"/>
  <c r="H75" i="9"/>
  <c r="J40" i="9"/>
  <c r="AA40" i="9"/>
  <c r="O40" i="4"/>
  <c r="W58" i="4"/>
  <c r="D58" i="4"/>
  <c r="P58" i="9"/>
  <c r="S62" i="4"/>
  <c r="Y62" i="9"/>
  <c r="H62" i="9"/>
  <c r="N68" i="4"/>
  <c r="U68" i="4"/>
  <c r="X68" i="9"/>
  <c r="D10" i="4"/>
  <c r="Z10" i="9"/>
  <c r="E10" i="9"/>
  <c r="B69" i="9"/>
  <c r="D16" i="9"/>
  <c r="Q16" i="4"/>
  <c r="O16" i="9"/>
  <c r="L17" i="4"/>
  <c r="X17" i="9"/>
  <c r="D76" i="9"/>
  <c r="M76" i="4"/>
  <c r="Y76" i="9"/>
  <c r="M77" i="9"/>
  <c r="H84" i="4"/>
  <c r="R84" i="9"/>
  <c r="Q84" i="4"/>
  <c r="P34" i="9"/>
  <c r="Y34" i="9"/>
  <c r="I34" i="4"/>
  <c r="Y36" i="4"/>
  <c r="S36" i="9"/>
  <c r="I39" i="4"/>
  <c r="N39" i="4"/>
  <c r="V39" i="9"/>
  <c r="Y46" i="4"/>
  <c r="B34" i="4"/>
  <c r="R66" i="9"/>
  <c r="AA66" i="9"/>
  <c r="V66" i="4"/>
  <c r="U29" i="9"/>
  <c r="L29" i="4"/>
  <c r="Z29" i="4"/>
  <c r="W71" i="4"/>
  <c r="X71" i="4"/>
  <c r="D71" i="4"/>
  <c r="U13" i="9"/>
  <c r="M13" i="4"/>
  <c r="AA13" i="4"/>
  <c r="M33" i="9"/>
  <c r="V33" i="9"/>
  <c r="N33" i="4"/>
  <c r="S46" i="9"/>
  <c r="J46" i="4"/>
  <c r="T77" i="9"/>
  <c r="AA77" i="4"/>
  <c r="N77" i="4"/>
  <c r="D81" i="4"/>
  <c r="L81" i="9"/>
  <c r="S81" i="4"/>
  <c r="I79" i="9"/>
  <c r="I59" i="9"/>
  <c r="P59" i="4"/>
  <c r="R59" i="9"/>
  <c r="AA61" i="4"/>
  <c r="H61" i="4"/>
  <c r="Z61" i="9"/>
  <c r="W63" i="4"/>
  <c r="F63" i="9"/>
  <c r="P63" i="9"/>
  <c r="R65" i="9"/>
  <c r="AA65" i="9"/>
  <c r="L65" i="4"/>
  <c r="L67" i="9"/>
  <c r="S67" i="9"/>
  <c r="W67" i="4"/>
  <c r="B28" i="9"/>
  <c r="G70" i="4"/>
  <c r="D70" i="9"/>
  <c r="R70" i="9"/>
  <c r="F12" i="4"/>
  <c r="S12" i="9"/>
  <c r="J12" i="9"/>
  <c r="I73" i="9"/>
  <c r="O15" i="9"/>
  <c r="F15" i="9"/>
  <c r="Q15" i="9"/>
  <c r="Z32" i="4"/>
  <c r="T32" i="9"/>
  <c r="G20" i="4"/>
  <c r="N20" i="4"/>
  <c r="Z20" i="9"/>
  <c r="O44" i="9"/>
  <c r="D44" i="9"/>
  <c r="X44" i="4"/>
  <c r="R51" i="9"/>
  <c r="P39" i="9"/>
  <c r="G28" i="9"/>
  <c r="T42" i="4"/>
  <c r="J48" i="4"/>
  <c r="F47" i="9"/>
  <c r="G42" i="4"/>
  <c r="J80" i="4"/>
  <c r="R80" i="9"/>
  <c r="AA80" i="4"/>
  <c r="T82" i="4"/>
  <c r="E82" i="4"/>
  <c r="S82" i="9"/>
  <c r="L83" i="4"/>
  <c r="T83" i="9"/>
  <c r="Q83" i="9"/>
  <c r="B87" i="4"/>
  <c r="J87" i="9"/>
  <c r="S87" i="4"/>
  <c r="R37" i="9"/>
  <c r="H36" i="4"/>
  <c r="M50" i="4"/>
  <c r="V47" i="4"/>
  <c r="N45" i="4"/>
  <c r="L37" i="4"/>
  <c r="D50" i="9"/>
  <c r="S47" i="9"/>
  <c r="AA42" i="4"/>
  <c r="W82" i="9"/>
  <c r="H96" i="6"/>
  <c r="H96" i="7"/>
  <c r="M98" i="6"/>
  <c r="M98" i="7"/>
  <c r="O97" i="6"/>
  <c r="O97" i="7"/>
  <c r="Z96" i="6"/>
  <c r="Z96" i="7"/>
  <c r="I36" i="9"/>
  <c r="Z37" i="4"/>
  <c r="B33" i="4"/>
  <c r="B42" i="9"/>
  <c r="G80" i="9"/>
  <c r="T48" i="9"/>
  <c r="Y47" i="4"/>
  <c r="B87" i="9"/>
  <c r="Z45" i="4"/>
  <c r="L86" i="4"/>
  <c r="E51" i="4"/>
  <c r="N51" i="4"/>
  <c r="L64" i="4"/>
  <c r="V69" i="4"/>
  <c r="P69" i="9"/>
  <c r="S11" i="4"/>
  <c r="P73" i="4"/>
  <c r="K11" i="9"/>
  <c r="U19" i="9"/>
  <c r="X79" i="9"/>
  <c r="G88" i="4"/>
  <c r="G88" i="9"/>
  <c r="P30" i="4"/>
  <c r="Q9" i="9"/>
  <c r="C72" i="4"/>
  <c r="I74" i="9"/>
  <c r="U14" i="9"/>
  <c r="R9" i="9"/>
  <c r="T18" i="4"/>
  <c r="D78" i="4"/>
  <c r="J85" i="9"/>
  <c r="P35" i="4"/>
  <c r="R38" i="9"/>
  <c r="U41" i="9"/>
  <c r="E49" i="9"/>
  <c r="S89" i="9"/>
  <c r="X43" i="4"/>
  <c r="U38" i="4"/>
  <c r="D60" i="4"/>
  <c r="Q31" i="9"/>
  <c r="X75" i="9"/>
  <c r="H51" i="9"/>
  <c r="B58" i="9"/>
  <c r="N62" i="9"/>
  <c r="P68" i="9"/>
  <c r="M10" i="4"/>
  <c r="X16" i="9"/>
  <c r="P17" i="4"/>
  <c r="I76" i="4"/>
  <c r="W84" i="9"/>
  <c r="B34" i="9"/>
  <c r="E36" i="4"/>
  <c r="Q36" i="9"/>
  <c r="T51" i="9"/>
  <c r="E66" i="9"/>
  <c r="J29" i="9"/>
  <c r="R71" i="9"/>
  <c r="J13" i="4"/>
  <c r="Q33" i="9"/>
  <c r="O46" i="9"/>
  <c r="X77" i="9"/>
  <c r="I19" i="9"/>
  <c r="O81" i="9"/>
  <c r="T59" i="4"/>
  <c r="D61" i="4"/>
  <c r="Z63" i="4"/>
  <c r="O65" i="9"/>
  <c r="X67" i="9"/>
  <c r="H30" i="9"/>
  <c r="N70" i="9"/>
  <c r="T12" i="9"/>
  <c r="M15" i="9"/>
  <c r="O32" i="4"/>
  <c r="R20" i="9"/>
  <c r="R44" i="9"/>
  <c r="K29" i="4"/>
  <c r="U50" i="9"/>
  <c r="O42" i="4"/>
  <c r="V80" i="9"/>
  <c r="I82" i="4"/>
  <c r="P83" i="9"/>
  <c r="V87" i="4"/>
  <c r="G37" i="9"/>
  <c r="Z47" i="4"/>
  <c r="H50" i="9"/>
  <c r="Z93" i="11"/>
  <c r="Q93" i="6"/>
  <c r="Q93" i="7"/>
  <c r="H96" i="10"/>
  <c r="L43" i="4"/>
  <c r="C36" i="9"/>
  <c r="B68" i="4"/>
  <c r="AA44" i="4"/>
  <c r="B15" i="4"/>
  <c r="M83" i="9"/>
  <c r="H49" i="9"/>
  <c r="F37" i="4"/>
  <c r="I83" i="9"/>
  <c r="G45" i="4"/>
  <c r="B59" i="4"/>
  <c r="G83" i="9"/>
  <c r="P50" i="4"/>
  <c r="I69" i="9"/>
  <c r="B86" i="4"/>
  <c r="J86" i="9"/>
  <c r="E86" i="4"/>
  <c r="AA51" i="4"/>
  <c r="L51" i="4"/>
  <c r="P64" i="9"/>
  <c r="W64" i="9"/>
  <c r="N64" i="4"/>
  <c r="L69" i="4"/>
  <c r="S69" i="4"/>
  <c r="O69" i="9"/>
  <c r="P11" i="4"/>
  <c r="E11" i="9"/>
  <c r="AA11" i="9"/>
  <c r="R73" i="9"/>
  <c r="Q73" i="4"/>
  <c r="T73" i="9"/>
  <c r="O19" i="4"/>
  <c r="R19" i="4"/>
  <c r="Z19" i="9"/>
  <c r="N79" i="9"/>
  <c r="U79" i="4"/>
  <c r="X79" i="4"/>
  <c r="M88" i="4"/>
  <c r="AA88" i="9"/>
  <c r="F88" i="9"/>
  <c r="N28" i="4"/>
  <c r="U28" i="4"/>
  <c r="F28" i="9"/>
  <c r="AA30" i="9"/>
  <c r="U30" i="4"/>
  <c r="I9" i="4"/>
  <c r="O9" i="9"/>
  <c r="R9" i="4"/>
  <c r="H72" i="9"/>
  <c r="Z72" i="4"/>
  <c r="S72" i="9"/>
  <c r="I74" i="4"/>
  <c r="O74" i="9"/>
  <c r="V74" i="4"/>
  <c r="B72" i="9"/>
  <c r="K14" i="4"/>
  <c r="L14" i="9"/>
  <c r="B16" i="4"/>
  <c r="X18" i="9"/>
  <c r="G18" i="9"/>
  <c r="L18" i="4"/>
  <c r="X78" i="9"/>
  <c r="E78" i="9"/>
  <c r="F78" i="4"/>
  <c r="G85" i="9"/>
  <c r="P85" i="4"/>
  <c r="Z85" i="9"/>
  <c r="I88" i="9"/>
  <c r="L35" i="9"/>
  <c r="F35" i="4"/>
  <c r="W38" i="9"/>
  <c r="J38" i="4"/>
  <c r="T38" i="4"/>
  <c r="T41" i="9"/>
  <c r="U41" i="4"/>
  <c r="AA41" i="4"/>
  <c r="Q49" i="9"/>
  <c r="V49" i="4"/>
  <c r="W89" i="4"/>
  <c r="F89" i="4"/>
  <c r="Z89" i="4"/>
  <c r="V43" i="4"/>
  <c r="S43" i="4"/>
  <c r="S46" i="4"/>
  <c r="C29" i="4"/>
  <c r="C60" i="9"/>
  <c r="J60" i="4"/>
  <c r="F60" i="9"/>
  <c r="Z31" i="4"/>
  <c r="P31" i="9"/>
  <c r="G75" i="4"/>
  <c r="Q75" i="9"/>
  <c r="V75" i="4"/>
  <c r="B40" i="9"/>
  <c r="S40" i="9"/>
  <c r="Z40" i="4"/>
  <c r="Q58" i="4"/>
  <c r="W58" i="9"/>
  <c r="N58" i="9"/>
  <c r="K62" i="4"/>
  <c r="S62" i="9"/>
  <c r="F62" i="9"/>
  <c r="H68" i="4"/>
  <c r="O68" i="4"/>
  <c r="L68" i="9"/>
  <c r="B28" i="4"/>
  <c r="T10" i="9"/>
  <c r="M10" i="9"/>
  <c r="K69" i="9"/>
  <c r="F16" i="9"/>
  <c r="K16" i="4"/>
  <c r="E16" i="9"/>
  <c r="F17" i="4"/>
  <c r="P17" i="9"/>
  <c r="F76" i="9"/>
  <c r="O76" i="4"/>
  <c r="AA76" i="9"/>
  <c r="M81" i="9"/>
  <c r="J84" i="4"/>
  <c r="T84" i="9"/>
  <c r="AA84" i="4"/>
  <c r="Z34" i="9"/>
  <c r="O34" i="4"/>
  <c r="C36" i="4"/>
  <c r="L36" i="4"/>
  <c r="P36" i="9"/>
  <c r="S39" i="4"/>
  <c r="X39" i="4"/>
  <c r="W39" i="9"/>
  <c r="D39" i="9"/>
  <c r="L66" i="9"/>
  <c r="U66" i="9"/>
  <c r="J66" i="4"/>
  <c r="O29" i="9"/>
  <c r="X29" i="9"/>
  <c r="N29" i="4"/>
  <c r="Q71" i="4"/>
  <c r="P71" i="4"/>
  <c r="T71" i="4"/>
  <c r="O13" i="9"/>
  <c r="E13" i="4"/>
  <c r="S13" i="4"/>
  <c r="C33" i="9"/>
  <c r="P33" i="9"/>
  <c r="R33" i="4"/>
  <c r="U46" i="9"/>
  <c r="B46" i="4"/>
  <c r="N77" i="9"/>
  <c r="U77" i="4"/>
  <c r="L77" i="4"/>
  <c r="T17" i="9"/>
  <c r="F81" i="9"/>
  <c r="M81" i="4"/>
  <c r="Y81" i="9"/>
  <c r="C59" i="9"/>
  <c r="J59" i="4"/>
  <c r="P59" i="9"/>
  <c r="U61" i="4"/>
  <c r="AA61" i="9"/>
  <c r="B61" i="9"/>
  <c r="Q63" i="4"/>
  <c r="X63" i="4"/>
  <c r="D63" i="9"/>
  <c r="L65" i="9"/>
  <c r="U65" i="9"/>
  <c r="AA65" i="4"/>
  <c r="F67" i="9"/>
  <c r="M67" i="9"/>
  <c r="K67" i="4"/>
  <c r="B29" i="4"/>
  <c r="T70" i="4"/>
  <c r="S70" i="9"/>
  <c r="X70" i="9"/>
  <c r="L73" i="9"/>
  <c r="K12" i="9"/>
  <c r="M12" i="4"/>
  <c r="D15" i="4"/>
  <c r="R15" i="9"/>
  <c r="S15" i="9"/>
  <c r="M12" i="9"/>
  <c r="M32" i="4"/>
  <c r="Q32" i="9"/>
  <c r="Q20" i="4"/>
  <c r="X20" i="4"/>
  <c r="S20" i="9"/>
  <c r="Y44" i="9"/>
  <c r="R44" i="4"/>
  <c r="I39" i="9"/>
  <c r="H44" i="9"/>
  <c r="AA29" i="4"/>
  <c r="N42" i="4"/>
  <c r="U45" i="9"/>
  <c r="X48" i="4"/>
  <c r="L47" i="9"/>
  <c r="Q42" i="9"/>
  <c r="D80" i="4"/>
  <c r="L80" i="9"/>
  <c r="U80" i="4"/>
  <c r="N82" i="4"/>
  <c r="X82" i="9"/>
  <c r="Y82" i="9"/>
  <c r="F83" i="4"/>
  <c r="N83" i="9"/>
  <c r="Y83" i="4"/>
  <c r="W87" i="9"/>
  <c r="D87" i="9"/>
  <c r="Y87" i="4"/>
  <c r="L37" i="9"/>
  <c r="W37" i="9"/>
  <c r="S50" i="4"/>
  <c r="C48" i="9"/>
  <c r="V45" i="4"/>
  <c r="X37" i="4"/>
  <c r="J50" i="9"/>
  <c r="AA47" i="9"/>
  <c r="J45" i="9"/>
  <c r="G37" i="4"/>
  <c r="Y50" i="9"/>
  <c r="B67" i="4"/>
  <c r="I87" i="9"/>
  <c r="I48" i="9"/>
  <c r="D86" i="4"/>
  <c r="U86" i="4"/>
  <c r="V51" i="4"/>
  <c r="Y64" i="9"/>
  <c r="N69" i="4"/>
  <c r="S69" i="9"/>
  <c r="H11" i="9"/>
  <c r="C73" i="4"/>
  <c r="X73" i="4"/>
  <c r="P79" i="9"/>
  <c r="E88" i="9"/>
  <c r="W28" i="4"/>
  <c r="E30" i="4"/>
  <c r="V9" i="4"/>
  <c r="O72" i="4"/>
  <c r="Z74" i="9"/>
  <c r="Z14" i="4"/>
  <c r="H18" i="4"/>
  <c r="B78" i="4"/>
  <c r="T85" i="9"/>
  <c r="J35" i="4"/>
  <c r="D41" i="9"/>
  <c r="W49" i="4"/>
  <c r="H89" i="4"/>
  <c r="T43" i="4"/>
  <c r="U60" i="9"/>
  <c r="AA31" i="4"/>
  <c r="P75" i="4"/>
  <c r="G40" i="4"/>
  <c r="D58" i="9"/>
  <c r="Z62" i="9"/>
  <c r="Y68" i="9"/>
  <c r="Y10" i="4"/>
  <c r="K16" i="9"/>
  <c r="S17" i="4"/>
  <c r="O84" i="9"/>
  <c r="T34" i="9"/>
  <c r="M39" i="4"/>
  <c r="U66" i="4"/>
  <c r="R29" i="4"/>
  <c r="L71" i="4"/>
  <c r="V13" i="9"/>
  <c r="G46" i="4"/>
  <c r="O77" i="4"/>
  <c r="H81" i="9"/>
  <c r="M59" i="9"/>
  <c r="M61" i="9"/>
  <c r="R63" i="4"/>
  <c r="W65" i="9"/>
  <c r="O67" i="9"/>
  <c r="K70" i="4"/>
  <c r="J12" i="4"/>
  <c r="V15" i="4"/>
  <c r="E32" i="4"/>
  <c r="R20" i="4"/>
  <c r="T44" i="9"/>
  <c r="G32" i="9"/>
  <c r="N48" i="4"/>
  <c r="V80" i="4"/>
  <c r="P82" i="9"/>
  <c r="H83" i="9"/>
  <c r="X87" i="9"/>
  <c r="Y50" i="4"/>
  <c r="T37" i="4"/>
  <c r="U42" i="9"/>
  <c r="O47" i="4"/>
  <c r="I38" i="6"/>
  <c r="I38" i="7"/>
  <c r="O82" i="11"/>
  <c r="O82" i="10"/>
  <c r="C50" i="11"/>
  <c r="C50" i="10"/>
  <c r="V64" i="4"/>
  <c r="W69" i="4"/>
  <c r="H19" i="9"/>
  <c r="Z28" i="4"/>
  <c r="M9" i="6"/>
  <c r="M9" i="7"/>
  <c r="U74" i="4"/>
  <c r="D78" i="9"/>
  <c r="V89" i="9"/>
  <c r="J60" i="9"/>
  <c r="L75" i="9"/>
  <c r="B64" i="4"/>
  <c r="L58" i="11"/>
  <c r="L58" i="10"/>
  <c r="N68" i="9"/>
  <c r="K10" i="4"/>
  <c r="X84" i="9"/>
  <c r="W34" i="7"/>
  <c r="W34" i="6"/>
  <c r="U36" i="9"/>
  <c r="M71" i="4"/>
  <c r="M75" i="9"/>
  <c r="G63" i="9"/>
  <c r="N67" i="7"/>
  <c r="N67" i="6"/>
  <c r="G71" i="9"/>
  <c r="Y15" i="4"/>
  <c r="X80" i="11"/>
  <c r="X80" i="10"/>
  <c r="U82" i="9"/>
  <c r="N78" i="4"/>
  <c r="Y40" i="4"/>
  <c r="K68" i="9"/>
  <c r="X40" i="4"/>
  <c r="N71" i="4"/>
  <c r="X83" i="4"/>
  <c r="Q47" i="6"/>
  <c r="Q47" i="7"/>
  <c r="M47" i="9"/>
  <c r="B50" i="4"/>
  <c r="X86" i="11"/>
  <c r="X86" i="10"/>
  <c r="AA64" i="4"/>
  <c r="G73" i="4"/>
  <c r="M19" i="9"/>
  <c r="C28" i="4"/>
  <c r="W9" i="9"/>
  <c r="O74" i="4"/>
  <c r="C78" i="9"/>
  <c r="N85" i="4"/>
  <c r="AA38" i="4"/>
  <c r="E75" i="4"/>
  <c r="T75" i="4"/>
  <c r="V40" i="4"/>
  <c r="H68" i="9"/>
  <c r="F39" i="4"/>
  <c r="V29" i="11"/>
  <c r="V29" i="10"/>
  <c r="O71" i="4"/>
  <c r="I71" i="9"/>
  <c r="N33" i="9"/>
  <c r="J77" i="9"/>
  <c r="D77" i="6"/>
  <c r="D77" i="7"/>
  <c r="S61" i="6"/>
  <c r="S61" i="7"/>
  <c r="X61" i="11"/>
  <c r="X61" i="10"/>
  <c r="S15" i="4"/>
  <c r="T82" i="9"/>
  <c r="D83" i="4"/>
  <c r="W83" i="4"/>
  <c r="U50" i="4"/>
  <c r="H33" i="9"/>
  <c r="L77" i="9"/>
  <c r="M20" i="11"/>
  <c r="M20" i="10"/>
  <c r="Y38" i="4"/>
  <c r="Q64" i="9"/>
  <c r="L19" i="4"/>
  <c r="J85" i="4"/>
  <c r="P89" i="9"/>
  <c r="M60" i="9"/>
  <c r="N40" i="4"/>
  <c r="W84" i="4"/>
  <c r="K36" i="9"/>
  <c r="AA71" i="4"/>
  <c r="F13" i="9"/>
  <c r="M38" i="4"/>
  <c r="H82" i="9"/>
  <c r="M54" i="6"/>
  <c r="M54" i="7"/>
  <c r="I96" i="6"/>
  <c r="O92" i="6"/>
  <c r="O92" i="7"/>
  <c r="K41" i="11"/>
  <c r="K41" i="10"/>
  <c r="O64" i="9"/>
  <c r="D69" i="4"/>
  <c r="V73" i="4"/>
  <c r="J19" i="4"/>
  <c r="M28" i="4"/>
  <c r="B68" i="9"/>
  <c r="O72" i="9"/>
  <c r="M71" i="9"/>
  <c r="N74" i="4"/>
  <c r="AA14" i="9"/>
  <c r="U14" i="4"/>
  <c r="P78" i="9"/>
  <c r="Z78" i="4"/>
  <c r="H85" i="4"/>
  <c r="Q85" i="4"/>
  <c r="D38" i="4"/>
  <c r="U49" i="4"/>
  <c r="X89" i="9"/>
  <c r="AA60" i="9"/>
  <c r="Z60" i="9"/>
  <c r="Y31" i="4"/>
  <c r="E75" i="9"/>
  <c r="N75" i="9"/>
  <c r="J40" i="4"/>
  <c r="W68" i="9"/>
  <c r="L10" i="9"/>
  <c r="G10" i="4"/>
  <c r="B84" i="4"/>
  <c r="Y84" i="4"/>
  <c r="AA34" i="9"/>
  <c r="K39" i="4"/>
  <c r="Z39" i="9"/>
  <c r="D66" i="9"/>
  <c r="Y29" i="6"/>
  <c r="Y29" i="7"/>
  <c r="Z71" i="4"/>
  <c r="E13" i="9"/>
  <c r="H13" i="9"/>
  <c r="F33" i="9"/>
  <c r="K33" i="9"/>
  <c r="D65" i="9"/>
  <c r="Y70" i="4"/>
  <c r="P20" i="6"/>
  <c r="P20" i="7"/>
  <c r="T47" i="9"/>
  <c r="M80" i="4"/>
  <c r="N82" i="9"/>
  <c r="M78" i="9"/>
  <c r="Q83" i="4"/>
  <c r="T87" i="4"/>
  <c r="B33" i="9"/>
  <c r="AA50" i="4"/>
  <c r="R50" i="9"/>
  <c r="W37" i="4"/>
  <c r="C64" i="4"/>
  <c r="O73" i="4"/>
  <c r="N79" i="6"/>
  <c r="N79" i="7"/>
  <c r="P30" i="9"/>
  <c r="T14" i="4"/>
  <c r="Y78" i="4"/>
  <c r="S75" i="9"/>
  <c r="W10" i="9"/>
  <c r="M84" i="9"/>
  <c r="AA39" i="9"/>
  <c r="P77" i="9"/>
  <c r="F70" i="4"/>
  <c r="P82" i="4"/>
  <c r="Y37" i="9"/>
  <c r="DA86" i="2"/>
  <c r="CZ67" i="2"/>
  <c r="DA66" i="2"/>
  <c r="CU20" i="2"/>
  <c r="CZ40" i="2"/>
  <c r="CZ16" i="2"/>
  <c r="DE86" i="2"/>
  <c r="DF86" i="2" s="1"/>
  <c r="DE70" i="2"/>
  <c r="DF70" i="2" s="1"/>
  <c r="CZ79" i="2"/>
  <c r="DE69" i="2"/>
  <c r="DF69" i="2" s="1"/>
  <c r="DE79" i="2"/>
  <c r="DF79" i="2" s="1"/>
  <c r="CU63" i="2"/>
  <c r="DE87" i="2"/>
  <c r="DF87" i="2" s="1"/>
  <c r="CT76" i="2"/>
  <c r="CU44" i="2"/>
  <c r="S90" i="9"/>
  <c r="C90" i="9"/>
  <c r="U90" i="9"/>
  <c r="E90" i="9"/>
  <c r="T90" i="9"/>
  <c r="J90" i="9"/>
  <c r="B90" i="9"/>
  <c r="O90" i="9"/>
  <c r="Q90" i="9"/>
  <c r="R90" i="9"/>
  <c r="H90" i="9"/>
  <c r="Y90" i="9"/>
  <c r="V90" i="9"/>
  <c r="D90" i="9"/>
  <c r="N90" i="9"/>
  <c r="K90" i="9"/>
  <c r="M90" i="9"/>
  <c r="X90" i="9"/>
  <c r="P90" i="9"/>
  <c r="F90" i="9"/>
  <c r="W90" i="9"/>
  <c r="G90" i="9"/>
  <c r="I90" i="9"/>
  <c r="L90" i="9"/>
  <c r="CZ45" i="2"/>
  <c r="K44" i="4"/>
  <c r="AA92" i="6"/>
  <c r="AA92" i="7"/>
  <c r="L93" i="7"/>
  <c r="L93" i="6"/>
  <c r="B66" i="9"/>
  <c r="H42" i="9"/>
  <c r="B45" i="9"/>
  <c r="M59" i="4"/>
  <c r="L74" i="9"/>
  <c r="L87" i="9"/>
  <c r="L50" i="4"/>
  <c r="L39" i="9"/>
  <c r="I80" i="9"/>
  <c r="L48" i="9"/>
  <c r="W29" i="4"/>
  <c r="B44" i="9"/>
  <c r="W48" i="9"/>
  <c r="O45" i="4"/>
  <c r="Q86" i="9"/>
  <c r="V86" i="4"/>
  <c r="Q86" i="4"/>
  <c r="O51" i="4"/>
  <c r="W51" i="9"/>
  <c r="D64" i="9"/>
  <c r="K64" i="9"/>
  <c r="I64" i="4"/>
  <c r="S64" i="4"/>
  <c r="G69" i="4"/>
  <c r="J69" i="9"/>
  <c r="D11" i="4"/>
  <c r="W11" i="9"/>
  <c r="V11" i="9"/>
  <c r="N73" i="9"/>
  <c r="K73" i="9"/>
  <c r="Z73" i="4"/>
  <c r="K19" i="4"/>
  <c r="N19" i="4"/>
  <c r="R19" i="9"/>
  <c r="H79" i="9"/>
  <c r="Q79" i="4"/>
  <c r="H79" i="4"/>
  <c r="I88" i="4"/>
  <c r="U88" i="9"/>
  <c r="D88" i="9"/>
  <c r="J28" i="4"/>
  <c r="Q28" i="4"/>
  <c r="U28" i="9"/>
  <c r="W30" i="9"/>
  <c r="T30" i="4"/>
  <c r="H28" i="9"/>
  <c r="K9" i="9"/>
  <c r="J9" i="4"/>
  <c r="D72" i="9"/>
  <c r="U72" i="4"/>
  <c r="N72" i="4"/>
  <c r="E74" i="4"/>
  <c r="K74" i="9"/>
  <c r="R74" i="4"/>
  <c r="C11" i="9"/>
  <c r="F14" i="4"/>
  <c r="V14" i="9"/>
  <c r="R14" i="9"/>
  <c r="L18" i="9"/>
  <c r="S18" i="4"/>
  <c r="P18" i="4"/>
  <c r="T78" i="9"/>
  <c r="AA78" i="4"/>
  <c r="L78" i="4"/>
  <c r="C85" i="9"/>
  <c r="L85" i="4"/>
  <c r="V85" i="9"/>
  <c r="M86" i="9"/>
  <c r="D35" i="9"/>
  <c r="I35" i="4"/>
  <c r="K38" i="9"/>
  <c r="T38" i="9"/>
  <c r="W38" i="4"/>
  <c r="F41" i="9"/>
  <c r="W41" i="9"/>
  <c r="S41" i="4"/>
  <c r="Y49" i="4"/>
  <c r="J49" i="4"/>
  <c r="K89" i="4"/>
  <c r="U89" i="9"/>
  <c r="J89" i="9"/>
  <c r="G43" i="9"/>
  <c r="AA43" i="4"/>
  <c r="W43" i="4"/>
  <c r="H43" i="4"/>
  <c r="P20" i="9"/>
  <c r="G60" i="9"/>
  <c r="N60" i="4"/>
  <c r="V60" i="9"/>
  <c r="C31" i="4"/>
  <c r="X31" i="9"/>
  <c r="K75" i="4"/>
  <c r="U75" i="9"/>
  <c r="Z75" i="4"/>
  <c r="F40" i="9"/>
  <c r="W40" i="9"/>
  <c r="K40" i="4"/>
  <c r="U58" i="4"/>
  <c r="AA58" i="9"/>
  <c r="H58" i="9"/>
  <c r="Q62" i="4"/>
  <c r="W62" i="9"/>
  <c r="V62" i="9"/>
  <c r="L68" i="4"/>
  <c r="S68" i="4"/>
  <c r="T68" i="9"/>
  <c r="B69" i="4"/>
  <c r="X10" i="9"/>
  <c r="Z10" i="4"/>
  <c r="B72" i="4"/>
  <c r="Z16" i="4"/>
  <c r="G16" i="4"/>
  <c r="S16" i="9"/>
  <c r="B17" i="4"/>
  <c r="L17" i="9"/>
  <c r="Y17" i="4"/>
  <c r="C76" i="4"/>
  <c r="O76" i="9"/>
  <c r="Z76" i="4"/>
  <c r="Y84" i="9"/>
  <c r="F84" i="9"/>
  <c r="I84" i="4"/>
  <c r="N34" i="9"/>
  <c r="W34" i="9"/>
  <c r="E34" i="4"/>
  <c r="W36" i="4"/>
  <c r="O36" i="9"/>
  <c r="O39" i="4"/>
  <c r="T39" i="4"/>
  <c r="O39" i="9"/>
  <c r="R43" i="4"/>
  <c r="S30" i="4"/>
  <c r="X66" i="9"/>
  <c r="L66" i="4"/>
  <c r="S66" i="4"/>
  <c r="AA29" i="9"/>
  <c r="X29" i="4"/>
  <c r="B31" i="9"/>
  <c r="D71" i="9"/>
  <c r="F71" i="4"/>
  <c r="F71" i="9"/>
  <c r="AA13" i="9"/>
  <c r="U13" i="4"/>
  <c r="D13" i="4"/>
  <c r="S33" i="9"/>
  <c r="D33" i="4"/>
  <c r="Z33" i="4"/>
  <c r="Y46" i="9"/>
  <c r="G46" i="9"/>
  <c r="R77" i="9"/>
  <c r="Y77" i="4"/>
  <c r="F77" i="4"/>
  <c r="B81" i="4"/>
  <c r="J81" i="9"/>
  <c r="Q81" i="4"/>
  <c r="B81" i="9"/>
  <c r="G59" i="9"/>
  <c r="N59" i="4"/>
  <c r="J59" i="9"/>
  <c r="Y61" i="4"/>
  <c r="F61" i="4"/>
  <c r="R61" i="9"/>
  <c r="U63" i="4"/>
  <c r="B63" i="9"/>
  <c r="L63" i="9"/>
  <c r="P65" i="9"/>
  <c r="Y65" i="9"/>
  <c r="H65" i="4"/>
  <c r="J67" i="9"/>
  <c r="Q67" i="9"/>
  <c r="S67" i="4"/>
  <c r="I30" i="4"/>
  <c r="E70" i="4"/>
  <c r="Y70" i="9"/>
  <c r="AA70" i="9"/>
  <c r="D12" i="4"/>
  <c r="Q12" i="4"/>
  <c r="G12" i="9"/>
  <c r="B14" i="4"/>
  <c r="M15" i="4"/>
  <c r="Z15" i="9"/>
  <c r="G15" i="4"/>
  <c r="X32" i="4"/>
  <c r="P32" i="9"/>
  <c r="E20" i="4"/>
  <c r="L20" i="4"/>
  <c r="V20" i="9"/>
  <c r="K44" i="9"/>
  <c r="Y44" i="4"/>
  <c r="U44" i="4"/>
  <c r="Z51" i="9"/>
  <c r="D40" i="4"/>
  <c r="W28" i="9"/>
  <c r="R42" i="4"/>
  <c r="Y45" i="9"/>
  <c r="T48" i="4"/>
  <c r="P47" i="9"/>
  <c r="W42" i="4"/>
  <c r="I17" i="9"/>
  <c r="H80" i="9"/>
  <c r="Q80" i="4"/>
  <c r="J82" i="4"/>
  <c r="R82" i="9"/>
  <c r="AA82" i="4"/>
  <c r="B83" i="4"/>
  <c r="J83" i="9"/>
  <c r="U83" i="4"/>
  <c r="S87" i="9"/>
  <c r="X87" i="4"/>
  <c r="I87" i="4"/>
  <c r="F37" i="9"/>
  <c r="S37" i="9"/>
  <c r="W50" i="4"/>
  <c r="G48" i="9"/>
  <c r="AA45" i="4"/>
  <c r="I42" i="4"/>
  <c r="N50" i="9"/>
  <c r="G48" i="4"/>
  <c r="P45" i="4"/>
  <c r="O37" i="4"/>
  <c r="T19" i="4"/>
  <c r="E79" i="9"/>
  <c r="J88" i="4"/>
  <c r="L28" i="9"/>
  <c r="X30" i="9"/>
  <c r="P9" i="9"/>
  <c r="P72" i="4"/>
  <c r="Y74" i="9"/>
  <c r="X14" i="9"/>
  <c r="I18" i="4"/>
  <c r="I78" i="4"/>
  <c r="B85" i="4"/>
  <c r="S35" i="9"/>
  <c r="J38" i="9"/>
  <c r="V41" i="9"/>
  <c r="S49" i="9"/>
  <c r="AA89" i="9"/>
  <c r="V43" i="9"/>
  <c r="G60" i="4"/>
  <c r="L31" i="4"/>
  <c r="Y75" i="4"/>
  <c r="V40" i="9"/>
  <c r="S58" i="4"/>
  <c r="E62" i="4"/>
  <c r="J68" i="4"/>
  <c r="H29" i="9"/>
  <c r="S10" i="9"/>
  <c r="I16" i="9"/>
  <c r="Q17" i="4"/>
  <c r="P76" i="4"/>
  <c r="M84" i="4"/>
  <c r="S34" i="4"/>
  <c r="T36" i="9"/>
  <c r="G39" i="9"/>
  <c r="F66" i="9"/>
  <c r="Q29" i="9"/>
  <c r="S71" i="4"/>
  <c r="Q13" i="9"/>
  <c r="Z33" i="9"/>
  <c r="D46" i="9"/>
  <c r="T77" i="4"/>
  <c r="W81" i="4"/>
  <c r="D59" i="9"/>
  <c r="L61" i="4"/>
  <c r="N63" i="9"/>
  <c r="J65" i="4"/>
  <c r="J67" i="4"/>
  <c r="S70" i="4"/>
  <c r="R12" i="4"/>
  <c r="N15" i="4"/>
  <c r="B75" i="9"/>
  <c r="K20" i="4"/>
  <c r="S44" i="9"/>
  <c r="Z49" i="9"/>
  <c r="P42" i="4"/>
  <c r="J47" i="9"/>
  <c r="O80" i="4"/>
  <c r="Y82" i="4"/>
  <c r="S83" i="4"/>
  <c r="W87" i="4"/>
  <c r="K40" i="9"/>
  <c r="N42" i="9"/>
  <c r="R45" i="9"/>
  <c r="P55" i="11"/>
  <c r="B71" i="4"/>
  <c r="I50" i="4"/>
  <c r="C32" i="9"/>
  <c r="H31" i="4"/>
  <c r="B32" i="9"/>
  <c r="H37" i="9"/>
  <c r="F48" i="9"/>
  <c r="I63" i="9"/>
  <c r="K42" i="9"/>
  <c r="R45" i="4"/>
  <c r="J37" i="4"/>
  <c r="I83" i="4"/>
  <c r="X50" i="4"/>
  <c r="G29" i="4"/>
  <c r="AA86" i="9"/>
  <c r="H86" i="9"/>
  <c r="AA86" i="4"/>
  <c r="Y51" i="4"/>
  <c r="J51" i="4"/>
  <c r="N64" i="9"/>
  <c r="U64" i="9"/>
  <c r="J64" i="4"/>
  <c r="J69" i="4"/>
  <c r="Q69" i="4"/>
  <c r="C69" i="9"/>
  <c r="N11" i="4"/>
  <c r="Z11" i="9"/>
  <c r="Y11" i="4"/>
  <c r="P73" i="9"/>
  <c r="N73" i="4"/>
  <c r="J73" i="4"/>
  <c r="M19" i="4"/>
  <c r="P19" i="4"/>
  <c r="V19" i="9"/>
  <c r="J79" i="9"/>
  <c r="S79" i="4"/>
  <c r="P79" i="4"/>
  <c r="K88" i="4"/>
  <c r="Y88" i="9"/>
  <c r="T88" i="9"/>
  <c r="L28" i="4"/>
  <c r="S28" i="4"/>
  <c r="Y28" i="9"/>
  <c r="Y30" i="9"/>
  <c r="X30" i="4"/>
  <c r="I31" i="9"/>
  <c r="E9" i="9"/>
  <c r="X9" i="9"/>
  <c r="P9" i="4"/>
  <c r="M72" i="4"/>
  <c r="F72" i="4"/>
  <c r="G69" i="9"/>
  <c r="E74" i="9"/>
  <c r="L74" i="4"/>
  <c r="P74" i="9"/>
  <c r="Y14" i="9"/>
  <c r="N14" i="9"/>
  <c r="P14" i="4"/>
  <c r="D18" i="9"/>
  <c r="M18" i="4"/>
  <c r="Y18" i="9"/>
  <c r="F78" i="9"/>
  <c r="M78" i="4"/>
  <c r="Y78" i="9"/>
  <c r="B19" i="9"/>
  <c r="Y85" i="9"/>
  <c r="F85" i="9"/>
  <c r="U85" i="4"/>
  <c r="O35" i="9"/>
  <c r="D35" i="4"/>
  <c r="R35" i="4"/>
  <c r="D38" i="9"/>
  <c r="V38" i="4"/>
  <c r="H38" i="9"/>
  <c r="G41" i="9"/>
  <c r="B41" i="4"/>
  <c r="X40" i="9"/>
  <c r="O49" i="9"/>
  <c r="T49" i="4"/>
  <c r="U89" i="4"/>
  <c r="D89" i="4"/>
  <c r="T89" i="9"/>
  <c r="S43" i="9"/>
  <c r="P43" i="9"/>
  <c r="F51" i="9"/>
  <c r="AA35" i="4"/>
  <c r="K60" i="4"/>
  <c r="Q60" i="9"/>
  <c r="X60" i="4"/>
  <c r="F31" i="4"/>
  <c r="O31" i="4"/>
  <c r="Y31" i="9"/>
  <c r="U75" i="4"/>
  <c r="D75" i="4"/>
  <c r="R75" i="9"/>
  <c r="R40" i="9"/>
  <c r="Q40" i="4"/>
  <c r="Y40" i="9"/>
  <c r="E58" i="9"/>
  <c r="L58" i="4"/>
  <c r="R58" i="9"/>
  <c r="AA62" i="4"/>
  <c r="J62" i="4"/>
  <c r="J62" i="9"/>
  <c r="V68" i="4"/>
  <c r="C68" i="9"/>
  <c r="Q68" i="9"/>
  <c r="L10" i="4"/>
  <c r="Q10" i="9"/>
  <c r="U10" i="9"/>
  <c r="D16" i="4"/>
  <c r="L16" i="9"/>
  <c r="Y16" i="4"/>
  <c r="M17" i="9"/>
  <c r="T17" i="4"/>
  <c r="U17" i="4"/>
  <c r="N76" i="9"/>
  <c r="U76" i="4"/>
  <c r="V76" i="4"/>
  <c r="G84" i="9"/>
  <c r="P84" i="4"/>
  <c r="Z84" i="9"/>
  <c r="S84" i="4"/>
  <c r="X34" i="9"/>
  <c r="K34" i="4"/>
  <c r="Y34" i="4"/>
  <c r="J36" i="4"/>
  <c r="L36" i="9"/>
  <c r="Q39" i="4"/>
  <c r="V39" i="4"/>
  <c r="S39" i="9"/>
  <c r="E43" i="4"/>
  <c r="AA28" i="9"/>
  <c r="Z66" i="9"/>
  <c r="P66" i="4"/>
  <c r="W66" i="4"/>
  <c r="D29" i="9"/>
  <c r="E29" i="4"/>
  <c r="I66" i="9"/>
  <c r="J71" i="4"/>
  <c r="H71" i="9"/>
  <c r="Q71" i="9"/>
  <c r="D13" i="9"/>
  <c r="X13" i="4"/>
  <c r="N13" i="9"/>
  <c r="U33" i="9"/>
  <c r="L33" i="4"/>
  <c r="C46" i="4"/>
  <c r="AA46" i="9"/>
  <c r="R46" i="9"/>
  <c r="C77" i="4"/>
  <c r="K77" i="9"/>
  <c r="X77" i="4"/>
  <c r="L81" i="4"/>
  <c r="T81" i="9"/>
  <c r="AA81" i="4"/>
  <c r="I59" i="4"/>
  <c r="Q59" i="9"/>
  <c r="X59" i="4"/>
  <c r="C61" i="4"/>
  <c r="I61" i="9"/>
  <c r="P61" i="4"/>
  <c r="V61" i="9"/>
  <c r="F63" i="4"/>
  <c r="V63" i="9"/>
  <c r="E63" i="9"/>
  <c r="Z65" i="9"/>
  <c r="R65" i="4"/>
  <c r="M65" i="4"/>
  <c r="T67" i="9"/>
  <c r="AA67" i="9"/>
  <c r="L67" i="4"/>
  <c r="C30" i="9"/>
  <c r="O70" i="4"/>
  <c r="W70" i="9"/>
  <c r="B10" i="4"/>
  <c r="N12" i="4"/>
  <c r="D12" i="9"/>
  <c r="U12" i="4"/>
  <c r="J15" i="4"/>
  <c r="Z15" i="4"/>
  <c r="Q15" i="4"/>
  <c r="B14" i="9"/>
  <c r="K32" i="4"/>
  <c r="M32" i="9"/>
  <c r="O20" i="4"/>
  <c r="V20" i="4"/>
  <c r="O20" i="9"/>
  <c r="W44" i="9"/>
  <c r="O44" i="4"/>
  <c r="H32" i="9"/>
  <c r="J49" i="9"/>
  <c r="F36" i="9"/>
  <c r="C43" i="9"/>
  <c r="I45" i="9"/>
  <c r="Q50" i="9"/>
  <c r="B48" i="4"/>
  <c r="T45" i="4"/>
  <c r="U37" i="4"/>
  <c r="R80" i="4"/>
  <c r="Z80" i="9"/>
  <c r="W80" i="9"/>
  <c r="D82" i="9"/>
  <c r="M82" i="4"/>
  <c r="B78" i="9"/>
  <c r="T83" i="4"/>
  <c r="E83" i="4"/>
  <c r="S83" i="9"/>
  <c r="J87" i="4"/>
  <c r="T87" i="9"/>
  <c r="G87" i="9"/>
  <c r="Z37" i="9"/>
  <c r="C40" i="9"/>
  <c r="AA48" i="9"/>
  <c r="N47" i="4"/>
  <c r="C45" i="4"/>
  <c r="S80" i="9"/>
  <c r="U48" i="4"/>
  <c r="G47" i="9"/>
  <c r="P42" i="9"/>
  <c r="K43" i="9"/>
  <c r="T97" i="11"/>
  <c r="T97" i="10"/>
  <c r="C45" i="9"/>
  <c r="AA30" i="4"/>
  <c r="C31" i="9"/>
  <c r="Z42" i="9"/>
  <c r="G33" i="4"/>
  <c r="C37" i="9"/>
  <c r="M47" i="4"/>
  <c r="B63" i="4"/>
  <c r="K37" i="9"/>
  <c r="K19" i="9"/>
  <c r="B86" i="9"/>
  <c r="U51" i="4"/>
  <c r="B64" i="9"/>
  <c r="Y64" i="4"/>
  <c r="M69" i="4"/>
  <c r="R11" i="4"/>
  <c r="S11" i="9"/>
  <c r="I73" i="4"/>
  <c r="I19" i="4"/>
  <c r="N19" i="9"/>
  <c r="O79" i="4"/>
  <c r="W88" i="4"/>
  <c r="X28" i="4"/>
  <c r="R30" i="4"/>
  <c r="F9" i="4"/>
  <c r="K72" i="9"/>
  <c r="H74" i="4"/>
  <c r="I14" i="4"/>
  <c r="Z18" i="9"/>
  <c r="R78" i="9"/>
  <c r="L76" i="9"/>
  <c r="E85" i="4"/>
  <c r="U35" i="4"/>
  <c r="C38" i="4"/>
  <c r="J41" i="4"/>
  <c r="AA49" i="9"/>
  <c r="P89" i="4"/>
  <c r="I43" i="9"/>
  <c r="O28" i="9"/>
  <c r="B60" i="9"/>
  <c r="I75" i="4"/>
  <c r="D40" i="9"/>
  <c r="AA58" i="4"/>
  <c r="O62" i="4"/>
  <c r="T62" i="9"/>
  <c r="V68" i="9"/>
  <c r="AA10" i="4"/>
  <c r="U16" i="4"/>
  <c r="J17" i="9"/>
  <c r="Y76" i="4"/>
  <c r="L84" i="4"/>
  <c r="C34" i="9"/>
  <c r="M36" i="4"/>
  <c r="U39" i="4"/>
  <c r="Q38" i="4"/>
  <c r="W66" i="9"/>
  <c r="Z29" i="9"/>
  <c r="X71" i="9"/>
  <c r="R13" i="9"/>
  <c r="R33" i="9"/>
  <c r="P46" i="4"/>
  <c r="E77" i="9"/>
  <c r="X81" i="4"/>
  <c r="C59" i="4"/>
  <c r="B59" i="9"/>
  <c r="H61" i="9"/>
  <c r="S63" i="9"/>
  <c r="Z65" i="4"/>
  <c r="W67" i="9"/>
  <c r="C70" i="4"/>
  <c r="C11" i="4"/>
  <c r="Z12" i="9"/>
  <c r="V15" i="9"/>
  <c r="C20" i="4"/>
  <c r="B18" i="4"/>
  <c r="K39" i="9"/>
  <c r="H42" i="4"/>
  <c r="V48" i="4"/>
  <c r="M37" i="4"/>
  <c r="W80" i="4"/>
  <c r="C82" i="9"/>
  <c r="K83" i="4"/>
  <c r="P87" i="9"/>
  <c r="I35" i="9"/>
  <c r="B47" i="4"/>
  <c r="I48" i="4"/>
  <c r="H97" i="11"/>
  <c r="H97" i="10"/>
  <c r="X55" i="10"/>
  <c r="P96" i="11"/>
  <c r="B71" i="9"/>
  <c r="M50" i="9"/>
  <c r="N50" i="4"/>
  <c r="B65" i="4"/>
  <c r="B32" i="4"/>
  <c r="W83" i="9"/>
  <c r="W47" i="4"/>
  <c r="L70" i="9"/>
  <c r="I47" i="9"/>
  <c r="T41" i="4"/>
  <c r="G66" i="4"/>
  <c r="H39" i="9"/>
  <c r="J48" i="9"/>
  <c r="C86" i="9"/>
  <c r="J86" i="4"/>
  <c r="R86" i="9"/>
  <c r="G86" i="4"/>
  <c r="K51" i="9"/>
  <c r="T51" i="4"/>
  <c r="X64" i="9"/>
  <c r="H64" i="4"/>
  <c r="G64" i="4"/>
  <c r="T69" i="4"/>
  <c r="AA69" i="4"/>
  <c r="D69" i="9"/>
  <c r="X11" i="4"/>
  <c r="P11" i="9"/>
  <c r="G11" i="4"/>
  <c r="K73" i="4"/>
  <c r="Y73" i="9"/>
  <c r="O73" i="9"/>
  <c r="W19" i="4"/>
  <c r="Z19" i="4"/>
  <c r="W19" i="9"/>
  <c r="V79" i="9"/>
  <c r="C79" i="9"/>
  <c r="Z79" i="4"/>
  <c r="U88" i="4"/>
  <c r="H88" i="4"/>
  <c r="P88" i="9"/>
  <c r="V28" i="4"/>
  <c r="D28" i="9"/>
  <c r="V28" i="9"/>
  <c r="N30" i="9"/>
  <c r="N30" i="4"/>
  <c r="Q9" i="4"/>
  <c r="Y9" i="9"/>
  <c r="J9" i="9"/>
  <c r="R72" i="9"/>
  <c r="K72" i="4"/>
  <c r="D72" i="4"/>
  <c r="Q74" i="4"/>
  <c r="W74" i="9"/>
  <c r="R74" i="9"/>
  <c r="K14" i="9"/>
  <c r="V14" i="4"/>
  <c r="W14" i="4"/>
  <c r="C13" i="9"/>
  <c r="G18" i="4"/>
  <c r="S18" i="9"/>
  <c r="N18" i="4"/>
  <c r="G78" i="4"/>
  <c r="S78" i="9"/>
  <c r="P78" i="4"/>
  <c r="S85" i="9"/>
  <c r="X85" i="4"/>
  <c r="AA85" i="4"/>
  <c r="E35" i="9"/>
  <c r="T35" i="9"/>
  <c r="V35" i="4"/>
  <c r="F38" i="9"/>
  <c r="Z38" i="4"/>
  <c r="B38" i="9"/>
  <c r="I41" i="9"/>
  <c r="F41" i="4"/>
  <c r="E49" i="4"/>
  <c r="Y49" i="9"/>
  <c r="K49" i="9"/>
  <c r="E89" i="9"/>
  <c r="N89" i="4"/>
  <c r="H89" i="9"/>
  <c r="I43" i="4"/>
  <c r="D43" i="9"/>
  <c r="C44" i="4"/>
  <c r="E60" i="4"/>
  <c r="K60" i="9"/>
  <c r="R60" i="4"/>
  <c r="X60" i="9"/>
  <c r="G31" i="4"/>
  <c r="M31" i="9"/>
  <c r="O75" i="4"/>
  <c r="Y75" i="9"/>
  <c r="P75" i="9"/>
  <c r="L40" i="9"/>
  <c r="E40" i="4"/>
  <c r="S40" i="4"/>
  <c r="Y58" i="4"/>
  <c r="F58" i="4"/>
  <c r="X58" i="9"/>
  <c r="U62" i="4"/>
  <c r="D62" i="4"/>
  <c r="P62" i="9"/>
  <c r="P68" i="4"/>
  <c r="W68" i="4"/>
  <c r="E68" i="9"/>
  <c r="F10" i="4"/>
  <c r="T10" i="4"/>
  <c r="X10" i="4"/>
  <c r="F16" i="4"/>
  <c r="N16" i="9"/>
  <c r="S16" i="4"/>
  <c r="W16" i="9"/>
  <c r="N17" i="4"/>
  <c r="Z17" i="9"/>
  <c r="P76" i="9"/>
  <c r="W76" i="4"/>
  <c r="H76" i="4"/>
  <c r="K84" i="9"/>
  <c r="R84" i="4"/>
  <c r="E84" i="4"/>
  <c r="B88" i="9"/>
  <c r="K34" i="9"/>
  <c r="D34" i="4"/>
  <c r="K36" i="4"/>
  <c r="T36" i="4"/>
  <c r="M36" i="9"/>
  <c r="AA39" i="4"/>
  <c r="Q39" i="9"/>
  <c r="T49" i="9"/>
  <c r="W35" i="4"/>
  <c r="T66" i="9"/>
  <c r="D66" i="4"/>
  <c r="Z66" i="4"/>
  <c r="W29" i="9"/>
  <c r="P29" i="4"/>
  <c r="H29" i="4"/>
  <c r="Y71" i="4"/>
  <c r="Z71" i="9"/>
  <c r="N71" i="9"/>
  <c r="W13" i="9"/>
  <c r="P13" i="4"/>
  <c r="L13" i="4"/>
  <c r="O33" i="9"/>
  <c r="X33" i="9"/>
  <c r="E46" i="4"/>
  <c r="D46" i="4"/>
  <c r="L46" i="9"/>
  <c r="V77" i="9"/>
  <c r="C77" i="9"/>
  <c r="V77" i="4"/>
  <c r="F81" i="4"/>
  <c r="N81" i="9"/>
  <c r="U81" i="4"/>
  <c r="B58" i="4"/>
  <c r="K59" i="9"/>
  <c r="R59" i="4"/>
  <c r="Z59" i="9"/>
  <c r="C61" i="9"/>
  <c r="J61" i="4"/>
  <c r="D61" i="9"/>
  <c r="Y63" i="4"/>
  <c r="J63" i="9"/>
  <c r="T63" i="9"/>
  <c r="T65" i="9"/>
  <c r="F65" i="4"/>
  <c r="P65" i="4"/>
  <c r="N67" i="9"/>
  <c r="U67" i="9"/>
  <c r="AA67" i="4"/>
  <c r="B65" i="9"/>
  <c r="I70" i="4"/>
  <c r="H70" i="9"/>
  <c r="F70" i="9"/>
  <c r="H12" i="4"/>
  <c r="V12" i="9"/>
  <c r="W12" i="9"/>
  <c r="L15" i="4"/>
  <c r="K15" i="4"/>
  <c r="T15" i="9"/>
  <c r="L32" i="4"/>
  <c r="U32" i="4"/>
  <c r="N32" i="9"/>
  <c r="Y20" i="4"/>
  <c r="U20" i="9"/>
  <c r="H20" i="9"/>
  <c r="I44" i="4"/>
  <c r="P44" i="4"/>
  <c r="M49" i="9"/>
  <c r="H41" i="4"/>
  <c r="X20" i="9"/>
  <c r="V42" i="4"/>
  <c r="M89" i="9"/>
  <c r="P48" i="4"/>
  <c r="D47" i="9"/>
  <c r="D42" i="9"/>
  <c r="L80" i="4"/>
  <c r="T80" i="9"/>
  <c r="V82" i="4"/>
  <c r="G82" i="4"/>
  <c r="AA82" i="9"/>
  <c r="N83" i="4"/>
  <c r="X83" i="9"/>
  <c r="Y83" i="9"/>
  <c r="D87" i="4"/>
  <c r="N87" i="9"/>
  <c r="AA87" i="4"/>
  <c r="T37" i="9"/>
  <c r="C35" i="9"/>
  <c r="K50" i="4"/>
  <c r="T47" i="4"/>
  <c r="K45" i="4"/>
  <c r="H37" i="4"/>
  <c r="AA48" i="4"/>
  <c r="Q47" i="9"/>
  <c r="X42" i="9"/>
  <c r="T43" i="9"/>
  <c r="F89" i="9"/>
  <c r="G58" i="4"/>
  <c r="L72" i="9"/>
  <c r="J35" i="9"/>
  <c r="H50" i="4"/>
  <c r="T86" i="4"/>
  <c r="M51" i="4"/>
  <c r="J64" i="9"/>
  <c r="E64" i="4"/>
  <c r="E69" i="4"/>
  <c r="T69" i="9"/>
  <c r="F11" i="9"/>
  <c r="Y73" i="4"/>
  <c r="X73" i="9"/>
  <c r="W79" i="4"/>
  <c r="R88" i="4"/>
  <c r="Q28" i="9"/>
  <c r="B30" i="9"/>
  <c r="J72" i="9"/>
  <c r="K74" i="4"/>
  <c r="E14" i="9"/>
  <c r="F74" i="9"/>
  <c r="V18" i="4"/>
  <c r="X78" i="4"/>
  <c r="O85" i="4"/>
  <c r="Q38" i="9"/>
  <c r="M41" i="9"/>
  <c r="H49" i="4"/>
  <c r="N89" i="9"/>
  <c r="J46" i="9"/>
  <c r="T60" i="4"/>
  <c r="J31" i="9"/>
  <c r="D75" i="9"/>
  <c r="I58" i="4"/>
  <c r="W62" i="4"/>
  <c r="R68" i="4"/>
  <c r="H10" i="4"/>
  <c r="P16" i="4"/>
  <c r="Q17" i="9"/>
  <c r="Z76" i="9"/>
  <c r="T84" i="4"/>
  <c r="C34" i="4"/>
  <c r="J39" i="4"/>
  <c r="P40" i="4"/>
  <c r="AA66" i="4"/>
  <c r="K71" i="4"/>
  <c r="G13" i="9"/>
  <c r="E33" i="9"/>
  <c r="W46" i="9"/>
  <c r="Q77" i="9"/>
  <c r="G81" i="4"/>
  <c r="L59" i="4"/>
  <c r="T61" i="4"/>
  <c r="C63" i="9"/>
  <c r="O65" i="4"/>
  <c r="Z67" i="4"/>
  <c r="V70" i="9"/>
  <c r="I12" i="9"/>
  <c r="C15" i="4"/>
  <c r="L32" i="9"/>
  <c r="G20" i="9"/>
  <c r="M44" i="9"/>
  <c r="I34" i="9"/>
  <c r="R47" i="9"/>
  <c r="E80" i="4"/>
  <c r="Q82" i="4"/>
  <c r="AA83" i="4"/>
  <c r="M87" i="9"/>
  <c r="K48" i="9"/>
  <c r="J43" i="9"/>
  <c r="L40" i="7"/>
  <c r="L40" i="6"/>
  <c r="T64" i="9"/>
  <c r="S73" i="4"/>
  <c r="D19" i="9"/>
  <c r="Z88" i="11"/>
  <c r="Z88" i="10"/>
  <c r="D9" i="9"/>
  <c r="K78" i="4"/>
  <c r="R38" i="4"/>
  <c r="W60" i="9"/>
  <c r="J75" i="4"/>
  <c r="B40" i="4"/>
  <c r="E84" i="9"/>
  <c r="I84" i="9"/>
  <c r="H66" i="11"/>
  <c r="H66" i="10"/>
  <c r="AA71" i="9"/>
  <c r="N13" i="7"/>
  <c r="N13" i="6"/>
  <c r="E15" i="11"/>
  <c r="E15" i="10"/>
  <c r="C83" i="4"/>
  <c r="K47" i="9"/>
  <c r="H28" i="4"/>
  <c r="H38" i="4"/>
  <c r="B82" i="9"/>
  <c r="T64" i="4"/>
  <c r="C19" i="9"/>
  <c r="AA88" i="6"/>
  <c r="AA88" i="7"/>
  <c r="J30" i="6"/>
  <c r="J30" i="7"/>
  <c r="S14" i="6"/>
  <c r="S14" i="7"/>
  <c r="T78" i="4"/>
  <c r="CU37" i="2"/>
  <c r="CT11" i="2"/>
  <c r="CT86" i="2"/>
  <c r="CZ84" i="2"/>
  <c r="CT79" i="2"/>
  <c r="DE76" i="2"/>
  <c r="DF76" i="2" s="1"/>
  <c r="J90" i="4"/>
  <c r="P90" i="4"/>
  <c r="Z90" i="4"/>
  <c r="L90" i="4"/>
  <c r="Q90" i="4"/>
  <c r="V90" i="4"/>
  <c r="F90" i="4"/>
  <c r="N90" i="4"/>
  <c r="I90" i="4"/>
  <c r="K90" i="4"/>
  <c r="G90" i="4"/>
  <c r="X90" i="4"/>
  <c r="H90" i="4"/>
  <c r="Y90" i="4"/>
  <c r="E90" i="4"/>
  <c r="C90" i="4"/>
  <c r="B90" i="4"/>
  <c r="O90" i="4"/>
  <c r="W90" i="4"/>
  <c r="T90" i="4"/>
  <c r="D90" i="4"/>
  <c r="U90" i="4"/>
  <c r="S90" i="4"/>
  <c r="R90" i="4"/>
  <c r="M90" i="4"/>
  <c r="C49" i="6"/>
  <c r="C49" i="7"/>
  <c r="C48" i="6"/>
  <c r="C48" i="7"/>
  <c r="H46" i="7"/>
  <c r="H46" i="6"/>
  <c r="E87" i="6"/>
  <c r="E87" i="7"/>
  <c r="CU81" i="2"/>
  <c r="AA80" i="9"/>
  <c r="CU51" i="2"/>
  <c r="B50" i="9"/>
  <c r="W43" i="11"/>
  <c r="W43" i="10"/>
  <c r="R56" i="6"/>
  <c r="R56" i="7"/>
  <c r="B56" i="7"/>
  <c r="B56" i="6"/>
  <c r="B13" i="9"/>
  <c r="V50" i="4"/>
  <c r="K80" i="9"/>
  <c r="AA50" i="9"/>
  <c r="S86" i="4"/>
  <c r="L64" i="9"/>
  <c r="S64" i="9"/>
  <c r="F64" i="4"/>
  <c r="H69" i="4"/>
  <c r="O69" i="4"/>
  <c r="L11" i="4"/>
  <c r="K11" i="4"/>
  <c r="O11" i="4"/>
  <c r="S19" i="4"/>
  <c r="V19" i="4"/>
  <c r="O19" i="9"/>
  <c r="R28" i="4"/>
  <c r="Y28" i="4"/>
  <c r="F30" i="9"/>
  <c r="U9" i="9"/>
  <c r="N72" i="9"/>
  <c r="E72" i="9"/>
  <c r="Y72" i="6"/>
  <c r="Y72" i="7"/>
  <c r="M74" i="4"/>
  <c r="S74" i="11"/>
  <c r="S74" i="10"/>
  <c r="Z74" i="4"/>
  <c r="G14" i="9"/>
  <c r="P14" i="9"/>
  <c r="G14" i="4"/>
  <c r="X14" i="4"/>
  <c r="T18" i="11"/>
  <c r="T18" i="10"/>
  <c r="Z18" i="6"/>
  <c r="Z18" i="7"/>
  <c r="C78" i="4"/>
  <c r="O78" i="9"/>
  <c r="V78" i="4"/>
  <c r="O85" i="9"/>
  <c r="T85" i="4"/>
  <c r="K85" i="4"/>
  <c r="B85" i="9"/>
  <c r="P35" i="11"/>
  <c r="P35" i="10"/>
  <c r="B38" i="4"/>
  <c r="L38" i="4"/>
  <c r="P41" i="9"/>
  <c r="Y41" i="9"/>
  <c r="R49" i="4"/>
  <c r="L89" i="9"/>
  <c r="Q43" i="9"/>
  <c r="E38" i="4"/>
  <c r="O60" i="9"/>
  <c r="D31" i="4"/>
  <c r="M31" i="4"/>
  <c r="U31" i="9"/>
  <c r="S75" i="4"/>
  <c r="B75" i="4"/>
  <c r="J75" i="9"/>
  <c r="P40" i="9"/>
  <c r="M40" i="4"/>
  <c r="AA40" i="4"/>
  <c r="Y62" i="4"/>
  <c r="H62" i="4"/>
  <c r="B62" i="9"/>
  <c r="T68" i="4"/>
  <c r="AA68" i="4"/>
  <c r="M68" i="9"/>
  <c r="J10" i="4"/>
  <c r="O10" i="4"/>
  <c r="S10" i="4"/>
  <c r="M73" i="9"/>
  <c r="K76" i="6"/>
  <c r="K76" i="7"/>
  <c r="G79" i="11"/>
  <c r="G79" i="10"/>
  <c r="F84" i="4"/>
  <c r="P84" i="9"/>
  <c r="K84" i="4"/>
  <c r="V34" i="9"/>
  <c r="F36" i="4"/>
  <c r="D36" i="9"/>
  <c r="W39" i="4"/>
  <c r="E39" i="9"/>
  <c r="C39" i="9"/>
  <c r="H40" i="4"/>
  <c r="O31" i="9"/>
  <c r="G66" i="9"/>
  <c r="E66" i="4"/>
  <c r="O66" i="4"/>
  <c r="E71" i="4"/>
  <c r="T71" i="9"/>
  <c r="P71" i="9"/>
  <c r="C10" i="9"/>
  <c r="L13" i="9"/>
  <c r="AA33" i="9"/>
  <c r="I46" i="4"/>
  <c r="Z77" i="9"/>
  <c r="G77" i="9"/>
  <c r="P77" i="4"/>
  <c r="R81" i="9"/>
  <c r="Y81" i="7"/>
  <c r="Y81" i="6"/>
  <c r="G61" i="9"/>
  <c r="N61" i="4"/>
  <c r="T61" i="9"/>
  <c r="D63" i="4"/>
  <c r="R63" i="9"/>
  <c r="Q63" i="9"/>
  <c r="X65" i="9"/>
  <c r="N65" i="4"/>
  <c r="X65" i="4"/>
  <c r="R67" i="9"/>
  <c r="Y67" i="9"/>
  <c r="J30" i="9"/>
  <c r="M70" i="4"/>
  <c r="T70" i="9"/>
  <c r="B70" i="4"/>
  <c r="L12" i="4"/>
  <c r="H15" i="4"/>
  <c r="C9" i="9"/>
  <c r="M20" i="4"/>
  <c r="T20" i="4"/>
  <c r="K20" i="9"/>
  <c r="L44" i="11"/>
  <c r="L44" i="10"/>
  <c r="R49" i="9"/>
  <c r="V36" i="9"/>
  <c r="C80" i="9"/>
  <c r="AA90" i="9"/>
  <c r="L48" i="4"/>
  <c r="H47" i="9"/>
  <c r="L42" i="9"/>
  <c r="H80" i="4"/>
  <c r="P80" i="9"/>
  <c r="Y80" i="4"/>
  <c r="R82" i="4"/>
  <c r="C82" i="4"/>
  <c r="K82" i="9"/>
  <c r="J83" i="4"/>
  <c r="R83" i="9"/>
  <c r="O83" i="9"/>
  <c r="AA87" i="9"/>
  <c r="H87" i="9"/>
  <c r="K87" i="4"/>
  <c r="P37" i="9"/>
  <c r="AA37" i="9"/>
  <c r="O50" i="4"/>
  <c r="X47" i="4"/>
  <c r="P45" i="9"/>
  <c r="P37" i="4"/>
  <c r="F50" i="9"/>
  <c r="U47" i="9"/>
  <c r="E45" i="4"/>
  <c r="U87" i="4"/>
  <c r="AA19" i="9"/>
  <c r="B79" i="4"/>
  <c r="N88" i="9"/>
  <c r="J28" i="9"/>
  <c r="Y30" i="4"/>
  <c r="N9" i="9"/>
  <c r="V72" i="4"/>
  <c r="V74" i="9"/>
  <c r="D14" i="9"/>
  <c r="K18" i="9"/>
  <c r="U78" i="9"/>
  <c r="Z85" i="4"/>
  <c r="N35" i="9"/>
  <c r="N38" i="4"/>
  <c r="I41" i="4"/>
  <c r="P49" i="4"/>
  <c r="B89" i="9"/>
  <c r="V51" i="9"/>
  <c r="E60" i="9"/>
  <c r="K31" i="4"/>
  <c r="AA75" i="9"/>
  <c r="U40" i="9"/>
  <c r="I58" i="9"/>
  <c r="M62" i="9"/>
  <c r="I68" i="4"/>
  <c r="N10" i="9"/>
  <c r="H16" i="4"/>
  <c r="E17" i="9"/>
  <c r="R76" i="9"/>
  <c r="C84" i="9"/>
  <c r="C84" i="4"/>
  <c r="Q34" i="4"/>
  <c r="E39" i="4"/>
  <c r="L49" i="9"/>
  <c r="O66" i="9"/>
  <c r="R29" i="9"/>
  <c r="E71" i="9"/>
  <c r="H13" i="4"/>
  <c r="F33" i="4"/>
  <c r="F77" i="9"/>
  <c r="B16" i="9"/>
  <c r="B77" i="9"/>
  <c r="X59" i="9"/>
  <c r="L61" i="9"/>
  <c r="H63" i="9"/>
  <c r="D65" i="4"/>
  <c r="D67" i="4"/>
  <c r="E70" i="9"/>
  <c r="N12" i="9"/>
  <c r="U15" i="4"/>
  <c r="V32" i="4"/>
  <c r="J20" i="4"/>
  <c r="V44" i="9"/>
  <c r="T40" i="4"/>
  <c r="O45" i="9"/>
  <c r="N45" i="9"/>
  <c r="Y80" i="9"/>
  <c r="G78" i="9"/>
  <c r="C87" i="9"/>
  <c r="L85" i="9"/>
  <c r="G50" i="4"/>
  <c r="X50" i="9"/>
  <c r="E42" i="9"/>
  <c r="V93" i="11"/>
  <c r="Q99" i="11"/>
  <c r="Q99" i="10"/>
  <c r="Y100" i="6"/>
  <c r="Y100" i="7"/>
  <c r="X93" i="11"/>
  <c r="AA96" i="11"/>
  <c r="M13" i="9"/>
  <c r="U46" i="4"/>
  <c r="S28" i="9"/>
  <c r="M70" i="9"/>
  <c r="G82" i="9"/>
  <c r="C41" i="9"/>
  <c r="M46" i="4"/>
  <c r="K32" i="9"/>
  <c r="B43" i="4"/>
  <c r="J42" i="9"/>
  <c r="M63" i="4"/>
  <c r="H35" i="9"/>
  <c r="R48" i="9"/>
  <c r="M79" i="9"/>
  <c r="H86" i="4"/>
  <c r="P86" i="9"/>
  <c r="W86" i="4"/>
  <c r="I51" i="9"/>
  <c r="R51" i="4"/>
  <c r="V64" i="9"/>
  <c r="D64" i="4"/>
  <c r="Z64" i="4"/>
  <c r="R69" i="4"/>
  <c r="Y69" i="4"/>
  <c r="AA69" i="9"/>
  <c r="V11" i="4"/>
  <c r="M11" i="9"/>
  <c r="Y11" i="9"/>
  <c r="H73" i="4"/>
  <c r="W73" i="9"/>
  <c r="E73" i="4"/>
  <c r="U19" i="4"/>
  <c r="X19" i="4"/>
  <c r="S19" i="9"/>
  <c r="T79" i="9"/>
  <c r="AA79" i="4"/>
  <c r="R79" i="4"/>
  <c r="S88" i="4"/>
  <c r="F88" i="4"/>
  <c r="H88" i="9"/>
  <c r="T28" i="4"/>
  <c r="AA28" i="4"/>
  <c r="R28" i="9"/>
  <c r="L30" i="9"/>
  <c r="Q30" i="4"/>
  <c r="G9" i="4"/>
  <c r="M9" i="9"/>
  <c r="N9" i="4"/>
  <c r="F72" i="9"/>
  <c r="W72" i="9"/>
  <c r="Q72" i="4"/>
  <c r="G74" i="4"/>
  <c r="M74" i="9"/>
  <c r="T74" i="4"/>
  <c r="M72" i="9"/>
  <c r="H14" i="9"/>
  <c r="Y14" i="4"/>
  <c r="J14" i="9"/>
  <c r="N18" i="9"/>
  <c r="U18" i="4"/>
  <c r="X18" i="4"/>
  <c r="N78" i="9"/>
  <c r="U78" i="4"/>
  <c r="R78" i="4"/>
  <c r="I78" i="9"/>
  <c r="F85" i="4"/>
  <c r="P85" i="9"/>
  <c r="I85" i="4"/>
  <c r="W35" i="9"/>
  <c r="X35" i="4"/>
  <c r="C38" i="9"/>
  <c r="N38" i="9"/>
  <c r="K38" i="4"/>
  <c r="X36" i="9"/>
  <c r="Q41" i="9"/>
  <c r="R41" i="4"/>
  <c r="K49" i="4"/>
  <c r="W49" i="9"/>
  <c r="I49" i="9"/>
  <c r="C89" i="9"/>
  <c r="L89" i="4"/>
  <c r="Z89" i="9"/>
  <c r="F43" i="4"/>
  <c r="AA43" i="9"/>
  <c r="AA46" i="4"/>
  <c r="C33" i="4"/>
  <c r="S60" i="4"/>
  <c r="Y60" i="9"/>
  <c r="R60" i="9"/>
  <c r="P31" i="4"/>
  <c r="W31" i="4"/>
  <c r="R31" i="9"/>
  <c r="C75" i="9"/>
  <c r="L75" i="4"/>
  <c r="T75" i="9"/>
  <c r="E40" i="9"/>
  <c r="F40" i="4"/>
  <c r="C58" i="4"/>
  <c r="M58" i="9"/>
  <c r="T58" i="4"/>
  <c r="T58" i="9"/>
  <c r="I62" i="9"/>
  <c r="R62" i="4"/>
  <c r="D62" i="9"/>
  <c r="E68" i="4"/>
  <c r="S68" i="9"/>
  <c r="R68" i="9"/>
  <c r="J10" i="9"/>
  <c r="E10" i="4"/>
  <c r="V10" i="4"/>
  <c r="L16" i="4"/>
  <c r="T16" i="9"/>
  <c r="Y16" i="9"/>
  <c r="W17" i="9"/>
  <c r="D17" i="9"/>
  <c r="W17" i="4"/>
  <c r="V76" i="9"/>
  <c r="C76" i="9"/>
  <c r="B76" i="4"/>
  <c r="S84" i="9"/>
  <c r="X84" i="4"/>
  <c r="G84" i="4"/>
  <c r="L84" i="9"/>
  <c r="G34" i="9"/>
  <c r="AA34" i="4"/>
  <c r="I36" i="4"/>
  <c r="R36" i="4"/>
  <c r="E36" i="9"/>
  <c r="Y39" i="4"/>
  <c r="M39" i="9"/>
  <c r="B39" i="9"/>
  <c r="T39" i="9"/>
  <c r="B60" i="4"/>
  <c r="K66" i="9"/>
  <c r="I66" i="4"/>
  <c r="C29" i="9"/>
  <c r="N29" i="9"/>
  <c r="U29" i="4"/>
  <c r="G71" i="4"/>
  <c r="W71" i="9"/>
  <c r="S71" i="9"/>
  <c r="G72" i="9"/>
  <c r="O13" i="4"/>
  <c r="F13" i="4"/>
  <c r="I13" i="4"/>
  <c r="D33" i="9"/>
  <c r="E33" i="4"/>
  <c r="K46" i="4"/>
  <c r="L46" i="4"/>
  <c r="Z46" i="9"/>
  <c r="K77" i="4"/>
  <c r="U77" i="9"/>
  <c r="R77" i="4"/>
  <c r="T81" i="4"/>
  <c r="C81" i="4"/>
  <c r="E81" i="9"/>
  <c r="S59" i="4"/>
  <c r="Y59" i="9"/>
  <c r="T59" i="9"/>
  <c r="K61" i="4"/>
  <c r="Q61" i="9"/>
  <c r="X61" i="4"/>
  <c r="E63" i="4"/>
  <c r="N63" i="4"/>
  <c r="K63" i="9"/>
  <c r="M64" i="4"/>
  <c r="I65" i="9"/>
  <c r="G65" i="4"/>
  <c r="I65" i="4"/>
  <c r="C67" i="9"/>
  <c r="R67" i="4"/>
  <c r="Y67" i="4"/>
  <c r="J70" i="4"/>
  <c r="W70" i="4"/>
  <c r="M69" i="9"/>
  <c r="V12" i="4"/>
  <c r="O12" i="4"/>
  <c r="S12" i="4"/>
  <c r="R15" i="4"/>
  <c r="H15" i="9"/>
  <c r="AA15" i="4"/>
  <c r="J32" i="4"/>
  <c r="S32" i="4"/>
  <c r="F32" i="9"/>
  <c r="W20" i="4"/>
  <c r="Q20" i="9"/>
  <c r="D20" i="9"/>
  <c r="F44" i="9"/>
  <c r="Z44" i="4"/>
  <c r="H36" i="9"/>
  <c r="S44" i="4"/>
  <c r="K33" i="4"/>
  <c r="D42" i="4"/>
  <c r="S45" i="9"/>
  <c r="Z48" i="4"/>
  <c r="V47" i="9"/>
  <c r="I45" i="4"/>
  <c r="C18" i="9"/>
  <c r="Z80" i="4"/>
  <c r="K80" i="4"/>
  <c r="D82" i="4"/>
  <c r="L82" i="9"/>
  <c r="U82" i="4"/>
  <c r="K81" i="9"/>
  <c r="D83" i="9"/>
  <c r="O83" i="4"/>
  <c r="K87" i="9"/>
  <c r="R87" i="4"/>
  <c r="G87" i="4"/>
  <c r="V83" i="9"/>
  <c r="M37" i="9"/>
  <c r="Z41" i="9"/>
  <c r="Q48" i="9"/>
  <c r="F47" i="4"/>
  <c r="S42" i="9"/>
  <c r="T50" i="9"/>
  <c r="M48" i="4"/>
  <c r="X45" i="4"/>
  <c r="AA37" i="4"/>
  <c r="AA97" i="6"/>
  <c r="B36" i="9"/>
  <c r="B45" i="4"/>
  <c r="B44" i="4"/>
  <c r="V48" i="9"/>
  <c r="C12" i="4"/>
  <c r="W47" i="9"/>
  <c r="F44" i="4"/>
  <c r="H32" i="4"/>
  <c r="K50" i="9"/>
  <c r="O86" i="9"/>
  <c r="T86" i="9"/>
  <c r="M51" i="9"/>
  <c r="Z64" i="9"/>
  <c r="W64" i="4"/>
  <c r="E69" i="9"/>
  <c r="Z11" i="4"/>
  <c r="Q11" i="9"/>
  <c r="AA73" i="9"/>
  <c r="Y19" i="4"/>
  <c r="G19" i="9"/>
  <c r="S79" i="9"/>
  <c r="B88" i="4"/>
  <c r="O28" i="4"/>
  <c r="C9" i="4"/>
  <c r="T9" i="4"/>
  <c r="W72" i="4"/>
  <c r="X74" i="4"/>
  <c r="O14" i="4"/>
  <c r="Y18" i="4"/>
  <c r="Q78" i="4"/>
  <c r="U85" i="9"/>
  <c r="L88" i="9"/>
  <c r="Z35" i="4"/>
  <c r="X38" i="4"/>
  <c r="Z41" i="4"/>
  <c r="X49" i="4"/>
  <c r="D89" i="9"/>
  <c r="G43" i="4"/>
  <c r="W60" i="4"/>
  <c r="H60" i="9"/>
  <c r="G75" i="9"/>
  <c r="M40" i="9"/>
  <c r="Y58" i="9"/>
  <c r="E62" i="9"/>
  <c r="Z68" i="4"/>
  <c r="F10" i="9"/>
  <c r="B11" i="9"/>
  <c r="U16" i="9"/>
  <c r="G17" i="4"/>
  <c r="F76" i="4"/>
  <c r="N84" i="9"/>
  <c r="U34" i="9"/>
  <c r="N36" i="4"/>
  <c r="R39" i="4"/>
  <c r="G31" i="9"/>
  <c r="N66" i="4"/>
  <c r="C71" i="4"/>
  <c r="B74" i="4"/>
  <c r="V13" i="4"/>
  <c r="T33" i="4"/>
  <c r="X46" i="4"/>
  <c r="Y77" i="9"/>
  <c r="P81" i="9"/>
  <c r="E59" i="9"/>
  <c r="W61" i="4"/>
  <c r="N61" i="9"/>
  <c r="X63" i="9"/>
  <c r="T65" i="4"/>
  <c r="O67" i="4"/>
  <c r="AA70" i="4"/>
  <c r="Z12" i="4"/>
  <c r="F15" i="4"/>
  <c r="Y15" i="9"/>
  <c r="AA20" i="4"/>
  <c r="AA44" i="9"/>
  <c r="O46" i="4"/>
  <c r="E45" i="9"/>
  <c r="Z47" i="9"/>
  <c r="F80" i="4"/>
  <c r="H82" i="4"/>
  <c r="M82" i="9"/>
  <c r="C83" i="9"/>
  <c r="C87" i="4"/>
  <c r="Q50" i="4"/>
  <c r="Y42" i="4"/>
  <c r="H45" i="4"/>
  <c r="I94" i="7"/>
  <c r="I94" i="6"/>
  <c r="K56" i="7"/>
  <c r="I33" i="4"/>
  <c r="O42" i="9"/>
  <c r="B46" i="9"/>
  <c r="K28" i="9"/>
  <c r="M18" i="9"/>
  <c r="B37" i="9"/>
  <c r="T45" i="9"/>
  <c r="I15" i="9"/>
  <c r="Z50" i="4"/>
  <c r="Z34" i="4"/>
  <c r="B12" i="9"/>
  <c r="Y42" i="9"/>
  <c r="C47" i="4"/>
  <c r="K86" i="9"/>
  <c r="Z86" i="9"/>
  <c r="S51" i="9"/>
  <c r="X51" i="9"/>
  <c r="G64" i="9"/>
  <c r="X64" i="4"/>
  <c r="O64" i="4"/>
  <c r="C69" i="4"/>
  <c r="Y69" i="9"/>
  <c r="G11" i="9"/>
  <c r="AA11" i="4"/>
  <c r="L11" i="9"/>
  <c r="W73" i="4"/>
  <c r="L73" i="4"/>
  <c r="Z73" i="9"/>
  <c r="E19" i="9"/>
  <c r="Q19" i="9"/>
  <c r="E79" i="4"/>
  <c r="Q79" i="9"/>
  <c r="F79" i="4"/>
  <c r="C88" i="9"/>
  <c r="R88" i="9"/>
  <c r="X28" i="9"/>
  <c r="K30" i="9"/>
  <c r="V30" i="9"/>
  <c r="B31" i="4"/>
  <c r="Y9" i="4"/>
  <c r="H9" i="4"/>
  <c r="X72" i="4"/>
  <c r="T72" i="4"/>
  <c r="Y74" i="4"/>
  <c r="N74" i="9"/>
  <c r="S14" i="9"/>
  <c r="F14" i="9"/>
  <c r="F18" i="9"/>
  <c r="O18" i="4"/>
  <c r="AA18" i="9"/>
  <c r="H78" i="9"/>
  <c r="AA78" i="9"/>
  <c r="C17" i="9"/>
  <c r="AA85" i="9"/>
  <c r="H85" i="9"/>
  <c r="Q35" i="9"/>
  <c r="L35" i="4"/>
  <c r="E38" i="9"/>
  <c r="P38" i="9"/>
  <c r="O38" i="4"/>
  <c r="B41" i="9"/>
  <c r="S41" i="9"/>
  <c r="V41" i="4"/>
  <c r="M49" i="4"/>
  <c r="F49" i="4"/>
  <c r="G89" i="4"/>
  <c r="Q89" i="9"/>
  <c r="C43" i="4"/>
  <c r="U43" i="9"/>
  <c r="K35" i="4"/>
  <c r="M60" i="4"/>
  <c r="S60" i="9"/>
  <c r="J31" i="4"/>
  <c r="F31" i="9"/>
  <c r="W75" i="4"/>
  <c r="F75" i="4"/>
  <c r="T40" i="9"/>
  <c r="U40" i="4"/>
  <c r="P51" i="9"/>
  <c r="G58" i="9"/>
  <c r="Z58" i="9"/>
  <c r="C62" i="9"/>
  <c r="R62" i="9"/>
  <c r="X68" i="4"/>
  <c r="G68" i="9"/>
  <c r="D10" i="9"/>
  <c r="I10" i="4"/>
  <c r="N10" i="4"/>
  <c r="N16" i="4"/>
  <c r="V16" i="9"/>
  <c r="V17" i="4"/>
  <c r="I17" i="4"/>
  <c r="X76" i="9"/>
  <c r="E76" i="9"/>
  <c r="U84" i="9"/>
  <c r="Z84" i="4"/>
  <c r="J34" i="9"/>
  <c r="X34" i="4"/>
  <c r="S36" i="4"/>
  <c r="G36" i="9"/>
  <c r="C39" i="4"/>
  <c r="H39" i="4"/>
  <c r="J39" i="9"/>
  <c r="Q46" i="4"/>
  <c r="W31" i="9"/>
  <c r="C66" i="9"/>
  <c r="T66" i="4"/>
  <c r="F29" i="9"/>
  <c r="I29" i="4"/>
  <c r="I29" i="9"/>
  <c r="O71" i="9"/>
  <c r="K71" i="9"/>
  <c r="G13" i="4"/>
  <c r="Z13" i="9"/>
  <c r="W33" i="9"/>
  <c r="P33" i="4"/>
  <c r="C46" i="9"/>
  <c r="N46" i="4"/>
  <c r="T46" i="9"/>
  <c r="E77" i="4"/>
  <c r="Z77" i="4"/>
  <c r="V81" i="9"/>
  <c r="C81" i="9"/>
  <c r="K59" i="4"/>
  <c r="S59" i="9"/>
  <c r="E61" i="4"/>
  <c r="K61" i="9"/>
  <c r="F61" i="9"/>
  <c r="Z63" i="9"/>
  <c r="U63" i="9"/>
  <c r="C65" i="9"/>
  <c r="V65" i="4"/>
  <c r="Q65" i="4"/>
  <c r="F67" i="4"/>
  <c r="P67" i="4"/>
  <c r="D70" i="4"/>
  <c r="Q70" i="4"/>
  <c r="Z70" i="4"/>
  <c r="B73" i="4"/>
  <c r="P12" i="4"/>
  <c r="G12" i="4"/>
  <c r="T15" i="4"/>
  <c r="U15" i="9"/>
  <c r="T32" i="4"/>
  <c r="D32" i="9"/>
  <c r="N20" i="9"/>
  <c r="G44" i="9"/>
  <c r="T44" i="4"/>
  <c r="Z44" i="9"/>
  <c r="J51" i="9"/>
  <c r="S35" i="4"/>
  <c r="M43" i="9"/>
  <c r="H40" i="9"/>
  <c r="W50" i="9"/>
  <c r="H48" i="4"/>
  <c r="Q45" i="4"/>
  <c r="Q37" i="4"/>
  <c r="T80" i="4"/>
  <c r="Q80" i="9"/>
  <c r="F82" i="9"/>
  <c r="O82" i="4"/>
  <c r="G81" i="9"/>
  <c r="V83" i="4"/>
  <c r="AA83" i="9"/>
  <c r="L87" i="4"/>
  <c r="V87" i="9"/>
  <c r="I85" i="9"/>
  <c r="E37" i="9"/>
  <c r="Y48" i="9"/>
  <c r="L47" i="4"/>
  <c r="AA42" i="9"/>
  <c r="Z50" i="9"/>
  <c r="S48" i="4"/>
  <c r="E47" i="9"/>
  <c r="K42" i="4"/>
  <c r="B10" i="9"/>
  <c r="W45" i="4"/>
  <c r="C12" i="9"/>
  <c r="T50" i="4"/>
  <c r="R36" i="9"/>
  <c r="E51" i="9"/>
  <c r="R64" i="9"/>
  <c r="S73" i="9"/>
  <c r="Q19" i="4"/>
  <c r="AA79" i="9"/>
  <c r="X88" i="9"/>
  <c r="Q74" i="9"/>
  <c r="R18" i="9"/>
  <c r="Y41" i="4"/>
  <c r="Y51" i="9"/>
  <c r="O43" i="9"/>
  <c r="W30" i="4"/>
  <c r="U62" i="9"/>
  <c r="Q68" i="4"/>
  <c r="V84" i="9"/>
  <c r="U39" i="9"/>
  <c r="V66" i="9"/>
  <c r="T13" i="9"/>
  <c r="B77" i="4"/>
  <c r="J61" i="9"/>
  <c r="R32" i="9"/>
  <c r="U80" i="9"/>
  <c r="E82" i="9"/>
  <c r="N37" i="9"/>
  <c r="Q48" i="4"/>
  <c r="CT63" i="2"/>
  <c r="DE64" i="2"/>
  <c r="DF64" i="2" s="1"/>
  <c r="CU86" i="2"/>
  <c r="DE81" i="2"/>
  <c r="DF81" i="2" s="1"/>
  <c r="CT91" i="2"/>
  <c r="CZ32" i="2"/>
  <c r="DE15" i="2"/>
  <c r="DF15" i="2" s="1"/>
  <c r="CT64" i="2"/>
  <c r="CZ31" i="2"/>
  <c r="DE59" i="2"/>
  <c r="DF59" i="2" s="1"/>
  <c r="DE67" i="2"/>
  <c r="DF67" i="2" s="1"/>
  <c r="CT90" i="2"/>
  <c r="CT36" i="2"/>
  <c r="CT59" i="2"/>
  <c r="CT67" i="2"/>
  <c r="CZ62" i="2"/>
  <c r="CT32" i="2"/>
  <c r="DE78" i="2"/>
  <c r="DF78" i="2" s="1"/>
  <c r="DE91" i="2"/>
  <c r="DF91" i="2" s="1"/>
  <c r="CT19" i="2"/>
  <c r="CT15" i="2"/>
  <c r="CT81" i="2"/>
  <c r="DE80" i="2"/>
  <c r="DF80" i="2" s="1"/>
  <c r="DE60" i="2"/>
  <c r="DF60" i="2" s="1"/>
  <c r="CT60" i="2"/>
  <c r="CU29" i="2"/>
  <c r="CU49" i="2"/>
  <c r="CT61" i="2"/>
  <c r="DE61" i="2"/>
  <c r="DF61" i="2" s="1"/>
  <c r="CZ61" i="2"/>
  <c r="CT82" i="2"/>
  <c r="DE82" i="2"/>
  <c r="DF82" i="2" s="1"/>
  <c r="CZ82" i="2"/>
  <c r="CU21" i="2"/>
  <c r="CU50" i="2"/>
  <c r="CU70" i="2"/>
  <c r="CT45" i="2"/>
  <c r="DE45" i="2"/>
  <c r="DF45" i="2" s="1"/>
  <c r="CU84" i="2"/>
  <c r="DA84" i="2"/>
  <c r="CZ60" i="2"/>
  <c r="DA16" i="2"/>
  <c r="DA21" i="2"/>
  <c r="DA12" i="2"/>
  <c r="DA30" i="2"/>
  <c r="CU13" i="2"/>
  <c r="DA13" i="2"/>
  <c r="DA19" i="2"/>
  <c r="DA41" i="2"/>
  <c r="DA32" i="2"/>
  <c r="CU11" i="2"/>
  <c r="DA11" i="2"/>
  <c r="CZ48" i="2"/>
  <c r="DE48" i="2"/>
  <c r="DF48" i="2" s="1"/>
  <c r="CT48" i="2"/>
  <c r="CU90" i="2"/>
  <c r="DA90" i="2"/>
  <c r="CY51" i="2"/>
  <c r="DA51" i="2"/>
  <c r="CZ71" i="2"/>
  <c r="DA17" i="2"/>
  <c r="DE72" i="2"/>
  <c r="DF72" i="2" s="1"/>
  <c r="CZ65" i="2"/>
  <c r="CT39" i="2"/>
  <c r="DE39" i="2"/>
  <c r="DF39" i="2" s="1"/>
  <c r="CZ39" i="2"/>
  <c r="CU39" i="2"/>
  <c r="DA39" i="2"/>
  <c r="CU88" i="2"/>
  <c r="DA88" i="2"/>
  <c r="CT49" i="2"/>
  <c r="DE49" i="2"/>
  <c r="DF49" i="2" s="1"/>
  <c r="CZ49" i="2"/>
  <c r="CU83" i="2"/>
  <c r="DB83" i="2" s="1"/>
  <c r="DA83" i="2"/>
  <c r="CT13" i="2"/>
  <c r="CZ13" i="2"/>
  <c r="DE13" i="2"/>
  <c r="DF13" i="2" s="1"/>
  <c r="CT21" i="2"/>
  <c r="CZ21" i="2"/>
  <c r="DE21" i="2"/>
  <c r="DF21" i="2" s="1"/>
  <c r="DE47" i="2"/>
  <c r="DF47" i="2" s="1"/>
  <c r="CZ47" i="2"/>
  <c r="CT47" i="2"/>
  <c r="CU71" i="2"/>
  <c r="DB71" i="2" s="1"/>
  <c r="DA71" i="2"/>
  <c r="CU34" i="2"/>
  <c r="DA34" i="2"/>
  <c r="CU69" i="2"/>
  <c r="DA69" i="2"/>
  <c r="CT10" i="2"/>
  <c r="DE10" i="2"/>
  <c r="DF10" i="2" s="1"/>
  <c r="CZ10" i="2"/>
  <c r="CU47" i="2"/>
  <c r="DA47" i="2"/>
  <c r="CU79" i="2"/>
  <c r="DA79" i="2"/>
  <c r="DE12" i="2"/>
  <c r="DF12" i="2" s="1"/>
  <c r="CT12" i="2"/>
  <c r="CZ12" i="2"/>
  <c r="C57" i="4"/>
  <c r="DA38" i="2"/>
  <c r="DA48" i="2"/>
  <c r="CU48" i="2"/>
  <c r="DA36" i="2"/>
  <c r="DE43" i="2"/>
  <c r="DF43" i="2" s="1"/>
  <c r="CZ43" i="2"/>
  <c r="CT43" i="2"/>
  <c r="DB69" i="2"/>
  <c r="DA35" i="2"/>
  <c r="CU35" i="2"/>
  <c r="CU82" i="2"/>
  <c r="DA82" i="2"/>
  <c r="CU68" i="2"/>
  <c r="DA68" i="2"/>
  <c r="CU42" i="2"/>
  <c r="DA42" i="2"/>
  <c r="CT18" i="2"/>
  <c r="DB18" i="2" s="1"/>
  <c r="DE18" i="2"/>
  <c r="DF18" i="2" s="1"/>
  <c r="CZ18" i="2"/>
  <c r="DA29" i="2"/>
  <c r="CT88" i="2"/>
  <c r="DE65" i="2"/>
  <c r="DF65" i="2" s="1"/>
  <c r="DE75" i="2"/>
  <c r="DF75" i="2" s="1"/>
  <c r="DA44" i="2"/>
  <c r="DE37" i="2"/>
  <c r="DF37" i="2" s="1"/>
  <c r="CZ37" i="2"/>
  <c r="CT37" i="2"/>
  <c r="DE51" i="2"/>
  <c r="DF51" i="2" s="1"/>
  <c r="CZ51" i="2"/>
  <c r="CT51" i="2"/>
  <c r="CZ64" i="2"/>
  <c r="DE31" i="2"/>
  <c r="DF31" i="2" s="1"/>
  <c r="DE46" i="2"/>
  <c r="DF46" i="2" s="1"/>
  <c r="CT46" i="2"/>
  <c r="CZ46" i="2"/>
  <c r="CU77" i="2"/>
  <c r="DA77" i="2"/>
  <c r="CZ59" i="2"/>
  <c r="CU73" i="2"/>
  <c r="DA73" i="2"/>
  <c r="CU10" i="2"/>
  <c r="DA10" i="2"/>
  <c r="CT42" i="2"/>
  <c r="DE42" i="2"/>
  <c r="DF42" i="2" s="1"/>
  <c r="CZ42" i="2"/>
  <c r="CU64" i="2"/>
  <c r="DA64" i="2"/>
  <c r="DA52" i="2"/>
  <c r="CU52" i="2"/>
  <c r="CT30" i="2"/>
  <c r="DB30" i="2" s="1"/>
  <c r="DE30" i="2"/>
  <c r="DF30" i="2" s="1"/>
  <c r="CZ30" i="2"/>
  <c r="CU46" i="2"/>
  <c r="DA46" i="2"/>
  <c r="DA20" i="2"/>
  <c r="DE16" i="2"/>
  <c r="DF16" i="2" s="1"/>
  <c r="CU15" i="2"/>
  <c r="DA15" i="2"/>
  <c r="CU87" i="2"/>
  <c r="DA87" i="2"/>
  <c r="CU91" i="2"/>
  <c r="DA91" i="2"/>
  <c r="CZ41" i="2"/>
  <c r="DE41" i="2"/>
  <c r="DF41" i="2" s="1"/>
  <c r="CT41" i="2"/>
  <c r="CZ88" i="2"/>
  <c r="DA67" i="2"/>
  <c r="CZ75" i="2"/>
  <c r="CY14" i="2"/>
  <c r="DA14" i="2"/>
  <c r="DA49" i="2"/>
  <c r="DA45" i="2"/>
  <c r="DA37" i="2"/>
  <c r="DA33" i="2"/>
  <c r="CT16" i="2"/>
  <c r="DE88" i="2"/>
  <c r="DF88" i="2" s="1"/>
  <c r="CT65" i="2"/>
  <c r="DB65" i="2" s="1"/>
  <c r="CT75" i="2"/>
  <c r="DE71" i="2"/>
  <c r="DF71" i="2" s="1"/>
  <c r="CZ91" i="2"/>
  <c r="DE32" i="2"/>
  <c r="DF32" i="2" s="1"/>
  <c r="DE50" i="2"/>
  <c r="DF50" i="2" s="1"/>
  <c r="CT50" i="2"/>
  <c r="CZ50" i="2"/>
  <c r="CU72" i="2"/>
  <c r="DA72" i="2"/>
  <c r="DA40" i="2"/>
  <c r="CU40" i="2"/>
  <c r="CU76" i="2"/>
  <c r="DA76" i="2"/>
  <c r="CT34" i="2"/>
  <c r="DE34" i="2"/>
  <c r="DF34" i="2" s="1"/>
  <c r="CZ34" i="2"/>
  <c r="DE52" i="2"/>
  <c r="DF52" i="2" s="1"/>
  <c r="CZ52" i="2"/>
  <c r="CT52" i="2"/>
  <c r="CT38" i="2"/>
  <c r="DB38" i="2" s="1"/>
  <c r="DE38" i="2"/>
  <c r="DF38" i="2" s="1"/>
  <c r="CZ38" i="2"/>
  <c r="CT29" i="2"/>
  <c r="CZ29" i="2"/>
  <c r="DE29" i="2"/>
  <c r="DF29" i="2" s="1"/>
  <c r="CZ44" i="2"/>
  <c r="DE44" i="2"/>
  <c r="DF44" i="2" s="1"/>
  <c r="CT44" i="2"/>
  <c r="DE36" i="2"/>
  <c r="DF36" i="2" s="1"/>
  <c r="CU31" i="2"/>
  <c r="DA31" i="2"/>
  <c r="CT17" i="2"/>
  <c r="DE17" i="2"/>
  <c r="DF17" i="2" s="1"/>
  <c r="CZ17" i="2"/>
  <c r="CT14" i="2"/>
  <c r="DB14" i="2" s="1"/>
  <c r="DE14" i="2"/>
  <c r="DF14" i="2" s="1"/>
  <c r="CZ14" i="2"/>
  <c r="CT33" i="2"/>
  <c r="CZ33" i="2"/>
  <c r="DE33" i="2"/>
  <c r="DF33" i="2" s="1"/>
  <c r="CU78" i="2"/>
  <c r="DA78" i="2"/>
  <c r="DA18" i="2"/>
  <c r="DA50" i="2"/>
  <c r="CU43" i="2"/>
  <c r="DA43" i="2"/>
  <c r="D25" i="1"/>
  <c r="C5" i="1"/>
  <c r="C6" i="1"/>
  <c r="C7" i="1"/>
  <c r="C8" i="1"/>
  <c r="C9" i="1"/>
  <c r="C10" i="1"/>
  <c r="C23" i="1"/>
  <c r="C24" i="1"/>
  <c r="C25" i="1"/>
  <c r="C26" i="1"/>
  <c r="C27" i="1"/>
  <c r="C28" i="1"/>
  <c r="C29" i="1"/>
  <c r="C54" i="1"/>
  <c r="C4" i="1"/>
  <c r="D96" i="7" l="1"/>
  <c r="Z54" i="6"/>
  <c r="V91" i="10"/>
  <c r="B100" i="7"/>
  <c r="L29" i="11"/>
  <c r="U94" i="7"/>
  <c r="X97" i="11"/>
  <c r="P93" i="6"/>
  <c r="Y98" i="7"/>
  <c r="L95" i="11"/>
  <c r="P98" i="10"/>
  <c r="E97" i="11"/>
  <c r="X96" i="6"/>
  <c r="U100" i="11"/>
  <c r="W99" i="10"/>
  <c r="F100" i="10"/>
  <c r="Y54" i="7"/>
  <c r="L92" i="7"/>
  <c r="C93" i="6"/>
  <c r="Y95" i="10"/>
  <c r="P94" i="10"/>
  <c r="T93" i="10"/>
  <c r="E54" i="7"/>
  <c r="Z98" i="7"/>
  <c r="Y55" i="11"/>
  <c r="J96" i="6"/>
  <c r="F96" i="11"/>
  <c r="H94" i="11"/>
  <c r="DB87" i="2"/>
  <c r="S98" i="7"/>
  <c r="I54" i="7"/>
  <c r="M55" i="10"/>
  <c r="F95" i="10"/>
  <c r="E93" i="7"/>
  <c r="C55" i="10"/>
  <c r="R54" i="7"/>
  <c r="N97" i="10"/>
  <c r="E95" i="11"/>
  <c r="Q98" i="10"/>
  <c r="I95" i="11"/>
  <c r="H93" i="11"/>
  <c r="DB96" i="2"/>
  <c r="V46" i="10"/>
  <c r="M92" i="10"/>
  <c r="U73" i="10"/>
  <c r="O54" i="7"/>
  <c r="M56" i="7"/>
  <c r="U54" i="11"/>
  <c r="S91" i="10"/>
  <c r="W59" i="7"/>
  <c r="M100" i="10"/>
  <c r="N98" i="6"/>
  <c r="Y91" i="10"/>
  <c r="L98" i="6"/>
  <c r="W96" i="6"/>
  <c r="W55" i="10"/>
  <c r="X70" i="6"/>
  <c r="I93" i="11"/>
  <c r="D5" i="2"/>
  <c r="H5" i="2"/>
  <c r="L5" i="2"/>
  <c r="P5" i="2"/>
  <c r="T5" i="2"/>
  <c r="X5" i="2"/>
  <c r="AB5" i="2"/>
  <c r="AF5" i="2"/>
  <c r="AJ5" i="2"/>
  <c r="AN5" i="2"/>
  <c r="AR5" i="2"/>
  <c r="AV5" i="2"/>
  <c r="AZ5" i="2"/>
  <c r="BD5" i="2"/>
  <c r="BH5" i="2"/>
  <c r="BL5" i="2"/>
  <c r="BP5" i="2"/>
  <c r="BT5" i="2"/>
  <c r="BX5" i="2"/>
  <c r="CB5" i="2"/>
  <c r="CF5" i="2"/>
  <c r="CJ5" i="2"/>
  <c r="CN5" i="2"/>
  <c r="E5" i="2"/>
  <c r="I5" i="2"/>
  <c r="M5" i="2"/>
  <c r="Q5" i="2"/>
  <c r="U5" i="2"/>
  <c r="Y5" i="2"/>
  <c r="AC5" i="2"/>
  <c r="AG5" i="2"/>
  <c r="AK5" i="2"/>
  <c r="AO5" i="2"/>
  <c r="AS5" i="2"/>
  <c r="AW5" i="2"/>
  <c r="BA5" i="2"/>
  <c r="BE5" i="2"/>
  <c r="BI5" i="2"/>
  <c r="BM5" i="2"/>
  <c r="BQ5" i="2"/>
  <c r="BU5" i="2"/>
  <c r="BY5" i="2"/>
  <c r="CC5" i="2"/>
  <c r="CG5" i="2"/>
  <c r="CK5" i="2"/>
  <c r="CO5" i="2"/>
  <c r="F5" i="2"/>
  <c r="N5" i="2"/>
  <c r="V5" i="2"/>
  <c r="AD5" i="2"/>
  <c r="AL5" i="2"/>
  <c r="AT5" i="2"/>
  <c r="BB5" i="2"/>
  <c r="BJ5" i="2"/>
  <c r="BR5" i="2"/>
  <c r="BZ5" i="2"/>
  <c r="CH5" i="2"/>
  <c r="CP5" i="2"/>
  <c r="O5" i="2"/>
  <c r="W5" i="2"/>
  <c r="AE5" i="2"/>
  <c r="AM5" i="2"/>
  <c r="AU5" i="2"/>
  <c r="BC5" i="2"/>
  <c r="BK5" i="2"/>
  <c r="BS5" i="2"/>
  <c r="CA5" i="2"/>
  <c r="CI5" i="2"/>
  <c r="CQ5" i="2"/>
  <c r="J5" i="2"/>
  <c r="R5" i="2"/>
  <c r="Z5" i="2"/>
  <c r="AH5" i="2"/>
  <c r="AP5" i="2"/>
  <c r="AX5" i="2"/>
  <c r="BF5" i="2"/>
  <c r="BN5" i="2"/>
  <c r="BV5" i="2"/>
  <c r="CD5" i="2"/>
  <c r="CL5" i="2"/>
  <c r="K5" i="2"/>
  <c r="S5" i="2"/>
  <c r="AA5" i="2"/>
  <c r="AI5" i="2"/>
  <c r="AQ5" i="2"/>
  <c r="AY5" i="2"/>
  <c r="BG5" i="2"/>
  <c r="BO5" i="2"/>
  <c r="BW5" i="2"/>
  <c r="CE5" i="2"/>
  <c r="CM5" i="2"/>
  <c r="G5" i="2"/>
  <c r="F28" i="2"/>
  <c r="J28" i="2"/>
  <c r="N28" i="2"/>
  <c r="R28" i="2"/>
  <c r="V28" i="2"/>
  <c r="Z28" i="2"/>
  <c r="AD28" i="2"/>
  <c r="AH28" i="2"/>
  <c r="AL28" i="2"/>
  <c r="AP28" i="2"/>
  <c r="AT28" i="2"/>
  <c r="AX28" i="2"/>
  <c r="BB28" i="2"/>
  <c r="BF28" i="2"/>
  <c r="BJ28" i="2"/>
  <c r="BN28" i="2"/>
  <c r="BR28" i="2"/>
  <c r="BV28" i="2"/>
  <c r="BZ28" i="2"/>
  <c r="CD28" i="2"/>
  <c r="CH28" i="2"/>
  <c r="CL28" i="2"/>
  <c r="CP28" i="2"/>
  <c r="G28" i="2"/>
  <c r="K28" i="2"/>
  <c r="O28" i="2"/>
  <c r="S28" i="2"/>
  <c r="W28" i="2"/>
  <c r="AA28" i="2"/>
  <c r="AE28" i="2"/>
  <c r="AI28" i="2"/>
  <c r="AM28" i="2"/>
  <c r="AQ28" i="2"/>
  <c r="AU28" i="2"/>
  <c r="AY28" i="2"/>
  <c r="BC28" i="2"/>
  <c r="BG28" i="2"/>
  <c r="BK28" i="2"/>
  <c r="BO28" i="2"/>
  <c r="BS28" i="2"/>
  <c r="BW28" i="2"/>
  <c r="CA28" i="2"/>
  <c r="CE28" i="2"/>
  <c r="CI28" i="2"/>
  <c r="CM28" i="2"/>
  <c r="CQ28" i="2"/>
  <c r="D28" i="2"/>
  <c r="H28" i="2"/>
  <c r="L28" i="2"/>
  <c r="P28" i="2"/>
  <c r="T28" i="2"/>
  <c r="X28" i="2"/>
  <c r="AB28" i="2"/>
  <c r="AF28" i="2"/>
  <c r="AJ28" i="2"/>
  <c r="AN28" i="2"/>
  <c r="AR28" i="2"/>
  <c r="AV28" i="2"/>
  <c r="AZ28" i="2"/>
  <c r="BD28" i="2"/>
  <c r="BH28" i="2"/>
  <c r="BL28" i="2"/>
  <c r="BP28" i="2"/>
  <c r="BT28" i="2"/>
  <c r="BX28" i="2"/>
  <c r="CB28" i="2"/>
  <c r="CF28" i="2"/>
  <c r="CJ28" i="2"/>
  <c r="CN28" i="2"/>
  <c r="E28" i="2"/>
  <c r="I28" i="2"/>
  <c r="M28" i="2"/>
  <c r="Q28" i="2"/>
  <c r="U28" i="2"/>
  <c r="Y28" i="2"/>
  <c r="AC28" i="2"/>
  <c r="AG28" i="2"/>
  <c r="AK28" i="2"/>
  <c r="AO28" i="2"/>
  <c r="AS28" i="2"/>
  <c r="AW28" i="2"/>
  <c r="BA28" i="2"/>
  <c r="BE28" i="2"/>
  <c r="BI28" i="2"/>
  <c r="BM28" i="2"/>
  <c r="BQ28" i="2"/>
  <c r="BU28" i="2"/>
  <c r="BY28" i="2"/>
  <c r="CC28" i="2"/>
  <c r="CG28" i="2"/>
  <c r="CK28" i="2"/>
  <c r="CO28" i="2"/>
  <c r="J4" i="2"/>
  <c r="N4" i="2"/>
  <c r="R4" i="2"/>
  <c r="V4" i="2"/>
  <c r="Z4" i="2"/>
  <c r="AD4" i="2"/>
  <c r="K4" i="2"/>
  <c r="O4" i="2"/>
  <c r="S4" i="2"/>
  <c r="W4" i="2"/>
  <c r="AA4" i="2"/>
  <c r="AE4" i="2"/>
  <c r="AI4" i="2"/>
  <c r="AM4" i="2"/>
  <c r="AQ4" i="2"/>
  <c r="AU4" i="2"/>
  <c r="AY4" i="2"/>
  <c r="BC4" i="2"/>
  <c r="D4" i="2"/>
  <c r="L4" i="2"/>
  <c r="T4" i="2"/>
  <c r="AB4" i="2"/>
  <c r="AH4" i="2"/>
  <c r="AN4" i="2"/>
  <c r="AS4" i="2"/>
  <c r="AX4" i="2"/>
  <c r="BD4" i="2"/>
  <c r="BH4" i="2"/>
  <c r="BL4" i="2"/>
  <c r="BP4" i="2"/>
  <c r="BT4" i="2"/>
  <c r="BX4" i="2"/>
  <c r="CB4" i="2"/>
  <c r="CF4" i="2"/>
  <c r="CJ4" i="2"/>
  <c r="CN4" i="2"/>
  <c r="M4" i="2"/>
  <c r="U4" i="2"/>
  <c r="AC4" i="2"/>
  <c r="AJ4" i="2"/>
  <c r="AO4" i="2"/>
  <c r="AT4" i="2"/>
  <c r="AZ4" i="2"/>
  <c r="BE4" i="2"/>
  <c r="BI4" i="2"/>
  <c r="BM4" i="2"/>
  <c r="BQ4" i="2"/>
  <c r="BU4" i="2"/>
  <c r="BY4" i="2"/>
  <c r="CC4" i="2"/>
  <c r="CG4" i="2"/>
  <c r="CK4" i="2"/>
  <c r="CO4" i="2"/>
  <c r="H4" i="2"/>
  <c r="X4" i="2"/>
  <c r="AK4" i="2"/>
  <c r="AV4" i="2"/>
  <c r="BF4" i="2"/>
  <c r="BN4" i="2"/>
  <c r="BV4" i="2"/>
  <c r="CD4" i="2"/>
  <c r="CL4" i="2"/>
  <c r="I4" i="2"/>
  <c r="Y4" i="2"/>
  <c r="AL4" i="2"/>
  <c r="AW4" i="2"/>
  <c r="BG4" i="2"/>
  <c r="BO4" i="2"/>
  <c r="BW4" i="2"/>
  <c r="CE4" i="2"/>
  <c r="CM4" i="2"/>
  <c r="P4" i="2"/>
  <c r="AF4" i="2"/>
  <c r="AP4" i="2"/>
  <c r="BA4" i="2"/>
  <c r="BJ4" i="2"/>
  <c r="BR4" i="2"/>
  <c r="BZ4" i="2"/>
  <c r="CH4" i="2"/>
  <c r="CP4" i="2"/>
  <c r="Q4" i="2"/>
  <c r="AG4" i="2"/>
  <c r="AR4" i="2"/>
  <c r="BB4" i="2"/>
  <c r="BK4" i="2"/>
  <c r="BS4" i="2"/>
  <c r="CA4" i="2"/>
  <c r="CI4" i="2"/>
  <c r="CQ4" i="2"/>
  <c r="F4" i="2"/>
  <c r="G4" i="2"/>
  <c r="E4" i="2"/>
  <c r="D24" i="2"/>
  <c r="H3" i="2"/>
  <c r="L3" i="2"/>
  <c r="P3" i="2"/>
  <c r="T3" i="2"/>
  <c r="X3" i="2"/>
  <c r="AB3" i="2"/>
  <c r="AF3" i="2"/>
  <c r="AJ3" i="2"/>
  <c r="AN3" i="2"/>
  <c r="AR3" i="2"/>
  <c r="AV3" i="2"/>
  <c r="AZ3" i="2"/>
  <c r="BD3" i="2"/>
  <c r="BH3" i="2"/>
  <c r="BL3" i="2"/>
  <c r="BP3" i="2"/>
  <c r="BT3" i="2"/>
  <c r="BX3" i="2"/>
  <c r="CB3" i="2"/>
  <c r="CF3" i="2"/>
  <c r="CJ3" i="2"/>
  <c r="CN3" i="2"/>
  <c r="E3" i="2"/>
  <c r="I3" i="2"/>
  <c r="M3" i="2"/>
  <c r="Q3" i="2"/>
  <c r="U3" i="2"/>
  <c r="Y3" i="2"/>
  <c r="AC3" i="2"/>
  <c r="AG3" i="2"/>
  <c r="AK3" i="2"/>
  <c r="AO3" i="2"/>
  <c r="AS3" i="2"/>
  <c r="AW3" i="2"/>
  <c r="BA3" i="2"/>
  <c r="BE3" i="2"/>
  <c r="BI3" i="2"/>
  <c r="BM3" i="2"/>
  <c r="BQ3" i="2"/>
  <c r="BU3" i="2"/>
  <c r="BY3" i="2"/>
  <c r="CC3" i="2"/>
  <c r="CG3" i="2"/>
  <c r="CK3" i="2"/>
  <c r="CO3" i="2"/>
  <c r="J3" i="2"/>
  <c r="N3" i="2"/>
  <c r="R3" i="2"/>
  <c r="V3" i="2"/>
  <c r="Z3" i="2"/>
  <c r="AD3" i="2"/>
  <c r="AH3" i="2"/>
  <c r="AL3" i="2"/>
  <c r="AP3" i="2"/>
  <c r="AT3" i="2"/>
  <c r="AX3" i="2"/>
  <c r="BB3" i="2"/>
  <c r="BF3" i="2"/>
  <c r="BJ3" i="2"/>
  <c r="BN3" i="2"/>
  <c r="BR3" i="2"/>
  <c r="BV3" i="2"/>
  <c r="BZ3" i="2"/>
  <c r="CD3" i="2"/>
  <c r="CH3" i="2"/>
  <c r="CL3" i="2"/>
  <c r="CP3" i="2"/>
  <c r="K3" i="2"/>
  <c r="O3" i="2"/>
  <c r="S3" i="2"/>
  <c r="W3" i="2"/>
  <c r="AA3" i="2"/>
  <c r="AE3" i="2"/>
  <c r="AI3" i="2"/>
  <c r="AM3" i="2"/>
  <c r="AQ3" i="2"/>
  <c r="AU3" i="2"/>
  <c r="AY3" i="2"/>
  <c r="BC3" i="2"/>
  <c r="BG3" i="2"/>
  <c r="BK3" i="2"/>
  <c r="BO3" i="2"/>
  <c r="BS3" i="2"/>
  <c r="BW3" i="2"/>
  <c r="CA3" i="2"/>
  <c r="CE3" i="2"/>
  <c r="CI3" i="2"/>
  <c r="CM3" i="2"/>
  <c r="CQ3" i="2"/>
  <c r="F3" i="2"/>
  <c r="G3" i="2"/>
  <c r="D26" i="2"/>
  <c r="H26" i="2"/>
  <c r="L26" i="2"/>
  <c r="P26" i="2"/>
  <c r="T26" i="2"/>
  <c r="X26" i="2"/>
  <c r="AB26" i="2"/>
  <c r="AF26" i="2"/>
  <c r="AJ26" i="2"/>
  <c r="AN26" i="2"/>
  <c r="AR26" i="2"/>
  <c r="AV26" i="2"/>
  <c r="AZ26" i="2"/>
  <c r="BD26" i="2"/>
  <c r="BH26" i="2"/>
  <c r="BL26" i="2"/>
  <c r="BP26" i="2"/>
  <c r="BT26" i="2"/>
  <c r="BX26" i="2"/>
  <c r="CB26" i="2"/>
  <c r="CF26" i="2"/>
  <c r="CJ26" i="2"/>
  <c r="CN26" i="2"/>
  <c r="E26" i="2"/>
  <c r="J26" i="2"/>
  <c r="O26" i="2"/>
  <c r="U26" i="2"/>
  <c r="Z26" i="2"/>
  <c r="AE26" i="2"/>
  <c r="AK26" i="2"/>
  <c r="AP26" i="2"/>
  <c r="AU26" i="2"/>
  <c r="BA26" i="2"/>
  <c r="BF26" i="2"/>
  <c r="BK26" i="2"/>
  <c r="BQ26" i="2"/>
  <c r="BV26" i="2"/>
  <c r="CA26" i="2"/>
  <c r="CG26" i="2"/>
  <c r="CL26" i="2"/>
  <c r="CQ26" i="2"/>
  <c r="F26" i="2"/>
  <c r="K26" i="2"/>
  <c r="Q26" i="2"/>
  <c r="V26" i="2"/>
  <c r="AA26" i="2"/>
  <c r="AG26" i="2"/>
  <c r="AL26" i="2"/>
  <c r="AQ26" i="2"/>
  <c r="AW26" i="2"/>
  <c r="BB26" i="2"/>
  <c r="BG26" i="2"/>
  <c r="BM26" i="2"/>
  <c r="BR26" i="2"/>
  <c r="BW26" i="2"/>
  <c r="CC26" i="2"/>
  <c r="CH26" i="2"/>
  <c r="CM26" i="2"/>
  <c r="G26" i="2"/>
  <c r="M26" i="2"/>
  <c r="R26" i="2"/>
  <c r="W26" i="2"/>
  <c r="AC26" i="2"/>
  <c r="AH26" i="2"/>
  <c r="AM26" i="2"/>
  <c r="AS26" i="2"/>
  <c r="AX26" i="2"/>
  <c r="BC26" i="2"/>
  <c r="BI26" i="2"/>
  <c r="BN26" i="2"/>
  <c r="BS26" i="2"/>
  <c r="BY26" i="2"/>
  <c r="CD26" i="2"/>
  <c r="CI26" i="2"/>
  <c r="CO26" i="2"/>
  <c r="I26" i="2"/>
  <c r="N26" i="2"/>
  <c r="S26" i="2"/>
  <c r="Y26" i="2"/>
  <c r="AD26" i="2"/>
  <c r="AI26" i="2"/>
  <c r="AO26" i="2"/>
  <c r="AT26" i="2"/>
  <c r="AY26" i="2"/>
  <c r="BE26" i="2"/>
  <c r="BJ26" i="2"/>
  <c r="BO26" i="2"/>
  <c r="BU26" i="2"/>
  <c r="BZ26" i="2"/>
  <c r="CE26" i="2"/>
  <c r="CK26" i="2"/>
  <c r="CP26" i="2"/>
  <c r="G22" i="2"/>
  <c r="K22" i="2"/>
  <c r="O22" i="2"/>
  <c r="S22" i="2"/>
  <c r="W22" i="2"/>
  <c r="AA22" i="2"/>
  <c r="AE22" i="2"/>
  <c r="AI22" i="2"/>
  <c r="AM22" i="2"/>
  <c r="AQ22" i="2"/>
  <c r="AU22" i="2"/>
  <c r="AY22" i="2"/>
  <c r="BC22" i="2"/>
  <c r="BG22" i="2"/>
  <c r="BK22" i="2"/>
  <c r="BO22" i="2"/>
  <c r="BS22" i="2"/>
  <c r="BW22" i="2"/>
  <c r="CA22" i="2"/>
  <c r="CE22" i="2"/>
  <c r="CI22" i="2"/>
  <c r="CM22" i="2"/>
  <c r="CQ22" i="2"/>
  <c r="D22" i="2"/>
  <c r="H22" i="2"/>
  <c r="L22" i="2"/>
  <c r="P22" i="2"/>
  <c r="T22" i="2"/>
  <c r="X22" i="2"/>
  <c r="AB22" i="2"/>
  <c r="AF22" i="2"/>
  <c r="AJ22" i="2"/>
  <c r="AN22" i="2"/>
  <c r="AR22" i="2"/>
  <c r="AV22" i="2"/>
  <c r="AZ22" i="2"/>
  <c r="BD22" i="2"/>
  <c r="BH22" i="2"/>
  <c r="BL22" i="2"/>
  <c r="BP22" i="2"/>
  <c r="BT22" i="2"/>
  <c r="BX22" i="2"/>
  <c r="CB22" i="2"/>
  <c r="CF22" i="2"/>
  <c r="CJ22" i="2"/>
  <c r="CN22" i="2"/>
  <c r="E22" i="2"/>
  <c r="I22" i="2"/>
  <c r="M22" i="2"/>
  <c r="Q22" i="2"/>
  <c r="U22" i="2"/>
  <c r="Y22" i="2"/>
  <c r="AC22" i="2"/>
  <c r="AG22" i="2"/>
  <c r="AK22" i="2"/>
  <c r="AO22" i="2"/>
  <c r="AS22" i="2"/>
  <c r="AW22" i="2"/>
  <c r="BA22" i="2"/>
  <c r="BE22" i="2"/>
  <c r="BI22" i="2"/>
  <c r="BM22" i="2"/>
  <c r="BQ22" i="2"/>
  <c r="BU22" i="2"/>
  <c r="BY22" i="2"/>
  <c r="CC22" i="2"/>
  <c r="CG22" i="2"/>
  <c r="CK22" i="2"/>
  <c r="CO22" i="2"/>
  <c r="F22" i="2"/>
  <c r="J22" i="2"/>
  <c r="N22" i="2"/>
  <c r="R22" i="2"/>
  <c r="V22" i="2"/>
  <c r="Z22" i="2"/>
  <c r="AD22" i="2"/>
  <c r="AH22" i="2"/>
  <c r="AL22" i="2"/>
  <c r="AP22" i="2"/>
  <c r="AT22" i="2"/>
  <c r="AX22" i="2"/>
  <c r="BB22" i="2"/>
  <c r="BF22" i="2"/>
  <c r="BJ22" i="2"/>
  <c r="BN22" i="2"/>
  <c r="BR22" i="2"/>
  <c r="BV22" i="2"/>
  <c r="BZ22" i="2"/>
  <c r="CD22" i="2"/>
  <c r="CH22" i="2"/>
  <c r="CL22" i="2"/>
  <c r="CP22" i="2"/>
  <c r="D6" i="2"/>
  <c r="H6" i="2"/>
  <c r="L6" i="2"/>
  <c r="P6" i="2"/>
  <c r="T6" i="2"/>
  <c r="X6" i="2"/>
  <c r="AB6" i="2"/>
  <c r="AF6" i="2"/>
  <c r="AJ6" i="2"/>
  <c r="AN6" i="2"/>
  <c r="AR6" i="2"/>
  <c r="AV6" i="2"/>
  <c r="AZ6" i="2"/>
  <c r="BD6" i="2"/>
  <c r="BH6" i="2"/>
  <c r="BL6" i="2"/>
  <c r="BP6" i="2"/>
  <c r="BT6" i="2"/>
  <c r="BX6" i="2"/>
  <c r="CB6" i="2"/>
  <c r="CF6" i="2"/>
  <c r="CJ6" i="2"/>
  <c r="CN6" i="2"/>
  <c r="E6" i="2"/>
  <c r="I6" i="2"/>
  <c r="M6" i="2"/>
  <c r="Q6" i="2"/>
  <c r="U6" i="2"/>
  <c r="Y6" i="2"/>
  <c r="AC6" i="2"/>
  <c r="AG6" i="2"/>
  <c r="AK6" i="2"/>
  <c r="AO6" i="2"/>
  <c r="AS6" i="2"/>
  <c r="AW6" i="2"/>
  <c r="BA6" i="2"/>
  <c r="BE6" i="2"/>
  <c r="BI6" i="2"/>
  <c r="BM6" i="2"/>
  <c r="BQ6" i="2"/>
  <c r="BU6" i="2"/>
  <c r="BY6" i="2"/>
  <c r="CC6" i="2"/>
  <c r="CG6" i="2"/>
  <c r="CK6" i="2"/>
  <c r="CO6" i="2"/>
  <c r="J6" i="2"/>
  <c r="R6" i="2"/>
  <c r="Z6" i="2"/>
  <c r="AH6" i="2"/>
  <c r="AP6" i="2"/>
  <c r="AX6" i="2"/>
  <c r="BF6" i="2"/>
  <c r="BN6" i="2"/>
  <c r="BV6" i="2"/>
  <c r="CD6" i="2"/>
  <c r="CL6" i="2"/>
  <c r="K6" i="2"/>
  <c r="S6" i="2"/>
  <c r="AA6" i="2"/>
  <c r="AI6" i="2"/>
  <c r="AQ6" i="2"/>
  <c r="AY6" i="2"/>
  <c r="BG6" i="2"/>
  <c r="BO6" i="2"/>
  <c r="BW6" i="2"/>
  <c r="CE6" i="2"/>
  <c r="CM6" i="2"/>
  <c r="N6" i="2"/>
  <c r="V6" i="2"/>
  <c r="AD6" i="2"/>
  <c r="AL6" i="2"/>
  <c r="AT6" i="2"/>
  <c r="BB6" i="2"/>
  <c r="BJ6" i="2"/>
  <c r="BR6" i="2"/>
  <c r="BZ6" i="2"/>
  <c r="CH6" i="2"/>
  <c r="CP6" i="2"/>
  <c r="O6" i="2"/>
  <c r="W6" i="2"/>
  <c r="AE6" i="2"/>
  <c r="AM6" i="2"/>
  <c r="AU6" i="2"/>
  <c r="BC6" i="2"/>
  <c r="BK6" i="2"/>
  <c r="BS6" i="2"/>
  <c r="CA6" i="2"/>
  <c r="CI6" i="2"/>
  <c r="CQ6" i="2"/>
  <c r="F6" i="2"/>
  <c r="G6" i="2"/>
  <c r="G53" i="2"/>
  <c r="K53" i="2"/>
  <c r="O53" i="2"/>
  <c r="S53" i="2"/>
  <c r="W53" i="2"/>
  <c r="AA53" i="2"/>
  <c r="AE53" i="2"/>
  <c r="AI53" i="2"/>
  <c r="AM53" i="2"/>
  <c r="AQ53" i="2"/>
  <c r="AU53" i="2"/>
  <c r="AY53" i="2"/>
  <c r="BC53" i="2"/>
  <c r="BG53" i="2"/>
  <c r="BK53" i="2"/>
  <c r="BO53" i="2"/>
  <c r="BS53" i="2"/>
  <c r="BW53" i="2"/>
  <c r="CA53" i="2"/>
  <c r="CE53" i="2"/>
  <c r="CI53" i="2"/>
  <c r="CM53" i="2"/>
  <c r="CQ53" i="2"/>
  <c r="D53" i="2"/>
  <c r="H53" i="2"/>
  <c r="L53" i="2"/>
  <c r="P53" i="2"/>
  <c r="T53" i="2"/>
  <c r="X53" i="2"/>
  <c r="AB53" i="2"/>
  <c r="AF53" i="2"/>
  <c r="AJ53" i="2"/>
  <c r="AN53" i="2"/>
  <c r="AR53" i="2"/>
  <c r="AV53" i="2"/>
  <c r="AZ53" i="2"/>
  <c r="BD53" i="2"/>
  <c r="BH53" i="2"/>
  <c r="BL53" i="2"/>
  <c r="BP53" i="2"/>
  <c r="BT53" i="2"/>
  <c r="BX53" i="2"/>
  <c r="CB53" i="2"/>
  <c r="CF53" i="2"/>
  <c r="CJ53" i="2"/>
  <c r="CN53" i="2"/>
  <c r="E53" i="2"/>
  <c r="I53" i="2"/>
  <c r="M53" i="2"/>
  <c r="Q53" i="2"/>
  <c r="U53" i="2"/>
  <c r="Y53" i="2"/>
  <c r="AC53" i="2"/>
  <c r="AG53" i="2"/>
  <c r="AK53" i="2"/>
  <c r="AO53" i="2"/>
  <c r="AS53" i="2"/>
  <c r="AW53" i="2"/>
  <c r="BA53" i="2"/>
  <c r="BE53" i="2"/>
  <c r="BI53" i="2"/>
  <c r="BM53" i="2"/>
  <c r="BQ53" i="2"/>
  <c r="BU53" i="2"/>
  <c r="BY53" i="2"/>
  <c r="CC53" i="2"/>
  <c r="CG53" i="2"/>
  <c r="CK53" i="2"/>
  <c r="CO53" i="2"/>
  <c r="F53" i="2"/>
  <c r="J53" i="2"/>
  <c r="N53" i="2"/>
  <c r="R53" i="2"/>
  <c r="V53" i="2"/>
  <c r="Z53" i="2"/>
  <c r="AD53" i="2"/>
  <c r="AH53" i="2"/>
  <c r="AL53" i="2"/>
  <c r="AP53" i="2"/>
  <c r="AT53" i="2"/>
  <c r="AX53" i="2"/>
  <c r="BB53" i="2"/>
  <c r="BF53" i="2"/>
  <c r="BJ53" i="2"/>
  <c r="BN53" i="2"/>
  <c r="BR53" i="2"/>
  <c r="BV53" i="2"/>
  <c r="BZ53" i="2"/>
  <c r="CD53" i="2"/>
  <c r="CH53" i="2"/>
  <c r="CL53" i="2"/>
  <c r="CP53" i="2"/>
  <c r="D25" i="2"/>
  <c r="H25" i="2"/>
  <c r="L25" i="2"/>
  <c r="P25" i="2"/>
  <c r="T25" i="2"/>
  <c r="X25" i="2"/>
  <c r="AB25" i="2"/>
  <c r="AF25" i="2"/>
  <c r="AJ25" i="2"/>
  <c r="AN25" i="2"/>
  <c r="AR25" i="2"/>
  <c r="AV25" i="2"/>
  <c r="AZ25" i="2"/>
  <c r="BD25" i="2"/>
  <c r="BH25" i="2"/>
  <c r="BL25" i="2"/>
  <c r="BP25" i="2"/>
  <c r="BT25" i="2"/>
  <c r="BX25" i="2"/>
  <c r="CB25" i="2"/>
  <c r="CF25" i="2"/>
  <c r="CJ25" i="2"/>
  <c r="CN25" i="2"/>
  <c r="I25" i="2"/>
  <c r="M25" i="2"/>
  <c r="Q25" i="2"/>
  <c r="F25" i="2"/>
  <c r="J25" i="2"/>
  <c r="N25" i="2"/>
  <c r="R25" i="2"/>
  <c r="V25" i="2"/>
  <c r="Z25" i="2"/>
  <c r="AD25" i="2"/>
  <c r="O25" i="2"/>
  <c r="Y25" i="2"/>
  <c r="AG25" i="2"/>
  <c r="AL25" i="2"/>
  <c r="AQ25" i="2"/>
  <c r="AW25" i="2"/>
  <c r="BB25" i="2"/>
  <c r="BG25" i="2"/>
  <c r="BM25" i="2"/>
  <c r="BR25" i="2"/>
  <c r="BW25" i="2"/>
  <c r="CC25" i="2"/>
  <c r="CH25" i="2"/>
  <c r="CM25" i="2"/>
  <c r="S25" i="2"/>
  <c r="AA25" i="2"/>
  <c r="AH25" i="2"/>
  <c r="AM25" i="2"/>
  <c r="AS25" i="2"/>
  <c r="AX25" i="2"/>
  <c r="BC25" i="2"/>
  <c r="BI25" i="2"/>
  <c r="BN25" i="2"/>
  <c r="BS25" i="2"/>
  <c r="BY25" i="2"/>
  <c r="CD25" i="2"/>
  <c r="CI25" i="2"/>
  <c r="CO25" i="2"/>
  <c r="G25" i="2"/>
  <c r="U25" i="2"/>
  <c r="AC25" i="2"/>
  <c r="AI25" i="2"/>
  <c r="AO25" i="2"/>
  <c r="AT25" i="2"/>
  <c r="AY25" i="2"/>
  <c r="BE25" i="2"/>
  <c r="BJ25" i="2"/>
  <c r="BO25" i="2"/>
  <c r="BU25" i="2"/>
  <c r="BZ25" i="2"/>
  <c r="CE25" i="2"/>
  <c r="CK25" i="2"/>
  <c r="CP25" i="2"/>
  <c r="K25" i="2"/>
  <c r="W25" i="2"/>
  <c r="AE25" i="2"/>
  <c r="AK25" i="2"/>
  <c r="AP25" i="2"/>
  <c r="AU25" i="2"/>
  <c r="BA25" i="2"/>
  <c r="BF25" i="2"/>
  <c r="BK25" i="2"/>
  <c r="BQ25" i="2"/>
  <c r="BV25" i="2"/>
  <c r="CA25" i="2"/>
  <c r="CG25" i="2"/>
  <c r="CL25" i="2"/>
  <c r="CQ25" i="2"/>
  <c r="E25" i="2"/>
  <c r="H24" i="2"/>
  <c r="L24" i="2"/>
  <c r="P24" i="2"/>
  <c r="T24" i="2"/>
  <c r="X24" i="2"/>
  <c r="AB24" i="2"/>
  <c r="AF24" i="2"/>
  <c r="AJ24" i="2"/>
  <c r="AN24" i="2"/>
  <c r="AR24" i="2"/>
  <c r="AV24" i="2"/>
  <c r="AZ24" i="2"/>
  <c r="BD24" i="2"/>
  <c r="BH24" i="2"/>
  <c r="BL24" i="2"/>
  <c r="BP24" i="2"/>
  <c r="BT24" i="2"/>
  <c r="BX24" i="2"/>
  <c r="CB24" i="2"/>
  <c r="CF24" i="2"/>
  <c r="CJ24" i="2"/>
  <c r="CN24" i="2"/>
  <c r="E24" i="2"/>
  <c r="I24" i="2"/>
  <c r="M24" i="2"/>
  <c r="U24" i="2"/>
  <c r="Y24" i="2"/>
  <c r="AC24" i="2"/>
  <c r="AG24" i="2"/>
  <c r="AK24" i="2"/>
  <c r="AO24" i="2"/>
  <c r="AS24" i="2"/>
  <c r="AW24" i="2"/>
  <c r="BA24" i="2"/>
  <c r="BE24" i="2"/>
  <c r="BI24" i="2"/>
  <c r="BM24" i="2"/>
  <c r="BQ24" i="2"/>
  <c r="BU24" i="2"/>
  <c r="BY24" i="2"/>
  <c r="CC24" i="2"/>
  <c r="CG24" i="2"/>
  <c r="CK24" i="2"/>
  <c r="CO24" i="2"/>
  <c r="F24" i="2"/>
  <c r="J24" i="2"/>
  <c r="N24" i="2"/>
  <c r="R24" i="2"/>
  <c r="V24" i="2"/>
  <c r="Z24" i="2"/>
  <c r="AD24" i="2"/>
  <c r="AH24" i="2"/>
  <c r="AL24" i="2"/>
  <c r="AP24" i="2"/>
  <c r="AT24" i="2"/>
  <c r="AX24" i="2"/>
  <c r="BB24" i="2"/>
  <c r="BF24" i="2"/>
  <c r="BJ24" i="2"/>
  <c r="BN24" i="2"/>
  <c r="BR24" i="2"/>
  <c r="BV24" i="2"/>
  <c r="BZ24" i="2"/>
  <c r="CD24" i="2"/>
  <c r="CH24" i="2"/>
  <c r="CL24" i="2"/>
  <c r="CP24" i="2"/>
  <c r="K24" i="2"/>
  <c r="AA24" i="2"/>
  <c r="AQ24" i="2"/>
  <c r="BG24" i="2"/>
  <c r="BW24" i="2"/>
  <c r="CM24" i="2"/>
  <c r="O24" i="2"/>
  <c r="AE24" i="2"/>
  <c r="AU24" i="2"/>
  <c r="BK24" i="2"/>
  <c r="CA24" i="2"/>
  <c r="CQ24" i="2"/>
  <c r="S24" i="2"/>
  <c r="AI24" i="2"/>
  <c r="AY24" i="2"/>
  <c r="BO24" i="2"/>
  <c r="CE24" i="2"/>
  <c r="W24" i="2"/>
  <c r="AM24" i="2"/>
  <c r="BC24" i="2"/>
  <c r="BS24" i="2"/>
  <c r="CI24" i="2"/>
  <c r="G24" i="2"/>
  <c r="Q24" i="2"/>
  <c r="F9" i="2"/>
  <c r="J9" i="2"/>
  <c r="N9" i="2"/>
  <c r="R9" i="2"/>
  <c r="V9" i="2"/>
  <c r="Z9" i="2"/>
  <c r="AD9" i="2"/>
  <c r="AH9" i="2"/>
  <c r="AL9" i="2"/>
  <c r="AP9" i="2"/>
  <c r="AT9" i="2"/>
  <c r="AX9" i="2"/>
  <c r="BB9" i="2"/>
  <c r="BF9" i="2"/>
  <c r="BJ9" i="2"/>
  <c r="BN9" i="2"/>
  <c r="BR9" i="2"/>
  <c r="E9" i="2"/>
  <c r="K9" i="2"/>
  <c r="P9" i="2"/>
  <c r="U9" i="2"/>
  <c r="AA9" i="2"/>
  <c r="AF9" i="2"/>
  <c r="AK9" i="2"/>
  <c r="AQ9" i="2"/>
  <c r="AV9" i="2"/>
  <c r="BA9" i="2"/>
  <c r="BG9" i="2"/>
  <c r="BL9" i="2"/>
  <c r="BQ9" i="2"/>
  <c r="BV9" i="2"/>
  <c r="BZ9" i="2"/>
  <c r="CD9" i="2"/>
  <c r="CH9" i="2"/>
  <c r="CL9" i="2"/>
  <c r="CP9" i="2"/>
  <c r="G9" i="2"/>
  <c r="L9" i="2"/>
  <c r="Q9" i="2"/>
  <c r="W9" i="2"/>
  <c r="AB9" i="2"/>
  <c r="AG9" i="2"/>
  <c r="AM9" i="2"/>
  <c r="AR9" i="2"/>
  <c r="AW9" i="2"/>
  <c r="BC9" i="2"/>
  <c r="BH9" i="2"/>
  <c r="BM9" i="2"/>
  <c r="BS9" i="2"/>
  <c r="BW9" i="2"/>
  <c r="CA9" i="2"/>
  <c r="CE9" i="2"/>
  <c r="CI9" i="2"/>
  <c r="CM9" i="2"/>
  <c r="CQ9" i="2"/>
  <c r="H9" i="2"/>
  <c r="M9" i="2"/>
  <c r="S9" i="2"/>
  <c r="X9" i="2"/>
  <c r="AC9" i="2"/>
  <c r="AI9" i="2"/>
  <c r="AN9" i="2"/>
  <c r="AS9" i="2"/>
  <c r="AY9" i="2"/>
  <c r="BD9" i="2"/>
  <c r="BI9" i="2"/>
  <c r="BO9" i="2"/>
  <c r="BT9" i="2"/>
  <c r="BX9" i="2"/>
  <c r="CB9" i="2"/>
  <c r="CF9" i="2"/>
  <c r="CJ9" i="2"/>
  <c r="CN9" i="2"/>
  <c r="D9" i="2"/>
  <c r="I9" i="2"/>
  <c r="O9" i="2"/>
  <c r="T9" i="2"/>
  <c r="Y9" i="2"/>
  <c r="AE9" i="2"/>
  <c r="AJ9" i="2"/>
  <c r="AO9" i="2"/>
  <c r="AU9" i="2"/>
  <c r="AZ9" i="2"/>
  <c r="BE9" i="2"/>
  <c r="BK9" i="2"/>
  <c r="BP9" i="2"/>
  <c r="BU9" i="2"/>
  <c r="BY9" i="2"/>
  <c r="CC9" i="2"/>
  <c r="CG9" i="2"/>
  <c r="CK9" i="2"/>
  <c r="CO9" i="2"/>
  <c r="J8" i="2"/>
  <c r="N8" i="2"/>
  <c r="R8" i="2"/>
  <c r="V8" i="2"/>
  <c r="Z8" i="2"/>
  <c r="AD8" i="2"/>
  <c r="AH8" i="2"/>
  <c r="AL8" i="2"/>
  <c r="AP8" i="2"/>
  <c r="AT8" i="2"/>
  <c r="AX8" i="2"/>
  <c r="BB8" i="2"/>
  <c r="BF8" i="2"/>
  <c r="BJ8" i="2"/>
  <c r="BN8" i="2"/>
  <c r="BR8" i="2"/>
  <c r="BV8" i="2"/>
  <c r="BZ8" i="2"/>
  <c r="CD8" i="2"/>
  <c r="CH8" i="2"/>
  <c r="CL8" i="2"/>
  <c r="CP8" i="2"/>
  <c r="K8" i="2"/>
  <c r="O8" i="2"/>
  <c r="S8" i="2"/>
  <c r="W8" i="2"/>
  <c r="AA8" i="2"/>
  <c r="AE8" i="2"/>
  <c r="AI8" i="2"/>
  <c r="AM8" i="2"/>
  <c r="AQ8" i="2"/>
  <c r="AU8" i="2"/>
  <c r="AY8" i="2"/>
  <c r="BC8" i="2"/>
  <c r="BG8" i="2"/>
  <c r="BK8" i="2"/>
  <c r="BO8" i="2"/>
  <c r="BS8" i="2"/>
  <c r="BW8" i="2"/>
  <c r="CA8" i="2"/>
  <c r="CE8" i="2"/>
  <c r="CI8" i="2"/>
  <c r="D8" i="2"/>
  <c r="H8" i="2"/>
  <c r="M8" i="2"/>
  <c r="U8" i="2"/>
  <c r="AC8" i="2"/>
  <c r="AK8" i="2"/>
  <c r="AS8" i="2"/>
  <c r="BA8" i="2"/>
  <c r="BI8" i="2"/>
  <c r="BQ8" i="2"/>
  <c r="BY8" i="2"/>
  <c r="CG8" i="2"/>
  <c r="CN8" i="2"/>
  <c r="E8" i="2"/>
  <c r="P8" i="2"/>
  <c r="X8" i="2"/>
  <c r="AF8" i="2"/>
  <c r="AN8" i="2"/>
  <c r="AV8" i="2"/>
  <c r="BD8" i="2"/>
  <c r="BL8" i="2"/>
  <c r="BT8" i="2"/>
  <c r="CB8" i="2"/>
  <c r="CJ8" i="2"/>
  <c r="CO8" i="2"/>
  <c r="I8" i="2"/>
  <c r="Q8" i="2"/>
  <c r="Y8" i="2"/>
  <c r="AG8" i="2"/>
  <c r="AO8" i="2"/>
  <c r="AW8" i="2"/>
  <c r="BE8" i="2"/>
  <c r="BM8" i="2"/>
  <c r="BU8" i="2"/>
  <c r="CC8" i="2"/>
  <c r="CK8" i="2"/>
  <c r="CQ8" i="2"/>
  <c r="L8" i="2"/>
  <c r="T8" i="2"/>
  <c r="AB8" i="2"/>
  <c r="AJ8" i="2"/>
  <c r="AR8" i="2"/>
  <c r="AZ8" i="2"/>
  <c r="BH8" i="2"/>
  <c r="BP8" i="2"/>
  <c r="BX8" i="2"/>
  <c r="CF8" i="2"/>
  <c r="CM8" i="2"/>
  <c r="G8" i="2"/>
  <c r="F8" i="2"/>
  <c r="D27" i="2"/>
  <c r="H27" i="2"/>
  <c r="L27" i="2"/>
  <c r="P27" i="2"/>
  <c r="T27" i="2"/>
  <c r="AB27" i="2"/>
  <c r="AF27" i="2"/>
  <c r="AJ27" i="2"/>
  <c r="AN27" i="2"/>
  <c r="AR27" i="2"/>
  <c r="I27" i="2"/>
  <c r="N27" i="2"/>
  <c r="S27" i="2"/>
  <c r="AD27" i="2"/>
  <c r="AI27" i="2"/>
  <c r="AO27" i="2"/>
  <c r="AT27" i="2"/>
  <c r="AX27" i="2"/>
  <c r="BB27" i="2"/>
  <c r="BF27" i="2"/>
  <c r="BJ27" i="2"/>
  <c r="BN27" i="2"/>
  <c r="BR27" i="2"/>
  <c r="BV27" i="2"/>
  <c r="BZ27" i="2"/>
  <c r="CD27" i="2"/>
  <c r="CH27" i="2"/>
  <c r="CL27" i="2"/>
  <c r="CP27" i="2"/>
  <c r="E27" i="2"/>
  <c r="J27" i="2"/>
  <c r="O27" i="2"/>
  <c r="U27" i="2"/>
  <c r="Z27" i="2"/>
  <c r="AE27" i="2"/>
  <c r="AK27" i="2"/>
  <c r="AP27" i="2"/>
  <c r="AU27" i="2"/>
  <c r="AY27" i="2"/>
  <c r="BC27" i="2"/>
  <c r="BG27" i="2"/>
  <c r="BK27" i="2"/>
  <c r="BO27" i="2"/>
  <c r="BS27" i="2"/>
  <c r="BW27" i="2"/>
  <c r="CA27" i="2"/>
  <c r="CE27" i="2"/>
  <c r="CI27" i="2"/>
  <c r="CM27" i="2"/>
  <c r="CQ27" i="2"/>
  <c r="F27" i="2"/>
  <c r="K27" i="2"/>
  <c r="Q27" i="2"/>
  <c r="V27" i="2"/>
  <c r="AA27" i="2"/>
  <c r="AG27" i="2"/>
  <c r="AL27" i="2"/>
  <c r="AQ27" i="2"/>
  <c r="AV27" i="2"/>
  <c r="AZ27" i="2"/>
  <c r="BD27" i="2"/>
  <c r="BH27" i="2"/>
  <c r="BL27" i="2"/>
  <c r="BP27" i="2"/>
  <c r="BT27" i="2"/>
  <c r="BX27" i="2"/>
  <c r="CB27" i="2"/>
  <c r="CF27" i="2"/>
  <c r="CJ27" i="2"/>
  <c r="CN27" i="2"/>
  <c r="G27" i="2"/>
  <c r="M27" i="2"/>
  <c r="R27" i="2"/>
  <c r="W27" i="2"/>
  <c r="AC27" i="2"/>
  <c r="AH27" i="2"/>
  <c r="AM27" i="2"/>
  <c r="AS27" i="2"/>
  <c r="AW27" i="2"/>
  <c r="BA27" i="2"/>
  <c r="BE27" i="2"/>
  <c r="BI27" i="2"/>
  <c r="BM27" i="2"/>
  <c r="BQ27" i="2"/>
  <c r="BU27" i="2"/>
  <c r="BY27" i="2"/>
  <c r="CC27" i="2"/>
  <c r="CG27" i="2"/>
  <c r="CK27" i="2"/>
  <c r="CO27" i="2"/>
  <c r="Y27" i="2"/>
  <c r="X27" i="2"/>
  <c r="G23" i="2"/>
  <c r="K23" i="2"/>
  <c r="O23" i="2"/>
  <c r="S23" i="2"/>
  <c r="W23" i="2"/>
  <c r="AA23" i="2"/>
  <c r="AE23" i="2"/>
  <c r="AI23" i="2"/>
  <c r="AM23" i="2"/>
  <c r="AQ23" i="2"/>
  <c r="AU23" i="2"/>
  <c r="AY23" i="2"/>
  <c r="D23" i="2"/>
  <c r="H23" i="2"/>
  <c r="L23" i="2"/>
  <c r="P23" i="2"/>
  <c r="T23" i="2"/>
  <c r="X23" i="2"/>
  <c r="AB23" i="2"/>
  <c r="AF23" i="2"/>
  <c r="AJ23" i="2"/>
  <c r="AN23" i="2"/>
  <c r="AR23" i="2"/>
  <c r="AV23" i="2"/>
  <c r="AZ23" i="2"/>
  <c r="BD23" i="2"/>
  <c r="BH23" i="2"/>
  <c r="BL23" i="2"/>
  <c r="BP23" i="2"/>
  <c r="BT23" i="2"/>
  <c r="BX23" i="2"/>
  <c r="CB23" i="2"/>
  <c r="CF23" i="2"/>
  <c r="CJ23" i="2"/>
  <c r="CN23" i="2"/>
  <c r="E23" i="2"/>
  <c r="I23" i="2"/>
  <c r="M23" i="2"/>
  <c r="Q23" i="2"/>
  <c r="U23" i="2"/>
  <c r="Y23" i="2"/>
  <c r="AC23" i="2"/>
  <c r="AG23" i="2"/>
  <c r="AK23" i="2"/>
  <c r="AO23" i="2"/>
  <c r="AS23" i="2"/>
  <c r="AW23" i="2"/>
  <c r="BA23" i="2"/>
  <c r="BE23" i="2"/>
  <c r="BI23" i="2"/>
  <c r="BM23" i="2"/>
  <c r="BQ23" i="2"/>
  <c r="BU23" i="2"/>
  <c r="BY23" i="2"/>
  <c r="CC23" i="2"/>
  <c r="CG23" i="2"/>
  <c r="CK23" i="2"/>
  <c r="CO23" i="2"/>
  <c r="F23" i="2"/>
  <c r="J23" i="2"/>
  <c r="N23" i="2"/>
  <c r="R23" i="2"/>
  <c r="V23" i="2"/>
  <c r="Z23" i="2"/>
  <c r="AD23" i="2"/>
  <c r="AH23" i="2"/>
  <c r="AL23" i="2"/>
  <c r="AP23" i="2"/>
  <c r="AT23" i="2"/>
  <c r="AX23" i="2"/>
  <c r="BB23" i="2"/>
  <c r="BF23" i="2"/>
  <c r="BJ23" i="2"/>
  <c r="BN23" i="2"/>
  <c r="BR23" i="2"/>
  <c r="BV23" i="2"/>
  <c r="BZ23" i="2"/>
  <c r="CD23" i="2"/>
  <c r="CH23" i="2"/>
  <c r="CL23" i="2"/>
  <c r="CP23" i="2"/>
  <c r="BC23" i="2"/>
  <c r="BS23" i="2"/>
  <c r="CI23" i="2"/>
  <c r="BG23" i="2"/>
  <c r="BW23" i="2"/>
  <c r="CM23" i="2"/>
  <c r="BK23" i="2"/>
  <c r="CA23" i="2"/>
  <c r="CQ23" i="2"/>
  <c r="BO23" i="2"/>
  <c r="CE23" i="2"/>
  <c r="D7" i="2"/>
  <c r="H7" i="2"/>
  <c r="L7" i="2"/>
  <c r="P7" i="2"/>
  <c r="T7" i="2"/>
  <c r="X7" i="2"/>
  <c r="AB7" i="2"/>
  <c r="AF7" i="2"/>
  <c r="AJ7" i="2"/>
  <c r="AN7" i="2"/>
  <c r="AR7" i="2"/>
  <c r="AV7" i="2"/>
  <c r="AZ7" i="2"/>
  <c r="BD7" i="2"/>
  <c r="BH7" i="2"/>
  <c r="BL7" i="2"/>
  <c r="BP7" i="2"/>
  <c r="BT7" i="2"/>
  <c r="BX7" i="2"/>
  <c r="CB7" i="2"/>
  <c r="CF7" i="2"/>
  <c r="CJ7" i="2"/>
  <c r="E7" i="2"/>
  <c r="I7" i="2"/>
  <c r="M7" i="2"/>
  <c r="Q7" i="2"/>
  <c r="U7" i="2"/>
  <c r="Y7" i="2"/>
  <c r="AC7" i="2"/>
  <c r="AG7" i="2"/>
  <c r="AK7" i="2"/>
  <c r="AO7" i="2"/>
  <c r="AS7" i="2"/>
  <c r="AW7" i="2"/>
  <c r="BA7" i="2"/>
  <c r="BE7" i="2"/>
  <c r="BI7" i="2"/>
  <c r="BM7" i="2"/>
  <c r="BQ7" i="2"/>
  <c r="BU7" i="2"/>
  <c r="BY7" i="2"/>
  <c r="CC7" i="2"/>
  <c r="N7" i="2"/>
  <c r="V7" i="2"/>
  <c r="AD7" i="2"/>
  <c r="AL7" i="2"/>
  <c r="AT7" i="2"/>
  <c r="BB7" i="2"/>
  <c r="BJ7" i="2"/>
  <c r="BR7" i="2"/>
  <c r="BZ7" i="2"/>
  <c r="CG7" i="2"/>
  <c r="CL7" i="2"/>
  <c r="CP7" i="2"/>
  <c r="O7" i="2"/>
  <c r="W7" i="2"/>
  <c r="AE7" i="2"/>
  <c r="AM7" i="2"/>
  <c r="AU7" i="2"/>
  <c r="BC7" i="2"/>
  <c r="BK7" i="2"/>
  <c r="BS7" i="2"/>
  <c r="CA7" i="2"/>
  <c r="CH7" i="2"/>
  <c r="CM7" i="2"/>
  <c r="CQ7" i="2"/>
  <c r="J7" i="2"/>
  <c r="R7" i="2"/>
  <c r="Z7" i="2"/>
  <c r="AH7" i="2"/>
  <c r="AP7" i="2"/>
  <c r="AX7" i="2"/>
  <c r="BF7" i="2"/>
  <c r="BN7" i="2"/>
  <c r="BV7" i="2"/>
  <c r="CD7" i="2"/>
  <c r="CI7" i="2"/>
  <c r="CN7" i="2"/>
  <c r="K7" i="2"/>
  <c r="S7" i="2"/>
  <c r="AA7" i="2"/>
  <c r="AI7" i="2"/>
  <c r="AQ7" i="2"/>
  <c r="AY7" i="2"/>
  <c r="BG7" i="2"/>
  <c r="BO7" i="2"/>
  <c r="CO7" i="2"/>
  <c r="BW7" i="2"/>
  <c r="CE7" i="2"/>
  <c r="CK7" i="2"/>
  <c r="F7" i="2"/>
  <c r="G7" i="2"/>
  <c r="C56" i="6"/>
  <c r="N94" i="11"/>
  <c r="R54" i="10"/>
  <c r="DB31" i="2"/>
  <c r="T92" i="6"/>
  <c r="T92" i="11"/>
  <c r="B94" i="11"/>
  <c r="V98" i="6"/>
  <c r="B70" i="11"/>
  <c r="V54" i="10"/>
  <c r="R92" i="10"/>
  <c r="C91" i="10"/>
  <c r="X97" i="6"/>
  <c r="Q92" i="10"/>
  <c r="Z92" i="7"/>
  <c r="V17" i="10"/>
  <c r="B53" i="9"/>
  <c r="B53" i="10" s="1"/>
  <c r="DB98" i="2"/>
  <c r="DB12" i="2"/>
  <c r="F97" i="11"/>
  <c r="U96" i="7"/>
  <c r="K96" i="11"/>
  <c r="I99" i="10"/>
  <c r="W97" i="10"/>
  <c r="D96" i="10"/>
  <c r="W96" i="10"/>
  <c r="U92" i="7"/>
  <c r="B97" i="10"/>
  <c r="AA99" i="11"/>
  <c r="F66" i="6"/>
  <c r="R98" i="7"/>
  <c r="J97" i="10"/>
  <c r="B98" i="7"/>
  <c r="H92" i="10"/>
  <c r="U99" i="11"/>
  <c r="AA93" i="10"/>
  <c r="J100" i="11"/>
  <c r="N95" i="11"/>
  <c r="E92" i="10"/>
  <c r="L92" i="10"/>
  <c r="E9" i="7"/>
  <c r="Z69" i="11"/>
  <c r="E96" i="10"/>
  <c r="L94" i="7"/>
  <c r="E96" i="6"/>
  <c r="O96" i="7"/>
  <c r="J96" i="10"/>
  <c r="X9" i="7"/>
  <c r="T100" i="7"/>
  <c r="AA56" i="7"/>
  <c r="E98" i="7"/>
  <c r="F55" i="11"/>
  <c r="Q97" i="10"/>
  <c r="R95" i="10"/>
  <c r="P54" i="11"/>
  <c r="B42" i="6"/>
  <c r="AA98" i="10"/>
  <c r="X93" i="6"/>
  <c r="AA93" i="6"/>
  <c r="E99" i="11"/>
  <c r="M85" i="11"/>
  <c r="M97" i="6"/>
  <c r="R11" i="10"/>
  <c r="O98" i="6"/>
  <c r="K98" i="7"/>
  <c r="I55" i="10"/>
  <c r="DB17" i="2"/>
  <c r="Q29" i="6"/>
  <c r="Z100" i="6"/>
  <c r="B92" i="6"/>
  <c r="J73" i="11"/>
  <c r="D99" i="10"/>
  <c r="K95" i="10"/>
  <c r="T95" i="11"/>
  <c r="DB36" i="2"/>
  <c r="W76" i="10"/>
  <c r="X100" i="11"/>
  <c r="I100" i="11"/>
  <c r="X96" i="11"/>
  <c r="L98" i="10"/>
  <c r="Q91" i="10"/>
  <c r="K93" i="6"/>
  <c r="J98" i="11"/>
  <c r="DB45" i="2"/>
  <c r="P96" i="6"/>
  <c r="G54" i="7"/>
  <c r="F98" i="7"/>
  <c r="K47" i="7"/>
  <c r="W32" i="6"/>
  <c r="Y43" i="7"/>
  <c r="G98" i="7"/>
  <c r="W95" i="11"/>
  <c r="J54" i="6"/>
  <c r="Q98" i="7"/>
  <c r="Y99" i="10"/>
  <c r="O91" i="10"/>
  <c r="M95" i="11"/>
  <c r="N93" i="7"/>
  <c r="L97" i="6"/>
  <c r="N100" i="11"/>
  <c r="DB60" i="2"/>
  <c r="C96" i="10"/>
  <c r="AA100" i="7"/>
  <c r="B93" i="7"/>
  <c r="D93" i="10"/>
  <c r="L97" i="10"/>
  <c r="O55" i="10"/>
  <c r="M41" i="7"/>
  <c r="F65" i="10"/>
  <c r="V94" i="11"/>
  <c r="X41" i="7"/>
  <c r="Z94" i="11"/>
  <c r="O99" i="10"/>
  <c r="X91" i="10"/>
  <c r="DB99" i="2"/>
  <c r="Z96" i="11"/>
  <c r="X95" i="10"/>
  <c r="V59" i="7"/>
  <c r="B54" i="6"/>
  <c r="K99" i="10"/>
  <c r="Y54" i="10"/>
  <c r="X98" i="11"/>
  <c r="S93" i="6"/>
  <c r="C93" i="11"/>
  <c r="O100" i="11"/>
  <c r="M98" i="10"/>
  <c r="W18" i="7"/>
  <c r="U93" i="7"/>
  <c r="H55" i="10"/>
  <c r="E55" i="11"/>
  <c r="D98" i="7"/>
  <c r="E32" i="11"/>
  <c r="O95" i="11"/>
  <c r="J97" i="6"/>
  <c r="C98" i="6"/>
  <c r="O96" i="10"/>
  <c r="C97" i="10"/>
  <c r="Q54" i="6"/>
  <c r="L50" i="11"/>
  <c r="M93" i="7"/>
  <c r="V81" i="7"/>
  <c r="V16" i="7"/>
  <c r="L88" i="6"/>
  <c r="V91" i="6"/>
  <c r="Y98" i="11"/>
  <c r="O59" i="6"/>
  <c r="Y96" i="10"/>
  <c r="N48" i="10"/>
  <c r="E100" i="7"/>
  <c r="V96" i="7"/>
  <c r="F93" i="10"/>
  <c r="L34" i="7"/>
  <c r="V88" i="11"/>
  <c r="V37" i="11"/>
  <c r="X66" i="6"/>
  <c r="N41" i="7"/>
  <c r="V100" i="7"/>
  <c r="G93" i="7"/>
  <c r="D79" i="7"/>
  <c r="AA10" i="11"/>
  <c r="F86" i="10"/>
  <c r="H34" i="10"/>
  <c r="U55" i="11"/>
  <c r="Y96" i="6"/>
  <c r="U98" i="7"/>
  <c r="J93" i="10"/>
  <c r="M16" i="11"/>
  <c r="Q70" i="11"/>
  <c r="N93" i="10"/>
  <c r="J95" i="10"/>
  <c r="F97" i="6"/>
  <c r="Y66" i="6"/>
  <c r="H35" i="6"/>
  <c r="Z38" i="11"/>
  <c r="B99" i="10"/>
  <c r="U44" i="10"/>
  <c r="N15" i="10"/>
  <c r="O59" i="11"/>
  <c r="C79" i="6"/>
  <c r="Q54" i="11"/>
  <c r="K54" i="10"/>
  <c r="S29" i="6"/>
  <c r="S92" i="6"/>
  <c r="Q13" i="6"/>
  <c r="Z9" i="7"/>
  <c r="E73" i="11"/>
  <c r="Z82" i="7"/>
  <c r="L79" i="6"/>
  <c r="O86" i="6"/>
  <c r="H97" i="6"/>
  <c r="AA32" i="11"/>
  <c r="G49" i="6"/>
  <c r="O97" i="11"/>
  <c r="Y92" i="6"/>
  <c r="M28" i="10"/>
  <c r="K92" i="10"/>
  <c r="W98" i="6"/>
  <c r="AA89" i="7"/>
  <c r="K94" i="10"/>
  <c r="E91" i="10"/>
  <c r="D92" i="7"/>
  <c r="R93" i="7"/>
  <c r="T54" i="10"/>
  <c r="F54" i="10"/>
  <c r="C95" i="10"/>
  <c r="AA97" i="11"/>
  <c r="S97" i="7"/>
  <c r="DB16" i="2"/>
  <c r="W91" i="10"/>
  <c r="S99" i="10"/>
  <c r="F100" i="7"/>
  <c r="X98" i="7"/>
  <c r="I92" i="6"/>
  <c r="V96" i="10"/>
  <c r="S95" i="10"/>
  <c r="C96" i="7"/>
  <c r="T96" i="11"/>
  <c r="Q34" i="10"/>
  <c r="G99" i="10"/>
  <c r="J56" i="7"/>
  <c r="T55" i="10"/>
  <c r="AA95" i="11"/>
  <c r="DB78" i="2"/>
  <c r="DB73" i="2"/>
  <c r="I93" i="6"/>
  <c r="G100" i="10"/>
  <c r="U97" i="11"/>
  <c r="S96" i="11"/>
  <c r="AA14" i="7"/>
  <c r="P97" i="10"/>
  <c r="I98" i="6"/>
  <c r="Q96" i="10"/>
  <c r="AA100" i="10"/>
  <c r="H67" i="11"/>
  <c r="W56" i="7"/>
  <c r="Y93" i="10"/>
  <c r="Z92" i="10"/>
  <c r="W98" i="11"/>
  <c r="DB94" i="2"/>
  <c r="DB40" i="2"/>
  <c r="G54" i="10"/>
  <c r="Y97" i="6"/>
  <c r="F93" i="6"/>
  <c r="P95" i="11"/>
  <c r="H93" i="6"/>
  <c r="O32" i="11"/>
  <c r="I86" i="11"/>
  <c r="H12" i="11"/>
  <c r="N56" i="6"/>
  <c r="D97" i="10"/>
  <c r="V93" i="6"/>
  <c r="K12" i="7"/>
  <c r="B100" i="10"/>
  <c r="U56" i="7"/>
  <c r="W54" i="10"/>
  <c r="CT54" i="2"/>
  <c r="DB70" i="2"/>
  <c r="F94" i="10"/>
  <c r="AA96" i="6"/>
  <c r="I56" i="6"/>
  <c r="R56" i="10"/>
  <c r="J93" i="7"/>
  <c r="G93" i="11"/>
  <c r="DB41" i="2"/>
  <c r="E59" i="6"/>
  <c r="U34" i="7"/>
  <c r="V60" i="6"/>
  <c r="AA31" i="10"/>
  <c r="K97" i="7"/>
  <c r="X11" i="10"/>
  <c r="P47" i="6"/>
  <c r="Q32" i="6"/>
  <c r="AA81" i="10"/>
  <c r="E56" i="7"/>
  <c r="AA92" i="10"/>
  <c r="F69" i="10"/>
  <c r="I97" i="10"/>
  <c r="M96" i="10"/>
  <c r="Q93" i="10"/>
  <c r="R58" i="6"/>
  <c r="B49" i="11"/>
  <c r="R70" i="6"/>
  <c r="Y65" i="7"/>
  <c r="Y68" i="6"/>
  <c r="M68" i="7"/>
  <c r="Z93" i="7"/>
  <c r="I96" i="10"/>
  <c r="B93" i="11"/>
  <c r="G98" i="11"/>
  <c r="Z35" i="11"/>
  <c r="Q96" i="7"/>
  <c r="DB59" i="2"/>
  <c r="V92" i="7"/>
  <c r="AA18" i="6"/>
  <c r="F35" i="11"/>
  <c r="D51" i="6"/>
  <c r="D81" i="11"/>
  <c r="Z97" i="6"/>
  <c r="M88" i="11"/>
  <c r="U93" i="11"/>
  <c r="W93" i="7"/>
  <c r="R16" i="10"/>
  <c r="V73" i="10"/>
  <c r="Y32" i="10"/>
  <c r="H70" i="7"/>
  <c r="Z48" i="10"/>
  <c r="D92" i="10"/>
  <c r="S96" i="7"/>
  <c r="Q44" i="11"/>
  <c r="O93" i="7"/>
  <c r="D56" i="7"/>
  <c r="K10" i="11"/>
  <c r="D15" i="10"/>
  <c r="B73" i="10"/>
  <c r="P100" i="7"/>
  <c r="C92" i="10"/>
  <c r="G96" i="10"/>
  <c r="N96" i="10"/>
  <c r="O56" i="7"/>
  <c r="J100" i="7"/>
  <c r="I20" i="6"/>
  <c r="Z97" i="10"/>
  <c r="R96" i="10"/>
  <c r="G29" i="10"/>
  <c r="S77" i="6"/>
  <c r="T76" i="7"/>
  <c r="AA60" i="7"/>
  <c r="M14" i="7"/>
  <c r="U20" i="7"/>
  <c r="U65" i="7"/>
  <c r="O18" i="11"/>
  <c r="X42" i="7"/>
  <c r="W93" i="10"/>
  <c r="DB32" i="2"/>
  <c r="U94" i="10"/>
  <c r="N28" i="10"/>
  <c r="W51" i="6"/>
  <c r="B51" i="10"/>
  <c r="I92" i="11"/>
  <c r="L62" i="11"/>
  <c r="R10" i="11"/>
  <c r="U60" i="6"/>
  <c r="Y61" i="10"/>
  <c r="T79" i="7"/>
  <c r="B96" i="7"/>
  <c r="F86" i="6"/>
  <c r="V97" i="10"/>
  <c r="H41" i="10"/>
  <c r="P92" i="10"/>
  <c r="R100" i="11"/>
  <c r="DB93" i="2"/>
  <c r="F83" i="10"/>
  <c r="M61" i="6"/>
  <c r="G40" i="11"/>
  <c r="U87" i="11"/>
  <c r="E85" i="11"/>
  <c r="E93" i="11"/>
  <c r="DB100" i="2"/>
  <c r="Q56" i="7"/>
  <c r="DB37" i="2"/>
  <c r="DB63" i="2"/>
  <c r="C54" i="10"/>
  <c r="K96" i="6"/>
  <c r="D86" i="11"/>
  <c r="L96" i="10"/>
  <c r="U92" i="10"/>
  <c r="W97" i="6"/>
  <c r="P98" i="7"/>
  <c r="K55" i="10"/>
  <c r="B92" i="10"/>
  <c r="Q100" i="6"/>
  <c r="T56" i="7"/>
  <c r="P48" i="10"/>
  <c r="C94" i="10"/>
  <c r="R96" i="7"/>
  <c r="H92" i="6"/>
  <c r="F91" i="11"/>
  <c r="U54" i="7"/>
  <c r="T96" i="6"/>
  <c r="B54" i="10"/>
  <c r="F56" i="7"/>
  <c r="L56" i="7"/>
  <c r="D100" i="7"/>
  <c r="C28" i="11"/>
  <c r="X37" i="11"/>
  <c r="Z54" i="11"/>
  <c r="F29" i="6"/>
  <c r="H63" i="6"/>
  <c r="X17" i="7"/>
  <c r="X55" i="7"/>
  <c r="M93" i="10"/>
  <c r="F98" i="11"/>
  <c r="N43" i="6"/>
  <c r="U91" i="10"/>
  <c r="W69" i="10"/>
  <c r="S63" i="7"/>
  <c r="N35" i="7"/>
  <c r="U96" i="11"/>
  <c r="M96" i="6"/>
  <c r="E48" i="11"/>
  <c r="B98" i="10"/>
  <c r="M79" i="7"/>
  <c r="N66" i="10"/>
  <c r="H76" i="10"/>
  <c r="J37" i="10"/>
  <c r="H59" i="7"/>
  <c r="D17" i="7"/>
  <c r="G77" i="6"/>
  <c r="O88" i="7"/>
  <c r="W44" i="7"/>
  <c r="Q66" i="10"/>
  <c r="R30" i="10"/>
  <c r="F45" i="10"/>
  <c r="K62" i="10"/>
  <c r="V33" i="7"/>
  <c r="H14" i="6"/>
  <c r="W86" i="10"/>
  <c r="C37" i="7"/>
  <c r="O61" i="7"/>
  <c r="F32" i="7"/>
  <c r="C63" i="7"/>
  <c r="O12" i="11"/>
  <c r="Y13" i="6"/>
  <c r="J91" i="7"/>
  <c r="I46" i="11"/>
  <c r="J16" i="10"/>
  <c r="M30" i="7"/>
  <c r="R18" i="6"/>
  <c r="R81" i="7"/>
  <c r="J76" i="10"/>
  <c r="D85" i="10"/>
  <c r="E30" i="10"/>
  <c r="L44" i="6"/>
  <c r="AA72" i="7"/>
  <c r="E41" i="6"/>
  <c r="S37" i="7"/>
  <c r="AA47" i="7"/>
  <c r="U58" i="11"/>
  <c r="I89" i="7"/>
  <c r="I77" i="7"/>
  <c r="J98" i="7"/>
  <c r="E92" i="6"/>
  <c r="Q88" i="11"/>
  <c r="Q89" i="7"/>
  <c r="U11" i="7"/>
  <c r="O70" i="11"/>
  <c r="Z62" i="7"/>
  <c r="V18" i="11"/>
  <c r="F79" i="10"/>
  <c r="O80" i="10"/>
  <c r="N31" i="6"/>
  <c r="Y72" i="10"/>
  <c r="Z79" i="11"/>
  <c r="B11" i="6"/>
  <c r="P50" i="10"/>
  <c r="I44" i="11"/>
  <c r="J76" i="6"/>
  <c r="R71" i="7"/>
  <c r="W91" i="7"/>
  <c r="S55" i="10"/>
  <c r="K93" i="10"/>
  <c r="DB81" i="2"/>
  <c r="J44" i="11"/>
  <c r="U69" i="10"/>
  <c r="B74" i="10"/>
  <c r="D94" i="10"/>
  <c r="V35" i="10"/>
  <c r="G15" i="11"/>
  <c r="M77" i="7"/>
  <c r="N96" i="6"/>
  <c r="X45" i="10"/>
  <c r="AA32" i="7"/>
  <c r="L51" i="10"/>
  <c r="N92" i="11"/>
  <c r="E94" i="7"/>
  <c r="M34" i="7"/>
  <c r="K41" i="7"/>
  <c r="N59" i="11"/>
  <c r="K76" i="11"/>
  <c r="N46" i="11"/>
  <c r="Z95" i="10"/>
  <c r="DB66" i="2"/>
  <c r="L93" i="11"/>
  <c r="P93" i="10"/>
  <c r="O93" i="11"/>
  <c r="O93" i="10"/>
  <c r="S93" i="11"/>
  <c r="S93" i="10"/>
  <c r="N55" i="10"/>
  <c r="S100" i="10"/>
  <c r="R97" i="10"/>
  <c r="Y56" i="7"/>
  <c r="T97" i="7"/>
  <c r="U97" i="7"/>
  <c r="J81" i="7"/>
  <c r="J58" i="6"/>
  <c r="E18" i="11"/>
  <c r="L63" i="6"/>
  <c r="G17" i="11"/>
  <c r="S100" i="7"/>
  <c r="J92" i="7"/>
  <c r="Z20" i="7"/>
  <c r="U18" i="10"/>
  <c r="I16" i="6"/>
  <c r="T99" i="10"/>
  <c r="E35" i="7"/>
  <c r="J77" i="6"/>
  <c r="V72" i="10"/>
  <c r="P97" i="7"/>
  <c r="C17" i="6"/>
  <c r="G51" i="10"/>
  <c r="G96" i="7"/>
  <c r="Y97" i="10"/>
  <c r="Y92" i="10"/>
  <c r="W92" i="6"/>
  <c r="W94" i="6"/>
  <c r="DB77" i="2"/>
  <c r="M97" i="10"/>
  <c r="T28" i="10"/>
  <c r="B97" i="7"/>
  <c r="I54" i="10"/>
  <c r="G92" i="10"/>
  <c r="L100" i="7"/>
  <c r="U59" i="7"/>
  <c r="C16" i="7"/>
  <c r="Y38" i="10"/>
  <c r="P12" i="11"/>
  <c r="D59" i="7"/>
  <c r="AA17" i="11"/>
  <c r="S31" i="7"/>
  <c r="B12" i="6"/>
  <c r="X82" i="7"/>
  <c r="Q100" i="11"/>
  <c r="DB68" i="2"/>
  <c r="S89" i="6"/>
  <c r="D41" i="6"/>
  <c r="I67" i="7"/>
  <c r="C86" i="6"/>
  <c r="O30" i="7"/>
  <c r="DB89" i="2"/>
  <c r="Q92" i="7"/>
  <c r="H67" i="7"/>
  <c r="E43" i="10"/>
  <c r="F94" i="7"/>
  <c r="D37" i="6"/>
  <c r="H77" i="7"/>
  <c r="T34" i="6"/>
  <c r="P88" i="7"/>
  <c r="H100" i="11"/>
  <c r="D54" i="11"/>
  <c r="H94" i="6"/>
  <c r="M100" i="7"/>
  <c r="S50" i="11"/>
  <c r="Z61" i="6"/>
  <c r="K37" i="7"/>
  <c r="H100" i="7"/>
  <c r="L83" i="11"/>
  <c r="R46" i="6"/>
  <c r="G36" i="7"/>
  <c r="V100" i="10"/>
  <c r="DB92" i="2"/>
  <c r="F95" i="7"/>
  <c r="S92" i="10"/>
  <c r="I32" i="10"/>
  <c r="B89" i="7"/>
  <c r="F45" i="7"/>
  <c r="Y17" i="11"/>
  <c r="F43" i="10"/>
  <c r="J65" i="10"/>
  <c r="Q33" i="6"/>
  <c r="D97" i="7"/>
  <c r="N84" i="7"/>
  <c r="O54" i="10"/>
  <c r="N91" i="11"/>
  <c r="H56" i="7"/>
  <c r="H56" i="6"/>
  <c r="F96" i="6"/>
  <c r="Z56" i="7"/>
  <c r="DB101" i="2"/>
  <c r="C16" i="11"/>
  <c r="C16" i="10"/>
  <c r="N80" i="6"/>
  <c r="N80" i="7"/>
  <c r="Q76" i="6"/>
  <c r="Q76" i="7"/>
  <c r="N31" i="11"/>
  <c r="N31" i="10"/>
  <c r="N32" i="6"/>
  <c r="N32" i="7"/>
  <c r="U45" i="6"/>
  <c r="U45" i="7"/>
  <c r="U37" i="11"/>
  <c r="U37" i="10"/>
  <c r="U36" i="7"/>
  <c r="U36" i="6"/>
  <c r="G65" i="11"/>
  <c r="G65" i="10"/>
  <c r="D49" i="7"/>
  <c r="D49" i="6"/>
  <c r="I61" i="6"/>
  <c r="I61" i="7"/>
  <c r="S72" i="6"/>
  <c r="S72" i="7"/>
  <c r="Y89" i="6"/>
  <c r="Y89" i="7"/>
  <c r="K30" i="6"/>
  <c r="K30" i="7"/>
  <c r="H81" i="6"/>
  <c r="H81" i="7"/>
  <c r="W42" i="11"/>
  <c r="W42" i="10"/>
  <c r="AA51" i="11"/>
  <c r="AA51" i="10"/>
  <c r="T62" i="6"/>
  <c r="T62" i="7"/>
  <c r="G74" i="11"/>
  <c r="G74" i="10"/>
  <c r="DB35" i="2"/>
  <c r="R12" i="10"/>
  <c r="C13" i="7"/>
  <c r="P72" i="11"/>
  <c r="B13" i="7"/>
  <c r="X46" i="10"/>
  <c r="P62" i="6"/>
  <c r="R100" i="7"/>
  <c r="L20" i="11"/>
  <c r="D47" i="7"/>
  <c r="K86" i="6"/>
  <c r="R48" i="6"/>
  <c r="T89" i="6"/>
  <c r="B43" i="11"/>
  <c r="D94" i="6"/>
  <c r="O87" i="11"/>
  <c r="AA59" i="10"/>
  <c r="P18" i="11"/>
  <c r="J44" i="7"/>
  <c r="N39" i="11"/>
  <c r="W100" i="11"/>
  <c r="G35" i="11"/>
  <c r="J94" i="6"/>
  <c r="J94" i="7"/>
  <c r="I100" i="6"/>
  <c r="I100" i="7"/>
  <c r="I94" i="11"/>
  <c r="I94" i="10"/>
  <c r="AA9" i="6"/>
  <c r="AA9" i="7"/>
  <c r="X31" i="6"/>
  <c r="X31" i="7"/>
  <c r="C18" i="6"/>
  <c r="C18" i="7"/>
  <c r="B15" i="11"/>
  <c r="B15" i="10"/>
  <c r="H45" i="11"/>
  <c r="H45" i="10"/>
  <c r="T13" i="6"/>
  <c r="T13" i="7"/>
  <c r="L86" i="11"/>
  <c r="L86" i="10"/>
  <c r="Y79" i="11"/>
  <c r="Y79" i="10"/>
  <c r="S76" i="11"/>
  <c r="S76" i="10"/>
  <c r="N43" i="10"/>
  <c r="N43" i="11"/>
  <c r="G47" i="6"/>
  <c r="G47" i="7"/>
  <c r="D11" i="11"/>
  <c r="D11" i="10"/>
  <c r="K51" i="6"/>
  <c r="K51" i="7"/>
  <c r="O41" i="6"/>
  <c r="O41" i="7"/>
  <c r="N92" i="6"/>
  <c r="N92" i="7"/>
  <c r="B95" i="11"/>
  <c r="B95" i="10"/>
  <c r="L100" i="11"/>
  <c r="L100" i="10"/>
  <c r="C100" i="11"/>
  <c r="C100" i="10"/>
  <c r="AA94" i="7"/>
  <c r="AA94" i="6"/>
  <c r="O100" i="6"/>
  <c r="O100" i="7"/>
  <c r="Y94" i="6"/>
  <c r="Y94" i="7"/>
  <c r="DD3" i="2"/>
  <c r="DB33" i="2"/>
  <c r="K100" i="10"/>
  <c r="R92" i="7"/>
  <c r="C97" i="6"/>
  <c r="J58" i="10"/>
  <c r="G49" i="11"/>
  <c r="D88" i="7"/>
  <c r="B35" i="11"/>
  <c r="D44" i="6"/>
  <c r="Z94" i="7"/>
  <c r="M46" i="10"/>
  <c r="X88" i="6"/>
  <c r="B29" i="11"/>
  <c r="E76" i="7"/>
  <c r="H60" i="6"/>
  <c r="G95" i="11"/>
  <c r="R76" i="6"/>
  <c r="Q42" i="6"/>
  <c r="S61" i="10"/>
  <c r="M33" i="7"/>
  <c r="K83" i="11"/>
  <c r="P80" i="6"/>
  <c r="AA20" i="10"/>
  <c r="K58" i="11"/>
  <c r="E65" i="6"/>
  <c r="L62" i="6"/>
  <c r="N60" i="11"/>
  <c r="Z43" i="6"/>
  <c r="Z43" i="7"/>
  <c r="W32" i="10"/>
  <c r="W32" i="11"/>
  <c r="X48" i="10"/>
  <c r="X48" i="11"/>
  <c r="AA59" i="6"/>
  <c r="AA59" i="7"/>
  <c r="R17" i="6"/>
  <c r="R17" i="7"/>
  <c r="M35" i="7"/>
  <c r="M35" i="6"/>
  <c r="M43" i="7"/>
  <c r="M43" i="6"/>
  <c r="AA38" i="11"/>
  <c r="AA38" i="10"/>
  <c r="O38" i="11"/>
  <c r="O38" i="10"/>
  <c r="M99" i="10"/>
  <c r="Q87" i="7"/>
  <c r="Q87" i="6"/>
  <c r="U81" i="11"/>
  <c r="U81" i="10"/>
  <c r="O79" i="11"/>
  <c r="O79" i="10"/>
  <c r="AA91" i="11"/>
  <c r="AA91" i="10"/>
  <c r="H43" i="11"/>
  <c r="H43" i="10"/>
  <c r="G67" i="6"/>
  <c r="G67" i="7"/>
  <c r="S49" i="7"/>
  <c r="S49" i="6"/>
  <c r="B79" i="10"/>
  <c r="B79" i="11"/>
  <c r="R55" i="11"/>
  <c r="R55" i="10"/>
  <c r="H54" i="10"/>
  <c r="H54" i="11"/>
  <c r="G91" i="11"/>
  <c r="G91" i="10"/>
  <c r="K91" i="10"/>
  <c r="K91" i="11"/>
  <c r="J29" i="6"/>
  <c r="J29" i="7"/>
  <c r="H72" i="6"/>
  <c r="H72" i="7"/>
  <c r="Y29" i="11"/>
  <c r="Y29" i="10"/>
  <c r="J18" i="7"/>
  <c r="J18" i="6"/>
  <c r="G50" i="10"/>
  <c r="G50" i="11"/>
  <c r="K79" i="10"/>
  <c r="K79" i="11"/>
  <c r="Q88" i="7"/>
  <c r="Q88" i="6"/>
  <c r="N65" i="11"/>
  <c r="N65" i="10"/>
  <c r="M30" i="11"/>
  <c r="M30" i="10"/>
  <c r="T11" i="11"/>
  <c r="T11" i="10"/>
  <c r="P51" i="7"/>
  <c r="P51" i="6"/>
  <c r="I51" i="6"/>
  <c r="I51" i="7"/>
  <c r="R47" i="6"/>
  <c r="R47" i="7"/>
  <c r="P81" i="6"/>
  <c r="P81" i="7"/>
  <c r="U70" i="11"/>
  <c r="U70" i="10"/>
  <c r="G41" i="6"/>
  <c r="G41" i="7"/>
  <c r="X58" i="7"/>
  <c r="X58" i="6"/>
  <c r="F92" i="11"/>
  <c r="F92" i="10"/>
  <c r="D100" i="11"/>
  <c r="D100" i="10"/>
  <c r="Z42" i="6"/>
  <c r="W15" i="10"/>
  <c r="C30" i="6"/>
  <c r="T12" i="6"/>
  <c r="D74" i="10"/>
  <c r="V92" i="10"/>
  <c r="E97" i="6"/>
  <c r="E67" i="10"/>
  <c r="O58" i="10"/>
  <c r="B80" i="11"/>
  <c r="D84" i="7"/>
  <c r="L59" i="11"/>
  <c r="B20" i="6"/>
  <c r="V49" i="10"/>
  <c r="D9" i="7"/>
  <c r="H11" i="6"/>
  <c r="Z86" i="6"/>
  <c r="N41" i="10"/>
  <c r="K67" i="11"/>
  <c r="G10" i="11"/>
  <c r="Z60" i="7"/>
  <c r="DB62" i="2"/>
  <c r="AA16" i="11"/>
  <c r="DB34" i="2"/>
  <c r="V67" i="6"/>
  <c r="V67" i="7"/>
  <c r="H17" i="11"/>
  <c r="H17" i="10"/>
  <c r="C15" i="11"/>
  <c r="C15" i="10"/>
  <c r="AA35" i="11"/>
  <c r="AA35" i="10"/>
  <c r="Q40" i="11"/>
  <c r="Q40" i="10"/>
  <c r="U61" i="11"/>
  <c r="U61" i="10"/>
  <c r="F30" i="7"/>
  <c r="F30" i="6"/>
  <c r="U47" i="6"/>
  <c r="U47" i="7"/>
  <c r="J20" i="11"/>
  <c r="J20" i="10"/>
  <c r="C20" i="11"/>
  <c r="C20" i="10"/>
  <c r="H46" i="11"/>
  <c r="H46" i="10"/>
  <c r="D51" i="11"/>
  <c r="D51" i="10"/>
  <c r="U51" i="11"/>
  <c r="U51" i="10"/>
  <c r="P70" i="11"/>
  <c r="P70" i="10"/>
  <c r="E58" i="6"/>
  <c r="E58" i="7"/>
  <c r="C62" i="6"/>
  <c r="C62" i="7"/>
  <c r="X74" i="11"/>
  <c r="X74" i="10"/>
  <c r="W92" i="11"/>
  <c r="W92" i="10"/>
  <c r="F92" i="7"/>
  <c r="F92" i="6"/>
  <c r="N99" i="10"/>
  <c r="N99" i="11"/>
  <c r="Y100" i="11"/>
  <c r="Y100" i="10"/>
  <c r="I97" i="6"/>
  <c r="I97" i="7"/>
  <c r="G91" i="7"/>
  <c r="G91" i="6"/>
  <c r="W100" i="6"/>
  <c r="W100" i="7"/>
  <c r="U56" i="10"/>
  <c r="U56" i="11"/>
  <c r="E100" i="11"/>
  <c r="E100" i="10"/>
  <c r="P100" i="11"/>
  <c r="P100" i="10"/>
  <c r="S80" i="7"/>
  <c r="S80" i="6"/>
  <c r="F34" i="10"/>
  <c r="F34" i="11"/>
  <c r="G62" i="11"/>
  <c r="G62" i="10"/>
  <c r="Q67" i="6"/>
  <c r="Q67" i="7"/>
  <c r="K45" i="11"/>
  <c r="K45" i="10"/>
  <c r="L79" i="11"/>
  <c r="L79" i="10"/>
  <c r="Z88" i="6"/>
  <c r="Z88" i="7"/>
  <c r="J45" i="7"/>
  <c r="J45" i="6"/>
  <c r="I30" i="11"/>
  <c r="I30" i="10"/>
  <c r="C68" i="6"/>
  <c r="C68" i="7"/>
  <c r="U42" i="6"/>
  <c r="U42" i="7"/>
  <c r="G61" i="6"/>
  <c r="G61" i="7"/>
  <c r="N17" i="11"/>
  <c r="N17" i="10"/>
  <c r="P86" i="6"/>
  <c r="P86" i="7"/>
  <c r="O60" i="7"/>
  <c r="O60" i="6"/>
  <c r="N44" i="7"/>
  <c r="N44" i="6"/>
  <c r="G32" i="7"/>
  <c r="I47" i="6"/>
  <c r="E42" i="7"/>
  <c r="B62" i="7"/>
  <c r="L34" i="10"/>
  <c r="Z67" i="10"/>
  <c r="U33" i="6"/>
  <c r="P67" i="11"/>
  <c r="U86" i="11"/>
  <c r="C14" i="11"/>
  <c r="Q62" i="10"/>
  <c r="D18" i="7"/>
  <c r="W85" i="11"/>
  <c r="O29" i="6"/>
  <c r="I18" i="11"/>
  <c r="L41" i="6"/>
  <c r="G68" i="7"/>
  <c r="I10" i="10"/>
  <c r="Q97" i="6"/>
  <c r="T100" i="11"/>
  <c r="W13" i="7"/>
  <c r="W13" i="6"/>
  <c r="N86" i="11"/>
  <c r="N86" i="10"/>
  <c r="C92" i="7"/>
  <c r="N97" i="6"/>
  <c r="N97" i="7"/>
  <c r="P94" i="7"/>
  <c r="P94" i="6"/>
  <c r="X100" i="7"/>
  <c r="X100" i="6"/>
  <c r="R98" i="10"/>
  <c r="Z98" i="11"/>
  <c r="Z98" i="10"/>
  <c r="G92" i="6"/>
  <c r="G92" i="7"/>
  <c r="M66" i="6"/>
  <c r="M66" i="7"/>
  <c r="Y12" i="11"/>
  <c r="Y12" i="10"/>
  <c r="K82" i="7"/>
  <c r="K82" i="6"/>
  <c r="V61" i="7"/>
  <c r="V61" i="6"/>
  <c r="S76" i="7"/>
  <c r="S76" i="6"/>
  <c r="F34" i="6"/>
  <c r="F34" i="7"/>
  <c r="B9" i="6"/>
  <c r="B9" i="7"/>
  <c r="D76" i="7"/>
  <c r="D76" i="6"/>
  <c r="H20" i="6"/>
  <c r="H20" i="7"/>
  <c r="M76" i="11"/>
  <c r="M76" i="10"/>
  <c r="S30" i="11"/>
  <c r="S30" i="10"/>
  <c r="Q81" i="11"/>
  <c r="Q81" i="10"/>
  <c r="Y88" i="6"/>
  <c r="Y88" i="7"/>
  <c r="R43" i="11"/>
  <c r="R43" i="10"/>
  <c r="W48" i="6"/>
  <c r="W48" i="7"/>
  <c r="V45" i="11"/>
  <c r="V45" i="10"/>
  <c r="S33" i="6"/>
  <c r="S33" i="7"/>
  <c r="N40" i="10"/>
  <c r="N40" i="11"/>
  <c r="V10" i="11"/>
  <c r="V10" i="10"/>
  <c r="E89" i="7"/>
  <c r="E89" i="6"/>
  <c r="C51" i="6"/>
  <c r="C51" i="7"/>
  <c r="C42" i="10"/>
  <c r="U74" i="10"/>
  <c r="AA36" i="6"/>
  <c r="I14" i="10"/>
  <c r="M94" i="7"/>
  <c r="V97" i="6"/>
  <c r="P29" i="11"/>
  <c r="B80" i="7"/>
  <c r="F46" i="7"/>
  <c r="R72" i="7"/>
  <c r="N81" i="7"/>
  <c r="E44" i="6"/>
  <c r="E44" i="7"/>
  <c r="M48" i="11"/>
  <c r="M48" i="10"/>
  <c r="H17" i="6"/>
  <c r="H17" i="7"/>
  <c r="E17" i="6"/>
  <c r="E17" i="7"/>
  <c r="T16" i="7"/>
  <c r="T16" i="6"/>
  <c r="O35" i="6"/>
  <c r="O35" i="7"/>
  <c r="Q43" i="6"/>
  <c r="Q43" i="7"/>
  <c r="Y12" i="6"/>
  <c r="Y12" i="7"/>
  <c r="M38" i="11"/>
  <c r="M38" i="10"/>
  <c r="P63" i="6"/>
  <c r="P63" i="7"/>
  <c r="I63" i="6"/>
  <c r="I63" i="7"/>
  <c r="V69" i="11"/>
  <c r="V69" i="10"/>
  <c r="M91" i="11"/>
  <c r="M91" i="10"/>
  <c r="Z13" i="6"/>
  <c r="Z13" i="7"/>
  <c r="M65" i="11"/>
  <c r="M65" i="10"/>
  <c r="H73" i="11"/>
  <c r="H73" i="10"/>
  <c r="Q76" i="11"/>
  <c r="Q76" i="10"/>
  <c r="M29" i="6"/>
  <c r="M29" i="7"/>
  <c r="D55" i="11"/>
  <c r="D55" i="10"/>
  <c r="K13" i="7"/>
  <c r="K13" i="6"/>
  <c r="E37" i="7"/>
  <c r="P36" i="7"/>
  <c r="R14" i="6"/>
  <c r="K46" i="10"/>
  <c r="K9" i="6"/>
  <c r="U70" i="7"/>
  <c r="N100" i="6"/>
  <c r="Q18" i="6"/>
  <c r="F42" i="6"/>
  <c r="F17" i="10"/>
  <c r="P58" i="6"/>
  <c r="N49" i="10"/>
  <c r="F87" i="6"/>
  <c r="N62" i="6"/>
  <c r="AA62" i="10"/>
  <c r="I32" i="6"/>
  <c r="Z55" i="11"/>
  <c r="Z55" i="10"/>
  <c r="L54" i="11"/>
  <c r="L54" i="10"/>
  <c r="S54" i="11"/>
  <c r="S54" i="10"/>
  <c r="V56" i="11"/>
  <c r="V56" i="10"/>
  <c r="H99" i="11"/>
  <c r="X99" i="11"/>
  <c r="X99" i="10"/>
  <c r="DB80" i="2"/>
  <c r="X92" i="11"/>
  <c r="X92" i="10"/>
  <c r="V95" i="10"/>
  <c r="V95" i="11"/>
  <c r="Z99" i="10"/>
  <c r="Z99" i="11"/>
  <c r="Q95" i="10"/>
  <c r="G59" i="7"/>
  <c r="J17" i="7"/>
  <c r="S38" i="10"/>
  <c r="J79" i="6"/>
  <c r="V70" i="6"/>
  <c r="Q59" i="7"/>
  <c r="K70" i="11"/>
  <c r="E29" i="11"/>
  <c r="K31" i="10"/>
  <c r="U48" i="11"/>
  <c r="E72" i="7"/>
  <c r="T42" i="10"/>
  <c r="E44" i="10"/>
  <c r="M45" i="11"/>
  <c r="Y48" i="6"/>
  <c r="L60" i="6"/>
  <c r="G45" i="11"/>
  <c r="M17" i="7"/>
  <c r="F49" i="11"/>
  <c r="G97" i="7"/>
  <c r="S20" i="7"/>
  <c r="R13" i="6"/>
  <c r="G76" i="7"/>
  <c r="AA63" i="7"/>
  <c r="O63" i="6"/>
  <c r="J88" i="10"/>
  <c r="AA54" i="10"/>
  <c r="D48" i="7"/>
  <c r="T11" i="7"/>
  <c r="B17" i="10"/>
  <c r="Q58" i="11"/>
  <c r="D93" i="7"/>
  <c r="D98" i="10"/>
  <c r="J99" i="10"/>
  <c r="J99" i="11"/>
  <c r="V99" i="11"/>
  <c r="V99" i="10"/>
  <c r="R99" i="10"/>
  <c r="R99" i="11"/>
  <c r="D95" i="11"/>
  <c r="D95" i="10"/>
  <c r="U95" i="11"/>
  <c r="U95" i="10"/>
  <c r="J92" i="10"/>
  <c r="J92" i="11"/>
  <c r="DB51" i="2"/>
  <c r="AA12" i="10"/>
  <c r="C58" i="11"/>
  <c r="Y79" i="7"/>
  <c r="J34" i="7"/>
  <c r="H58" i="7"/>
  <c r="I91" i="10"/>
  <c r="G42" i="11"/>
  <c r="O89" i="6"/>
  <c r="X38" i="10"/>
  <c r="I50" i="10"/>
  <c r="J15" i="11"/>
  <c r="E12" i="10"/>
  <c r="Q36" i="6"/>
  <c r="H30" i="7"/>
  <c r="G73" i="11"/>
  <c r="L45" i="10"/>
  <c r="X92" i="7"/>
  <c r="G100" i="7"/>
  <c r="K92" i="7"/>
  <c r="E86" i="11"/>
  <c r="S51" i="6"/>
  <c r="J80" i="11"/>
  <c r="X85" i="10"/>
  <c r="J47" i="6"/>
  <c r="Q87" i="10"/>
  <c r="L55" i="10"/>
  <c r="M94" i="11"/>
  <c r="O94" i="10"/>
  <c r="F99" i="11"/>
  <c r="P92" i="7"/>
  <c r="K97" i="11"/>
  <c r="K97" i="10"/>
  <c r="Y93" i="7"/>
  <c r="Y93" i="6"/>
  <c r="T94" i="11"/>
  <c r="T94" i="10"/>
  <c r="R87" i="11"/>
  <c r="X49" i="11"/>
  <c r="I76" i="11"/>
  <c r="X32" i="10"/>
  <c r="D79" i="10"/>
  <c r="J70" i="10"/>
  <c r="H87" i="6"/>
  <c r="I49" i="7"/>
  <c r="V58" i="6"/>
  <c r="Y35" i="10"/>
  <c r="AA72" i="11"/>
  <c r="U43" i="7"/>
  <c r="J11" i="6"/>
  <c r="AA16" i="7"/>
  <c r="DB20" i="2"/>
  <c r="S97" i="11"/>
  <c r="AA98" i="7"/>
  <c r="AA98" i="6"/>
  <c r="G56" i="7"/>
  <c r="G56" i="6"/>
  <c r="L99" i="10"/>
  <c r="L99" i="11"/>
  <c r="T98" i="6"/>
  <c r="T98" i="7"/>
  <c r="X94" i="10"/>
  <c r="X94" i="11"/>
  <c r="DB75" i="2"/>
  <c r="DB19" i="2"/>
  <c r="X33" i="7"/>
  <c r="G16" i="10"/>
  <c r="N51" i="10"/>
  <c r="H51" i="7"/>
  <c r="E47" i="7"/>
  <c r="X39" i="10"/>
  <c r="T31" i="10"/>
  <c r="E46" i="10"/>
  <c r="T29" i="10"/>
  <c r="J16" i="6"/>
  <c r="U31" i="6"/>
  <c r="X35" i="10"/>
  <c r="X94" i="7"/>
  <c r="J54" i="10"/>
  <c r="V62" i="7"/>
  <c r="Q12" i="10"/>
  <c r="F59" i="10"/>
  <c r="X16" i="7"/>
  <c r="T30" i="10"/>
  <c r="Z51" i="7"/>
  <c r="X54" i="10"/>
  <c r="X15" i="10"/>
  <c r="K29" i="10"/>
  <c r="Q60" i="7"/>
  <c r="U11" i="10"/>
  <c r="D45" i="10"/>
  <c r="O48" i="10"/>
  <c r="L41" i="10"/>
  <c r="D37" i="11"/>
  <c r="L76" i="7"/>
  <c r="K81" i="7"/>
  <c r="F58" i="11"/>
  <c r="J74" i="10"/>
  <c r="Y20" i="10"/>
  <c r="O61" i="11"/>
  <c r="U49" i="10"/>
  <c r="O14" i="11"/>
  <c r="E80" i="10"/>
  <c r="Q31" i="6"/>
  <c r="L69" i="11"/>
  <c r="B55" i="10"/>
  <c r="DB44" i="2"/>
  <c r="DB86" i="2"/>
  <c r="AA15" i="10"/>
  <c r="Q35" i="7"/>
  <c r="Y45" i="6"/>
  <c r="O81" i="7"/>
  <c r="E48" i="7"/>
  <c r="M44" i="7"/>
  <c r="F20" i="7"/>
  <c r="I12" i="7"/>
  <c r="W65" i="7"/>
  <c r="J41" i="10"/>
  <c r="X69" i="10"/>
  <c r="M14" i="10"/>
  <c r="N76" i="7"/>
  <c r="Z49" i="7"/>
  <c r="M35" i="10"/>
  <c r="I80" i="7"/>
  <c r="H18" i="10"/>
  <c r="G44" i="7"/>
  <c r="V31" i="10"/>
  <c r="M42" i="6"/>
  <c r="T67" i="7"/>
  <c r="L82" i="7"/>
  <c r="T46" i="7"/>
  <c r="AA41" i="11"/>
  <c r="O9" i="7"/>
  <c r="I70" i="10"/>
  <c r="W59" i="11"/>
  <c r="E34" i="10"/>
  <c r="AA74" i="11"/>
  <c r="S9" i="6"/>
  <c r="V67" i="10"/>
  <c r="Z59" i="6"/>
  <c r="O91" i="7"/>
  <c r="C32" i="7"/>
  <c r="W45" i="10"/>
  <c r="F42" i="11"/>
  <c r="S66" i="11"/>
  <c r="G30" i="11"/>
  <c r="Z28" i="10"/>
  <c r="X67" i="7"/>
  <c r="Z81" i="11"/>
  <c r="R86" i="6"/>
  <c r="K15" i="11"/>
  <c r="N58" i="6"/>
  <c r="N54" i="10"/>
  <c r="C56" i="10"/>
  <c r="AA55" i="10"/>
  <c r="N91" i="7"/>
  <c r="D91" i="11"/>
  <c r="G94" i="6"/>
  <c r="G94" i="7"/>
  <c r="S98" i="11"/>
  <c r="S98" i="10"/>
  <c r="C98" i="10"/>
  <c r="C98" i="11"/>
  <c r="L56" i="10"/>
  <c r="L56" i="11"/>
  <c r="H91" i="11"/>
  <c r="H91" i="10"/>
  <c r="S94" i="6"/>
  <c r="S94" i="7"/>
  <c r="V94" i="6"/>
  <c r="V94" i="7"/>
  <c r="C100" i="6"/>
  <c r="C100" i="7"/>
  <c r="J94" i="11"/>
  <c r="J94" i="10"/>
  <c r="Y94" i="11"/>
  <c r="Y94" i="10"/>
  <c r="Q94" i="11"/>
  <c r="Q94" i="10"/>
  <c r="U98" i="11"/>
  <c r="U98" i="10"/>
  <c r="H98" i="11"/>
  <c r="H98" i="10"/>
  <c r="N98" i="11"/>
  <c r="N98" i="10"/>
  <c r="I98" i="11"/>
  <c r="I98" i="10"/>
  <c r="O94" i="6"/>
  <c r="O94" i="7"/>
  <c r="G94" i="10"/>
  <c r="G94" i="11"/>
  <c r="R97" i="6"/>
  <c r="R97" i="7"/>
  <c r="K94" i="6"/>
  <c r="K94" i="7"/>
  <c r="Q94" i="6"/>
  <c r="Q94" i="7"/>
  <c r="U100" i="7"/>
  <c r="U100" i="6"/>
  <c r="E94" i="10"/>
  <c r="E94" i="11"/>
  <c r="AA94" i="11"/>
  <c r="AA94" i="10"/>
  <c r="O98" i="11"/>
  <c r="O98" i="10"/>
  <c r="T98" i="10"/>
  <c r="T98" i="11"/>
  <c r="K100" i="6"/>
  <c r="K100" i="7"/>
  <c r="L94" i="10"/>
  <c r="L94" i="11"/>
  <c r="M54" i="11"/>
  <c r="M54" i="10"/>
  <c r="S56" i="10"/>
  <c r="S56" i="11"/>
  <c r="R94" i="7"/>
  <c r="R94" i="6"/>
  <c r="N94" i="6"/>
  <c r="N94" i="7"/>
  <c r="DB29" i="2"/>
  <c r="DB52" i="2"/>
  <c r="K98" i="10"/>
  <c r="K98" i="11"/>
  <c r="E98" i="10"/>
  <c r="E98" i="11"/>
  <c r="T94" i="6"/>
  <c r="T94" i="7"/>
  <c r="AA54" i="7"/>
  <c r="AA54" i="6"/>
  <c r="C94" i="6"/>
  <c r="C94" i="7"/>
  <c r="B94" i="7"/>
  <c r="B94" i="6"/>
  <c r="S94" i="11"/>
  <c r="S94" i="10"/>
  <c r="E54" i="11"/>
  <c r="E54" i="10"/>
  <c r="R53" i="4"/>
  <c r="R53" i="6" s="1"/>
  <c r="J56" i="11"/>
  <c r="J56" i="10"/>
  <c r="T56" i="11"/>
  <c r="T56" i="10"/>
  <c r="P91" i="11"/>
  <c r="P91" i="10"/>
  <c r="W56" i="11"/>
  <c r="W56" i="10"/>
  <c r="I56" i="10"/>
  <c r="I56" i="11"/>
  <c r="B91" i="10"/>
  <c r="B91" i="11"/>
  <c r="G56" i="10"/>
  <c r="G56" i="11"/>
  <c r="DB15" i="2"/>
  <c r="D53" i="4"/>
  <c r="D53" i="6" s="1"/>
  <c r="DB67" i="2"/>
  <c r="D56" i="11"/>
  <c r="D56" i="10"/>
  <c r="Y56" i="11"/>
  <c r="Y56" i="10"/>
  <c r="Z56" i="10"/>
  <c r="Z56" i="11"/>
  <c r="L91" i="11"/>
  <c r="L91" i="10"/>
  <c r="Z91" i="11"/>
  <c r="Z91" i="10"/>
  <c r="E56" i="10"/>
  <c r="E56" i="11"/>
  <c r="R91" i="11"/>
  <c r="R91" i="10"/>
  <c r="J55" i="11"/>
  <c r="J55" i="10"/>
  <c r="N56" i="11"/>
  <c r="N56" i="10"/>
  <c r="G55" i="10"/>
  <c r="G55" i="11"/>
  <c r="O56" i="11"/>
  <c r="O56" i="10"/>
  <c r="K56" i="10"/>
  <c r="K56" i="11"/>
  <c r="H56" i="11"/>
  <c r="H56" i="10"/>
  <c r="V55" i="10"/>
  <c r="V55" i="11"/>
  <c r="X56" i="11"/>
  <c r="X56" i="10"/>
  <c r="T91" i="10"/>
  <c r="T91" i="11"/>
  <c r="P56" i="11"/>
  <c r="P56" i="10"/>
  <c r="Q55" i="11"/>
  <c r="Q55" i="10"/>
  <c r="Q56" i="11"/>
  <c r="Q56" i="10"/>
  <c r="M56" i="11"/>
  <c r="M56" i="10"/>
  <c r="P54" i="7"/>
  <c r="P54" i="6"/>
  <c r="AA56" i="11"/>
  <c r="AA56" i="10"/>
  <c r="F56" i="10"/>
  <c r="F56" i="11"/>
  <c r="I91" i="6"/>
  <c r="I91" i="7"/>
  <c r="B56" i="11"/>
  <c r="B56" i="10"/>
  <c r="CW26" i="2"/>
  <c r="CY26" i="2" s="1"/>
  <c r="S53" i="9"/>
  <c r="S53" i="11" s="1"/>
  <c r="G57" i="9"/>
  <c r="G57" i="10" s="1"/>
  <c r="M57" i="9"/>
  <c r="M57" i="10" s="1"/>
  <c r="K99" i="7"/>
  <c r="K99" i="6"/>
  <c r="O99" i="7"/>
  <c r="O99" i="6"/>
  <c r="S54" i="7"/>
  <c r="S54" i="6"/>
  <c r="H91" i="7"/>
  <c r="H91" i="6"/>
  <c r="Q91" i="6"/>
  <c r="Q91" i="7"/>
  <c r="B99" i="6"/>
  <c r="B99" i="7"/>
  <c r="C54" i="7"/>
  <c r="C54" i="6"/>
  <c r="R95" i="6"/>
  <c r="R95" i="7"/>
  <c r="Y55" i="7"/>
  <c r="Y55" i="6"/>
  <c r="B55" i="7"/>
  <c r="B55" i="6"/>
  <c r="Z55" i="6"/>
  <c r="Z55" i="7"/>
  <c r="S99" i="7"/>
  <c r="S99" i="6"/>
  <c r="E95" i="6"/>
  <c r="E95" i="7"/>
  <c r="I95" i="6"/>
  <c r="I95" i="7"/>
  <c r="Y99" i="6"/>
  <c r="Y99" i="7"/>
  <c r="CW5" i="2"/>
  <c r="CY5" i="2" s="1"/>
  <c r="DB11" i="2"/>
  <c r="P46" i="10"/>
  <c r="R79" i="10"/>
  <c r="Y86" i="10"/>
  <c r="C35" i="7"/>
  <c r="B30" i="7"/>
  <c r="X53" i="4"/>
  <c r="X53" i="7" s="1"/>
  <c r="R57" i="9"/>
  <c r="R57" i="11" s="1"/>
  <c r="Y39" i="10"/>
  <c r="H10" i="10"/>
  <c r="H53" i="9"/>
  <c r="H53" i="10" s="1"/>
  <c r="K17" i="10"/>
  <c r="B20" i="10"/>
  <c r="E81" i="7"/>
  <c r="E88" i="7"/>
  <c r="R69" i="10"/>
  <c r="L42" i="7"/>
  <c r="N88" i="6"/>
  <c r="AA33" i="7"/>
  <c r="E20" i="10"/>
  <c r="C65" i="7"/>
  <c r="D53" i="9"/>
  <c r="D53" i="11" s="1"/>
  <c r="S57" i="9"/>
  <c r="S57" i="11" s="1"/>
  <c r="D32" i="6"/>
  <c r="M16" i="6"/>
  <c r="G63" i="7"/>
  <c r="I72" i="7"/>
  <c r="F80" i="10"/>
  <c r="U67" i="7"/>
  <c r="M29" i="10"/>
  <c r="Z36" i="7"/>
  <c r="O58" i="6"/>
  <c r="J14" i="7"/>
  <c r="N34" i="7"/>
  <c r="E12" i="6"/>
  <c r="P28" i="10"/>
  <c r="I11" i="10"/>
  <c r="N14" i="6"/>
  <c r="O17" i="10"/>
  <c r="R61" i="7"/>
  <c r="D45" i="7"/>
  <c r="V44" i="7"/>
  <c r="V89" i="7"/>
  <c r="V54" i="7"/>
  <c r="V54" i="6"/>
  <c r="T99" i="6"/>
  <c r="T99" i="7"/>
  <c r="K54" i="6"/>
  <c r="K54" i="7"/>
  <c r="X54" i="6"/>
  <c r="X54" i="7"/>
  <c r="F99" i="6"/>
  <c r="F99" i="7"/>
  <c r="Y91" i="6"/>
  <c r="Y91" i="7"/>
  <c r="U91" i="7"/>
  <c r="U91" i="6"/>
  <c r="V95" i="6"/>
  <c r="V95" i="7"/>
  <c r="S55" i="6"/>
  <c r="S55" i="7"/>
  <c r="F91" i="6"/>
  <c r="F91" i="7"/>
  <c r="B91" i="6"/>
  <c r="B91" i="7"/>
  <c r="T95" i="6"/>
  <c r="T95" i="7"/>
  <c r="W95" i="6"/>
  <c r="W95" i="7"/>
  <c r="P95" i="7"/>
  <c r="P95" i="6"/>
  <c r="R99" i="6"/>
  <c r="R99" i="7"/>
  <c r="K95" i="6"/>
  <c r="K95" i="7"/>
  <c r="L99" i="6"/>
  <c r="L99" i="7"/>
  <c r="L55" i="6"/>
  <c r="L55" i="7"/>
  <c r="U55" i="7"/>
  <c r="U55" i="6"/>
  <c r="K55" i="6"/>
  <c r="K55" i="7"/>
  <c r="V99" i="6"/>
  <c r="V99" i="7"/>
  <c r="U95" i="6"/>
  <c r="U95" i="7"/>
  <c r="B95" i="6"/>
  <c r="B95" i="7"/>
  <c r="I99" i="6"/>
  <c r="I99" i="7"/>
  <c r="D99" i="6"/>
  <c r="D99" i="7"/>
  <c r="T57" i="9"/>
  <c r="T57" i="11" s="1"/>
  <c r="I62" i="7"/>
  <c r="H16" i="10"/>
  <c r="Y37" i="6"/>
  <c r="M58" i="7"/>
  <c r="V53" i="9"/>
  <c r="V53" i="10" s="1"/>
  <c r="U83" i="10"/>
  <c r="G53" i="4"/>
  <c r="G53" i="6" s="1"/>
  <c r="I57" i="9"/>
  <c r="I57" i="11" s="1"/>
  <c r="AA12" i="7"/>
  <c r="T29" i="7"/>
  <c r="J11" i="10"/>
  <c r="M67" i="7"/>
  <c r="K65" i="7"/>
  <c r="K17" i="6"/>
  <c r="Y87" i="10"/>
  <c r="F62" i="6"/>
  <c r="U30" i="10"/>
  <c r="Z87" i="7"/>
  <c r="V63" i="6"/>
  <c r="J66" i="10"/>
  <c r="F68" i="7"/>
  <c r="M42" i="10"/>
  <c r="W16" i="7"/>
  <c r="AA53" i="4"/>
  <c r="AA53" i="7" s="1"/>
  <c r="O33" i="7"/>
  <c r="N57" i="9"/>
  <c r="N57" i="10" s="1"/>
  <c r="DB84" i="2"/>
  <c r="DB61" i="2"/>
  <c r="X12" i="7"/>
  <c r="L30" i="7"/>
  <c r="Q11" i="7"/>
  <c r="F51" i="7"/>
  <c r="Z32" i="10"/>
  <c r="V38" i="10"/>
  <c r="J89" i="7"/>
  <c r="E41" i="10"/>
  <c r="N54" i="6"/>
  <c r="N54" i="7"/>
  <c r="AA55" i="7"/>
  <c r="AA55" i="6"/>
  <c r="T91" i="6"/>
  <c r="T91" i="7"/>
  <c r="L54" i="7"/>
  <c r="L54" i="6"/>
  <c r="D54" i="7"/>
  <c r="D54" i="6"/>
  <c r="L91" i="6"/>
  <c r="L91" i="7"/>
  <c r="M91" i="6"/>
  <c r="M91" i="7"/>
  <c r="R91" i="6"/>
  <c r="R91" i="7"/>
  <c r="E91" i="7"/>
  <c r="E91" i="6"/>
  <c r="C99" i="6"/>
  <c r="C99" i="7"/>
  <c r="F55" i="6"/>
  <c r="F55" i="7"/>
  <c r="Z99" i="6"/>
  <c r="Z99" i="7"/>
  <c r="P99" i="6"/>
  <c r="P99" i="7"/>
  <c r="W99" i="6"/>
  <c r="W99" i="7"/>
  <c r="X91" i="6"/>
  <c r="X91" i="7"/>
  <c r="G95" i="6"/>
  <c r="G95" i="7"/>
  <c r="N99" i="6"/>
  <c r="N99" i="7"/>
  <c r="N95" i="6"/>
  <c r="N95" i="7"/>
  <c r="V55" i="7"/>
  <c r="V55" i="6"/>
  <c r="D55" i="6"/>
  <c r="D55" i="7"/>
  <c r="I55" i="7"/>
  <c r="I55" i="6"/>
  <c r="M55" i="7"/>
  <c r="M55" i="6"/>
  <c r="C55" i="6"/>
  <c r="C55" i="7"/>
  <c r="S95" i="7"/>
  <c r="S95" i="6"/>
  <c r="C95" i="7"/>
  <c r="C95" i="6"/>
  <c r="M99" i="7"/>
  <c r="M99" i="6"/>
  <c r="AA99" i="7"/>
  <c r="AA99" i="6"/>
  <c r="F57" i="9"/>
  <c r="F57" i="11" s="1"/>
  <c r="K57" i="9"/>
  <c r="K57" i="10" s="1"/>
  <c r="H54" i="6"/>
  <c r="H54" i="7"/>
  <c r="W54" i="7"/>
  <c r="W54" i="6"/>
  <c r="K91" i="6"/>
  <c r="K91" i="7"/>
  <c r="H95" i="6"/>
  <c r="H95" i="7"/>
  <c r="D91" i="7"/>
  <c r="D91" i="6"/>
  <c r="J99" i="6"/>
  <c r="J99" i="7"/>
  <c r="H55" i="7"/>
  <c r="H55" i="6"/>
  <c r="P55" i="6"/>
  <c r="P55" i="7"/>
  <c r="M95" i="6"/>
  <c r="M95" i="7"/>
  <c r="E55" i="7"/>
  <c r="E55" i="6"/>
  <c r="O55" i="6"/>
  <c r="O55" i="7"/>
  <c r="X95" i="7"/>
  <c r="X95" i="6"/>
  <c r="U99" i="6"/>
  <c r="U99" i="7"/>
  <c r="CW28" i="2"/>
  <c r="CY28" i="2" s="1"/>
  <c r="CW8" i="2"/>
  <c r="CY8" i="2" s="1"/>
  <c r="CW4" i="2"/>
  <c r="CY4" i="2" s="1"/>
  <c r="DB72" i="2"/>
  <c r="DB64" i="2"/>
  <c r="G34" i="6"/>
  <c r="AA17" i="6"/>
  <c r="O16" i="7"/>
  <c r="I60" i="7"/>
  <c r="Y35" i="7"/>
  <c r="M53" i="4"/>
  <c r="M53" i="6" s="1"/>
  <c r="V57" i="9"/>
  <c r="V57" i="10" s="1"/>
  <c r="M53" i="9"/>
  <c r="M53" i="10" s="1"/>
  <c r="Q57" i="9"/>
  <c r="Q57" i="11" s="1"/>
  <c r="Y53" i="4"/>
  <c r="Y53" i="6" s="1"/>
  <c r="Y53" i="9"/>
  <c r="Y53" i="10" s="1"/>
  <c r="E99" i="7"/>
  <c r="E99" i="6"/>
  <c r="AA91" i="6"/>
  <c r="AA91" i="7"/>
  <c r="C91" i="7"/>
  <c r="C91" i="6"/>
  <c r="F54" i="6"/>
  <c r="F54" i="7"/>
  <c r="T54" i="6"/>
  <c r="T54" i="7"/>
  <c r="J95" i="7"/>
  <c r="J95" i="6"/>
  <c r="P91" i="6"/>
  <c r="P91" i="7"/>
  <c r="L95" i="6"/>
  <c r="L95" i="7"/>
  <c r="Q99" i="6"/>
  <c r="Q99" i="7"/>
  <c r="H99" i="6"/>
  <c r="H99" i="7"/>
  <c r="AA95" i="6"/>
  <c r="AA95" i="7"/>
  <c r="Z91" i="6"/>
  <c r="Z91" i="7"/>
  <c r="G55" i="7"/>
  <c r="G55" i="6"/>
  <c r="Z95" i="7"/>
  <c r="Z95" i="6"/>
  <c r="O95" i="6"/>
  <c r="O95" i="7"/>
  <c r="T55" i="6"/>
  <c r="T55" i="7"/>
  <c r="Q55" i="7"/>
  <c r="Q55" i="6"/>
  <c r="W55" i="6"/>
  <c r="W55" i="7"/>
  <c r="N55" i="6"/>
  <c r="N55" i="7"/>
  <c r="R55" i="6"/>
  <c r="R55" i="7"/>
  <c r="J55" i="6"/>
  <c r="J55" i="7"/>
  <c r="G99" i="6"/>
  <c r="G99" i="7"/>
  <c r="Q95" i="6"/>
  <c r="Q95" i="7"/>
  <c r="Y95" i="6"/>
  <c r="Y95" i="7"/>
  <c r="S53" i="6"/>
  <c r="S53" i="7"/>
  <c r="B53" i="11"/>
  <c r="J57" i="11"/>
  <c r="J57" i="10"/>
  <c r="C57" i="6"/>
  <c r="C57" i="7"/>
  <c r="R32" i="11"/>
  <c r="R32" i="10"/>
  <c r="Y41" i="6"/>
  <c r="Y41" i="7"/>
  <c r="W45" i="6"/>
  <c r="W45" i="7"/>
  <c r="AA42" i="11"/>
  <c r="AA42" i="10"/>
  <c r="Q80" i="11"/>
  <c r="Q80" i="10"/>
  <c r="G44" i="11"/>
  <c r="G44" i="10"/>
  <c r="B73" i="6"/>
  <c r="B73" i="7"/>
  <c r="K61" i="11"/>
  <c r="K61" i="10"/>
  <c r="C81" i="11"/>
  <c r="C81" i="10"/>
  <c r="O71" i="11"/>
  <c r="O71" i="10"/>
  <c r="U84" i="11"/>
  <c r="U84" i="10"/>
  <c r="R62" i="11"/>
  <c r="R62" i="10"/>
  <c r="W75" i="6"/>
  <c r="W75" i="7"/>
  <c r="V41" i="6"/>
  <c r="V41" i="7"/>
  <c r="H78" i="11"/>
  <c r="H78" i="10"/>
  <c r="B31" i="6"/>
  <c r="B31" i="7"/>
  <c r="G11" i="11"/>
  <c r="G11" i="10"/>
  <c r="B12" i="11"/>
  <c r="B12" i="10"/>
  <c r="B46" i="11"/>
  <c r="B46" i="10"/>
  <c r="C83" i="11"/>
  <c r="C83" i="10"/>
  <c r="N61" i="11"/>
  <c r="N61" i="10"/>
  <c r="R39" i="6"/>
  <c r="R39" i="7"/>
  <c r="M40" i="11"/>
  <c r="M40" i="10"/>
  <c r="Q78" i="6"/>
  <c r="Q78" i="7"/>
  <c r="W64" i="6"/>
  <c r="W64" i="7"/>
  <c r="B45" i="7"/>
  <c r="B45" i="6"/>
  <c r="M48" i="6"/>
  <c r="M48" i="7"/>
  <c r="D83" i="11"/>
  <c r="D83" i="10"/>
  <c r="D42" i="6"/>
  <c r="D42" i="7"/>
  <c r="AA15" i="6"/>
  <c r="AA15" i="7"/>
  <c r="K63" i="11"/>
  <c r="K63" i="10"/>
  <c r="R77" i="6"/>
  <c r="R77" i="7"/>
  <c r="S71" i="11"/>
  <c r="S71" i="10"/>
  <c r="Y39" i="6"/>
  <c r="Y39" i="7"/>
  <c r="V76" i="11"/>
  <c r="V76" i="10"/>
  <c r="E68" i="6"/>
  <c r="E68" i="7"/>
  <c r="C75" i="11"/>
  <c r="C75" i="10"/>
  <c r="L89" i="6"/>
  <c r="L89" i="7"/>
  <c r="W35" i="11"/>
  <c r="W35" i="10"/>
  <c r="M74" i="11"/>
  <c r="M74" i="10"/>
  <c r="T28" i="6"/>
  <c r="T28" i="7"/>
  <c r="H73" i="7"/>
  <c r="H73" i="6"/>
  <c r="W86" i="6"/>
  <c r="W86" i="7"/>
  <c r="B43" i="6"/>
  <c r="B43" i="7"/>
  <c r="N45" i="11"/>
  <c r="N45" i="10"/>
  <c r="L61" i="11"/>
  <c r="L61" i="10"/>
  <c r="Q34" i="6"/>
  <c r="Q34" i="7"/>
  <c r="Z85" i="7"/>
  <c r="Z85" i="6"/>
  <c r="K84" i="6"/>
  <c r="K84" i="7"/>
  <c r="I57" i="4"/>
  <c r="F57" i="4"/>
  <c r="S90" i="6"/>
  <c r="S90" i="7"/>
  <c r="E90" i="6"/>
  <c r="E90" i="7"/>
  <c r="G90" i="6"/>
  <c r="G90" i="7"/>
  <c r="F90" i="6"/>
  <c r="F90" i="7"/>
  <c r="Z90" i="7"/>
  <c r="Z90" i="6"/>
  <c r="C19" i="11"/>
  <c r="C19" i="10"/>
  <c r="I84" i="11"/>
  <c r="I84" i="10"/>
  <c r="D19" i="11"/>
  <c r="D19" i="10"/>
  <c r="AA83" i="6"/>
  <c r="AA83" i="7"/>
  <c r="C15" i="7"/>
  <c r="C15" i="6"/>
  <c r="G81" i="6"/>
  <c r="G81" i="7"/>
  <c r="J39" i="6"/>
  <c r="J39" i="7"/>
  <c r="W62" i="6"/>
  <c r="W62" i="7"/>
  <c r="T60" i="6"/>
  <c r="T60" i="7"/>
  <c r="V18" i="7"/>
  <c r="V18" i="6"/>
  <c r="W79" i="6"/>
  <c r="W79" i="7"/>
  <c r="M51" i="6"/>
  <c r="M51" i="7"/>
  <c r="L72" i="11"/>
  <c r="L72" i="10"/>
  <c r="AA48" i="6"/>
  <c r="AA48" i="7"/>
  <c r="N87" i="11"/>
  <c r="N87" i="10"/>
  <c r="T80" i="11"/>
  <c r="T80" i="10"/>
  <c r="H41" i="6"/>
  <c r="H41" i="7"/>
  <c r="U32" i="6"/>
  <c r="U32" i="7"/>
  <c r="F70" i="11"/>
  <c r="F70" i="10"/>
  <c r="F65" i="6"/>
  <c r="F65" i="7"/>
  <c r="Y63" i="6"/>
  <c r="Y63" i="7"/>
  <c r="U81" i="6"/>
  <c r="U81" i="7"/>
  <c r="E46" i="6"/>
  <c r="E46" i="7"/>
  <c r="Y71" i="6"/>
  <c r="Y71" i="7"/>
  <c r="Z66" i="6"/>
  <c r="Z66" i="7"/>
  <c r="T36" i="7"/>
  <c r="T36" i="6"/>
  <c r="H76" i="6"/>
  <c r="H76" i="7"/>
  <c r="F16" i="6"/>
  <c r="F16" i="7"/>
  <c r="D62" i="6"/>
  <c r="D62" i="7"/>
  <c r="P75" i="11"/>
  <c r="P75" i="10"/>
  <c r="E60" i="6"/>
  <c r="E60" i="7"/>
  <c r="Y49" i="11"/>
  <c r="Y49" i="10"/>
  <c r="T35" i="11"/>
  <c r="T35" i="10"/>
  <c r="N18" i="6"/>
  <c r="N18" i="7"/>
  <c r="W74" i="11"/>
  <c r="W74" i="10"/>
  <c r="N30" i="6"/>
  <c r="N30" i="7"/>
  <c r="Z79" i="6"/>
  <c r="Z79" i="7"/>
  <c r="K73" i="6"/>
  <c r="K73" i="7"/>
  <c r="D69" i="11"/>
  <c r="D69" i="10"/>
  <c r="G86" i="6"/>
  <c r="G86" i="7"/>
  <c r="I47" i="11"/>
  <c r="I47" i="10"/>
  <c r="B32" i="6"/>
  <c r="B32" i="7"/>
  <c r="P87" i="11"/>
  <c r="P87" i="10"/>
  <c r="B18" i="6"/>
  <c r="B18" i="7"/>
  <c r="S63" i="11"/>
  <c r="S63" i="10"/>
  <c r="X81" i="7"/>
  <c r="X81" i="6"/>
  <c r="Q38" i="6"/>
  <c r="Q38" i="7"/>
  <c r="AA10" i="6"/>
  <c r="AA10" i="7"/>
  <c r="AA58" i="6"/>
  <c r="AA58" i="7"/>
  <c r="J41" i="7"/>
  <c r="J41" i="6"/>
  <c r="L76" i="11"/>
  <c r="L76" i="10"/>
  <c r="X28" i="6"/>
  <c r="X28" i="7"/>
  <c r="M69" i="6"/>
  <c r="M69" i="7"/>
  <c r="C31" i="11"/>
  <c r="C31" i="10"/>
  <c r="C45" i="6"/>
  <c r="C45" i="7"/>
  <c r="S83" i="11"/>
  <c r="S83" i="10"/>
  <c r="R80" i="7"/>
  <c r="R80" i="6"/>
  <c r="J49" i="11"/>
  <c r="J49" i="10"/>
  <c r="K32" i="7"/>
  <c r="K32" i="6"/>
  <c r="B10" i="6"/>
  <c r="B10" i="7"/>
  <c r="R65" i="6"/>
  <c r="R65" i="7"/>
  <c r="C61" i="6"/>
  <c r="C61" i="7"/>
  <c r="K77" i="11"/>
  <c r="K77" i="10"/>
  <c r="J71" i="6"/>
  <c r="J71" i="7"/>
  <c r="E43" i="6"/>
  <c r="E43" i="7"/>
  <c r="X34" i="11"/>
  <c r="X34" i="10"/>
  <c r="G84" i="11"/>
  <c r="G84" i="10"/>
  <c r="L16" i="11"/>
  <c r="L16" i="10"/>
  <c r="J62" i="11"/>
  <c r="J62" i="10"/>
  <c r="R40" i="11"/>
  <c r="R40" i="10"/>
  <c r="Q60" i="11"/>
  <c r="Q60" i="10"/>
  <c r="P43" i="11"/>
  <c r="P43" i="10"/>
  <c r="D38" i="11"/>
  <c r="D38" i="10"/>
  <c r="M18" i="6"/>
  <c r="M18" i="7"/>
  <c r="X9" i="11"/>
  <c r="X9" i="10"/>
  <c r="T88" i="11"/>
  <c r="T88" i="10"/>
  <c r="M19" i="6"/>
  <c r="M19" i="7"/>
  <c r="H86" i="11"/>
  <c r="H86" i="10"/>
  <c r="H31" i="6"/>
  <c r="H31" i="7"/>
  <c r="S83" i="6"/>
  <c r="S83" i="7"/>
  <c r="J67" i="6"/>
  <c r="J67" i="7"/>
  <c r="Z33" i="11"/>
  <c r="Z33" i="10"/>
  <c r="S10" i="11"/>
  <c r="S10" i="10"/>
  <c r="S58" i="6"/>
  <c r="S58" i="7"/>
  <c r="I78" i="6"/>
  <c r="I78" i="7"/>
  <c r="P45" i="6"/>
  <c r="P45" i="7"/>
  <c r="F37" i="11"/>
  <c r="F37" i="10"/>
  <c r="I17" i="11"/>
  <c r="I17" i="10"/>
  <c r="X32" i="6"/>
  <c r="X32" i="7"/>
  <c r="AA70" i="11"/>
  <c r="AA70" i="10"/>
  <c r="U63" i="6"/>
  <c r="U63" i="7"/>
  <c r="Q81" i="6"/>
  <c r="Q81" i="7"/>
  <c r="Z33" i="7"/>
  <c r="Z33" i="6"/>
  <c r="S66" i="7"/>
  <c r="S66" i="6"/>
  <c r="Z76" i="7"/>
  <c r="Z76" i="6"/>
  <c r="B69" i="6"/>
  <c r="B69" i="7"/>
  <c r="AA58" i="11"/>
  <c r="AA58" i="10"/>
  <c r="G60" i="11"/>
  <c r="G60" i="10"/>
  <c r="W41" i="11"/>
  <c r="W41" i="10"/>
  <c r="AA78" i="7"/>
  <c r="AA78" i="6"/>
  <c r="N72" i="7"/>
  <c r="N72" i="6"/>
  <c r="U28" i="11"/>
  <c r="U28" i="10"/>
  <c r="Z73" i="6"/>
  <c r="Z73" i="7"/>
  <c r="Q86" i="11"/>
  <c r="Q86" i="10"/>
  <c r="L90" i="11"/>
  <c r="L90" i="10"/>
  <c r="Y90" i="11"/>
  <c r="Y90" i="10"/>
  <c r="E90" i="11"/>
  <c r="E90" i="10"/>
  <c r="P57" i="4"/>
  <c r="AA39" i="11"/>
  <c r="AA39" i="10"/>
  <c r="C64" i="6"/>
  <c r="C64" i="7"/>
  <c r="M80" i="6"/>
  <c r="M80" i="7"/>
  <c r="Y70" i="6"/>
  <c r="Y70" i="7"/>
  <c r="L10" i="11"/>
  <c r="L10" i="10"/>
  <c r="J40" i="6"/>
  <c r="J40" i="7"/>
  <c r="AA14" i="11"/>
  <c r="AA14" i="10"/>
  <c r="H33" i="11"/>
  <c r="H33" i="10"/>
  <c r="S50" i="7"/>
  <c r="S50" i="6"/>
  <c r="R57" i="4"/>
  <c r="N87" i="6"/>
  <c r="N87" i="7"/>
  <c r="AA36" i="11"/>
  <c r="AA36" i="10"/>
  <c r="I40" i="6"/>
  <c r="I40" i="7"/>
  <c r="P74" i="6"/>
  <c r="P74" i="7"/>
  <c r="I86" i="6"/>
  <c r="I86" i="7"/>
  <c r="O37" i="11"/>
  <c r="O37" i="10"/>
  <c r="N75" i="6"/>
  <c r="N75" i="7"/>
  <c r="R85" i="11"/>
  <c r="R85" i="10"/>
  <c r="Q14" i="7"/>
  <c r="Q14" i="6"/>
  <c r="H64" i="11"/>
  <c r="H64" i="10"/>
  <c r="I77" i="11"/>
  <c r="I77" i="10"/>
  <c r="S74" i="6"/>
  <c r="S74" i="7"/>
  <c r="Y36" i="11"/>
  <c r="Y36" i="10"/>
  <c r="AA84" i="11"/>
  <c r="AA84" i="10"/>
  <c r="T60" i="11"/>
  <c r="T60" i="10"/>
  <c r="I13" i="11"/>
  <c r="I13" i="10"/>
  <c r="W78" i="11"/>
  <c r="W78" i="10"/>
  <c r="DB50" i="2"/>
  <c r="DB82" i="2"/>
  <c r="DB13" i="2"/>
  <c r="J61" i="11"/>
  <c r="J61" i="10"/>
  <c r="W30" i="6"/>
  <c r="W30" i="7"/>
  <c r="R18" i="11"/>
  <c r="R18" i="10"/>
  <c r="R36" i="11"/>
  <c r="R36" i="10"/>
  <c r="B10" i="11"/>
  <c r="B10" i="10"/>
  <c r="E47" i="11"/>
  <c r="E47" i="10"/>
  <c r="V87" i="11"/>
  <c r="V87" i="10"/>
  <c r="T80" i="6"/>
  <c r="T80" i="7"/>
  <c r="N20" i="11"/>
  <c r="N20" i="10"/>
  <c r="Z70" i="6"/>
  <c r="Z70" i="7"/>
  <c r="F67" i="6"/>
  <c r="F67" i="7"/>
  <c r="E61" i="6"/>
  <c r="E61" i="7"/>
  <c r="V81" i="11"/>
  <c r="V81" i="10"/>
  <c r="Z13" i="11"/>
  <c r="Z13" i="10"/>
  <c r="C66" i="11"/>
  <c r="C66" i="10"/>
  <c r="X34" i="6"/>
  <c r="X34" i="7"/>
  <c r="D10" i="11"/>
  <c r="D10" i="10"/>
  <c r="U40" i="6"/>
  <c r="U40" i="7"/>
  <c r="K35" i="6"/>
  <c r="K35" i="7"/>
  <c r="S41" i="11"/>
  <c r="S41" i="10"/>
  <c r="E38" i="11"/>
  <c r="E38" i="10"/>
  <c r="AA18" i="11"/>
  <c r="AA18" i="10"/>
  <c r="X72" i="6"/>
  <c r="X72" i="7"/>
  <c r="C88" i="11"/>
  <c r="C88" i="10"/>
  <c r="W73" i="6"/>
  <c r="W73" i="7"/>
  <c r="Y69" i="11"/>
  <c r="Y69" i="10"/>
  <c r="G64" i="11"/>
  <c r="G64" i="10"/>
  <c r="K86" i="11"/>
  <c r="K86" i="10"/>
  <c r="B37" i="11"/>
  <c r="B37" i="10"/>
  <c r="O42" i="11"/>
  <c r="O42" i="10"/>
  <c r="Y42" i="6"/>
  <c r="Y42" i="7"/>
  <c r="E45" i="11"/>
  <c r="E45" i="10"/>
  <c r="O67" i="6"/>
  <c r="O67" i="7"/>
  <c r="X46" i="6"/>
  <c r="X46" i="7"/>
  <c r="N36" i="6"/>
  <c r="N36" i="7"/>
  <c r="Z68" i="6"/>
  <c r="Z68" i="7"/>
  <c r="D89" i="11"/>
  <c r="D89" i="10"/>
  <c r="Z35" i="6"/>
  <c r="Z35" i="7"/>
  <c r="T9" i="6"/>
  <c r="T9" i="7"/>
  <c r="S79" i="11"/>
  <c r="S79" i="10"/>
  <c r="Z64" i="11"/>
  <c r="Z64" i="10"/>
  <c r="C12" i="6"/>
  <c r="C12" i="7"/>
  <c r="T50" i="11"/>
  <c r="T50" i="10"/>
  <c r="Z41" i="11"/>
  <c r="Z41" i="10"/>
  <c r="K81" i="11"/>
  <c r="K81" i="10"/>
  <c r="K33" i="6"/>
  <c r="K33" i="7"/>
  <c r="F32" i="11"/>
  <c r="F32" i="10"/>
  <c r="V12" i="6"/>
  <c r="V12" i="7"/>
  <c r="Y67" i="7"/>
  <c r="Y67" i="6"/>
  <c r="N63" i="6"/>
  <c r="N63" i="7"/>
  <c r="E81" i="11"/>
  <c r="E81" i="10"/>
  <c r="U77" i="11"/>
  <c r="U77" i="10"/>
  <c r="F13" i="6"/>
  <c r="F13" i="7"/>
  <c r="W71" i="11"/>
  <c r="W71" i="10"/>
  <c r="T39" i="11"/>
  <c r="T39" i="10"/>
  <c r="E36" i="11"/>
  <c r="E36" i="10"/>
  <c r="S84" i="11"/>
  <c r="S84" i="10"/>
  <c r="W17" i="6"/>
  <c r="W17" i="7"/>
  <c r="J10" i="11"/>
  <c r="J10" i="10"/>
  <c r="T58" i="6"/>
  <c r="T58" i="7"/>
  <c r="R31" i="11"/>
  <c r="R31" i="10"/>
  <c r="AA43" i="11"/>
  <c r="AA43" i="10"/>
  <c r="R41" i="7"/>
  <c r="R41" i="6"/>
  <c r="I85" i="6"/>
  <c r="I85" i="7"/>
  <c r="U18" i="7"/>
  <c r="U18" i="6"/>
  <c r="G74" i="6"/>
  <c r="G74" i="7"/>
  <c r="L30" i="11"/>
  <c r="L30" i="10"/>
  <c r="AA79" i="6"/>
  <c r="AA79" i="7"/>
  <c r="Y11" i="11"/>
  <c r="Y11" i="10"/>
  <c r="V64" i="11"/>
  <c r="V64" i="10"/>
  <c r="P86" i="11"/>
  <c r="P86" i="10"/>
  <c r="K32" i="11"/>
  <c r="K32" i="10"/>
  <c r="C87" i="11"/>
  <c r="C87" i="10"/>
  <c r="V32" i="6"/>
  <c r="V32" i="7"/>
  <c r="D67" i="7"/>
  <c r="D67" i="6"/>
  <c r="F33" i="6"/>
  <c r="F33" i="7"/>
  <c r="C84" i="6"/>
  <c r="C84" i="7"/>
  <c r="I58" i="11"/>
  <c r="I58" i="10"/>
  <c r="I41" i="6"/>
  <c r="I41" i="7"/>
  <c r="V72" i="6"/>
  <c r="V72" i="7"/>
  <c r="C82" i="6"/>
  <c r="C82" i="7"/>
  <c r="C10" i="11"/>
  <c r="C10" i="10"/>
  <c r="O66" i="6"/>
  <c r="O66" i="7"/>
  <c r="D36" i="11"/>
  <c r="D36" i="10"/>
  <c r="M68" i="11"/>
  <c r="M68" i="10"/>
  <c r="D31" i="6"/>
  <c r="D31" i="7"/>
  <c r="Y41" i="11"/>
  <c r="Y41" i="10"/>
  <c r="M74" i="6"/>
  <c r="M74" i="7"/>
  <c r="L11" i="7"/>
  <c r="L11" i="6"/>
  <c r="S86" i="6"/>
  <c r="S86" i="7"/>
  <c r="U53" i="4"/>
  <c r="J82" i="7"/>
  <c r="J82" i="6"/>
  <c r="U44" i="6"/>
  <c r="U44" i="7"/>
  <c r="G15" i="7"/>
  <c r="G15" i="6"/>
  <c r="Y70" i="11"/>
  <c r="Y70" i="10"/>
  <c r="N59" i="6"/>
  <c r="N59" i="7"/>
  <c r="R77" i="11"/>
  <c r="R77" i="10"/>
  <c r="B31" i="11"/>
  <c r="B31" i="10"/>
  <c r="O39" i="11"/>
  <c r="O39" i="10"/>
  <c r="O76" i="11"/>
  <c r="O76" i="10"/>
  <c r="T68" i="11"/>
  <c r="T68" i="10"/>
  <c r="Z75" i="6"/>
  <c r="Z75" i="7"/>
  <c r="P20" i="11"/>
  <c r="P20" i="10"/>
  <c r="I35" i="6"/>
  <c r="I35" i="7"/>
  <c r="T78" i="11"/>
  <c r="T78" i="10"/>
  <c r="U72" i="6"/>
  <c r="U72" i="7"/>
  <c r="Q28" i="7"/>
  <c r="Q28" i="6"/>
  <c r="R19" i="11"/>
  <c r="R19" i="10"/>
  <c r="K73" i="11"/>
  <c r="K73" i="10"/>
  <c r="O51" i="6"/>
  <c r="O51" i="7"/>
  <c r="L48" i="11"/>
  <c r="L48" i="10"/>
  <c r="H42" i="11"/>
  <c r="H42" i="10"/>
  <c r="P90" i="11"/>
  <c r="P90" i="10"/>
  <c r="B90" i="11"/>
  <c r="B90" i="10"/>
  <c r="U53" i="9"/>
  <c r="G57" i="4"/>
  <c r="M84" i="11"/>
  <c r="M84" i="10"/>
  <c r="O73" i="6"/>
  <c r="O73" i="7"/>
  <c r="K39" i="6"/>
  <c r="K39" i="7"/>
  <c r="W68" i="11"/>
  <c r="W68" i="10"/>
  <c r="AA60" i="11"/>
  <c r="AA60" i="10"/>
  <c r="N74" i="7"/>
  <c r="N74" i="6"/>
  <c r="D78" i="11"/>
  <c r="D78" i="10"/>
  <c r="I53" i="9"/>
  <c r="O47" i="6"/>
  <c r="O47" i="7"/>
  <c r="X87" i="11"/>
  <c r="X87" i="10"/>
  <c r="O67" i="11"/>
  <c r="O67" i="10"/>
  <c r="K16" i="11"/>
  <c r="K16" i="10"/>
  <c r="U60" i="11"/>
  <c r="U60" i="10"/>
  <c r="P79" i="11"/>
  <c r="P79" i="10"/>
  <c r="U86" i="6"/>
  <c r="U86" i="7"/>
  <c r="X37" i="6"/>
  <c r="X37" i="7"/>
  <c r="W87" i="11"/>
  <c r="W87" i="10"/>
  <c r="L80" i="11"/>
  <c r="L80" i="10"/>
  <c r="S20" i="11"/>
  <c r="S20" i="10"/>
  <c r="K67" i="6"/>
  <c r="K67" i="7"/>
  <c r="P59" i="11"/>
  <c r="P59" i="10"/>
  <c r="R33" i="6"/>
  <c r="R33" i="7"/>
  <c r="W39" i="11"/>
  <c r="W39" i="10"/>
  <c r="F17" i="7"/>
  <c r="F17" i="6"/>
  <c r="S62" i="11"/>
  <c r="S62" i="10"/>
  <c r="Z89" i="6"/>
  <c r="Z89" i="7"/>
  <c r="L35" i="11"/>
  <c r="L35" i="10"/>
  <c r="L18" i="7"/>
  <c r="L18" i="6"/>
  <c r="O74" i="11"/>
  <c r="O74" i="10"/>
  <c r="N28" i="6"/>
  <c r="N28" i="7"/>
  <c r="O69" i="11"/>
  <c r="O69" i="10"/>
  <c r="P50" i="6"/>
  <c r="P50" i="7"/>
  <c r="G37" i="11"/>
  <c r="G37" i="10"/>
  <c r="T12" i="11"/>
  <c r="T12" i="10"/>
  <c r="O81" i="11"/>
  <c r="O81" i="10"/>
  <c r="X16" i="11"/>
  <c r="X16" i="10"/>
  <c r="J85" i="11"/>
  <c r="J85" i="10"/>
  <c r="P30" i="7"/>
  <c r="P30" i="6"/>
  <c r="P69" i="11"/>
  <c r="P69" i="10"/>
  <c r="Y47" i="6"/>
  <c r="Y47" i="7"/>
  <c r="V47" i="7"/>
  <c r="V47" i="6"/>
  <c r="T82" i="7"/>
  <c r="T82" i="6"/>
  <c r="D44" i="11"/>
  <c r="D44" i="10"/>
  <c r="S12" i="11"/>
  <c r="S12" i="10"/>
  <c r="P63" i="11"/>
  <c r="P63" i="10"/>
  <c r="D81" i="7"/>
  <c r="D81" i="6"/>
  <c r="M33" i="11"/>
  <c r="M33" i="10"/>
  <c r="R66" i="11"/>
  <c r="R66" i="10"/>
  <c r="R84" i="11"/>
  <c r="R84" i="10"/>
  <c r="O16" i="11"/>
  <c r="O16" i="10"/>
  <c r="S62" i="6"/>
  <c r="S62" i="7"/>
  <c r="P60" i="11"/>
  <c r="P60" i="10"/>
  <c r="R89" i="11"/>
  <c r="R89" i="10"/>
  <c r="R35" i="11"/>
  <c r="R35" i="10"/>
  <c r="T14" i="11"/>
  <c r="T14" i="10"/>
  <c r="K28" i="6"/>
  <c r="K28" i="7"/>
  <c r="F11" i="6"/>
  <c r="F11" i="7"/>
  <c r="B83" i="11"/>
  <c r="B83" i="10"/>
  <c r="W20" i="11"/>
  <c r="W20" i="10"/>
  <c r="I31" i="6"/>
  <c r="I31" i="7"/>
  <c r="X62" i="11"/>
  <c r="X62" i="10"/>
  <c r="Y85" i="6"/>
  <c r="Y85" i="7"/>
  <c r="V50" i="11"/>
  <c r="V50" i="10"/>
  <c r="G80" i="7"/>
  <c r="G80" i="6"/>
  <c r="N44" i="11"/>
  <c r="N44" i="10"/>
  <c r="F12" i="11"/>
  <c r="F12" i="10"/>
  <c r="W63" i="11"/>
  <c r="W63" i="10"/>
  <c r="G76" i="11"/>
  <c r="G76" i="10"/>
  <c r="V71" i="11"/>
  <c r="V71" i="10"/>
  <c r="P34" i="7"/>
  <c r="P34" i="6"/>
  <c r="Q16" i="11"/>
  <c r="Q16" i="10"/>
  <c r="G62" i="7"/>
  <c r="G62" i="6"/>
  <c r="L60" i="11"/>
  <c r="L60" i="10"/>
  <c r="U35" i="11"/>
  <c r="U35" i="10"/>
  <c r="I20" i="11"/>
  <c r="I20" i="10"/>
  <c r="P49" i="11"/>
  <c r="P49" i="10"/>
  <c r="G53" i="9"/>
  <c r="N53" i="9"/>
  <c r="K57" i="4"/>
  <c r="Z57" i="4"/>
  <c r="H83" i="6"/>
  <c r="H83" i="7"/>
  <c r="AA68" i="11"/>
  <c r="AA68" i="10"/>
  <c r="T31" i="6"/>
  <c r="T31" i="7"/>
  <c r="R85" i="6"/>
  <c r="R85" i="7"/>
  <c r="AA9" i="11"/>
  <c r="AA9" i="10"/>
  <c r="O87" i="6"/>
  <c r="O87" i="7"/>
  <c r="G9" i="11"/>
  <c r="G9" i="10"/>
  <c r="B47" i="11"/>
  <c r="B47" i="10"/>
  <c r="K78" i="11"/>
  <c r="K78" i="10"/>
  <c r="T19" i="11"/>
  <c r="T19" i="10"/>
  <c r="F69" i="6"/>
  <c r="F69" i="7"/>
  <c r="AA63" i="11"/>
  <c r="AA63" i="10"/>
  <c r="K13" i="11"/>
  <c r="K13" i="10"/>
  <c r="J36" i="11"/>
  <c r="J36" i="10"/>
  <c r="R10" i="6"/>
  <c r="R10" i="7"/>
  <c r="O75" i="11"/>
  <c r="O75" i="10"/>
  <c r="O89" i="11"/>
  <c r="O89" i="10"/>
  <c r="R73" i="7"/>
  <c r="R73" i="6"/>
  <c r="Z69" i="7"/>
  <c r="Z69" i="6"/>
  <c r="X75" i="6"/>
  <c r="X75" i="7"/>
  <c r="C74" i="7"/>
  <c r="C74" i="6"/>
  <c r="H71" i="7"/>
  <c r="H71" i="6"/>
  <c r="P69" i="7"/>
  <c r="P69" i="6"/>
  <c r="N53" i="4"/>
  <c r="Q48" i="6"/>
  <c r="Q48" i="7"/>
  <c r="V66" i="11"/>
  <c r="V66" i="10"/>
  <c r="AA79" i="11"/>
  <c r="AA79" i="10"/>
  <c r="I85" i="11"/>
  <c r="I85" i="10"/>
  <c r="H48" i="7"/>
  <c r="H48" i="6"/>
  <c r="U15" i="11"/>
  <c r="U15" i="10"/>
  <c r="C65" i="11"/>
  <c r="C65" i="10"/>
  <c r="W33" i="11"/>
  <c r="W33" i="10"/>
  <c r="T66" i="7"/>
  <c r="T66" i="6"/>
  <c r="S36" i="7"/>
  <c r="S36" i="6"/>
  <c r="I10" i="7"/>
  <c r="I10" i="6"/>
  <c r="M60" i="6"/>
  <c r="M60" i="7"/>
  <c r="P38" i="11"/>
  <c r="P38" i="10"/>
  <c r="F14" i="11"/>
  <c r="F14" i="10"/>
  <c r="R88" i="11"/>
  <c r="R88" i="10"/>
  <c r="L73" i="6"/>
  <c r="L73" i="7"/>
  <c r="X64" i="6"/>
  <c r="X64" i="7"/>
  <c r="T45" i="11"/>
  <c r="T45" i="10"/>
  <c r="Z47" i="11"/>
  <c r="Z47" i="10"/>
  <c r="AA70" i="6"/>
  <c r="AA70" i="7"/>
  <c r="B74" i="6"/>
  <c r="B74" i="7"/>
  <c r="F76" i="7"/>
  <c r="F76" i="6"/>
  <c r="G43" i="6"/>
  <c r="G43" i="7"/>
  <c r="W72" i="7"/>
  <c r="W72" i="6"/>
  <c r="AA73" i="11"/>
  <c r="AA73" i="10"/>
  <c r="O86" i="11"/>
  <c r="O86" i="10"/>
  <c r="G87" i="6"/>
  <c r="G87" i="7"/>
  <c r="D82" i="6"/>
  <c r="D82" i="7"/>
  <c r="Z44" i="6"/>
  <c r="Z44" i="7"/>
  <c r="O12" i="6"/>
  <c r="O12" i="7"/>
  <c r="I65" i="6"/>
  <c r="I65" i="7"/>
  <c r="S59" i="6"/>
  <c r="S59" i="7"/>
  <c r="I13" i="6"/>
  <c r="I13" i="7"/>
  <c r="B60" i="6"/>
  <c r="B60" i="7"/>
  <c r="X84" i="6"/>
  <c r="X84" i="7"/>
  <c r="E10" i="7"/>
  <c r="E10" i="6"/>
  <c r="F40" i="6"/>
  <c r="F40" i="7"/>
  <c r="R60" i="11"/>
  <c r="R60" i="10"/>
  <c r="K49" i="6"/>
  <c r="K49" i="7"/>
  <c r="I78" i="11"/>
  <c r="I78" i="10"/>
  <c r="Y14" i="7"/>
  <c r="Y14" i="6"/>
  <c r="Q30" i="6"/>
  <c r="Q30" i="7"/>
  <c r="X19" i="6"/>
  <c r="X19" i="7"/>
  <c r="D64" i="6"/>
  <c r="D64" i="7"/>
  <c r="G82" i="11"/>
  <c r="G82" i="10"/>
  <c r="B41" i="6"/>
  <c r="B41" i="7"/>
  <c r="Y78" i="11"/>
  <c r="Y78" i="10"/>
  <c r="Y14" i="11"/>
  <c r="Y14" i="10"/>
  <c r="Y30" i="11"/>
  <c r="Y30" i="10"/>
  <c r="Y11" i="6"/>
  <c r="Y11" i="7"/>
  <c r="N64" i="11"/>
  <c r="N64" i="10"/>
  <c r="I63" i="11"/>
  <c r="I63" i="10"/>
  <c r="P42" i="7"/>
  <c r="P42" i="6"/>
  <c r="D59" i="11"/>
  <c r="D59" i="10"/>
  <c r="M84" i="6"/>
  <c r="M84" i="7"/>
  <c r="G60" i="6"/>
  <c r="G60" i="7"/>
  <c r="P72" i="6"/>
  <c r="P72" i="7"/>
  <c r="AA45" i="6"/>
  <c r="AA45" i="7"/>
  <c r="R82" i="11"/>
  <c r="R82" i="10"/>
  <c r="Y45" i="11"/>
  <c r="Y45" i="10"/>
  <c r="V20" i="11"/>
  <c r="V20" i="10"/>
  <c r="B14" i="6"/>
  <c r="B14" i="7"/>
  <c r="Y65" i="11"/>
  <c r="Y65" i="10"/>
  <c r="Y77" i="6"/>
  <c r="Y77" i="7"/>
  <c r="D71" i="11"/>
  <c r="D71" i="10"/>
  <c r="R43" i="6"/>
  <c r="R43" i="7"/>
  <c r="N34" i="11"/>
  <c r="N34" i="10"/>
  <c r="L17" i="11"/>
  <c r="L17" i="10"/>
  <c r="V62" i="11"/>
  <c r="V62" i="10"/>
  <c r="X31" i="11"/>
  <c r="X31" i="10"/>
  <c r="AA43" i="6"/>
  <c r="AA43" i="7"/>
  <c r="K38" i="11"/>
  <c r="K38" i="10"/>
  <c r="L18" i="11"/>
  <c r="L18" i="10"/>
  <c r="K9" i="11"/>
  <c r="K9" i="10"/>
  <c r="H79" i="11"/>
  <c r="H79" i="10"/>
  <c r="S64" i="7"/>
  <c r="S64" i="6"/>
  <c r="W29" i="7"/>
  <c r="W29" i="6"/>
  <c r="L50" i="6"/>
  <c r="L50" i="7"/>
  <c r="K44" i="6"/>
  <c r="K44" i="7"/>
  <c r="K90" i="11"/>
  <c r="K90" i="10"/>
  <c r="O90" i="11"/>
  <c r="O90" i="10"/>
  <c r="AA90" i="11"/>
  <c r="AA90" i="10"/>
  <c r="V36" i="11"/>
  <c r="V36" i="10"/>
  <c r="Y67" i="11"/>
  <c r="Y67" i="10"/>
  <c r="X65" i="11"/>
  <c r="X65" i="10"/>
  <c r="T61" i="11"/>
  <c r="T61" i="10"/>
  <c r="P77" i="6"/>
  <c r="P77" i="7"/>
  <c r="H40" i="6"/>
  <c r="H40" i="7"/>
  <c r="M73" i="11"/>
  <c r="M73" i="10"/>
  <c r="H62" i="6"/>
  <c r="H62" i="7"/>
  <c r="B75" i="6"/>
  <c r="B75" i="7"/>
  <c r="L89" i="11"/>
  <c r="L89" i="10"/>
  <c r="L38" i="6"/>
  <c r="L38" i="7"/>
  <c r="B85" i="11"/>
  <c r="B85" i="10"/>
  <c r="G14" i="11"/>
  <c r="G14" i="10"/>
  <c r="F30" i="11"/>
  <c r="F30" i="10"/>
  <c r="R28" i="7"/>
  <c r="R28" i="6"/>
  <c r="B13" i="11"/>
  <c r="B13" i="10"/>
  <c r="R53" i="9"/>
  <c r="N57" i="4"/>
  <c r="O90" i="6"/>
  <c r="O90" i="7"/>
  <c r="K90" i="6"/>
  <c r="K90" i="7"/>
  <c r="H38" i="7"/>
  <c r="H38" i="6"/>
  <c r="E84" i="11"/>
  <c r="E84" i="10"/>
  <c r="D9" i="11"/>
  <c r="D9" i="10"/>
  <c r="S73" i="6"/>
  <c r="S73" i="7"/>
  <c r="K53" i="4"/>
  <c r="J43" i="11"/>
  <c r="J43" i="10"/>
  <c r="M44" i="11"/>
  <c r="M44" i="10"/>
  <c r="I12" i="11"/>
  <c r="I12" i="10"/>
  <c r="Q77" i="11"/>
  <c r="Q77" i="10"/>
  <c r="C34" i="6"/>
  <c r="C34" i="7"/>
  <c r="I58" i="6"/>
  <c r="I58" i="7"/>
  <c r="Q38" i="11"/>
  <c r="Q38" i="10"/>
  <c r="B30" i="11"/>
  <c r="B30" i="10"/>
  <c r="E69" i="7"/>
  <c r="E69" i="6"/>
  <c r="G58" i="6"/>
  <c r="G58" i="7"/>
  <c r="T43" i="11"/>
  <c r="T43" i="10"/>
  <c r="C35" i="11"/>
  <c r="C35" i="10"/>
  <c r="AA82" i="11"/>
  <c r="AA82" i="10"/>
  <c r="M89" i="11"/>
  <c r="M89" i="10"/>
  <c r="L32" i="7"/>
  <c r="L32" i="6"/>
  <c r="H70" i="11"/>
  <c r="H70" i="10"/>
  <c r="T65" i="11"/>
  <c r="T65" i="10"/>
  <c r="D61" i="11"/>
  <c r="D61" i="10"/>
  <c r="N81" i="11"/>
  <c r="N81" i="10"/>
  <c r="X33" i="11"/>
  <c r="X33" i="10"/>
  <c r="H29" i="7"/>
  <c r="H29" i="6"/>
  <c r="Q39" i="11"/>
  <c r="Q39" i="10"/>
  <c r="E84" i="6"/>
  <c r="E84" i="7"/>
  <c r="W76" i="6"/>
  <c r="W76" i="7"/>
  <c r="X10" i="6"/>
  <c r="X10" i="7"/>
  <c r="W68" i="6"/>
  <c r="W68" i="7"/>
  <c r="S40" i="6"/>
  <c r="S40" i="7"/>
  <c r="X60" i="11"/>
  <c r="X60" i="10"/>
  <c r="N89" i="6"/>
  <c r="N89" i="7"/>
  <c r="E35" i="11"/>
  <c r="E35" i="10"/>
  <c r="S18" i="11"/>
  <c r="S18" i="10"/>
  <c r="Q74" i="6"/>
  <c r="Q74" i="7"/>
  <c r="J9" i="11"/>
  <c r="J9" i="10"/>
  <c r="P88" i="11"/>
  <c r="P88" i="10"/>
  <c r="C79" i="11"/>
  <c r="C79" i="10"/>
  <c r="G11" i="7"/>
  <c r="G11" i="6"/>
  <c r="AA69" i="6"/>
  <c r="AA69" i="7"/>
  <c r="R86" i="11"/>
  <c r="R86" i="10"/>
  <c r="H39" i="11"/>
  <c r="H39" i="10"/>
  <c r="L70" i="11"/>
  <c r="L70" i="10"/>
  <c r="B65" i="7"/>
  <c r="B65" i="6"/>
  <c r="I48" i="6"/>
  <c r="I48" i="7"/>
  <c r="V48" i="6"/>
  <c r="V48" i="7"/>
  <c r="C70" i="6"/>
  <c r="C70" i="7"/>
  <c r="E77" i="11"/>
  <c r="E77" i="10"/>
  <c r="U39" i="7"/>
  <c r="U39" i="6"/>
  <c r="V68" i="11"/>
  <c r="V68" i="10"/>
  <c r="C38" i="6"/>
  <c r="C38" i="7"/>
  <c r="K72" i="11"/>
  <c r="K72" i="10"/>
  <c r="I73" i="7"/>
  <c r="I73" i="6"/>
  <c r="K19" i="11"/>
  <c r="K19" i="10"/>
  <c r="AA30" i="6"/>
  <c r="AA30" i="7"/>
  <c r="G87" i="11"/>
  <c r="G87" i="10"/>
  <c r="T81" i="11"/>
  <c r="T81" i="10"/>
  <c r="C77" i="6"/>
  <c r="C77" i="7"/>
  <c r="D13" i="11"/>
  <c r="D13" i="10"/>
  <c r="S39" i="11"/>
  <c r="S39" i="10"/>
  <c r="S84" i="6"/>
  <c r="S84" i="7"/>
  <c r="T17" i="6"/>
  <c r="T17" i="7"/>
  <c r="D16" i="6"/>
  <c r="D16" i="7"/>
  <c r="Q68" i="11"/>
  <c r="Q68" i="10"/>
  <c r="E58" i="11"/>
  <c r="E58" i="10"/>
  <c r="O31" i="6"/>
  <c r="O31" i="7"/>
  <c r="K60" i="6"/>
  <c r="K60" i="7"/>
  <c r="T49" i="6"/>
  <c r="T49" i="7"/>
  <c r="G41" i="11"/>
  <c r="G41" i="10"/>
  <c r="F85" i="11"/>
  <c r="F85" i="10"/>
  <c r="D18" i="11"/>
  <c r="D18" i="10"/>
  <c r="F72" i="6"/>
  <c r="F72" i="7"/>
  <c r="Y28" i="11"/>
  <c r="Y28" i="10"/>
  <c r="J79" i="11"/>
  <c r="J79" i="10"/>
  <c r="Z11" i="11"/>
  <c r="Z11" i="10"/>
  <c r="J51" i="6"/>
  <c r="J51" i="7"/>
  <c r="J37" i="6"/>
  <c r="J37" i="7"/>
  <c r="C32" i="11"/>
  <c r="C32" i="10"/>
  <c r="N42" i="11"/>
  <c r="N42" i="10"/>
  <c r="N15" i="7"/>
  <c r="N15" i="6"/>
  <c r="W81" i="6"/>
  <c r="W81" i="7"/>
  <c r="Q13" i="11"/>
  <c r="Q13" i="10"/>
  <c r="P76" i="6"/>
  <c r="P76" i="7"/>
  <c r="H29" i="11"/>
  <c r="H29" i="10"/>
  <c r="V43" i="11"/>
  <c r="V43" i="10"/>
  <c r="P9" i="11"/>
  <c r="P9" i="10"/>
  <c r="E79" i="11"/>
  <c r="E79" i="10"/>
  <c r="G48" i="7"/>
  <c r="G48" i="6"/>
  <c r="I87" i="6"/>
  <c r="I87" i="7"/>
  <c r="J83" i="11"/>
  <c r="J83" i="10"/>
  <c r="R42" i="6"/>
  <c r="R42" i="7"/>
  <c r="L20" i="7"/>
  <c r="L20" i="6"/>
  <c r="G12" i="11"/>
  <c r="G12" i="10"/>
  <c r="P65" i="11"/>
  <c r="P65" i="10"/>
  <c r="R61" i="11"/>
  <c r="R61" i="10"/>
  <c r="J81" i="11"/>
  <c r="J81" i="10"/>
  <c r="D33" i="6"/>
  <c r="D33" i="7"/>
  <c r="L66" i="6"/>
  <c r="L66" i="7"/>
  <c r="W36" i="6"/>
  <c r="W36" i="7"/>
  <c r="B17" i="6"/>
  <c r="B17" i="7"/>
  <c r="B72" i="7"/>
  <c r="B72" i="6"/>
  <c r="W62" i="11"/>
  <c r="W62" i="10"/>
  <c r="C31" i="6"/>
  <c r="C31" i="7"/>
  <c r="G43" i="11"/>
  <c r="G43" i="10"/>
  <c r="J49" i="6"/>
  <c r="J49" i="7"/>
  <c r="L85" i="6"/>
  <c r="L85" i="7"/>
  <c r="R14" i="11"/>
  <c r="R14" i="10"/>
  <c r="H28" i="11"/>
  <c r="H28" i="10"/>
  <c r="I88" i="6"/>
  <c r="I88" i="7"/>
  <c r="I64" i="6"/>
  <c r="I64" i="7"/>
  <c r="O45" i="6"/>
  <c r="O45" i="7"/>
  <c r="L87" i="11"/>
  <c r="L87" i="10"/>
  <c r="I90" i="11"/>
  <c r="I90" i="10"/>
  <c r="N90" i="11"/>
  <c r="N90" i="10"/>
  <c r="U90" i="11"/>
  <c r="U90" i="10"/>
  <c r="Z53" i="4"/>
  <c r="Q83" i="6"/>
  <c r="Q83" i="7"/>
  <c r="E13" i="11"/>
  <c r="E13" i="10"/>
  <c r="Y84" i="6"/>
  <c r="Y84" i="7"/>
  <c r="Q85" i="6"/>
  <c r="Q85" i="7"/>
  <c r="M28" i="7"/>
  <c r="M28" i="6"/>
  <c r="M60" i="11"/>
  <c r="M60" i="10"/>
  <c r="W83" i="6"/>
  <c r="W83" i="7"/>
  <c r="J77" i="11"/>
  <c r="J77" i="10"/>
  <c r="I71" i="11"/>
  <c r="I71" i="10"/>
  <c r="V40" i="6"/>
  <c r="V40" i="7"/>
  <c r="B50" i="6"/>
  <c r="B50" i="7"/>
  <c r="G71" i="11"/>
  <c r="G71" i="10"/>
  <c r="M75" i="11"/>
  <c r="M75" i="10"/>
  <c r="K10" i="6"/>
  <c r="K10" i="7"/>
  <c r="Z28" i="6"/>
  <c r="Z28" i="7"/>
  <c r="N48" i="6"/>
  <c r="N48" i="7"/>
  <c r="M59" i="11"/>
  <c r="M59" i="10"/>
  <c r="M39" i="6"/>
  <c r="M39" i="7"/>
  <c r="D41" i="11"/>
  <c r="D41" i="10"/>
  <c r="V9" i="6"/>
  <c r="V9" i="7"/>
  <c r="B67" i="6"/>
  <c r="B67" i="7"/>
  <c r="G37" i="6"/>
  <c r="G37" i="7"/>
  <c r="Y82" i="11"/>
  <c r="Y82" i="10"/>
  <c r="H44" i="11"/>
  <c r="H44" i="10"/>
  <c r="M32" i="6"/>
  <c r="M32" i="7"/>
  <c r="X70" i="11"/>
  <c r="X70" i="10"/>
  <c r="U65" i="11"/>
  <c r="U65" i="10"/>
  <c r="M81" i="7"/>
  <c r="M81" i="6"/>
  <c r="E13" i="6"/>
  <c r="E13" i="7"/>
  <c r="J66" i="6"/>
  <c r="J66" i="7"/>
  <c r="AA84" i="6"/>
  <c r="AA84" i="7"/>
  <c r="L68" i="11"/>
  <c r="L68" i="10"/>
  <c r="V75" i="6"/>
  <c r="V75" i="7"/>
  <c r="C29" i="7"/>
  <c r="C29" i="6"/>
  <c r="T38" i="6"/>
  <c r="T38" i="7"/>
  <c r="L14" i="11"/>
  <c r="L14" i="10"/>
  <c r="U30" i="6"/>
  <c r="U30" i="7"/>
  <c r="X79" i="7"/>
  <c r="X79" i="6"/>
  <c r="R73" i="11"/>
  <c r="R73" i="10"/>
  <c r="E86" i="6"/>
  <c r="E86" i="7"/>
  <c r="B15" i="6"/>
  <c r="B15" i="7"/>
  <c r="L43" i="6"/>
  <c r="L43" i="7"/>
  <c r="V80" i="11"/>
  <c r="V80" i="10"/>
  <c r="O65" i="11"/>
  <c r="O65" i="10"/>
  <c r="E66" i="11"/>
  <c r="E66" i="10"/>
  <c r="B58" i="11"/>
  <c r="B58" i="10"/>
  <c r="D60" i="7"/>
  <c r="D60" i="6"/>
  <c r="U14" i="11"/>
  <c r="U14" i="10"/>
  <c r="E51" i="6"/>
  <c r="E51" i="7"/>
  <c r="B33" i="7"/>
  <c r="B33" i="6"/>
  <c r="S47" i="11"/>
  <c r="S47" i="10"/>
  <c r="T83" i="11"/>
  <c r="T83" i="10"/>
  <c r="G42" i="7"/>
  <c r="G42" i="6"/>
  <c r="G20" i="6"/>
  <c r="G20" i="7"/>
  <c r="G70" i="6"/>
  <c r="G70" i="7"/>
  <c r="H61" i="6"/>
  <c r="H61" i="7"/>
  <c r="J46" i="6"/>
  <c r="J46" i="7"/>
  <c r="L29" i="6"/>
  <c r="L29" i="7"/>
  <c r="N39" i="7"/>
  <c r="N39" i="6"/>
  <c r="M76" i="6"/>
  <c r="M76" i="7"/>
  <c r="U68" i="6"/>
  <c r="U68" i="7"/>
  <c r="W75" i="11"/>
  <c r="W75" i="10"/>
  <c r="P38" i="6"/>
  <c r="P38" i="7"/>
  <c r="Q85" i="11"/>
  <c r="Q85" i="10"/>
  <c r="D74" i="6"/>
  <c r="D74" i="7"/>
  <c r="C88" i="6"/>
  <c r="C88" i="7"/>
  <c r="C73" i="11"/>
  <c r="C73" i="10"/>
  <c r="Q51" i="6"/>
  <c r="Q51" i="7"/>
  <c r="D48" i="11"/>
  <c r="D48" i="10"/>
  <c r="N80" i="11"/>
  <c r="N80" i="10"/>
  <c r="J63" i="6"/>
  <c r="J63" i="7"/>
  <c r="R17" i="11"/>
  <c r="R17" i="10"/>
  <c r="Z31" i="11"/>
  <c r="Z31" i="10"/>
  <c r="C14" i="6"/>
  <c r="C14" i="7"/>
  <c r="S32" i="11"/>
  <c r="S32" i="10"/>
  <c r="P87" i="6"/>
  <c r="P87" i="7"/>
  <c r="X47" i="11"/>
  <c r="X47" i="10"/>
  <c r="V32" i="11"/>
  <c r="V32" i="10"/>
  <c r="P70" i="6"/>
  <c r="P70" i="7"/>
  <c r="W61" i="11"/>
  <c r="W61" i="10"/>
  <c r="G33" i="11"/>
  <c r="G33" i="10"/>
  <c r="L39" i="6"/>
  <c r="L39" i="7"/>
  <c r="T76" i="11"/>
  <c r="T76" i="10"/>
  <c r="K68" i="7"/>
  <c r="K68" i="6"/>
  <c r="K75" i="11"/>
  <c r="K75" i="10"/>
  <c r="R89" i="7"/>
  <c r="R89" i="6"/>
  <c r="Z30" i="11"/>
  <c r="Z30" i="10"/>
  <c r="W77" i="11"/>
  <c r="W77" i="10"/>
  <c r="F73" i="6"/>
  <c r="F73" i="7"/>
  <c r="N37" i="6"/>
  <c r="N37" i="7"/>
  <c r="DB90" i="2"/>
  <c r="Q74" i="11"/>
  <c r="Q74" i="10"/>
  <c r="N16" i="6"/>
  <c r="N16" i="7"/>
  <c r="J31" i="6"/>
  <c r="J31" i="7"/>
  <c r="B41" i="11"/>
  <c r="B41" i="10"/>
  <c r="O18" i="6"/>
  <c r="O18" i="7"/>
  <c r="K30" i="11"/>
  <c r="K30" i="10"/>
  <c r="X51" i="11"/>
  <c r="X51" i="10"/>
  <c r="O46" i="7"/>
  <c r="O46" i="6"/>
  <c r="T33" i="6"/>
  <c r="T33" i="7"/>
  <c r="E62" i="11"/>
  <c r="E62" i="10"/>
  <c r="C9" i="6"/>
  <c r="C9" i="7"/>
  <c r="M51" i="11"/>
  <c r="M51" i="10"/>
  <c r="K87" i="11"/>
  <c r="K87" i="10"/>
  <c r="Z48" i="6"/>
  <c r="Z48" i="7"/>
  <c r="R15" i="6"/>
  <c r="R15" i="7"/>
  <c r="T59" i="11"/>
  <c r="T59" i="10"/>
  <c r="O13" i="6"/>
  <c r="O13" i="7"/>
  <c r="B39" i="11"/>
  <c r="B39" i="10"/>
  <c r="D17" i="11"/>
  <c r="D17" i="10"/>
  <c r="R62" i="6"/>
  <c r="R62" i="7"/>
  <c r="S60" i="6"/>
  <c r="S60" i="7"/>
  <c r="Q41" i="11"/>
  <c r="Q41" i="10"/>
  <c r="U78" i="6"/>
  <c r="U78" i="7"/>
  <c r="Q72" i="6"/>
  <c r="Q72" i="7"/>
  <c r="T79" i="11"/>
  <c r="T79" i="10"/>
  <c r="R51" i="6"/>
  <c r="R51" i="7"/>
  <c r="S28" i="11"/>
  <c r="S28" i="10"/>
  <c r="X50" i="11"/>
  <c r="X50" i="10"/>
  <c r="T40" i="7"/>
  <c r="T40" i="6"/>
  <c r="U15" i="6"/>
  <c r="U15" i="7"/>
  <c r="D65" i="6"/>
  <c r="D65" i="7"/>
  <c r="B77" i="11"/>
  <c r="B77" i="10"/>
  <c r="H13" i="7"/>
  <c r="H13" i="6"/>
  <c r="L49" i="11"/>
  <c r="L49" i="10"/>
  <c r="C84" i="11"/>
  <c r="C84" i="10"/>
  <c r="N10" i="11"/>
  <c r="N10" i="10"/>
  <c r="U40" i="11"/>
  <c r="U40" i="10"/>
  <c r="V51" i="11"/>
  <c r="V51" i="10"/>
  <c r="N38" i="6"/>
  <c r="N38" i="7"/>
  <c r="K18" i="11"/>
  <c r="K18" i="10"/>
  <c r="N9" i="11"/>
  <c r="N9" i="10"/>
  <c r="B79" i="6"/>
  <c r="B79" i="7"/>
  <c r="U47" i="11"/>
  <c r="U47" i="10"/>
  <c r="X47" i="7"/>
  <c r="X47" i="6"/>
  <c r="K87" i="6"/>
  <c r="K87" i="7"/>
  <c r="R83" i="11"/>
  <c r="R83" i="10"/>
  <c r="R82" i="6"/>
  <c r="R82" i="7"/>
  <c r="L42" i="11"/>
  <c r="L42" i="10"/>
  <c r="R49" i="11"/>
  <c r="R49" i="10"/>
  <c r="T20" i="6"/>
  <c r="T20" i="7"/>
  <c r="L12" i="6"/>
  <c r="L12" i="7"/>
  <c r="J30" i="11"/>
  <c r="J30" i="10"/>
  <c r="R67" i="11"/>
  <c r="R67" i="10"/>
  <c r="Q63" i="11"/>
  <c r="Q63" i="10"/>
  <c r="N61" i="6"/>
  <c r="N61" i="7"/>
  <c r="R81" i="11"/>
  <c r="R81" i="10"/>
  <c r="G77" i="11"/>
  <c r="G77" i="10"/>
  <c r="P71" i="11"/>
  <c r="P71" i="10"/>
  <c r="E66" i="6"/>
  <c r="E66" i="7"/>
  <c r="C39" i="11"/>
  <c r="C39" i="10"/>
  <c r="F36" i="6"/>
  <c r="F36" i="7"/>
  <c r="F84" i="6"/>
  <c r="F84" i="7"/>
  <c r="S10" i="6"/>
  <c r="S10" i="7"/>
  <c r="AA68" i="6"/>
  <c r="AA68" i="7"/>
  <c r="Y62" i="6"/>
  <c r="Y62" i="7"/>
  <c r="M40" i="6"/>
  <c r="M40" i="7"/>
  <c r="S75" i="6"/>
  <c r="S75" i="7"/>
  <c r="R49" i="6"/>
  <c r="R49" i="7"/>
  <c r="B38" i="6"/>
  <c r="B38" i="7"/>
  <c r="K85" i="6"/>
  <c r="K85" i="7"/>
  <c r="O78" i="11"/>
  <c r="O78" i="10"/>
  <c r="X14" i="6"/>
  <c r="X14" i="7"/>
  <c r="Z74" i="7"/>
  <c r="Z74" i="6"/>
  <c r="O19" i="11"/>
  <c r="O19" i="10"/>
  <c r="F64" i="6"/>
  <c r="F64" i="7"/>
  <c r="AA80" i="11"/>
  <c r="AA80" i="10"/>
  <c r="C53" i="9"/>
  <c r="H53" i="4"/>
  <c r="T53" i="9"/>
  <c r="E57" i="4"/>
  <c r="O57" i="9"/>
  <c r="V57" i="4"/>
  <c r="M90" i="6"/>
  <c r="M90" i="7"/>
  <c r="D90" i="7"/>
  <c r="D90" i="6"/>
  <c r="B90" i="6"/>
  <c r="B90" i="7"/>
  <c r="H90" i="6"/>
  <c r="H90" i="7"/>
  <c r="I90" i="6"/>
  <c r="I90" i="7"/>
  <c r="Q90" i="6"/>
  <c r="Q90" i="7"/>
  <c r="J90" i="6"/>
  <c r="J90" i="7"/>
  <c r="H28" i="7"/>
  <c r="H28" i="6"/>
  <c r="C83" i="6"/>
  <c r="C83" i="7"/>
  <c r="B40" i="6"/>
  <c r="B40" i="7"/>
  <c r="W60" i="11"/>
  <c r="W60" i="10"/>
  <c r="K78" i="6"/>
  <c r="K78" i="7"/>
  <c r="Q53" i="9"/>
  <c r="U57" i="9"/>
  <c r="K48" i="11"/>
  <c r="K48" i="10"/>
  <c r="E80" i="6"/>
  <c r="E80" i="7"/>
  <c r="G20" i="11"/>
  <c r="G20" i="10"/>
  <c r="V70" i="11"/>
  <c r="V70" i="10"/>
  <c r="T61" i="6"/>
  <c r="T61" i="7"/>
  <c r="W46" i="11"/>
  <c r="W46" i="10"/>
  <c r="AA66" i="6"/>
  <c r="AA66" i="7"/>
  <c r="T84" i="7"/>
  <c r="T84" i="6"/>
  <c r="H10" i="6"/>
  <c r="H10" i="7"/>
  <c r="D75" i="11"/>
  <c r="D75" i="10"/>
  <c r="N89" i="11"/>
  <c r="N89" i="10"/>
  <c r="O85" i="6"/>
  <c r="O85" i="7"/>
  <c r="E14" i="11"/>
  <c r="E14" i="10"/>
  <c r="Q28" i="11"/>
  <c r="Q28" i="10"/>
  <c r="Y73" i="6"/>
  <c r="Y73" i="7"/>
  <c r="E64" i="6"/>
  <c r="E64" i="7"/>
  <c r="H50" i="7"/>
  <c r="H50" i="6"/>
  <c r="F89" i="11"/>
  <c r="F89" i="10"/>
  <c r="X42" i="11"/>
  <c r="X42" i="10"/>
  <c r="K45" i="6"/>
  <c r="K45" i="7"/>
  <c r="T37" i="11"/>
  <c r="T37" i="10"/>
  <c r="Y83" i="11"/>
  <c r="Y83" i="10"/>
  <c r="G82" i="6"/>
  <c r="G82" i="7"/>
  <c r="D42" i="11"/>
  <c r="D42" i="10"/>
  <c r="V42" i="6"/>
  <c r="V42" i="7"/>
  <c r="P44" i="6"/>
  <c r="P44" i="7"/>
  <c r="Y20" i="6"/>
  <c r="Y20" i="7"/>
  <c r="T15" i="11"/>
  <c r="T15" i="10"/>
  <c r="V12" i="11"/>
  <c r="V12" i="10"/>
  <c r="I70" i="6"/>
  <c r="I70" i="7"/>
  <c r="N67" i="11"/>
  <c r="N67" i="10"/>
  <c r="T63" i="11"/>
  <c r="T63" i="10"/>
  <c r="J61" i="7"/>
  <c r="J61" i="6"/>
  <c r="K59" i="11"/>
  <c r="K59" i="10"/>
  <c r="F81" i="6"/>
  <c r="F81" i="7"/>
  <c r="L46" i="11"/>
  <c r="L46" i="10"/>
  <c r="O33" i="11"/>
  <c r="O33" i="10"/>
  <c r="N71" i="11"/>
  <c r="N71" i="10"/>
  <c r="P29" i="6"/>
  <c r="P29" i="7"/>
  <c r="T66" i="11"/>
  <c r="T66" i="10"/>
  <c r="AA39" i="6"/>
  <c r="AA39" i="7"/>
  <c r="D34" i="6"/>
  <c r="D34" i="7"/>
  <c r="R84" i="6"/>
  <c r="R84" i="7"/>
  <c r="P76" i="11"/>
  <c r="P76" i="10"/>
  <c r="S16" i="6"/>
  <c r="S16" i="7"/>
  <c r="T10" i="6"/>
  <c r="T10" i="7"/>
  <c r="P68" i="6"/>
  <c r="P68" i="7"/>
  <c r="X58" i="11"/>
  <c r="X58" i="10"/>
  <c r="E40" i="6"/>
  <c r="E40" i="7"/>
  <c r="O75" i="6"/>
  <c r="O75" i="7"/>
  <c r="R60" i="6"/>
  <c r="R60" i="7"/>
  <c r="D43" i="11"/>
  <c r="D43" i="10"/>
  <c r="E89" i="11"/>
  <c r="E89" i="10"/>
  <c r="F41" i="6"/>
  <c r="F41" i="7"/>
  <c r="F38" i="11"/>
  <c r="F38" i="10"/>
  <c r="AA85" i="6"/>
  <c r="AA85" i="7"/>
  <c r="S78" i="11"/>
  <c r="S78" i="10"/>
  <c r="G18" i="6"/>
  <c r="G18" i="7"/>
  <c r="K14" i="11"/>
  <c r="K14" i="10"/>
  <c r="D72" i="6"/>
  <c r="D72" i="7"/>
  <c r="Y9" i="11"/>
  <c r="Y9" i="10"/>
  <c r="V28" i="11"/>
  <c r="V28" i="10"/>
  <c r="H88" i="6"/>
  <c r="H88" i="7"/>
  <c r="V79" i="11"/>
  <c r="V79" i="10"/>
  <c r="O73" i="11"/>
  <c r="O73" i="10"/>
  <c r="P11" i="11"/>
  <c r="P11" i="10"/>
  <c r="T69" i="6"/>
  <c r="T69" i="7"/>
  <c r="T51" i="6"/>
  <c r="T51" i="7"/>
  <c r="J86" i="6"/>
  <c r="J86" i="7"/>
  <c r="G66" i="6"/>
  <c r="G66" i="7"/>
  <c r="W47" i="6"/>
  <c r="W47" i="7"/>
  <c r="N50" i="6"/>
  <c r="N50" i="7"/>
  <c r="B47" i="6"/>
  <c r="B47" i="7"/>
  <c r="C82" i="11"/>
  <c r="C82" i="10"/>
  <c r="H42" i="7"/>
  <c r="H42" i="6"/>
  <c r="V15" i="11"/>
  <c r="V15" i="10"/>
  <c r="W67" i="11"/>
  <c r="W67" i="10"/>
  <c r="B59" i="11"/>
  <c r="B59" i="10"/>
  <c r="P46" i="7"/>
  <c r="P46" i="6"/>
  <c r="Z29" i="11"/>
  <c r="Z29" i="10"/>
  <c r="M36" i="6"/>
  <c r="M36" i="7"/>
  <c r="J17" i="11"/>
  <c r="J17" i="10"/>
  <c r="T62" i="11"/>
  <c r="T62" i="10"/>
  <c r="I75" i="7"/>
  <c r="I75" i="6"/>
  <c r="P89" i="6"/>
  <c r="P89" i="7"/>
  <c r="U35" i="6"/>
  <c r="U35" i="7"/>
  <c r="Z18" i="11"/>
  <c r="Z18" i="10"/>
  <c r="F9" i="6"/>
  <c r="F9" i="7"/>
  <c r="O79" i="6"/>
  <c r="O79" i="7"/>
  <c r="S11" i="11"/>
  <c r="S11" i="10"/>
  <c r="B64" i="11"/>
  <c r="B64" i="10"/>
  <c r="K37" i="11"/>
  <c r="K37" i="10"/>
  <c r="G33" i="6"/>
  <c r="G33" i="7"/>
  <c r="C45" i="11"/>
  <c r="C45" i="10"/>
  <c r="U48" i="6"/>
  <c r="U48" i="7"/>
  <c r="AA48" i="11"/>
  <c r="AA48" i="10"/>
  <c r="T87" i="11"/>
  <c r="T87" i="10"/>
  <c r="T83" i="6"/>
  <c r="T83" i="7"/>
  <c r="W80" i="11"/>
  <c r="W80" i="10"/>
  <c r="T45" i="6"/>
  <c r="T45" i="7"/>
  <c r="C43" i="11"/>
  <c r="C43" i="10"/>
  <c r="O44" i="6"/>
  <c r="O44" i="7"/>
  <c r="O20" i="6"/>
  <c r="O20" i="7"/>
  <c r="Q15" i="6"/>
  <c r="Q15" i="7"/>
  <c r="D12" i="11"/>
  <c r="D12" i="10"/>
  <c r="O70" i="6"/>
  <c r="O70" i="7"/>
  <c r="T67" i="11"/>
  <c r="T67" i="10"/>
  <c r="E63" i="11"/>
  <c r="E63" i="10"/>
  <c r="P61" i="6"/>
  <c r="P61" i="7"/>
  <c r="Q59" i="11"/>
  <c r="Q59" i="10"/>
  <c r="L81" i="6"/>
  <c r="L81" i="7"/>
  <c r="R46" i="11"/>
  <c r="R46" i="10"/>
  <c r="U33" i="11"/>
  <c r="U33" i="10"/>
  <c r="Q71" i="11"/>
  <c r="Q71" i="10"/>
  <c r="E29" i="6"/>
  <c r="E29" i="7"/>
  <c r="Z66" i="11"/>
  <c r="Z66" i="10"/>
  <c r="V39" i="7"/>
  <c r="V39" i="6"/>
  <c r="Y34" i="6"/>
  <c r="Y34" i="7"/>
  <c r="Z84" i="11"/>
  <c r="Z84" i="10"/>
  <c r="U76" i="6"/>
  <c r="U76" i="7"/>
  <c r="M17" i="11"/>
  <c r="M17" i="10"/>
  <c r="U10" i="11"/>
  <c r="U10" i="10"/>
  <c r="C68" i="11"/>
  <c r="C68" i="10"/>
  <c r="AA62" i="7"/>
  <c r="AA62" i="6"/>
  <c r="Y40" i="11"/>
  <c r="Y40" i="10"/>
  <c r="D75" i="6"/>
  <c r="D75" i="7"/>
  <c r="F31" i="6"/>
  <c r="F31" i="7"/>
  <c r="AA35" i="6"/>
  <c r="AA35" i="7"/>
  <c r="T89" i="11"/>
  <c r="T89" i="10"/>
  <c r="O49" i="11"/>
  <c r="O49" i="10"/>
  <c r="H38" i="11"/>
  <c r="H38" i="10"/>
  <c r="D35" i="6"/>
  <c r="D35" i="7"/>
  <c r="Y85" i="11"/>
  <c r="Y85" i="10"/>
  <c r="F78" i="11"/>
  <c r="F78" i="10"/>
  <c r="P14" i="6"/>
  <c r="P14" i="7"/>
  <c r="L74" i="6"/>
  <c r="L74" i="7"/>
  <c r="M72" i="6"/>
  <c r="M72" i="7"/>
  <c r="I31" i="11"/>
  <c r="I31" i="10"/>
  <c r="S28" i="6"/>
  <c r="S28" i="7"/>
  <c r="K88" i="6"/>
  <c r="K88" i="7"/>
  <c r="V19" i="11"/>
  <c r="V19" i="10"/>
  <c r="N73" i="6"/>
  <c r="N73" i="7"/>
  <c r="N11" i="6"/>
  <c r="N11" i="7"/>
  <c r="J64" i="6"/>
  <c r="J64" i="7"/>
  <c r="Y51" i="7"/>
  <c r="Y51" i="6"/>
  <c r="G29" i="7"/>
  <c r="G29" i="6"/>
  <c r="R45" i="7"/>
  <c r="R45" i="6"/>
  <c r="H37" i="11"/>
  <c r="H37" i="10"/>
  <c r="I50" i="6"/>
  <c r="I50" i="7"/>
  <c r="K40" i="11"/>
  <c r="K40" i="10"/>
  <c r="O80" i="6"/>
  <c r="O80" i="7"/>
  <c r="S44" i="11"/>
  <c r="S44" i="10"/>
  <c r="R12" i="7"/>
  <c r="R12" i="6"/>
  <c r="N63" i="11"/>
  <c r="N63" i="10"/>
  <c r="T77" i="6"/>
  <c r="T77" i="7"/>
  <c r="S71" i="6"/>
  <c r="S71" i="7"/>
  <c r="T36" i="11"/>
  <c r="T36" i="10"/>
  <c r="Q17" i="6"/>
  <c r="Q17" i="7"/>
  <c r="J68" i="7"/>
  <c r="J68" i="6"/>
  <c r="Y75" i="6"/>
  <c r="Y75" i="7"/>
  <c r="AA89" i="11"/>
  <c r="AA89" i="10"/>
  <c r="S35" i="11"/>
  <c r="S35" i="10"/>
  <c r="X14" i="11"/>
  <c r="X14" i="10"/>
  <c r="X30" i="11"/>
  <c r="X30" i="10"/>
  <c r="T19" i="6"/>
  <c r="T19" i="7"/>
  <c r="N50" i="11"/>
  <c r="N50" i="10"/>
  <c r="W50" i="6"/>
  <c r="W50" i="7"/>
  <c r="X87" i="6"/>
  <c r="X87" i="7"/>
  <c r="B83" i="6"/>
  <c r="B83" i="7"/>
  <c r="Q80" i="6"/>
  <c r="Q80" i="7"/>
  <c r="P47" i="11"/>
  <c r="P47" i="10"/>
  <c r="W28" i="11"/>
  <c r="W28" i="10"/>
  <c r="Y44" i="6"/>
  <c r="Y44" i="7"/>
  <c r="E20" i="7"/>
  <c r="E20" i="6"/>
  <c r="Z15" i="11"/>
  <c r="Z15" i="10"/>
  <c r="Q12" i="7"/>
  <c r="Q12" i="6"/>
  <c r="E70" i="6"/>
  <c r="E70" i="7"/>
  <c r="J67" i="11"/>
  <c r="J67" i="10"/>
  <c r="L63" i="11"/>
  <c r="L63" i="10"/>
  <c r="F61" i="6"/>
  <c r="F61" i="7"/>
  <c r="G59" i="11"/>
  <c r="G59" i="10"/>
  <c r="B81" i="7"/>
  <c r="B81" i="6"/>
  <c r="G46" i="11"/>
  <c r="G46" i="10"/>
  <c r="S33" i="11"/>
  <c r="S33" i="10"/>
  <c r="F71" i="11"/>
  <c r="F71" i="10"/>
  <c r="X29" i="7"/>
  <c r="X29" i="6"/>
  <c r="X66" i="11"/>
  <c r="X66" i="10"/>
  <c r="T39" i="6"/>
  <c r="T39" i="7"/>
  <c r="E34" i="6"/>
  <c r="E34" i="7"/>
  <c r="F84" i="11"/>
  <c r="F84" i="10"/>
  <c r="C76" i="6"/>
  <c r="C76" i="7"/>
  <c r="S16" i="11"/>
  <c r="S16" i="10"/>
  <c r="Z10" i="7"/>
  <c r="Z10" i="6"/>
  <c r="S68" i="6"/>
  <c r="S68" i="7"/>
  <c r="Q62" i="6"/>
  <c r="Q62" i="7"/>
  <c r="K40" i="7"/>
  <c r="K40" i="6"/>
  <c r="U75" i="11"/>
  <c r="U75" i="10"/>
  <c r="V60" i="11"/>
  <c r="V60" i="10"/>
  <c r="H43" i="6"/>
  <c r="H43" i="7"/>
  <c r="J89" i="11"/>
  <c r="J89" i="10"/>
  <c r="Y49" i="6"/>
  <c r="Y49" i="7"/>
  <c r="W38" i="6"/>
  <c r="W38" i="7"/>
  <c r="D35" i="11"/>
  <c r="D35" i="10"/>
  <c r="C85" i="11"/>
  <c r="C85" i="10"/>
  <c r="P18" i="6"/>
  <c r="P18" i="7"/>
  <c r="V14" i="11"/>
  <c r="V14" i="10"/>
  <c r="K74" i="11"/>
  <c r="K74" i="10"/>
  <c r="D72" i="11"/>
  <c r="D72" i="10"/>
  <c r="T30" i="6"/>
  <c r="T30" i="7"/>
  <c r="J28" i="6"/>
  <c r="J28" i="7"/>
  <c r="H79" i="6"/>
  <c r="H79" i="7"/>
  <c r="N19" i="6"/>
  <c r="N19" i="7"/>
  <c r="N73" i="11"/>
  <c r="N73" i="10"/>
  <c r="J69" i="11"/>
  <c r="J69" i="10"/>
  <c r="K64" i="11"/>
  <c r="K64" i="10"/>
  <c r="Q86" i="6"/>
  <c r="Q86" i="7"/>
  <c r="W48" i="11"/>
  <c r="W48" i="10"/>
  <c r="I80" i="11"/>
  <c r="I80" i="10"/>
  <c r="L74" i="11"/>
  <c r="L74" i="10"/>
  <c r="B66" i="11"/>
  <c r="B66" i="10"/>
  <c r="G90" i="11"/>
  <c r="G90" i="10"/>
  <c r="X90" i="11"/>
  <c r="X90" i="10"/>
  <c r="D90" i="11"/>
  <c r="D90" i="10"/>
  <c r="R90" i="11"/>
  <c r="R90" i="10"/>
  <c r="J90" i="11"/>
  <c r="J90" i="10"/>
  <c r="C90" i="11"/>
  <c r="C90" i="10"/>
  <c r="W53" i="4"/>
  <c r="B53" i="4"/>
  <c r="Z53" i="9"/>
  <c r="S57" i="4"/>
  <c r="Y57" i="9"/>
  <c r="X57" i="9"/>
  <c r="Y37" i="11"/>
  <c r="Y37" i="10"/>
  <c r="Y78" i="6"/>
  <c r="Y78" i="7"/>
  <c r="P30" i="11"/>
  <c r="P30" i="10"/>
  <c r="AA50" i="6"/>
  <c r="AA50" i="7"/>
  <c r="M78" i="11"/>
  <c r="M78" i="10"/>
  <c r="K33" i="11"/>
  <c r="K33" i="10"/>
  <c r="Z71" i="6"/>
  <c r="Z71" i="7"/>
  <c r="B84" i="6"/>
  <c r="B84" i="7"/>
  <c r="E75" i="11"/>
  <c r="E75" i="10"/>
  <c r="X89" i="10"/>
  <c r="X89" i="11"/>
  <c r="H85" i="6"/>
  <c r="H85" i="7"/>
  <c r="M71" i="11"/>
  <c r="M71" i="10"/>
  <c r="B68" i="11"/>
  <c r="B68" i="10"/>
  <c r="J19" i="6"/>
  <c r="J19" i="7"/>
  <c r="D69" i="6"/>
  <c r="D69" i="7"/>
  <c r="F13" i="11"/>
  <c r="F13" i="10"/>
  <c r="K36" i="11"/>
  <c r="K36" i="10"/>
  <c r="P89" i="11"/>
  <c r="P89" i="10"/>
  <c r="L19" i="7"/>
  <c r="L19" i="6"/>
  <c r="D83" i="7"/>
  <c r="D83" i="6"/>
  <c r="O71" i="6"/>
  <c r="O71" i="7"/>
  <c r="H68" i="11"/>
  <c r="H68" i="10"/>
  <c r="AA38" i="6"/>
  <c r="AA38" i="7"/>
  <c r="W9" i="11"/>
  <c r="W9" i="10"/>
  <c r="M19" i="11"/>
  <c r="M19" i="10"/>
  <c r="M47" i="11"/>
  <c r="M47" i="10"/>
  <c r="N71" i="6"/>
  <c r="N71" i="7"/>
  <c r="K68" i="11"/>
  <c r="K68" i="10"/>
  <c r="N78" i="6"/>
  <c r="N78" i="7"/>
  <c r="Y15" i="6"/>
  <c r="Y15" i="7"/>
  <c r="X84" i="11"/>
  <c r="X84" i="10"/>
  <c r="N68" i="11"/>
  <c r="N68" i="10"/>
  <c r="U74" i="6"/>
  <c r="U74" i="7"/>
  <c r="H19" i="11"/>
  <c r="H19" i="10"/>
  <c r="F53" i="4"/>
  <c r="L57" i="9"/>
  <c r="U42" i="11"/>
  <c r="U42" i="10"/>
  <c r="H83" i="11"/>
  <c r="H83" i="10"/>
  <c r="G32" i="11"/>
  <c r="G32" i="10"/>
  <c r="V15" i="6"/>
  <c r="V15" i="7"/>
  <c r="W65" i="11"/>
  <c r="W65" i="10"/>
  <c r="H81" i="11"/>
  <c r="H81" i="10"/>
  <c r="L71" i="6"/>
  <c r="L71" i="7"/>
  <c r="T34" i="11"/>
  <c r="T34" i="10"/>
  <c r="Y10" i="7"/>
  <c r="Y10" i="6"/>
  <c r="G40" i="6"/>
  <c r="G40" i="7"/>
  <c r="T43" i="6"/>
  <c r="T43" i="7"/>
  <c r="J35" i="6"/>
  <c r="J35" i="7"/>
  <c r="Z14" i="6"/>
  <c r="Z14" i="7"/>
  <c r="E30" i="6"/>
  <c r="E30" i="7"/>
  <c r="X73" i="6"/>
  <c r="X73" i="7"/>
  <c r="N69" i="6"/>
  <c r="N69" i="7"/>
  <c r="D86" i="6"/>
  <c r="D86" i="7"/>
  <c r="Y50" i="11"/>
  <c r="Y50" i="10"/>
  <c r="J45" i="11"/>
  <c r="J45" i="10"/>
  <c r="V45" i="6"/>
  <c r="V45" i="7"/>
  <c r="L37" i="11"/>
  <c r="L37" i="10"/>
  <c r="Y83" i="7"/>
  <c r="Y83" i="6"/>
  <c r="X82" i="11"/>
  <c r="X82" i="10"/>
  <c r="D80" i="6"/>
  <c r="D80" i="7"/>
  <c r="U45" i="11"/>
  <c r="U45" i="10"/>
  <c r="I39" i="11"/>
  <c r="I39" i="10"/>
  <c r="X20" i="7"/>
  <c r="X20" i="6"/>
  <c r="M12" i="11"/>
  <c r="M12" i="10"/>
  <c r="M12" i="7"/>
  <c r="M12" i="6"/>
  <c r="S70" i="11"/>
  <c r="S70" i="10"/>
  <c r="M67" i="11"/>
  <c r="M67" i="10"/>
  <c r="L65" i="11"/>
  <c r="L65" i="10"/>
  <c r="B61" i="11"/>
  <c r="B61" i="10"/>
  <c r="J59" i="7"/>
  <c r="J59" i="6"/>
  <c r="F81" i="11"/>
  <c r="F81" i="10"/>
  <c r="N77" i="11"/>
  <c r="N77" i="10"/>
  <c r="P33" i="11"/>
  <c r="P33" i="10"/>
  <c r="O13" i="11"/>
  <c r="O13" i="10"/>
  <c r="N29" i="7"/>
  <c r="N29" i="6"/>
  <c r="U66" i="11"/>
  <c r="U66" i="10"/>
  <c r="X39" i="6"/>
  <c r="X39" i="7"/>
  <c r="C36" i="7"/>
  <c r="C36" i="6"/>
  <c r="T84" i="11"/>
  <c r="T84" i="10"/>
  <c r="O76" i="7"/>
  <c r="O76" i="6"/>
  <c r="E16" i="11"/>
  <c r="E16" i="10"/>
  <c r="M10" i="11"/>
  <c r="M10" i="10"/>
  <c r="O68" i="6"/>
  <c r="O68" i="7"/>
  <c r="K62" i="6"/>
  <c r="K62" i="7"/>
  <c r="Z40" i="6"/>
  <c r="Z40" i="7"/>
  <c r="Q75" i="11"/>
  <c r="Q75" i="10"/>
  <c r="F60" i="11"/>
  <c r="F60" i="10"/>
  <c r="S46" i="6"/>
  <c r="S46" i="7"/>
  <c r="F89" i="6"/>
  <c r="F89" i="7"/>
  <c r="AA41" i="6"/>
  <c r="AA41" i="7"/>
  <c r="J38" i="6"/>
  <c r="J38" i="7"/>
  <c r="I88" i="11"/>
  <c r="I88" i="10"/>
  <c r="F78" i="7"/>
  <c r="F78" i="6"/>
  <c r="G18" i="11"/>
  <c r="G18" i="10"/>
  <c r="K14" i="6"/>
  <c r="K14" i="7"/>
  <c r="I74" i="6"/>
  <c r="I74" i="7"/>
  <c r="R9" i="6"/>
  <c r="R9" i="7"/>
  <c r="AA30" i="11"/>
  <c r="AA30" i="10"/>
  <c r="F88" i="11"/>
  <c r="F88" i="10"/>
  <c r="U79" i="6"/>
  <c r="U79" i="7"/>
  <c r="O19" i="7"/>
  <c r="O19" i="6"/>
  <c r="AA11" i="11"/>
  <c r="AA11" i="10"/>
  <c r="S69" i="6"/>
  <c r="S69" i="7"/>
  <c r="P64" i="11"/>
  <c r="P64" i="10"/>
  <c r="J86" i="11"/>
  <c r="J86" i="10"/>
  <c r="G83" i="11"/>
  <c r="G83" i="10"/>
  <c r="F37" i="6"/>
  <c r="F37" i="7"/>
  <c r="AA44" i="6"/>
  <c r="AA44" i="7"/>
  <c r="V87" i="6"/>
  <c r="V87" i="7"/>
  <c r="O42" i="6"/>
  <c r="O42" i="7"/>
  <c r="R20" i="11"/>
  <c r="R20" i="10"/>
  <c r="N70" i="11"/>
  <c r="N70" i="10"/>
  <c r="Z63" i="6"/>
  <c r="Z63" i="7"/>
  <c r="I19" i="11"/>
  <c r="I19" i="10"/>
  <c r="J13" i="6"/>
  <c r="J13" i="7"/>
  <c r="T51" i="11"/>
  <c r="T51" i="10"/>
  <c r="W84" i="11"/>
  <c r="W84" i="10"/>
  <c r="M10" i="6"/>
  <c r="M10" i="7"/>
  <c r="H51" i="11"/>
  <c r="H51" i="10"/>
  <c r="U38" i="6"/>
  <c r="U38" i="7"/>
  <c r="U41" i="11"/>
  <c r="U41" i="10"/>
  <c r="D78" i="6"/>
  <c r="D78" i="7"/>
  <c r="I74" i="11"/>
  <c r="I74" i="10"/>
  <c r="G88" i="11"/>
  <c r="G88" i="10"/>
  <c r="K11" i="11"/>
  <c r="K11" i="10"/>
  <c r="V69" i="6"/>
  <c r="V69" i="7"/>
  <c r="L86" i="7"/>
  <c r="L86" i="6"/>
  <c r="T48" i="11"/>
  <c r="T48" i="10"/>
  <c r="Z37" i="7"/>
  <c r="Z37" i="6"/>
  <c r="D50" i="11"/>
  <c r="D50" i="10"/>
  <c r="M50" i="6"/>
  <c r="M50" i="7"/>
  <c r="J87" i="11"/>
  <c r="J87" i="10"/>
  <c r="L83" i="6"/>
  <c r="L83" i="7"/>
  <c r="AA80" i="6"/>
  <c r="AA80" i="7"/>
  <c r="F47" i="11"/>
  <c r="F47" i="10"/>
  <c r="P39" i="11"/>
  <c r="P39" i="10"/>
  <c r="O44" i="11"/>
  <c r="O44" i="10"/>
  <c r="T32" i="11"/>
  <c r="T32" i="10"/>
  <c r="O15" i="11"/>
  <c r="O15" i="10"/>
  <c r="F12" i="6"/>
  <c r="F12" i="7"/>
  <c r="B28" i="11"/>
  <c r="B28" i="10"/>
  <c r="L65" i="6"/>
  <c r="L65" i="7"/>
  <c r="F63" i="11"/>
  <c r="F63" i="10"/>
  <c r="AA61" i="6"/>
  <c r="AA61" i="7"/>
  <c r="I79" i="11"/>
  <c r="I79" i="10"/>
  <c r="N77" i="6"/>
  <c r="N77" i="7"/>
  <c r="S46" i="11"/>
  <c r="S46" i="10"/>
  <c r="AA13" i="7"/>
  <c r="AA13" i="6"/>
  <c r="X71" i="6"/>
  <c r="X71" i="7"/>
  <c r="U29" i="11"/>
  <c r="U29" i="10"/>
  <c r="B34" i="6"/>
  <c r="B34" i="7"/>
  <c r="I39" i="6"/>
  <c r="I39" i="7"/>
  <c r="Y34" i="11"/>
  <c r="Y34" i="10"/>
  <c r="H84" i="6"/>
  <c r="H84" i="7"/>
  <c r="D76" i="11"/>
  <c r="D76" i="10"/>
  <c r="Q16" i="6"/>
  <c r="Q16" i="7"/>
  <c r="Z10" i="11"/>
  <c r="Z10" i="10"/>
  <c r="N68" i="6"/>
  <c r="N68" i="7"/>
  <c r="P58" i="11"/>
  <c r="P58" i="10"/>
  <c r="AA40" i="11"/>
  <c r="AA40" i="10"/>
  <c r="M75" i="6"/>
  <c r="M75" i="7"/>
  <c r="P60" i="7"/>
  <c r="P60" i="6"/>
  <c r="Y43" i="11"/>
  <c r="Y43" i="10"/>
  <c r="W89" i="11"/>
  <c r="W89" i="10"/>
  <c r="W41" i="6"/>
  <c r="W41" i="7"/>
  <c r="F38" i="6"/>
  <c r="F38" i="7"/>
  <c r="W88" i="11"/>
  <c r="W88" i="10"/>
  <c r="H78" i="6"/>
  <c r="H78" i="7"/>
  <c r="Q18" i="11"/>
  <c r="Q18" i="10"/>
  <c r="D14" i="6"/>
  <c r="D14" i="7"/>
  <c r="W74" i="6"/>
  <c r="W74" i="7"/>
  <c r="Z9" i="11"/>
  <c r="Z9" i="10"/>
  <c r="D30" i="6"/>
  <c r="D30" i="7"/>
  <c r="D28" i="6"/>
  <c r="D28" i="7"/>
  <c r="W79" i="11"/>
  <c r="W79" i="10"/>
  <c r="H19" i="6"/>
  <c r="H19" i="7"/>
  <c r="F73" i="11"/>
  <c r="F73" i="10"/>
  <c r="N69" i="11"/>
  <c r="N69" i="10"/>
  <c r="M64" i="11"/>
  <c r="M64" i="10"/>
  <c r="Y86" i="6"/>
  <c r="Y86" i="7"/>
  <c r="C49" i="11"/>
  <c r="C49" i="10"/>
  <c r="M80" i="11"/>
  <c r="M80" i="10"/>
  <c r="S9" i="11"/>
  <c r="S9" i="10"/>
  <c r="W33" i="6"/>
  <c r="W33" i="7"/>
  <c r="F87" i="11"/>
  <c r="F87" i="10"/>
  <c r="F48" i="6"/>
  <c r="F48" i="7"/>
  <c r="U32" i="11"/>
  <c r="U32" i="10"/>
  <c r="N70" i="6"/>
  <c r="N70" i="7"/>
  <c r="E61" i="11"/>
  <c r="E61" i="10"/>
  <c r="F46" i="11"/>
  <c r="F46" i="10"/>
  <c r="C66" i="6"/>
  <c r="C66" i="7"/>
  <c r="M34" i="11"/>
  <c r="M34" i="10"/>
  <c r="E16" i="7"/>
  <c r="E16" i="6"/>
  <c r="V58" i="11"/>
  <c r="V58" i="10"/>
  <c r="D60" i="11"/>
  <c r="D60" i="10"/>
  <c r="O49" i="6"/>
  <c r="O49" i="7"/>
  <c r="M86" i="6"/>
  <c r="M86" i="7"/>
  <c r="AA74" i="6"/>
  <c r="AA74" i="7"/>
  <c r="G28" i="6"/>
  <c r="G28" i="7"/>
  <c r="C42" i="6"/>
  <c r="C42" i="7"/>
  <c r="V42" i="11"/>
  <c r="V42" i="10"/>
  <c r="I37" i="11"/>
  <c r="I37" i="10"/>
  <c r="E87" i="11"/>
  <c r="E87" i="10"/>
  <c r="S82" i="7"/>
  <c r="S82" i="6"/>
  <c r="X80" i="6"/>
  <c r="X80" i="7"/>
  <c r="E50" i="11"/>
  <c r="E50" i="10"/>
  <c r="O43" i="6"/>
  <c r="O43" i="7"/>
  <c r="C44" i="11"/>
  <c r="C44" i="10"/>
  <c r="Y32" i="6"/>
  <c r="Y32" i="7"/>
  <c r="X15" i="7"/>
  <c r="X15" i="6"/>
  <c r="C10" i="6"/>
  <c r="C10" i="7"/>
  <c r="E67" i="7"/>
  <c r="E67" i="6"/>
  <c r="S65" i="6"/>
  <c r="S65" i="7"/>
  <c r="T63" i="6"/>
  <c r="T63" i="7"/>
  <c r="Q61" i="6"/>
  <c r="Q61" i="7"/>
  <c r="W81" i="11"/>
  <c r="W81" i="10"/>
  <c r="AA77" i="11"/>
  <c r="AA77" i="10"/>
  <c r="Q46" i="11"/>
  <c r="Q46" i="10"/>
  <c r="X13" i="11"/>
  <c r="X13" i="10"/>
  <c r="U71" i="11"/>
  <c r="U71" i="10"/>
  <c r="S29" i="11"/>
  <c r="S29" i="10"/>
  <c r="R34" i="6"/>
  <c r="R34" i="7"/>
  <c r="G39" i="6"/>
  <c r="G39" i="7"/>
  <c r="O34" i="11"/>
  <c r="O34" i="10"/>
  <c r="Q84" i="11"/>
  <c r="Q84" i="10"/>
  <c r="O17" i="7"/>
  <c r="O17" i="6"/>
  <c r="Z16" i="11"/>
  <c r="Z16" i="10"/>
  <c r="P10" i="11"/>
  <c r="P10" i="10"/>
  <c r="D68" i="6"/>
  <c r="D68" i="7"/>
  <c r="Z58" i="7"/>
  <c r="Z58" i="6"/>
  <c r="O40" i="11"/>
  <c r="O40" i="10"/>
  <c r="C75" i="6"/>
  <c r="C75" i="7"/>
  <c r="F60" i="7"/>
  <c r="F60" i="6"/>
  <c r="K43" i="6"/>
  <c r="K43" i="7"/>
  <c r="K89" i="11"/>
  <c r="K89" i="10"/>
  <c r="C41" i="6"/>
  <c r="C41" i="7"/>
  <c r="L38" i="11"/>
  <c r="L38" i="10"/>
  <c r="W85" i="6"/>
  <c r="W85" i="7"/>
  <c r="J78" i="6"/>
  <c r="J78" i="7"/>
  <c r="K18" i="6"/>
  <c r="K18" i="7"/>
  <c r="W14" i="11"/>
  <c r="W14" i="10"/>
  <c r="L72" i="7"/>
  <c r="L72" i="6"/>
  <c r="T9" i="11"/>
  <c r="T9" i="10"/>
  <c r="O30" i="11"/>
  <c r="O30" i="10"/>
  <c r="T88" i="6"/>
  <c r="T88" i="7"/>
  <c r="I79" i="6"/>
  <c r="I79" i="7"/>
  <c r="C19" i="6"/>
  <c r="C19" i="7"/>
  <c r="I11" i="6"/>
  <c r="I11" i="7"/>
  <c r="X69" i="6"/>
  <c r="X69" i="7"/>
  <c r="X51" i="6"/>
  <c r="X51" i="7"/>
  <c r="N86" i="6"/>
  <c r="N86" i="7"/>
  <c r="G70" i="11"/>
  <c r="G70" i="10"/>
  <c r="P44" i="11"/>
  <c r="P44" i="10"/>
  <c r="H48" i="11"/>
  <c r="H48" i="10"/>
  <c r="I53" i="4"/>
  <c r="O53" i="9"/>
  <c r="T53" i="4"/>
  <c r="P53" i="9"/>
  <c r="U57" i="4"/>
  <c r="AA57" i="9"/>
  <c r="B57" i="9"/>
  <c r="C71" i="11"/>
  <c r="C71" i="10"/>
  <c r="X43" i="11"/>
  <c r="X43" i="10"/>
  <c r="P28" i="6"/>
  <c r="P28" i="7"/>
  <c r="W82" i="6"/>
  <c r="W82" i="7"/>
  <c r="W46" i="6"/>
  <c r="W46" i="7"/>
  <c r="L70" i="6"/>
  <c r="L70" i="7"/>
  <c r="D77" i="11"/>
  <c r="D77" i="10"/>
  <c r="V71" i="6"/>
  <c r="V71" i="7"/>
  <c r="Q66" i="6"/>
  <c r="Q66" i="7"/>
  <c r="P39" i="6"/>
  <c r="P39" i="7"/>
  <c r="R34" i="11"/>
  <c r="R34" i="10"/>
  <c r="U10" i="7"/>
  <c r="U10" i="6"/>
  <c r="Y89" i="11"/>
  <c r="Y89" i="10"/>
  <c r="F28" i="7"/>
  <c r="F28" i="6"/>
  <c r="K69" i="6"/>
  <c r="K69" i="7"/>
  <c r="H75" i="6"/>
  <c r="H75" i="7"/>
  <c r="M73" i="6"/>
  <c r="M73" i="7"/>
  <c r="E15" i="6"/>
  <c r="E15" i="7"/>
  <c r="J71" i="11"/>
  <c r="J71" i="10"/>
  <c r="J68" i="11"/>
  <c r="J68" i="10"/>
  <c r="V78" i="11"/>
  <c r="V78" i="10"/>
  <c r="U73" i="6"/>
  <c r="U73" i="7"/>
  <c r="E64" i="11"/>
  <c r="E64" i="10"/>
  <c r="W10" i="6"/>
  <c r="W10" i="7"/>
  <c r="C85" i="6"/>
  <c r="C85" i="7"/>
  <c r="E50" i="6"/>
  <c r="E50" i="7"/>
  <c r="P15" i="6"/>
  <c r="P15" i="7"/>
  <c r="Z36" i="11"/>
  <c r="Z36" i="10"/>
  <c r="O68" i="11"/>
  <c r="O68" i="10"/>
  <c r="M85" i="6"/>
  <c r="M85" i="7"/>
  <c r="V9" i="11"/>
  <c r="V9" i="10"/>
  <c r="AA64" i="11"/>
  <c r="AA64" i="10"/>
  <c r="L53" i="9"/>
  <c r="L57" i="4"/>
  <c r="U62" i="11"/>
  <c r="U62" i="10"/>
  <c r="E51" i="11"/>
  <c r="E51" i="10"/>
  <c r="K42" i="6"/>
  <c r="K42" i="7"/>
  <c r="V83" i="6"/>
  <c r="V83" i="7"/>
  <c r="S35" i="6"/>
  <c r="S35" i="7"/>
  <c r="P67" i="7"/>
  <c r="P67" i="6"/>
  <c r="T46" i="11"/>
  <c r="T46" i="10"/>
  <c r="J39" i="11"/>
  <c r="J39" i="10"/>
  <c r="V17" i="6"/>
  <c r="V17" i="7"/>
  <c r="P51" i="11"/>
  <c r="P51" i="10"/>
  <c r="Q89" i="11"/>
  <c r="Q89" i="10"/>
  <c r="H85" i="11"/>
  <c r="H85" i="10"/>
  <c r="T72" i="6"/>
  <c r="T72" i="7"/>
  <c r="E79" i="6"/>
  <c r="E79" i="7"/>
  <c r="Z86" i="11"/>
  <c r="Z86" i="10"/>
  <c r="H45" i="6"/>
  <c r="H45" i="7"/>
  <c r="AA20" i="6"/>
  <c r="AA20" i="7"/>
  <c r="Y77" i="11"/>
  <c r="Y77" i="10"/>
  <c r="F10" i="11"/>
  <c r="F10" i="10"/>
  <c r="X38" i="7"/>
  <c r="X38" i="6"/>
  <c r="B88" i="7"/>
  <c r="B88" i="6"/>
  <c r="W47" i="11"/>
  <c r="W47" i="10"/>
  <c r="Q48" i="11"/>
  <c r="Q48" i="10"/>
  <c r="I45" i="7"/>
  <c r="I45" i="6"/>
  <c r="W20" i="6"/>
  <c r="W20" i="7"/>
  <c r="J70" i="6"/>
  <c r="J70" i="7"/>
  <c r="Q61" i="11"/>
  <c r="Q61" i="10"/>
  <c r="L46" i="6"/>
  <c r="L46" i="7"/>
  <c r="N29" i="11"/>
  <c r="N29" i="10"/>
  <c r="AA34" i="6"/>
  <c r="AA34" i="7"/>
  <c r="Y16" i="11"/>
  <c r="Y16" i="10"/>
  <c r="T58" i="11"/>
  <c r="T58" i="10"/>
  <c r="AA46" i="7"/>
  <c r="AA46" i="6"/>
  <c r="K38" i="6"/>
  <c r="K38" i="7"/>
  <c r="X18" i="6"/>
  <c r="X18" i="7"/>
  <c r="F72" i="11"/>
  <c r="F72" i="10"/>
  <c r="R79" i="6"/>
  <c r="R79" i="7"/>
  <c r="AA69" i="11"/>
  <c r="AA69" i="10"/>
  <c r="R48" i="11"/>
  <c r="R48" i="10"/>
  <c r="M13" i="11"/>
  <c r="M13" i="10"/>
  <c r="L85" i="11"/>
  <c r="L85" i="10"/>
  <c r="J20" i="6"/>
  <c r="J20" i="7"/>
  <c r="E70" i="11"/>
  <c r="E70" i="10"/>
  <c r="F77" i="11"/>
  <c r="F77" i="10"/>
  <c r="R29" i="11"/>
  <c r="R29" i="10"/>
  <c r="E17" i="11"/>
  <c r="E17" i="10"/>
  <c r="M62" i="11"/>
  <c r="M62" i="10"/>
  <c r="K31" i="6"/>
  <c r="K31" i="7"/>
  <c r="P49" i="6"/>
  <c r="P49" i="7"/>
  <c r="V74" i="11"/>
  <c r="V74" i="10"/>
  <c r="J28" i="11"/>
  <c r="J28" i="10"/>
  <c r="U87" i="6"/>
  <c r="U87" i="7"/>
  <c r="P37" i="6"/>
  <c r="P37" i="7"/>
  <c r="AA37" i="11"/>
  <c r="AA37" i="10"/>
  <c r="AA87" i="11"/>
  <c r="AA87" i="10"/>
  <c r="K82" i="11"/>
  <c r="K82" i="10"/>
  <c r="P80" i="11"/>
  <c r="P80" i="10"/>
  <c r="L48" i="6"/>
  <c r="L48" i="7"/>
  <c r="C80" i="11"/>
  <c r="C80" i="10"/>
  <c r="C9" i="11"/>
  <c r="C9" i="10"/>
  <c r="T70" i="11"/>
  <c r="T70" i="10"/>
  <c r="N65" i="7"/>
  <c r="N65" i="6"/>
  <c r="D63" i="6"/>
  <c r="D63" i="7"/>
  <c r="I46" i="6"/>
  <c r="I46" i="7"/>
  <c r="L13" i="11"/>
  <c r="L13" i="10"/>
  <c r="E71" i="6"/>
  <c r="E71" i="7"/>
  <c r="O31" i="11"/>
  <c r="O31" i="10"/>
  <c r="W39" i="6"/>
  <c r="W39" i="7"/>
  <c r="J10" i="6"/>
  <c r="J10" i="7"/>
  <c r="B62" i="11"/>
  <c r="B62" i="10"/>
  <c r="J75" i="11"/>
  <c r="J75" i="10"/>
  <c r="M31" i="6"/>
  <c r="M31" i="7"/>
  <c r="O60" i="11"/>
  <c r="O60" i="10"/>
  <c r="Q43" i="11"/>
  <c r="Q43" i="10"/>
  <c r="P41" i="11"/>
  <c r="P41" i="10"/>
  <c r="O85" i="11"/>
  <c r="O85" i="10"/>
  <c r="P14" i="11"/>
  <c r="P14" i="10"/>
  <c r="E72" i="11"/>
  <c r="E72" i="10"/>
  <c r="U9" i="11"/>
  <c r="U9" i="10"/>
  <c r="Y28" i="6"/>
  <c r="Y28" i="7"/>
  <c r="S19" i="6"/>
  <c r="S19" i="7"/>
  <c r="K11" i="7"/>
  <c r="K11" i="6"/>
  <c r="O69" i="6"/>
  <c r="O69" i="7"/>
  <c r="L64" i="11"/>
  <c r="L64" i="10"/>
  <c r="AA50" i="11"/>
  <c r="AA50" i="10"/>
  <c r="V50" i="6"/>
  <c r="V50" i="7"/>
  <c r="B50" i="11"/>
  <c r="B50" i="10"/>
  <c r="Y57" i="4"/>
  <c r="W90" i="6"/>
  <c r="W90" i="7"/>
  <c r="B82" i="11"/>
  <c r="B82" i="10"/>
  <c r="T64" i="11"/>
  <c r="T64" i="10"/>
  <c r="I34" i="11"/>
  <c r="I34" i="10"/>
  <c r="O65" i="6"/>
  <c r="O65" i="7"/>
  <c r="G13" i="11"/>
  <c r="G13" i="10"/>
  <c r="Q17" i="11"/>
  <c r="Q17" i="10"/>
  <c r="M41" i="11"/>
  <c r="M41" i="10"/>
  <c r="J72" i="11"/>
  <c r="J72" i="10"/>
  <c r="T69" i="11"/>
  <c r="T69" i="10"/>
  <c r="K50" i="6"/>
  <c r="K50" i="7"/>
  <c r="N83" i="7"/>
  <c r="N83" i="6"/>
  <c r="P48" i="6"/>
  <c r="P48" i="7"/>
  <c r="H20" i="11"/>
  <c r="H20" i="10"/>
  <c r="L15" i="6"/>
  <c r="L15" i="7"/>
  <c r="AA67" i="6"/>
  <c r="AA67" i="7"/>
  <c r="Z59" i="11"/>
  <c r="Z59" i="10"/>
  <c r="C77" i="11"/>
  <c r="C77" i="10"/>
  <c r="P13" i="6"/>
  <c r="P13" i="7"/>
  <c r="T49" i="11"/>
  <c r="T49" i="10"/>
  <c r="B88" i="11"/>
  <c r="B88" i="10"/>
  <c r="N17" i="6"/>
  <c r="N17" i="7"/>
  <c r="E68" i="11"/>
  <c r="E68" i="10"/>
  <c r="Y58" i="6"/>
  <c r="Y58" i="7"/>
  <c r="G31" i="6"/>
  <c r="G31" i="7"/>
  <c r="H89" i="11"/>
  <c r="H89" i="10"/>
  <c r="B38" i="11"/>
  <c r="B38" i="10"/>
  <c r="S85" i="11"/>
  <c r="S85" i="10"/>
  <c r="W14" i="6"/>
  <c r="W14" i="7"/>
  <c r="R72" i="11"/>
  <c r="R72" i="10"/>
  <c r="V28" i="6"/>
  <c r="V28" i="7"/>
  <c r="Z19" i="6"/>
  <c r="Z19" i="7"/>
  <c r="H64" i="7"/>
  <c r="H64" i="6"/>
  <c r="J48" i="11"/>
  <c r="J48" i="10"/>
  <c r="B71" i="11"/>
  <c r="B71" i="10"/>
  <c r="M37" i="6"/>
  <c r="M37" i="7"/>
  <c r="C11" i="6"/>
  <c r="C11" i="7"/>
  <c r="R13" i="11"/>
  <c r="R13" i="10"/>
  <c r="L84" i="6"/>
  <c r="L84" i="7"/>
  <c r="O28" i="11"/>
  <c r="O28" i="10"/>
  <c r="H74" i="6"/>
  <c r="H74" i="7"/>
  <c r="I19" i="6"/>
  <c r="I19" i="7"/>
  <c r="B86" i="11"/>
  <c r="B86" i="10"/>
  <c r="M47" i="7"/>
  <c r="M47" i="6"/>
  <c r="P42" i="11"/>
  <c r="P42" i="10"/>
  <c r="Z37" i="11"/>
  <c r="Z37" i="10"/>
  <c r="M82" i="6"/>
  <c r="M82" i="7"/>
  <c r="Q50" i="11"/>
  <c r="Q50" i="10"/>
  <c r="O20" i="11"/>
  <c r="O20" i="10"/>
  <c r="J15" i="6"/>
  <c r="J15" i="7"/>
  <c r="L67" i="6"/>
  <c r="L67" i="7"/>
  <c r="F63" i="6"/>
  <c r="F63" i="7"/>
  <c r="AA81" i="6"/>
  <c r="AA81" i="7"/>
  <c r="C46" i="6"/>
  <c r="C46" i="7"/>
  <c r="X13" i="7"/>
  <c r="X13" i="6"/>
  <c r="W66" i="6"/>
  <c r="W66" i="7"/>
  <c r="L36" i="11"/>
  <c r="L36" i="10"/>
  <c r="U17" i="6"/>
  <c r="U17" i="7"/>
  <c r="L10" i="6"/>
  <c r="L10" i="7"/>
  <c r="L58" i="6"/>
  <c r="L58" i="7"/>
  <c r="Y31" i="11"/>
  <c r="Y31" i="10"/>
  <c r="U89" i="6"/>
  <c r="U89" i="7"/>
  <c r="U85" i="6"/>
  <c r="U85" i="7"/>
  <c r="G69" i="11"/>
  <c r="G69" i="10"/>
  <c r="S79" i="6"/>
  <c r="S79" i="7"/>
  <c r="Q69" i="7"/>
  <c r="Q69" i="6"/>
  <c r="I83" i="6"/>
  <c r="I83" i="7"/>
  <c r="R45" i="11"/>
  <c r="R45" i="10"/>
  <c r="B75" i="11"/>
  <c r="B75" i="10"/>
  <c r="F66" i="11"/>
  <c r="F66" i="10"/>
  <c r="V41" i="11"/>
  <c r="V41" i="10"/>
  <c r="J88" i="6"/>
  <c r="J88" i="7"/>
  <c r="U83" i="6"/>
  <c r="U83" i="7"/>
  <c r="Z51" i="11"/>
  <c r="Z51" i="10"/>
  <c r="S67" i="6"/>
  <c r="S67" i="7"/>
  <c r="J59" i="11"/>
  <c r="J59" i="10"/>
  <c r="U13" i="6"/>
  <c r="U13" i="7"/>
  <c r="O36" i="11"/>
  <c r="O36" i="10"/>
  <c r="Z16" i="7"/>
  <c r="Z16" i="6"/>
  <c r="F40" i="11"/>
  <c r="F40" i="10"/>
  <c r="K89" i="6"/>
  <c r="K89" i="7"/>
  <c r="V85" i="11"/>
  <c r="V85" i="10"/>
  <c r="C11" i="11"/>
  <c r="C11" i="10"/>
  <c r="U88" i="11"/>
  <c r="U88" i="10"/>
  <c r="W11" i="11"/>
  <c r="W11" i="10"/>
  <c r="W51" i="11"/>
  <c r="W51" i="10"/>
  <c r="B45" i="11"/>
  <c r="B45" i="10"/>
  <c r="F90" i="11"/>
  <c r="F90" i="10"/>
  <c r="F70" i="6"/>
  <c r="F70" i="7"/>
  <c r="W10" i="11"/>
  <c r="W10" i="10"/>
  <c r="W37" i="6"/>
  <c r="W37" i="7"/>
  <c r="T87" i="6"/>
  <c r="T87" i="7"/>
  <c r="H13" i="11"/>
  <c r="H13" i="10"/>
  <c r="Z39" i="11"/>
  <c r="Z39" i="10"/>
  <c r="AA34" i="11"/>
  <c r="AA34" i="10"/>
  <c r="Z60" i="11"/>
  <c r="Z60" i="10"/>
  <c r="D38" i="6"/>
  <c r="D38" i="7"/>
  <c r="P78" i="11"/>
  <c r="P78" i="10"/>
  <c r="H82" i="11"/>
  <c r="H82" i="10"/>
  <c r="N40" i="6"/>
  <c r="N40" i="7"/>
  <c r="Y38" i="6"/>
  <c r="Y38" i="7"/>
  <c r="U50" i="6"/>
  <c r="U50" i="7"/>
  <c r="S15" i="7"/>
  <c r="S15" i="6"/>
  <c r="N33" i="11"/>
  <c r="N33" i="10"/>
  <c r="T75" i="7"/>
  <c r="T75" i="6"/>
  <c r="C78" i="11"/>
  <c r="C78" i="10"/>
  <c r="AA64" i="6"/>
  <c r="AA64" i="7"/>
  <c r="G63" i="11"/>
  <c r="G63" i="10"/>
  <c r="M71" i="6"/>
  <c r="M71" i="7"/>
  <c r="L75" i="11"/>
  <c r="L75" i="10"/>
  <c r="V89" i="11"/>
  <c r="V89" i="10"/>
  <c r="V64" i="6"/>
  <c r="V64" i="7"/>
  <c r="M57" i="4"/>
  <c r="D57" i="4"/>
  <c r="Y50" i="6"/>
  <c r="Y50" i="7"/>
  <c r="V80" i="6"/>
  <c r="V80" i="7"/>
  <c r="R20" i="7"/>
  <c r="R20" i="6"/>
  <c r="K70" i="7"/>
  <c r="K70" i="6"/>
  <c r="M61" i="11"/>
  <c r="M61" i="10"/>
  <c r="G46" i="6"/>
  <c r="G46" i="7"/>
  <c r="U66" i="6"/>
  <c r="U66" i="7"/>
  <c r="S17" i="7"/>
  <c r="S17" i="6"/>
  <c r="Z62" i="11"/>
  <c r="Z62" i="10"/>
  <c r="AA31" i="6"/>
  <c r="AA31" i="7"/>
  <c r="W49" i="6"/>
  <c r="W49" i="7"/>
  <c r="B78" i="6"/>
  <c r="B78" i="7"/>
  <c r="O72" i="6"/>
  <c r="O72" i="7"/>
  <c r="E88" i="11"/>
  <c r="E88" i="10"/>
  <c r="H11" i="11"/>
  <c r="H11" i="10"/>
  <c r="V51" i="6"/>
  <c r="V51" i="7"/>
  <c r="I87" i="11"/>
  <c r="I87" i="10"/>
  <c r="J50" i="11"/>
  <c r="J50" i="10"/>
  <c r="D87" i="11"/>
  <c r="D87" i="10"/>
  <c r="F83" i="6"/>
  <c r="F83" i="7"/>
  <c r="U80" i="6"/>
  <c r="U80" i="7"/>
  <c r="L47" i="11"/>
  <c r="L47" i="10"/>
  <c r="AA29" i="7"/>
  <c r="AA29" i="6"/>
  <c r="Y44" i="11"/>
  <c r="Y44" i="10"/>
  <c r="Q32" i="11"/>
  <c r="Q32" i="10"/>
  <c r="R15" i="11"/>
  <c r="R15" i="10"/>
  <c r="L73" i="11"/>
  <c r="L73" i="10"/>
  <c r="B29" i="7"/>
  <c r="B29" i="6"/>
  <c r="AA65" i="6"/>
  <c r="AA65" i="7"/>
  <c r="X63" i="6"/>
  <c r="X63" i="7"/>
  <c r="U61" i="7"/>
  <c r="U61" i="6"/>
  <c r="Y81" i="11"/>
  <c r="Y81" i="10"/>
  <c r="L77" i="7"/>
  <c r="L77" i="6"/>
  <c r="U46" i="11"/>
  <c r="U46" i="10"/>
  <c r="S13" i="7"/>
  <c r="S13" i="6"/>
  <c r="P71" i="6"/>
  <c r="P71" i="7"/>
  <c r="O29" i="11"/>
  <c r="O29" i="10"/>
  <c r="D39" i="11"/>
  <c r="D39" i="10"/>
  <c r="P36" i="11"/>
  <c r="P36" i="10"/>
  <c r="Z34" i="11"/>
  <c r="Z34" i="10"/>
  <c r="M81" i="11"/>
  <c r="M81" i="10"/>
  <c r="P17" i="11"/>
  <c r="P17" i="10"/>
  <c r="F16" i="11"/>
  <c r="F16" i="10"/>
  <c r="B28" i="7"/>
  <c r="B28" i="6"/>
  <c r="F62" i="11"/>
  <c r="F62" i="10"/>
  <c r="W58" i="11"/>
  <c r="W58" i="10"/>
  <c r="B40" i="11"/>
  <c r="B40" i="10"/>
  <c r="P31" i="11"/>
  <c r="P31" i="10"/>
  <c r="C60" i="11"/>
  <c r="C60" i="10"/>
  <c r="V43" i="7"/>
  <c r="V43" i="6"/>
  <c r="V49" i="6"/>
  <c r="V49" i="7"/>
  <c r="T41" i="11"/>
  <c r="T41" i="10"/>
  <c r="F35" i="7"/>
  <c r="F35" i="6"/>
  <c r="P85" i="7"/>
  <c r="P85" i="6"/>
  <c r="X78" i="11"/>
  <c r="X78" i="10"/>
  <c r="B16" i="6"/>
  <c r="B16" i="7"/>
  <c r="V74" i="6"/>
  <c r="V74" i="7"/>
  <c r="Z72" i="6"/>
  <c r="Z72" i="7"/>
  <c r="I9" i="6"/>
  <c r="I9" i="7"/>
  <c r="U28" i="7"/>
  <c r="U28" i="6"/>
  <c r="M88" i="6"/>
  <c r="M88" i="7"/>
  <c r="Z19" i="11"/>
  <c r="Z19" i="10"/>
  <c r="Q73" i="6"/>
  <c r="Q73" i="7"/>
  <c r="P11" i="6"/>
  <c r="P11" i="7"/>
  <c r="N64" i="6"/>
  <c r="N64" i="7"/>
  <c r="AA51" i="6"/>
  <c r="AA51" i="7"/>
  <c r="I69" i="11"/>
  <c r="I69" i="10"/>
  <c r="G45" i="6"/>
  <c r="G45" i="7"/>
  <c r="M83" i="11"/>
  <c r="M83" i="10"/>
  <c r="C36" i="11"/>
  <c r="C36" i="10"/>
  <c r="Z47" i="6"/>
  <c r="Z47" i="7"/>
  <c r="I82" i="6"/>
  <c r="I82" i="7"/>
  <c r="K29" i="7"/>
  <c r="K29" i="6"/>
  <c r="M15" i="11"/>
  <c r="M15" i="10"/>
  <c r="X67" i="11"/>
  <c r="X67" i="10"/>
  <c r="T59" i="7"/>
  <c r="T59" i="6"/>
  <c r="O46" i="11"/>
  <c r="O46" i="10"/>
  <c r="J29" i="11"/>
  <c r="J29" i="10"/>
  <c r="E36" i="6"/>
  <c r="E36" i="7"/>
  <c r="P17" i="7"/>
  <c r="P17" i="6"/>
  <c r="N62" i="11"/>
  <c r="N62" i="10"/>
  <c r="Q31" i="11"/>
  <c r="Q31" i="10"/>
  <c r="S89" i="11"/>
  <c r="S89" i="10"/>
  <c r="P35" i="6"/>
  <c r="P35" i="7"/>
  <c r="R9" i="11"/>
  <c r="R9" i="10"/>
  <c r="Q9" i="11"/>
  <c r="Q9" i="10"/>
  <c r="X79" i="11"/>
  <c r="X79" i="10"/>
  <c r="S11" i="6"/>
  <c r="S11" i="7"/>
  <c r="N51" i="7"/>
  <c r="N51" i="6"/>
  <c r="B87" i="11"/>
  <c r="B87" i="10"/>
  <c r="B42" i="11"/>
  <c r="B42" i="10"/>
  <c r="AA42" i="6"/>
  <c r="AA42" i="7"/>
  <c r="N45" i="6"/>
  <c r="N45" i="7"/>
  <c r="R37" i="11"/>
  <c r="R37" i="10"/>
  <c r="Q83" i="11"/>
  <c r="Q83" i="10"/>
  <c r="E82" i="6"/>
  <c r="E82" i="7"/>
  <c r="J80" i="6"/>
  <c r="J80" i="7"/>
  <c r="T42" i="6"/>
  <c r="T42" i="7"/>
  <c r="X44" i="6"/>
  <c r="X44" i="7"/>
  <c r="N20" i="6"/>
  <c r="N20" i="7"/>
  <c r="Q15" i="11"/>
  <c r="Q15" i="10"/>
  <c r="J12" i="11"/>
  <c r="J12" i="10"/>
  <c r="D70" i="11"/>
  <c r="D70" i="10"/>
  <c r="S67" i="11"/>
  <c r="S67" i="10"/>
  <c r="R65" i="11"/>
  <c r="R65" i="10"/>
  <c r="Z61" i="11"/>
  <c r="Z61" i="10"/>
  <c r="P59" i="6"/>
  <c r="P59" i="7"/>
  <c r="L81" i="11"/>
  <c r="L81" i="10"/>
  <c r="T77" i="11"/>
  <c r="T77" i="10"/>
  <c r="V33" i="11"/>
  <c r="V33" i="10"/>
  <c r="U13" i="11"/>
  <c r="U13" i="10"/>
  <c r="Z29" i="6"/>
  <c r="Z29" i="7"/>
  <c r="AA66" i="11"/>
  <c r="AA66" i="10"/>
  <c r="V39" i="11"/>
  <c r="V39" i="10"/>
  <c r="Y36" i="6"/>
  <c r="Y36" i="7"/>
  <c r="Q84" i="6"/>
  <c r="Q84" i="7"/>
  <c r="Y76" i="11"/>
  <c r="Y76" i="10"/>
  <c r="L17" i="6"/>
  <c r="L17" i="7"/>
  <c r="B69" i="11"/>
  <c r="B69" i="10"/>
  <c r="X68" i="11"/>
  <c r="X68" i="10"/>
  <c r="Y62" i="11"/>
  <c r="Y62" i="10"/>
  <c r="W58" i="6"/>
  <c r="W58" i="7"/>
  <c r="H75" i="11"/>
  <c r="H75" i="10"/>
  <c r="E31" i="7"/>
  <c r="E31" i="6"/>
  <c r="C60" i="6"/>
  <c r="C60" i="7"/>
  <c r="J43" i="6"/>
  <c r="J43" i="7"/>
  <c r="L49" i="6"/>
  <c r="L49" i="7"/>
  <c r="R41" i="11"/>
  <c r="R41" i="10"/>
  <c r="B35" i="6"/>
  <c r="B35" i="7"/>
  <c r="V85" i="6"/>
  <c r="V85" i="7"/>
  <c r="E78" i="6"/>
  <c r="E78" i="7"/>
  <c r="B9" i="11"/>
  <c r="B9" i="10"/>
  <c r="T74" i="11"/>
  <c r="T74" i="10"/>
  <c r="U72" i="11"/>
  <c r="U72" i="10"/>
  <c r="W9" i="7"/>
  <c r="W9" i="6"/>
  <c r="I28" i="11"/>
  <c r="I28" i="10"/>
  <c r="O88" i="11"/>
  <c r="O88" i="10"/>
  <c r="B19" i="6"/>
  <c r="B19" i="7"/>
  <c r="T73" i="7"/>
  <c r="T73" i="6"/>
  <c r="O11" i="11"/>
  <c r="O11" i="10"/>
  <c r="H31" i="11"/>
  <c r="H31" i="10"/>
  <c r="B51" i="6"/>
  <c r="B51" i="7"/>
  <c r="S86" i="11"/>
  <c r="S86" i="10"/>
  <c r="T20" i="11"/>
  <c r="T20" i="10"/>
  <c r="D50" i="6"/>
  <c r="D50" i="7"/>
  <c r="B66" i="6"/>
  <c r="B66" i="7"/>
  <c r="S45" i="6"/>
  <c r="S45" i="7"/>
  <c r="Z82" i="11"/>
  <c r="Z82" i="10"/>
  <c r="B18" i="11"/>
  <c r="B18" i="10"/>
  <c r="U12" i="11"/>
  <c r="U12" i="10"/>
  <c r="E65" i="11"/>
  <c r="E65" i="10"/>
  <c r="X81" i="10"/>
  <c r="X81" i="11"/>
  <c r="Y71" i="11"/>
  <c r="Y71" i="10"/>
  <c r="Z39" i="6"/>
  <c r="Z39" i="7"/>
  <c r="U76" i="11"/>
  <c r="U76" i="10"/>
  <c r="I68" i="11"/>
  <c r="I68" i="10"/>
  <c r="V75" i="11"/>
  <c r="V75" i="10"/>
  <c r="L43" i="11"/>
  <c r="L43" i="10"/>
  <c r="G38" i="11"/>
  <c r="G38" i="10"/>
  <c r="J18" i="11"/>
  <c r="J18" i="10"/>
  <c r="I9" i="11"/>
  <c r="I9" i="10"/>
  <c r="G79" i="6"/>
  <c r="G79" i="7"/>
  <c r="O48" i="6"/>
  <c r="O48" i="7"/>
  <c r="S48" i="11"/>
  <c r="S48" i="10"/>
  <c r="Z87" i="11"/>
  <c r="Z87" i="10"/>
  <c r="Z83" i="7"/>
  <c r="Z83" i="6"/>
  <c r="B82" i="6"/>
  <c r="B82" i="7"/>
  <c r="L45" i="6"/>
  <c r="L45" i="7"/>
  <c r="J42" i="6"/>
  <c r="J42" i="7"/>
  <c r="H44" i="6"/>
  <c r="H44" i="7"/>
  <c r="D20" i="6"/>
  <c r="D20" i="7"/>
  <c r="W15" i="7"/>
  <c r="W15" i="6"/>
  <c r="W12" i="6"/>
  <c r="W12" i="7"/>
  <c r="C70" i="11"/>
  <c r="C70" i="10"/>
  <c r="I67" i="11"/>
  <c r="I67" i="10"/>
  <c r="H65" i="11"/>
  <c r="H65" i="10"/>
  <c r="P61" i="11"/>
  <c r="P61" i="10"/>
  <c r="F59" i="6"/>
  <c r="F59" i="7"/>
  <c r="Z81" i="6"/>
  <c r="Z81" i="7"/>
  <c r="H77" i="11"/>
  <c r="H77" i="10"/>
  <c r="T33" i="11"/>
  <c r="T33" i="10"/>
  <c r="S13" i="11"/>
  <c r="S13" i="10"/>
  <c r="V29" i="6"/>
  <c r="V29" i="7"/>
  <c r="Y66" i="11"/>
  <c r="Y66" i="10"/>
  <c r="R39" i="11"/>
  <c r="R39" i="10"/>
  <c r="O36" i="6"/>
  <c r="O36" i="7"/>
  <c r="U84" i="6"/>
  <c r="U84" i="7"/>
  <c r="AA76" i="7"/>
  <c r="AA76" i="6"/>
  <c r="S17" i="11"/>
  <c r="S17" i="10"/>
  <c r="Q10" i="7"/>
  <c r="Q10" i="6"/>
  <c r="D68" i="11"/>
  <c r="D68" i="10"/>
  <c r="O62" i="11"/>
  <c r="O62" i="10"/>
  <c r="K58" i="6"/>
  <c r="K58" i="7"/>
  <c r="R75" i="6"/>
  <c r="R75" i="7"/>
  <c r="V31" i="7"/>
  <c r="V31" i="6"/>
  <c r="G30" i="6"/>
  <c r="G30" i="7"/>
  <c r="X89" i="6"/>
  <c r="X89" i="7"/>
  <c r="B49" i="7"/>
  <c r="B49" i="6"/>
  <c r="K35" i="11"/>
  <c r="K35" i="10"/>
  <c r="T35" i="6"/>
  <c r="T35" i="7"/>
  <c r="D85" i="6"/>
  <c r="D85" i="7"/>
  <c r="L78" i="11"/>
  <c r="L78" i="10"/>
  <c r="E14" i="6"/>
  <c r="E14" i="7"/>
  <c r="J74" i="6"/>
  <c r="J74" i="7"/>
  <c r="J72" i="6"/>
  <c r="J72" i="7"/>
  <c r="V30" i="6"/>
  <c r="V30" i="7"/>
  <c r="I28" i="6"/>
  <c r="I28" i="7"/>
  <c r="V79" i="7"/>
  <c r="V79" i="6"/>
  <c r="Y19" i="11"/>
  <c r="Y19" i="10"/>
  <c r="AA73" i="6"/>
  <c r="AA73" i="7"/>
  <c r="H69" i="11"/>
  <c r="H69" i="10"/>
  <c r="P64" i="6"/>
  <c r="P64" i="7"/>
  <c r="G51" i="6"/>
  <c r="G51" i="7"/>
  <c r="S47" i="6"/>
  <c r="S47" i="7"/>
  <c r="J50" i="7"/>
  <c r="J50" i="6"/>
  <c r="V82" i="11"/>
  <c r="V82" i="10"/>
  <c r="I81" i="11"/>
  <c r="I81" i="10"/>
  <c r="Z43" i="11"/>
  <c r="Z43" i="10"/>
  <c r="S38" i="6"/>
  <c r="S38" i="7"/>
  <c r="W11" i="7"/>
  <c r="W11" i="6"/>
  <c r="D80" i="11"/>
  <c r="D80" i="10"/>
  <c r="O63" i="11"/>
  <c r="O63" i="10"/>
  <c r="G19" i="7"/>
  <c r="G19" i="6"/>
  <c r="P83" i="7"/>
  <c r="P83" i="6"/>
  <c r="R50" i="6"/>
  <c r="R50" i="7"/>
  <c r="Q82" i="11"/>
  <c r="Q82" i="10"/>
  <c r="P13" i="11"/>
  <c r="P13" i="10"/>
  <c r="L19" i="11"/>
  <c r="L19" i="10"/>
  <c r="S77" i="11"/>
  <c r="S77" i="10"/>
  <c r="D73" i="6"/>
  <c r="D73" i="7"/>
  <c r="W57" i="4"/>
  <c r="DB79" i="2"/>
  <c r="N37" i="11"/>
  <c r="N37" i="10"/>
  <c r="U39" i="11"/>
  <c r="U39" i="10"/>
  <c r="Q19" i="6"/>
  <c r="Q19" i="7"/>
  <c r="L47" i="7"/>
  <c r="L47" i="6"/>
  <c r="G81" i="11"/>
  <c r="G81" i="10"/>
  <c r="W50" i="11"/>
  <c r="W50" i="10"/>
  <c r="J51" i="11"/>
  <c r="J51" i="10"/>
  <c r="T15" i="7"/>
  <c r="T15" i="6"/>
  <c r="U63" i="11"/>
  <c r="U63" i="10"/>
  <c r="N46" i="6"/>
  <c r="N46" i="7"/>
  <c r="I29" i="11"/>
  <c r="I29" i="10"/>
  <c r="H39" i="6"/>
  <c r="H39" i="7"/>
  <c r="E76" i="11"/>
  <c r="E76" i="10"/>
  <c r="V16" i="11"/>
  <c r="V16" i="10"/>
  <c r="C62" i="11"/>
  <c r="C62" i="10"/>
  <c r="F31" i="11"/>
  <c r="F31" i="10"/>
  <c r="G89" i="6"/>
  <c r="G89" i="7"/>
  <c r="AA85" i="11"/>
  <c r="AA85" i="10"/>
  <c r="S14" i="11"/>
  <c r="S14" i="10"/>
  <c r="V30" i="11"/>
  <c r="V30" i="10"/>
  <c r="Q19" i="11"/>
  <c r="Q19" i="10"/>
  <c r="Z34" i="6"/>
  <c r="Z34" i="7"/>
  <c r="M82" i="11"/>
  <c r="M82" i="10"/>
  <c r="Y15" i="11"/>
  <c r="Y15" i="10"/>
  <c r="W61" i="6"/>
  <c r="W61" i="7"/>
  <c r="C71" i="6"/>
  <c r="C71" i="7"/>
  <c r="G17" i="6"/>
  <c r="G17" i="7"/>
  <c r="G75" i="11"/>
  <c r="G75" i="10"/>
  <c r="Y18" i="7"/>
  <c r="Y18" i="6"/>
  <c r="Q11" i="11"/>
  <c r="Q11" i="10"/>
  <c r="K50" i="11"/>
  <c r="K50" i="10"/>
  <c r="B36" i="11"/>
  <c r="B36" i="10"/>
  <c r="R87" i="7"/>
  <c r="R87" i="6"/>
  <c r="K80" i="6"/>
  <c r="K80" i="7"/>
  <c r="V47" i="11"/>
  <c r="V47" i="10"/>
  <c r="F44" i="11"/>
  <c r="F44" i="10"/>
  <c r="H15" i="11"/>
  <c r="H15" i="10"/>
  <c r="G65" i="6"/>
  <c r="G65" i="7"/>
  <c r="K61" i="6"/>
  <c r="K61" i="7"/>
  <c r="K46" i="6"/>
  <c r="K46" i="7"/>
  <c r="C29" i="11"/>
  <c r="C29" i="10"/>
  <c r="G34" i="11"/>
  <c r="G34" i="10"/>
  <c r="T16" i="11"/>
  <c r="T16" i="10"/>
  <c r="D62" i="11"/>
  <c r="D62" i="10"/>
  <c r="E40" i="11"/>
  <c r="E40" i="10"/>
  <c r="Y60" i="11"/>
  <c r="Y60" i="10"/>
  <c r="C89" i="11"/>
  <c r="C89" i="10"/>
  <c r="N38" i="11"/>
  <c r="N38" i="10"/>
  <c r="R78" i="7"/>
  <c r="R78" i="6"/>
  <c r="H14" i="11"/>
  <c r="H14" i="10"/>
  <c r="N9" i="6"/>
  <c r="N9" i="7"/>
  <c r="H88" i="11"/>
  <c r="H88" i="10"/>
  <c r="U19" i="6"/>
  <c r="U19" i="7"/>
  <c r="Y69" i="6"/>
  <c r="Y69" i="7"/>
  <c r="H35" i="11"/>
  <c r="H35" i="10"/>
  <c r="M70" i="11"/>
  <c r="M70" i="10"/>
  <c r="E42" i="11"/>
  <c r="E42" i="10"/>
  <c r="O45" i="11"/>
  <c r="O45" i="10"/>
  <c r="X59" i="11"/>
  <c r="X59" i="10"/>
  <c r="O66" i="11"/>
  <c r="O66" i="10"/>
  <c r="H16" i="6"/>
  <c r="H16" i="7"/>
  <c r="E60" i="11"/>
  <c r="E60" i="10"/>
  <c r="U78" i="11"/>
  <c r="U78" i="10"/>
  <c r="N88" i="11"/>
  <c r="N88" i="10"/>
  <c r="E45" i="6"/>
  <c r="E45" i="7"/>
  <c r="P45" i="11"/>
  <c r="P45" i="10"/>
  <c r="P37" i="11"/>
  <c r="P37" i="10"/>
  <c r="O83" i="11"/>
  <c r="O83" i="10"/>
  <c r="H80" i="6"/>
  <c r="H80" i="7"/>
  <c r="K20" i="11"/>
  <c r="K20" i="10"/>
  <c r="H15" i="6"/>
  <c r="H15" i="7"/>
  <c r="M70" i="6"/>
  <c r="M70" i="7"/>
  <c r="P84" i="11"/>
  <c r="P84" i="10"/>
  <c r="AA40" i="7"/>
  <c r="AA40" i="6"/>
  <c r="V78" i="6"/>
  <c r="V78" i="7"/>
  <c r="N72" i="11"/>
  <c r="N72" i="10"/>
  <c r="H69" i="6"/>
  <c r="H69" i="7"/>
  <c r="K80" i="11"/>
  <c r="K80" i="10"/>
  <c r="AA53" i="9"/>
  <c r="U90" i="6"/>
  <c r="U90" i="7"/>
  <c r="Y90" i="6"/>
  <c r="Y90" i="7"/>
  <c r="V90" i="6"/>
  <c r="V90" i="7"/>
  <c r="P90" i="6"/>
  <c r="P90" i="7"/>
  <c r="T64" i="6"/>
  <c r="T64" i="7"/>
  <c r="R38" i="6"/>
  <c r="R38" i="7"/>
  <c r="O57" i="4"/>
  <c r="Q82" i="6"/>
  <c r="Q82" i="7"/>
  <c r="C63" i="11"/>
  <c r="C63" i="10"/>
  <c r="K71" i="6"/>
  <c r="K71" i="7"/>
  <c r="P16" i="6"/>
  <c r="P16" i="7"/>
  <c r="J46" i="11"/>
  <c r="J46" i="10"/>
  <c r="F74" i="11"/>
  <c r="F74" i="10"/>
  <c r="X73" i="11"/>
  <c r="X73" i="10"/>
  <c r="T86" i="6"/>
  <c r="T86" i="7"/>
  <c r="H37" i="6"/>
  <c r="H37" i="7"/>
  <c r="D87" i="6"/>
  <c r="D87" i="7"/>
  <c r="L80" i="6"/>
  <c r="L80" i="7"/>
  <c r="M49" i="11"/>
  <c r="M49" i="10"/>
  <c r="U20" i="11"/>
  <c r="U20" i="10"/>
  <c r="W12" i="11"/>
  <c r="W12" i="10"/>
  <c r="U67" i="11"/>
  <c r="U67" i="10"/>
  <c r="R59" i="6"/>
  <c r="R59" i="7"/>
  <c r="V77" i="11"/>
  <c r="V77" i="10"/>
  <c r="W13" i="11"/>
  <c r="W13" i="10"/>
  <c r="D66" i="6"/>
  <c r="D66" i="7"/>
  <c r="K36" i="6"/>
  <c r="K36" i="7"/>
  <c r="W16" i="11"/>
  <c r="W16" i="10"/>
  <c r="U62" i="6"/>
  <c r="U62" i="7"/>
  <c r="Y75" i="11"/>
  <c r="Y75" i="10"/>
  <c r="C44" i="7"/>
  <c r="C44" i="6"/>
  <c r="E49" i="6"/>
  <c r="E49" i="7"/>
  <c r="Z38" i="6"/>
  <c r="Z38" i="7"/>
  <c r="P78" i="7"/>
  <c r="P78" i="6"/>
  <c r="V14" i="6"/>
  <c r="V14" i="7"/>
  <c r="N30" i="11"/>
  <c r="N30" i="10"/>
  <c r="W19" i="7"/>
  <c r="W19" i="6"/>
  <c r="X64" i="11"/>
  <c r="X64" i="10"/>
  <c r="K83" i="6"/>
  <c r="K83" i="7"/>
  <c r="C20" i="6"/>
  <c r="C20" i="7"/>
  <c r="H61" i="11"/>
  <c r="H61" i="10"/>
  <c r="X71" i="11"/>
  <c r="X71" i="10"/>
  <c r="Y76" i="6"/>
  <c r="Y76" i="7"/>
  <c r="D40" i="11"/>
  <c r="D40" i="10"/>
  <c r="I43" i="11"/>
  <c r="I43" i="10"/>
  <c r="R78" i="11"/>
  <c r="R78" i="10"/>
  <c r="W88" i="7"/>
  <c r="W88" i="6"/>
  <c r="Y64" i="6"/>
  <c r="Y64" i="7"/>
  <c r="C37" i="11"/>
  <c r="C37" i="10"/>
  <c r="G47" i="11"/>
  <c r="G47" i="10"/>
  <c r="N47" i="6"/>
  <c r="N47" i="7"/>
  <c r="E83" i="6"/>
  <c r="E83" i="7"/>
  <c r="D82" i="11"/>
  <c r="D82" i="10"/>
  <c r="U37" i="6"/>
  <c r="U37" i="7"/>
  <c r="I45" i="11"/>
  <c r="I45" i="10"/>
  <c r="H32" i="11"/>
  <c r="H32" i="10"/>
  <c r="V20" i="7"/>
  <c r="V20" i="6"/>
  <c r="B14" i="11"/>
  <c r="B14" i="10"/>
  <c r="U12" i="7"/>
  <c r="U12" i="6"/>
  <c r="W70" i="11"/>
  <c r="W70" i="10"/>
  <c r="AA67" i="11"/>
  <c r="AA67" i="10"/>
  <c r="Z65" i="11"/>
  <c r="Z65" i="10"/>
  <c r="V61" i="11"/>
  <c r="V61" i="10"/>
  <c r="X59" i="6"/>
  <c r="X59" i="7"/>
  <c r="L33" i="6"/>
  <c r="L33" i="7"/>
  <c r="I66" i="11"/>
  <c r="I66" i="10"/>
  <c r="P66" i="6"/>
  <c r="P66" i="7"/>
  <c r="J36" i="6"/>
  <c r="J36" i="7"/>
  <c r="V76" i="6"/>
  <c r="V76" i="7"/>
  <c r="J62" i="6"/>
  <c r="J62" i="7"/>
  <c r="R75" i="11"/>
  <c r="R75" i="10"/>
  <c r="S43" i="11"/>
  <c r="S43" i="10"/>
  <c r="R35" i="6"/>
  <c r="R35" i="7"/>
  <c r="M78" i="6"/>
  <c r="M78" i="7"/>
  <c r="P74" i="11"/>
  <c r="P74" i="10"/>
  <c r="E9" i="11"/>
  <c r="E9" i="10"/>
  <c r="Y88" i="11"/>
  <c r="Y88" i="10"/>
  <c r="J73" i="6"/>
  <c r="J73" i="7"/>
  <c r="J69" i="6"/>
  <c r="J69" i="7"/>
  <c r="AA86" i="11"/>
  <c r="AA86" i="10"/>
  <c r="F48" i="11"/>
  <c r="F48" i="10"/>
  <c r="Y82" i="6"/>
  <c r="Y82" i="7"/>
  <c r="Z49" i="11"/>
  <c r="Z49" i="10"/>
  <c r="J65" i="6"/>
  <c r="J65" i="7"/>
  <c r="G39" i="11"/>
  <c r="G39" i="10"/>
  <c r="V40" i="11"/>
  <c r="V40" i="10"/>
  <c r="J38" i="11"/>
  <c r="J38" i="10"/>
  <c r="I18" i="7"/>
  <c r="I18" i="6"/>
  <c r="G48" i="11"/>
  <c r="G48" i="10"/>
  <c r="W42" i="7"/>
  <c r="W42" i="6"/>
  <c r="Q67" i="11"/>
  <c r="Q67" i="10"/>
  <c r="AA13" i="11"/>
  <c r="AA13" i="10"/>
  <c r="I84" i="6"/>
  <c r="I84" i="7"/>
  <c r="U58" i="6"/>
  <c r="U58" i="7"/>
  <c r="F41" i="11"/>
  <c r="F41" i="10"/>
  <c r="R74" i="6"/>
  <c r="R74" i="7"/>
  <c r="D11" i="6"/>
  <c r="D11" i="7"/>
  <c r="H90" i="11"/>
  <c r="H90" i="10"/>
  <c r="O53" i="4"/>
  <c r="X57" i="4"/>
  <c r="N75" i="11"/>
  <c r="N75" i="10"/>
  <c r="U49" i="6"/>
  <c r="U49" i="7"/>
  <c r="E75" i="6"/>
  <c r="E75" i="7"/>
  <c r="C28" i="6"/>
  <c r="C28" i="7"/>
  <c r="T57" i="4"/>
  <c r="E32" i="6"/>
  <c r="E32" i="7"/>
  <c r="V13" i="11"/>
  <c r="V13" i="10"/>
  <c r="D58" i="11"/>
  <c r="D58" i="10"/>
  <c r="H18" i="6"/>
  <c r="H18" i="7"/>
  <c r="S69" i="11"/>
  <c r="S69" i="10"/>
  <c r="W37" i="11"/>
  <c r="W37" i="10"/>
  <c r="X48" i="6"/>
  <c r="X48" i="7"/>
  <c r="D15" i="7"/>
  <c r="D15" i="6"/>
  <c r="Q63" i="6"/>
  <c r="Q63" i="7"/>
  <c r="U77" i="7"/>
  <c r="U77" i="6"/>
  <c r="Q71" i="7"/>
  <c r="Q71" i="6"/>
  <c r="L36" i="7"/>
  <c r="L36" i="6"/>
  <c r="AA76" i="11"/>
  <c r="AA76" i="10"/>
  <c r="K69" i="11"/>
  <c r="K69" i="10"/>
  <c r="Q58" i="6"/>
  <c r="Q58" i="7"/>
  <c r="Z31" i="6"/>
  <c r="Z31" i="7"/>
  <c r="Q49" i="11"/>
  <c r="Q49" i="10"/>
  <c r="G85" i="11"/>
  <c r="G85" i="10"/>
  <c r="H72" i="11"/>
  <c r="H72" i="10"/>
  <c r="R19" i="7"/>
  <c r="R19" i="6"/>
  <c r="W64" i="11"/>
  <c r="W64" i="10"/>
  <c r="I83" i="11"/>
  <c r="I83" i="10"/>
  <c r="R44" i="11"/>
  <c r="R44" i="10"/>
  <c r="Q33" i="11"/>
  <c r="Q33" i="10"/>
  <c r="B34" i="11"/>
  <c r="B34" i="10"/>
  <c r="E49" i="11"/>
  <c r="E49" i="10"/>
  <c r="U19" i="11"/>
  <c r="U19" i="10"/>
  <c r="S87" i="6"/>
  <c r="S87" i="7"/>
  <c r="G28" i="11"/>
  <c r="G28" i="10"/>
  <c r="F15" i="11"/>
  <c r="F15" i="10"/>
  <c r="L67" i="11"/>
  <c r="L67" i="10"/>
  <c r="I59" i="11"/>
  <c r="I59" i="10"/>
  <c r="D71" i="6"/>
  <c r="D71" i="7"/>
  <c r="I34" i="6"/>
  <c r="I34" i="7"/>
  <c r="E10" i="11"/>
  <c r="E10" i="10"/>
  <c r="O40" i="6"/>
  <c r="O40" i="7"/>
  <c r="P41" i="6"/>
  <c r="P41" i="7"/>
  <c r="AA49" i="6"/>
  <c r="AA49" i="7"/>
  <c r="F18" i="7"/>
  <c r="F18" i="6"/>
  <c r="X72" i="11"/>
  <c r="X72" i="10"/>
  <c r="Z30" i="6"/>
  <c r="Z30" i="7"/>
  <c r="F19" i="11"/>
  <c r="F19" i="10"/>
  <c r="Q64" i="6"/>
  <c r="Q64" i="7"/>
  <c r="R42" i="11"/>
  <c r="R42" i="10"/>
  <c r="B36" i="6"/>
  <c r="B36" i="7"/>
  <c r="Q37" i="11"/>
  <c r="Q37" i="10"/>
  <c r="Q72" i="11"/>
  <c r="Q72" i="10"/>
  <c r="W77" i="6"/>
  <c r="W77" i="7"/>
  <c r="V36" i="6"/>
  <c r="V36" i="7"/>
  <c r="G89" i="11"/>
  <c r="G89" i="10"/>
  <c r="D30" i="11"/>
  <c r="D30" i="10"/>
  <c r="X41" i="11"/>
  <c r="X41" i="10"/>
  <c r="I82" i="11"/>
  <c r="I82" i="10"/>
  <c r="S31" i="11"/>
  <c r="S31" i="10"/>
  <c r="P15" i="11"/>
  <c r="P15" i="10"/>
  <c r="B67" i="11"/>
  <c r="B67" i="10"/>
  <c r="Y59" i="6"/>
  <c r="Y59" i="7"/>
  <c r="Z46" i="6"/>
  <c r="Z46" i="7"/>
  <c r="D29" i="6"/>
  <c r="D29" i="7"/>
  <c r="P66" i="11"/>
  <c r="P66" i="10"/>
  <c r="V84" i="7"/>
  <c r="V84" i="6"/>
  <c r="O10" i="11"/>
  <c r="O10" i="10"/>
  <c r="R40" i="6"/>
  <c r="R40" i="7"/>
  <c r="X44" i="11"/>
  <c r="X44" i="10"/>
  <c r="Q49" i="6"/>
  <c r="Q49" i="7"/>
  <c r="G38" i="6"/>
  <c r="G38" i="7"/>
  <c r="U17" i="11"/>
  <c r="U17" i="10"/>
  <c r="W18" i="11"/>
  <c r="W18" i="10"/>
  <c r="L14" i="6"/>
  <c r="L14" i="7"/>
  <c r="C74" i="11"/>
  <c r="C74" i="10"/>
  <c r="L9" i="6"/>
  <c r="L9" i="7"/>
  <c r="C51" i="11"/>
  <c r="C51" i="10"/>
  <c r="U79" i="11"/>
  <c r="U79" i="10"/>
  <c r="F19" i="7"/>
  <c r="F19" i="6"/>
  <c r="D73" i="11"/>
  <c r="D73" i="10"/>
  <c r="Q69" i="11"/>
  <c r="Q69" i="10"/>
  <c r="C64" i="11"/>
  <c r="C64" i="10"/>
  <c r="V86" i="11"/>
  <c r="V86" i="10"/>
  <c r="I42" i="11"/>
  <c r="I42" i="10"/>
  <c r="I72" i="11"/>
  <c r="I72" i="10"/>
  <c r="L53" i="4"/>
  <c r="O47" i="11"/>
  <c r="O47" i="10"/>
  <c r="DB88" i="2"/>
  <c r="E82" i="11"/>
  <c r="E82" i="10"/>
  <c r="B77" i="6"/>
  <c r="B77" i="7"/>
  <c r="V84" i="11"/>
  <c r="V84" i="10"/>
  <c r="O43" i="11"/>
  <c r="O43" i="10"/>
  <c r="S73" i="11"/>
  <c r="S73" i="10"/>
  <c r="T50" i="7"/>
  <c r="T50" i="6"/>
  <c r="S48" i="6"/>
  <c r="S48" i="7"/>
  <c r="Y48" i="11"/>
  <c r="Y48" i="10"/>
  <c r="L87" i="6"/>
  <c r="L87" i="7"/>
  <c r="O82" i="6"/>
  <c r="O82" i="7"/>
  <c r="Q37" i="6"/>
  <c r="Q37" i="7"/>
  <c r="H40" i="11"/>
  <c r="H40" i="10"/>
  <c r="Z44" i="11"/>
  <c r="Z44" i="10"/>
  <c r="D32" i="11"/>
  <c r="D32" i="10"/>
  <c r="G12" i="6"/>
  <c r="G12" i="7"/>
  <c r="Q70" i="6"/>
  <c r="Q70" i="7"/>
  <c r="Q65" i="6"/>
  <c r="Q65" i="7"/>
  <c r="Z63" i="11"/>
  <c r="Z63" i="10"/>
  <c r="S59" i="11"/>
  <c r="S59" i="10"/>
  <c r="Z77" i="6"/>
  <c r="Z77" i="7"/>
  <c r="C46" i="11"/>
  <c r="C46" i="10"/>
  <c r="G13" i="7"/>
  <c r="G13" i="6"/>
  <c r="I29" i="6"/>
  <c r="I29" i="7"/>
  <c r="W31" i="11"/>
  <c r="W31" i="10"/>
  <c r="C39" i="6"/>
  <c r="C39" i="7"/>
  <c r="J34" i="11"/>
  <c r="J34" i="10"/>
  <c r="X76" i="11"/>
  <c r="X76" i="10"/>
  <c r="G68" i="11"/>
  <c r="G68" i="10"/>
  <c r="Z58" i="11"/>
  <c r="Z58" i="10"/>
  <c r="T40" i="11"/>
  <c r="T40" i="10"/>
  <c r="U43" i="11"/>
  <c r="U43" i="10"/>
  <c r="F49" i="6"/>
  <c r="F49" i="7"/>
  <c r="L35" i="6"/>
  <c r="L35" i="7"/>
  <c r="C17" i="11"/>
  <c r="C17" i="10"/>
  <c r="N74" i="11"/>
  <c r="N74" i="10"/>
  <c r="H9" i="6"/>
  <c r="H9" i="7"/>
  <c r="F79" i="6"/>
  <c r="F79" i="7"/>
  <c r="E19" i="11"/>
  <c r="E19" i="10"/>
  <c r="L11" i="11"/>
  <c r="L11" i="10"/>
  <c r="C69" i="6"/>
  <c r="C69" i="7"/>
  <c r="C47" i="6"/>
  <c r="C47" i="7"/>
  <c r="Z50" i="6"/>
  <c r="Z50" i="7"/>
  <c r="M18" i="11"/>
  <c r="M18" i="10"/>
  <c r="I33" i="6"/>
  <c r="I33" i="7"/>
  <c r="Q50" i="6"/>
  <c r="Q50" i="7"/>
  <c r="H82" i="7"/>
  <c r="H82" i="6"/>
  <c r="F15" i="6"/>
  <c r="F15" i="7"/>
  <c r="T65" i="6"/>
  <c r="T65" i="7"/>
  <c r="E59" i="11"/>
  <c r="E59" i="10"/>
  <c r="N66" i="6"/>
  <c r="N66" i="7"/>
  <c r="U34" i="11"/>
  <c r="U34" i="10"/>
  <c r="U16" i="11"/>
  <c r="U16" i="10"/>
  <c r="H60" i="11"/>
  <c r="H60" i="10"/>
  <c r="X49" i="7"/>
  <c r="X49" i="6"/>
  <c r="L88" i="11"/>
  <c r="L88" i="10"/>
  <c r="O14" i="6"/>
  <c r="O14" i="7"/>
  <c r="G19" i="11"/>
  <c r="G19" i="10"/>
  <c r="Z11" i="6"/>
  <c r="Z11" i="7"/>
  <c r="H32" i="6"/>
  <c r="H32" i="7"/>
  <c r="V48" i="11"/>
  <c r="V48" i="10"/>
  <c r="AA37" i="6"/>
  <c r="AA37" i="7"/>
  <c r="S42" i="11"/>
  <c r="S42" i="10"/>
  <c r="M37" i="11"/>
  <c r="M37" i="10"/>
  <c r="U82" i="6"/>
  <c r="U82" i="7"/>
  <c r="Z80" i="6"/>
  <c r="Z80" i="7"/>
  <c r="S44" i="7"/>
  <c r="S44" i="6"/>
  <c r="D20" i="11"/>
  <c r="D20" i="10"/>
  <c r="S32" i="6"/>
  <c r="S32" i="7"/>
  <c r="M69" i="11"/>
  <c r="M69" i="10"/>
  <c r="R67" i="6"/>
  <c r="R67" i="7"/>
  <c r="I65" i="11"/>
  <c r="I65" i="10"/>
  <c r="E63" i="6"/>
  <c r="E63" i="7"/>
  <c r="C81" i="6"/>
  <c r="C81" i="7"/>
  <c r="K77" i="6"/>
  <c r="K77" i="7"/>
  <c r="E33" i="6"/>
  <c r="E33" i="7"/>
  <c r="G71" i="6"/>
  <c r="G71" i="7"/>
  <c r="I66" i="6"/>
  <c r="I66" i="7"/>
  <c r="R36" i="6"/>
  <c r="R36" i="7"/>
  <c r="L84" i="11"/>
  <c r="L84" i="10"/>
  <c r="B76" i="6"/>
  <c r="B76" i="7"/>
  <c r="L16" i="6"/>
  <c r="L16" i="7"/>
  <c r="R68" i="11"/>
  <c r="R68" i="10"/>
  <c r="M58" i="11"/>
  <c r="M58" i="10"/>
  <c r="T75" i="11"/>
  <c r="T75" i="10"/>
  <c r="W31" i="6"/>
  <c r="W31" i="7"/>
  <c r="F43" i="7"/>
  <c r="F43" i="6"/>
  <c r="I49" i="11"/>
  <c r="I49" i="10"/>
  <c r="C38" i="11"/>
  <c r="C38" i="10"/>
  <c r="P85" i="11"/>
  <c r="P85" i="10"/>
  <c r="N18" i="11"/>
  <c r="N18" i="10"/>
  <c r="M72" i="11"/>
  <c r="M72" i="10"/>
  <c r="M9" i="11"/>
  <c r="M9" i="10"/>
  <c r="R28" i="11"/>
  <c r="R28" i="10"/>
  <c r="F88" i="6"/>
  <c r="F88" i="7"/>
  <c r="E73" i="6"/>
  <c r="E73" i="7"/>
  <c r="M11" i="11"/>
  <c r="M11" i="10"/>
  <c r="R69" i="6"/>
  <c r="R69" i="7"/>
  <c r="H86" i="6"/>
  <c r="H86" i="7"/>
  <c r="M63" i="7"/>
  <c r="M63" i="6"/>
  <c r="M46" i="6"/>
  <c r="M46" i="7"/>
  <c r="G78" i="11"/>
  <c r="G78" i="10"/>
  <c r="DB76" i="2"/>
  <c r="DB42" i="2"/>
  <c r="U80" i="11"/>
  <c r="U80" i="10"/>
  <c r="T13" i="11"/>
  <c r="T13" i="10"/>
  <c r="Q68" i="6"/>
  <c r="Q68" i="7"/>
  <c r="Y51" i="11"/>
  <c r="Y51" i="10"/>
  <c r="X88" i="11"/>
  <c r="X88" i="10"/>
  <c r="R64" i="11"/>
  <c r="R64" i="10"/>
  <c r="C12" i="11"/>
  <c r="C12" i="10"/>
  <c r="Z50" i="11"/>
  <c r="Z50" i="10"/>
  <c r="E37" i="11"/>
  <c r="E37" i="10"/>
  <c r="AA83" i="11"/>
  <c r="AA83" i="10"/>
  <c r="F82" i="11"/>
  <c r="F82" i="10"/>
  <c r="Q45" i="6"/>
  <c r="Q45" i="7"/>
  <c r="M43" i="11"/>
  <c r="M43" i="10"/>
  <c r="T44" i="6"/>
  <c r="T44" i="7"/>
  <c r="T32" i="7"/>
  <c r="T32" i="6"/>
  <c r="P12" i="6"/>
  <c r="P12" i="7"/>
  <c r="D70" i="6"/>
  <c r="D70" i="7"/>
  <c r="V65" i="6"/>
  <c r="V65" i="7"/>
  <c r="F61" i="11"/>
  <c r="F61" i="10"/>
  <c r="K59" i="6"/>
  <c r="K59" i="7"/>
  <c r="E77" i="6"/>
  <c r="E77" i="7"/>
  <c r="P33" i="6"/>
  <c r="P33" i="7"/>
  <c r="K71" i="11"/>
  <c r="K71" i="10"/>
  <c r="F29" i="11"/>
  <c r="F29" i="10"/>
  <c r="Q46" i="6"/>
  <c r="Q46" i="7"/>
  <c r="G36" i="11"/>
  <c r="G36" i="10"/>
  <c r="Z84" i="6"/>
  <c r="Z84" i="7"/>
  <c r="I17" i="6"/>
  <c r="I17" i="7"/>
  <c r="N10" i="6"/>
  <c r="N10" i="7"/>
  <c r="X68" i="6"/>
  <c r="X68" i="7"/>
  <c r="G58" i="11"/>
  <c r="G58" i="10"/>
  <c r="F75" i="6"/>
  <c r="F75" i="7"/>
  <c r="S60" i="11"/>
  <c r="S60" i="10"/>
  <c r="C43" i="6"/>
  <c r="C43" i="7"/>
  <c r="M49" i="7"/>
  <c r="M49" i="6"/>
  <c r="O38" i="7"/>
  <c r="O38" i="6"/>
  <c r="Q35" i="11"/>
  <c r="Q35" i="10"/>
  <c r="AA78" i="11"/>
  <c r="AA78" i="10"/>
  <c r="F18" i="11"/>
  <c r="F18" i="10"/>
  <c r="Y74" i="6"/>
  <c r="Y74" i="7"/>
  <c r="Y9" i="6"/>
  <c r="Y9" i="7"/>
  <c r="X28" i="11"/>
  <c r="X28" i="10"/>
  <c r="Q79" i="11"/>
  <c r="Q79" i="10"/>
  <c r="Z73" i="11"/>
  <c r="Z73" i="10"/>
  <c r="AA11" i="7"/>
  <c r="AA11" i="6"/>
  <c r="O64" i="6"/>
  <c r="O64" i="7"/>
  <c r="S51" i="11"/>
  <c r="S51" i="10"/>
  <c r="Y42" i="11"/>
  <c r="Y42" i="10"/>
  <c r="I15" i="11"/>
  <c r="I15" i="10"/>
  <c r="K28" i="11"/>
  <c r="K28" i="10"/>
  <c r="C87" i="6"/>
  <c r="C87" i="7"/>
  <c r="F80" i="6"/>
  <c r="F80" i="7"/>
  <c r="AA44" i="11"/>
  <c r="AA44" i="10"/>
  <c r="Z12" i="6"/>
  <c r="Z12" i="7"/>
  <c r="X63" i="11"/>
  <c r="X63" i="10"/>
  <c r="P81" i="11"/>
  <c r="P81" i="10"/>
  <c r="V13" i="6"/>
  <c r="V13" i="7"/>
  <c r="G31" i="11"/>
  <c r="G31" i="10"/>
  <c r="N84" i="11"/>
  <c r="N84" i="10"/>
  <c r="B11" i="11"/>
  <c r="B11" i="10"/>
  <c r="Y58" i="11"/>
  <c r="Y58" i="10"/>
  <c r="W60" i="6"/>
  <c r="W60" i="7"/>
  <c r="Z41" i="7"/>
  <c r="Z41" i="6"/>
  <c r="U85" i="11"/>
  <c r="U85" i="10"/>
  <c r="X74" i="7"/>
  <c r="X74" i="6"/>
  <c r="O28" i="6"/>
  <c r="O28" i="7"/>
  <c r="Y19" i="6"/>
  <c r="Y19" i="7"/>
  <c r="E69" i="11"/>
  <c r="E69" i="10"/>
  <c r="T86" i="11"/>
  <c r="T86" i="10"/>
  <c r="F44" i="6"/>
  <c r="F44" i="7"/>
  <c r="B44" i="6"/>
  <c r="B44" i="7"/>
  <c r="X45" i="6"/>
  <c r="X45" i="7"/>
  <c r="F47" i="6"/>
  <c r="F47" i="7"/>
  <c r="V83" i="11"/>
  <c r="V83" i="10"/>
  <c r="O83" i="6"/>
  <c r="O83" i="7"/>
  <c r="L82" i="11"/>
  <c r="L82" i="10"/>
  <c r="C18" i="11"/>
  <c r="C18" i="10"/>
  <c r="S45" i="11"/>
  <c r="S45" i="10"/>
  <c r="H36" i="11"/>
  <c r="H36" i="10"/>
  <c r="Q20" i="11"/>
  <c r="Q20" i="10"/>
  <c r="J32" i="6"/>
  <c r="J32" i="7"/>
  <c r="S12" i="6"/>
  <c r="S12" i="7"/>
  <c r="W70" i="7"/>
  <c r="W70" i="6"/>
  <c r="C67" i="11"/>
  <c r="C67" i="10"/>
  <c r="M64" i="6"/>
  <c r="M64" i="7"/>
  <c r="X61" i="6"/>
  <c r="X61" i="7"/>
  <c r="Y59" i="11"/>
  <c r="Y59" i="10"/>
  <c r="T81" i="6"/>
  <c r="T81" i="7"/>
  <c r="Z46" i="11"/>
  <c r="Z46" i="10"/>
  <c r="D33" i="11"/>
  <c r="D33" i="10"/>
  <c r="G72" i="11"/>
  <c r="G72" i="10"/>
  <c r="U29" i="6"/>
  <c r="U29" i="7"/>
  <c r="K66" i="11"/>
  <c r="K66" i="10"/>
  <c r="M39" i="11"/>
  <c r="M39" i="10"/>
  <c r="I36" i="6"/>
  <c r="I36" i="7"/>
  <c r="G84" i="6"/>
  <c r="G84" i="7"/>
  <c r="C76" i="11"/>
  <c r="C76" i="10"/>
  <c r="W17" i="11"/>
  <c r="W17" i="10"/>
  <c r="V10" i="7"/>
  <c r="V10" i="6"/>
  <c r="S68" i="11"/>
  <c r="S68" i="10"/>
  <c r="I62" i="11"/>
  <c r="I62" i="10"/>
  <c r="C58" i="7"/>
  <c r="C58" i="6"/>
  <c r="L75" i="6"/>
  <c r="L75" i="7"/>
  <c r="P31" i="6"/>
  <c r="P31" i="7"/>
  <c r="C33" i="6"/>
  <c r="C33" i="7"/>
  <c r="Z89" i="11"/>
  <c r="Z89" i="10"/>
  <c r="W49" i="11"/>
  <c r="W49" i="10"/>
  <c r="X36" i="11"/>
  <c r="X36" i="10"/>
  <c r="X35" i="6"/>
  <c r="X35" i="7"/>
  <c r="F85" i="7"/>
  <c r="F85" i="6"/>
  <c r="N78" i="11"/>
  <c r="N78" i="10"/>
  <c r="J14" i="11"/>
  <c r="J14" i="10"/>
  <c r="T74" i="6"/>
  <c r="T74" i="7"/>
  <c r="W72" i="11"/>
  <c r="W72" i="10"/>
  <c r="G9" i="7"/>
  <c r="G9" i="6"/>
  <c r="AA28" i="6"/>
  <c r="AA28" i="7"/>
  <c r="S88" i="6"/>
  <c r="S88" i="7"/>
  <c r="S19" i="11"/>
  <c r="S19" i="10"/>
  <c r="W73" i="11"/>
  <c r="W73" i="10"/>
  <c r="V11" i="7"/>
  <c r="V11" i="6"/>
  <c r="Z64" i="6"/>
  <c r="Z64" i="7"/>
  <c r="I51" i="11"/>
  <c r="I51" i="10"/>
  <c r="M79" i="11"/>
  <c r="M79" i="10"/>
  <c r="J42" i="11"/>
  <c r="J42" i="10"/>
  <c r="C41" i="11"/>
  <c r="C41" i="10"/>
  <c r="U46" i="6"/>
  <c r="U46" i="7"/>
  <c r="G50" i="6"/>
  <c r="G50" i="7"/>
  <c r="Y80" i="11"/>
  <c r="Y80" i="10"/>
  <c r="V44" i="11"/>
  <c r="V44" i="10"/>
  <c r="N12" i="11"/>
  <c r="N12" i="10"/>
  <c r="H63" i="11"/>
  <c r="H63" i="10"/>
  <c r="B16" i="11"/>
  <c r="B16" i="10"/>
  <c r="E71" i="11"/>
  <c r="E71" i="10"/>
  <c r="E39" i="7"/>
  <c r="E39" i="6"/>
  <c r="R76" i="11"/>
  <c r="R76" i="10"/>
  <c r="I68" i="6"/>
  <c r="I68" i="7"/>
  <c r="AA75" i="11"/>
  <c r="AA75" i="10"/>
  <c r="B89" i="11"/>
  <c r="B89" i="10"/>
  <c r="N35" i="11"/>
  <c r="N35" i="10"/>
  <c r="D14" i="11"/>
  <c r="D14" i="10"/>
  <c r="Y30" i="6"/>
  <c r="Y30" i="7"/>
  <c r="AA19" i="11"/>
  <c r="AA19" i="10"/>
  <c r="F50" i="11"/>
  <c r="F50" i="10"/>
  <c r="O50" i="6"/>
  <c r="O50" i="7"/>
  <c r="H87" i="11"/>
  <c r="H87" i="10"/>
  <c r="J83" i="6"/>
  <c r="J83" i="7"/>
  <c r="Y80" i="6"/>
  <c r="Y80" i="7"/>
  <c r="H47" i="11"/>
  <c r="H47" i="10"/>
  <c r="M20" i="7"/>
  <c r="M20" i="6"/>
  <c r="B70" i="7"/>
  <c r="B70" i="6"/>
  <c r="X65" i="7"/>
  <c r="X65" i="6"/>
  <c r="R63" i="11"/>
  <c r="R63" i="10"/>
  <c r="G61" i="11"/>
  <c r="G61" i="10"/>
  <c r="Z77" i="11"/>
  <c r="Z77" i="10"/>
  <c r="AA33" i="11"/>
  <c r="AA33" i="10"/>
  <c r="T71" i="11"/>
  <c r="T71" i="10"/>
  <c r="G66" i="11"/>
  <c r="G66" i="10"/>
  <c r="E39" i="11"/>
  <c r="E39" i="10"/>
  <c r="V34" i="11"/>
  <c r="V34" i="10"/>
  <c r="O10" i="6"/>
  <c r="O10" i="7"/>
  <c r="T68" i="7"/>
  <c r="T68" i="6"/>
  <c r="P40" i="11"/>
  <c r="P40" i="10"/>
  <c r="U31" i="11"/>
  <c r="U31" i="10"/>
  <c r="E38" i="6"/>
  <c r="E38" i="7"/>
  <c r="T85" i="6"/>
  <c r="T85" i="7"/>
  <c r="C78" i="6"/>
  <c r="C78" i="7"/>
  <c r="G14" i="6"/>
  <c r="G14" i="7"/>
  <c r="V19" i="6"/>
  <c r="V19" i="7"/>
  <c r="O11" i="7"/>
  <c r="O11" i="6"/>
  <c r="S64" i="11"/>
  <c r="S64" i="10"/>
  <c r="E53" i="4"/>
  <c r="K53" i="9"/>
  <c r="P53" i="4"/>
  <c r="X53" i="9"/>
  <c r="Q57" i="4"/>
  <c r="W57" i="9"/>
  <c r="P57" i="9"/>
  <c r="R90" i="6"/>
  <c r="R90" i="7"/>
  <c r="T90" i="6"/>
  <c r="T90" i="7"/>
  <c r="C90" i="7"/>
  <c r="C90" i="6"/>
  <c r="X90" i="7"/>
  <c r="X90" i="6"/>
  <c r="N90" i="7"/>
  <c r="N90" i="6"/>
  <c r="L90" i="6"/>
  <c r="L90" i="7"/>
  <c r="T78" i="6"/>
  <c r="T78" i="7"/>
  <c r="K47" i="11"/>
  <c r="K47" i="10"/>
  <c r="AA71" i="11"/>
  <c r="AA71" i="10"/>
  <c r="J75" i="6"/>
  <c r="J75" i="7"/>
  <c r="V53" i="4"/>
  <c r="H57" i="9"/>
  <c r="M87" i="11"/>
  <c r="M87" i="10"/>
  <c r="R47" i="11"/>
  <c r="R47" i="10"/>
  <c r="L32" i="11"/>
  <c r="L32" i="10"/>
  <c r="Z67" i="6"/>
  <c r="Z67" i="7"/>
  <c r="L59" i="6"/>
  <c r="L59" i="7"/>
  <c r="E33" i="11"/>
  <c r="E33" i="10"/>
  <c r="P40" i="6"/>
  <c r="P40" i="7"/>
  <c r="Z76" i="11"/>
  <c r="Z76" i="10"/>
  <c r="R68" i="6"/>
  <c r="R68" i="7"/>
  <c r="J31" i="11"/>
  <c r="J31" i="10"/>
  <c r="H49" i="6"/>
  <c r="H49" i="7"/>
  <c r="X78" i="6"/>
  <c r="X78" i="7"/>
  <c r="K74" i="6"/>
  <c r="K74" i="7"/>
  <c r="R88" i="6"/>
  <c r="R88" i="7"/>
  <c r="F11" i="11"/>
  <c r="F11" i="10"/>
  <c r="J64" i="11"/>
  <c r="J64" i="10"/>
  <c r="J35" i="11"/>
  <c r="J35" i="10"/>
  <c r="Q47" i="11"/>
  <c r="Q47" i="10"/>
  <c r="T47" i="6"/>
  <c r="T47" i="7"/>
  <c r="AA87" i="6"/>
  <c r="AA87" i="7"/>
  <c r="X83" i="11"/>
  <c r="X83" i="10"/>
  <c r="V82" i="6"/>
  <c r="V82" i="7"/>
  <c r="D47" i="11"/>
  <c r="D47" i="10"/>
  <c r="X20" i="11"/>
  <c r="X20" i="10"/>
  <c r="I44" i="6"/>
  <c r="I44" i="7"/>
  <c r="N32" i="11"/>
  <c r="N32" i="10"/>
  <c r="K15" i="6"/>
  <c r="K15" i="7"/>
  <c r="H12" i="7"/>
  <c r="H12" i="6"/>
  <c r="B65" i="11"/>
  <c r="B65" i="10"/>
  <c r="P65" i="6"/>
  <c r="P65" i="7"/>
  <c r="J63" i="11"/>
  <c r="J63" i="10"/>
  <c r="C61" i="11"/>
  <c r="C61" i="10"/>
  <c r="B58" i="6"/>
  <c r="B58" i="7"/>
  <c r="V77" i="6"/>
  <c r="V77" i="7"/>
  <c r="D46" i="6"/>
  <c r="D46" i="7"/>
  <c r="L13" i="7"/>
  <c r="L13" i="6"/>
  <c r="Z71" i="10"/>
  <c r="Z71" i="11"/>
  <c r="W29" i="11"/>
  <c r="W29" i="10"/>
  <c r="W35" i="6"/>
  <c r="W35" i="7"/>
  <c r="M36" i="11"/>
  <c r="M36" i="10"/>
  <c r="K34" i="11"/>
  <c r="K34" i="10"/>
  <c r="K84" i="11"/>
  <c r="K84" i="10"/>
  <c r="Z17" i="11"/>
  <c r="Z17" i="10"/>
  <c r="N16" i="11"/>
  <c r="N16" i="10"/>
  <c r="F10" i="7"/>
  <c r="F10" i="6"/>
  <c r="P62" i="11"/>
  <c r="P62" i="10"/>
  <c r="F58" i="6"/>
  <c r="F58" i="7"/>
  <c r="L40" i="11"/>
  <c r="L40" i="10"/>
  <c r="M31" i="11"/>
  <c r="M31" i="10"/>
  <c r="K60" i="11"/>
  <c r="K60" i="10"/>
  <c r="I43" i="6"/>
  <c r="I43" i="7"/>
  <c r="K49" i="11"/>
  <c r="K49" i="10"/>
  <c r="I41" i="11"/>
  <c r="I41" i="10"/>
  <c r="V35" i="7"/>
  <c r="V35" i="6"/>
  <c r="X85" i="6"/>
  <c r="X85" i="7"/>
  <c r="G78" i="7"/>
  <c r="G78" i="6"/>
  <c r="C13" i="11"/>
  <c r="C13" i="10"/>
  <c r="R74" i="11"/>
  <c r="R74" i="10"/>
  <c r="K72" i="6"/>
  <c r="K72" i="7"/>
  <c r="Q9" i="6"/>
  <c r="Q9" i="7"/>
  <c r="D28" i="11"/>
  <c r="D28" i="10"/>
  <c r="U88" i="6"/>
  <c r="U88" i="7"/>
  <c r="W19" i="11"/>
  <c r="W19" i="10"/>
  <c r="Y73" i="11"/>
  <c r="Y73" i="10"/>
  <c r="X11" i="6"/>
  <c r="X11" i="7"/>
  <c r="G64" i="7"/>
  <c r="G64" i="6"/>
  <c r="K51" i="11"/>
  <c r="K51" i="10"/>
  <c r="C86" i="11"/>
  <c r="C86" i="10"/>
  <c r="T41" i="6"/>
  <c r="T41" i="7"/>
  <c r="W83" i="11"/>
  <c r="W83" i="10"/>
  <c r="M50" i="11"/>
  <c r="M50" i="10"/>
  <c r="I35" i="11"/>
  <c r="I35" i="10"/>
  <c r="W80" i="6"/>
  <c r="W80" i="7"/>
  <c r="K39" i="11"/>
  <c r="K39" i="10"/>
  <c r="Z12" i="11"/>
  <c r="Z12" i="10"/>
  <c r="Z65" i="6"/>
  <c r="Z65" i="7"/>
  <c r="C59" i="6"/>
  <c r="C59" i="7"/>
  <c r="R33" i="11"/>
  <c r="R33" i="10"/>
  <c r="W66" i="11"/>
  <c r="W66" i="10"/>
  <c r="C34" i="11"/>
  <c r="C34" i="10"/>
  <c r="U16" i="7"/>
  <c r="U16" i="6"/>
  <c r="O62" i="6"/>
  <c r="O62" i="7"/>
  <c r="B60" i="11"/>
  <c r="B60" i="10"/>
  <c r="AA49" i="11"/>
  <c r="AA49" i="10"/>
  <c r="E85" i="7"/>
  <c r="E85" i="6"/>
  <c r="I14" i="7"/>
  <c r="I14" i="6"/>
  <c r="R30" i="6"/>
  <c r="R30" i="7"/>
  <c r="N19" i="11"/>
  <c r="N19" i="10"/>
  <c r="R11" i="6"/>
  <c r="R11" i="7"/>
  <c r="U51" i="6"/>
  <c r="U51" i="7"/>
  <c r="B63" i="7"/>
  <c r="B63" i="6"/>
  <c r="Z42" i="11"/>
  <c r="Z42" i="10"/>
  <c r="K43" i="11"/>
  <c r="K43" i="10"/>
  <c r="S80" i="11"/>
  <c r="S80" i="10"/>
  <c r="C40" i="11"/>
  <c r="C40" i="10"/>
  <c r="J87" i="6"/>
  <c r="J87" i="7"/>
  <c r="B78" i="11"/>
  <c r="B78" i="10"/>
  <c r="Z80" i="11"/>
  <c r="Z80" i="10"/>
  <c r="B48" i="6"/>
  <c r="B48" i="7"/>
  <c r="F36" i="11"/>
  <c r="F36" i="10"/>
  <c r="W44" i="11"/>
  <c r="W44" i="10"/>
  <c r="M32" i="11"/>
  <c r="M32" i="10"/>
  <c r="Z15" i="7"/>
  <c r="Z15" i="6"/>
  <c r="N12" i="6"/>
  <c r="N12" i="7"/>
  <c r="C30" i="11"/>
  <c r="C30" i="10"/>
  <c r="M65" i="7"/>
  <c r="M65" i="6"/>
  <c r="V63" i="11"/>
  <c r="V63" i="10"/>
  <c r="I61" i="11"/>
  <c r="I61" i="10"/>
  <c r="I59" i="7"/>
  <c r="I59" i="6"/>
  <c r="X77" i="6"/>
  <c r="X77" i="7"/>
  <c r="AA46" i="11"/>
  <c r="AA46" i="10"/>
  <c r="N13" i="11"/>
  <c r="N13" i="10"/>
  <c r="H71" i="11"/>
  <c r="H71" i="10"/>
  <c r="D29" i="11"/>
  <c r="D29" i="10"/>
  <c r="AA28" i="11"/>
  <c r="AA28" i="10"/>
  <c r="Q39" i="6"/>
  <c r="Q39" i="7"/>
  <c r="K34" i="6"/>
  <c r="K34" i="7"/>
  <c r="P84" i="6"/>
  <c r="P84" i="7"/>
  <c r="N76" i="11"/>
  <c r="N76" i="10"/>
  <c r="Y16" i="7"/>
  <c r="Y16" i="6"/>
  <c r="Q10" i="11"/>
  <c r="Q10" i="10"/>
  <c r="V68" i="7"/>
  <c r="V68" i="6"/>
  <c r="R58" i="11"/>
  <c r="R58" i="10"/>
  <c r="Q40" i="6"/>
  <c r="Q40" i="7"/>
  <c r="U75" i="7"/>
  <c r="U75" i="6"/>
  <c r="X60" i="6"/>
  <c r="X60" i="7"/>
  <c r="F51" i="11"/>
  <c r="F51" i="10"/>
  <c r="D89" i="6"/>
  <c r="D89" i="7"/>
  <c r="X40" i="11"/>
  <c r="X40" i="10"/>
  <c r="V38" i="6"/>
  <c r="V38" i="7"/>
  <c r="O35" i="11"/>
  <c r="O35" i="10"/>
  <c r="B19" i="11"/>
  <c r="B19" i="10"/>
  <c r="Y18" i="11"/>
  <c r="Y18" i="10"/>
  <c r="N14" i="11"/>
  <c r="N14" i="10"/>
  <c r="E74" i="11"/>
  <c r="E74" i="10"/>
  <c r="P9" i="7"/>
  <c r="P9" i="6"/>
  <c r="X30" i="7"/>
  <c r="X30" i="6"/>
  <c r="L28" i="6"/>
  <c r="L28" i="7"/>
  <c r="P79" i="6"/>
  <c r="P79" i="7"/>
  <c r="P19" i="6"/>
  <c r="P19" i="7"/>
  <c r="P73" i="11"/>
  <c r="P73" i="10"/>
  <c r="C69" i="11"/>
  <c r="C69" i="10"/>
  <c r="U64" i="11"/>
  <c r="U64" i="10"/>
  <c r="AA86" i="6"/>
  <c r="AA86" i="7"/>
  <c r="X50" i="6"/>
  <c r="X50" i="7"/>
  <c r="K42" i="11"/>
  <c r="K42" i="10"/>
  <c r="B32" i="11"/>
  <c r="B32" i="10"/>
  <c r="B71" i="6"/>
  <c r="B71" i="7"/>
  <c r="W87" i="6"/>
  <c r="W87" i="7"/>
  <c r="J47" i="11"/>
  <c r="J47" i="10"/>
  <c r="K20" i="6"/>
  <c r="K20" i="7"/>
  <c r="S70" i="6"/>
  <c r="S70" i="7"/>
  <c r="L61" i="7"/>
  <c r="L61" i="6"/>
  <c r="D46" i="11"/>
  <c r="D46" i="10"/>
  <c r="Q29" i="11"/>
  <c r="Q29" i="10"/>
  <c r="S34" i="6"/>
  <c r="S34" i="7"/>
  <c r="I16" i="11"/>
  <c r="I16" i="10"/>
  <c r="E62" i="6"/>
  <c r="E62" i="7"/>
  <c r="L31" i="6"/>
  <c r="L31" i="7"/>
  <c r="S49" i="11"/>
  <c r="S49" i="10"/>
  <c r="B85" i="6"/>
  <c r="B85" i="7"/>
  <c r="Y74" i="11"/>
  <c r="Y74" i="10"/>
  <c r="L28" i="11"/>
  <c r="L28" i="10"/>
  <c r="O37" i="6"/>
  <c r="O37" i="7"/>
  <c r="I42" i="6"/>
  <c r="I42" i="7"/>
  <c r="S37" i="11"/>
  <c r="S37" i="10"/>
  <c r="S87" i="11"/>
  <c r="S87" i="10"/>
  <c r="AA82" i="6"/>
  <c r="AA82" i="7"/>
  <c r="H80" i="11"/>
  <c r="H80" i="10"/>
  <c r="T48" i="6"/>
  <c r="T48" i="7"/>
  <c r="D40" i="7"/>
  <c r="D40" i="6"/>
  <c r="K44" i="11"/>
  <c r="K44" i="10"/>
  <c r="P32" i="11"/>
  <c r="P32" i="10"/>
  <c r="M15" i="6"/>
  <c r="M15" i="7"/>
  <c r="D12" i="6"/>
  <c r="D12" i="7"/>
  <c r="I30" i="6"/>
  <c r="I30" i="7"/>
  <c r="H65" i="6"/>
  <c r="H65" i="7"/>
  <c r="B63" i="11"/>
  <c r="B63" i="10"/>
  <c r="Y61" i="6"/>
  <c r="Y61" i="7"/>
  <c r="B81" i="11"/>
  <c r="B81" i="10"/>
  <c r="F77" i="6"/>
  <c r="F77" i="7"/>
  <c r="Y46" i="11"/>
  <c r="Y46" i="10"/>
  <c r="D13" i="6"/>
  <c r="D13" i="7"/>
  <c r="F71" i="7"/>
  <c r="F71" i="6"/>
  <c r="AA29" i="11"/>
  <c r="AA29" i="10"/>
  <c r="S30" i="6"/>
  <c r="S30" i="7"/>
  <c r="O39" i="6"/>
  <c r="O39" i="7"/>
  <c r="W34" i="11"/>
  <c r="W34" i="10"/>
  <c r="Y84" i="11"/>
  <c r="Y84" i="10"/>
  <c r="Y17" i="6"/>
  <c r="Y17" i="7"/>
  <c r="G16" i="6"/>
  <c r="G16" i="7"/>
  <c r="X10" i="11"/>
  <c r="X10" i="10"/>
  <c r="L68" i="6"/>
  <c r="L68" i="7"/>
  <c r="H58" i="11"/>
  <c r="H58" i="10"/>
  <c r="W40" i="11"/>
  <c r="W40" i="10"/>
  <c r="K75" i="6"/>
  <c r="K75" i="7"/>
  <c r="N60" i="6"/>
  <c r="N60" i="7"/>
  <c r="W43" i="6"/>
  <c r="W43" i="7"/>
  <c r="U89" i="11"/>
  <c r="U89" i="10"/>
  <c r="S41" i="6"/>
  <c r="S41" i="7"/>
  <c r="T38" i="11"/>
  <c r="T38" i="10"/>
  <c r="M86" i="11"/>
  <c r="M86" i="10"/>
  <c r="L78" i="6"/>
  <c r="L78" i="7"/>
  <c r="S18" i="6"/>
  <c r="S18" i="7"/>
  <c r="F14" i="6"/>
  <c r="F14" i="7"/>
  <c r="E74" i="6"/>
  <c r="E74" i="7"/>
  <c r="J9" i="6"/>
  <c r="J9" i="7"/>
  <c r="W30" i="11"/>
  <c r="W30" i="10"/>
  <c r="D88" i="11"/>
  <c r="D88" i="10"/>
  <c r="Q79" i="6"/>
  <c r="Q79" i="7"/>
  <c r="K19" i="7"/>
  <c r="K19" i="6"/>
  <c r="V11" i="11"/>
  <c r="V11" i="10"/>
  <c r="G69" i="6"/>
  <c r="G69" i="7"/>
  <c r="D64" i="11"/>
  <c r="D64" i="10"/>
  <c r="V86" i="7"/>
  <c r="V86" i="6"/>
  <c r="B44" i="11"/>
  <c r="B44" i="10"/>
  <c r="L39" i="11"/>
  <c r="L39" i="10"/>
  <c r="M59" i="6"/>
  <c r="M59" i="7"/>
  <c r="B57" i="4"/>
  <c r="W90" i="11"/>
  <c r="W90" i="10"/>
  <c r="M90" i="11"/>
  <c r="M90" i="10"/>
  <c r="V90" i="11"/>
  <c r="V90" i="10"/>
  <c r="Q90" i="11"/>
  <c r="Q90" i="10"/>
  <c r="T90" i="11"/>
  <c r="T90" i="10"/>
  <c r="S90" i="11"/>
  <c r="S90" i="10"/>
  <c r="E53" i="9"/>
  <c r="J53" i="4"/>
  <c r="F53" i="9"/>
  <c r="AA57" i="4"/>
  <c r="H57" i="4"/>
  <c r="Z57" i="9"/>
  <c r="P82" i="6"/>
  <c r="P82" i="7"/>
  <c r="P77" i="11"/>
  <c r="P77" i="10"/>
  <c r="S75" i="11"/>
  <c r="S75" i="10"/>
  <c r="T14" i="7"/>
  <c r="T14" i="6"/>
  <c r="R50" i="11"/>
  <c r="R50" i="10"/>
  <c r="B33" i="11"/>
  <c r="B33" i="10"/>
  <c r="N82" i="11"/>
  <c r="N82" i="10"/>
  <c r="T47" i="11"/>
  <c r="T47" i="10"/>
  <c r="D65" i="11"/>
  <c r="D65" i="10"/>
  <c r="F33" i="11"/>
  <c r="F33" i="10"/>
  <c r="D66" i="11"/>
  <c r="D66" i="10"/>
  <c r="G10" i="6"/>
  <c r="G10" i="7"/>
  <c r="Y31" i="6"/>
  <c r="Y31" i="7"/>
  <c r="Z78" i="6"/>
  <c r="Z78" i="7"/>
  <c r="U14" i="6"/>
  <c r="U14" i="7"/>
  <c r="O72" i="11"/>
  <c r="O72" i="10"/>
  <c r="V73" i="6"/>
  <c r="V73" i="7"/>
  <c r="O64" i="11"/>
  <c r="O64" i="10"/>
  <c r="M38" i="6"/>
  <c r="M38" i="7"/>
  <c r="AA71" i="6"/>
  <c r="AA71" i="7"/>
  <c r="W84" i="6"/>
  <c r="W84" i="7"/>
  <c r="J85" i="6"/>
  <c r="J85" i="7"/>
  <c r="Q64" i="11"/>
  <c r="Q64" i="10"/>
  <c r="L77" i="11"/>
  <c r="L77" i="10"/>
  <c r="T82" i="11"/>
  <c r="T82" i="10"/>
  <c r="F39" i="7"/>
  <c r="F39" i="6"/>
  <c r="N85" i="6"/>
  <c r="N85" i="7"/>
  <c r="O74" i="7"/>
  <c r="O74" i="6"/>
  <c r="G73" i="6"/>
  <c r="G73" i="7"/>
  <c r="X83" i="6"/>
  <c r="X83" i="7"/>
  <c r="X40" i="6"/>
  <c r="X40" i="7"/>
  <c r="Y40" i="6"/>
  <c r="Y40" i="7"/>
  <c r="U82" i="11"/>
  <c r="U82" i="10"/>
  <c r="U36" i="11"/>
  <c r="U36" i="10"/>
  <c r="B64" i="6"/>
  <c r="B64" i="7"/>
  <c r="J60" i="11"/>
  <c r="J60" i="10"/>
  <c r="W69" i="6"/>
  <c r="W69" i="7"/>
  <c r="C53" i="4"/>
  <c r="J53" i="9"/>
  <c r="E57" i="9"/>
  <c r="T37" i="6"/>
  <c r="T37" i="7"/>
  <c r="P82" i="11"/>
  <c r="P82" i="10"/>
  <c r="T44" i="11"/>
  <c r="T44" i="10"/>
  <c r="J12" i="6"/>
  <c r="J12" i="7"/>
  <c r="R63" i="6"/>
  <c r="R63" i="7"/>
  <c r="O77" i="6"/>
  <c r="O77" i="7"/>
  <c r="R29" i="6"/>
  <c r="R29" i="7"/>
  <c r="O84" i="11"/>
  <c r="O84" i="10"/>
  <c r="Y68" i="11"/>
  <c r="Y68" i="10"/>
  <c r="P75" i="6"/>
  <c r="P75" i="7"/>
  <c r="H89" i="7"/>
  <c r="H89" i="6"/>
  <c r="T85" i="11"/>
  <c r="T85" i="10"/>
  <c r="Z74" i="11"/>
  <c r="Z74" i="10"/>
  <c r="W28" i="6"/>
  <c r="W28" i="7"/>
  <c r="C73" i="6"/>
  <c r="C73" i="7"/>
  <c r="Y64" i="11"/>
  <c r="Y64" i="10"/>
  <c r="I48" i="11"/>
  <c r="I48" i="10"/>
  <c r="AA47" i="11"/>
  <c r="AA47" i="10"/>
  <c r="C48" i="11"/>
  <c r="C48" i="10"/>
  <c r="Y87" i="6"/>
  <c r="Y87" i="7"/>
  <c r="N83" i="11"/>
  <c r="N83" i="10"/>
  <c r="N82" i="6"/>
  <c r="N82" i="7"/>
  <c r="Q42" i="11"/>
  <c r="Q42" i="10"/>
  <c r="N42" i="6"/>
  <c r="N42" i="7"/>
  <c r="R44" i="6"/>
  <c r="R44" i="7"/>
  <c r="Q20" i="7"/>
  <c r="Q20" i="6"/>
  <c r="S15" i="11"/>
  <c r="S15" i="10"/>
  <c r="K12" i="11"/>
  <c r="K12" i="10"/>
  <c r="T70" i="6"/>
  <c r="T70" i="7"/>
  <c r="F67" i="11"/>
  <c r="F67" i="10"/>
  <c r="D63" i="11"/>
  <c r="D63" i="10"/>
  <c r="AA61" i="11"/>
  <c r="AA61" i="10"/>
  <c r="C59" i="11"/>
  <c r="C59" i="10"/>
  <c r="T17" i="11"/>
  <c r="T17" i="10"/>
  <c r="B46" i="6"/>
  <c r="B46" i="7"/>
  <c r="C33" i="11"/>
  <c r="C33" i="10"/>
  <c r="T71" i="6"/>
  <c r="T71" i="7"/>
  <c r="X29" i="11"/>
  <c r="X29" i="10"/>
  <c r="L66" i="11"/>
  <c r="L66" i="10"/>
  <c r="S39" i="6"/>
  <c r="S39" i="7"/>
  <c r="O34" i="6"/>
  <c r="O34" i="7"/>
  <c r="J84" i="7"/>
  <c r="J84" i="6"/>
  <c r="F76" i="11"/>
  <c r="F76" i="10"/>
  <c r="K16" i="6"/>
  <c r="K16" i="7"/>
  <c r="T10" i="11"/>
  <c r="T10" i="10"/>
  <c r="H68" i="6"/>
  <c r="H68" i="7"/>
  <c r="N58" i="11"/>
  <c r="N58" i="10"/>
  <c r="S40" i="11"/>
  <c r="S40" i="10"/>
  <c r="G75" i="6"/>
  <c r="G75" i="7"/>
  <c r="J60" i="6"/>
  <c r="J60" i="7"/>
  <c r="S43" i="6"/>
  <c r="S43" i="7"/>
  <c r="W89" i="6"/>
  <c r="W89" i="7"/>
  <c r="U41" i="6"/>
  <c r="U41" i="7"/>
  <c r="W38" i="11"/>
  <c r="W38" i="10"/>
  <c r="Z85" i="11"/>
  <c r="Z85" i="10"/>
  <c r="E78" i="11"/>
  <c r="E78" i="10"/>
  <c r="X18" i="11"/>
  <c r="X18" i="10"/>
  <c r="B72" i="11"/>
  <c r="B72" i="10"/>
  <c r="S72" i="11"/>
  <c r="S72" i="10"/>
  <c r="O9" i="11"/>
  <c r="O9" i="10"/>
  <c r="F28" i="11"/>
  <c r="F28" i="10"/>
  <c r="AA88" i="11"/>
  <c r="AA88" i="10"/>
  <c r="N79" i="11"/>
  <c r="N79" i="10"/>
  <c r="T73" i="11"/>
  <c r="T73" i="10"/>
  <c r="E11" i="11"/>
  <c r="E11" i="10"/>
  <c r="L69" i="6"/>
  <c r="L69" i="7"/>
  <c r="L51" i="6"/>
  <c r="L51" i="7"/>
  <c r="B86" i="7"/>
  <c r="B86" i="6"/>
  <c r="B59" i="6"/>
  <c r="B59" i="7"/>
  <c r="H49" i="11"/>
  <c r="H49" i="10"/>
  <c r="B68" i="6"/>
  <c r="B68" i="7"/>
  <c r="H50" i="11"/>
  <c r="H50" i="10"/>
  <c r="P83" i="11"/>
  <c r="P83" i="10"/>
  <c r="U50" i="11"/>
  <c r="U50" i="10"/>
  <c r="O32" i="6"/>
  <c r="O32" i="7"/>
  <c r="H30" i="11"/>
  <c r="H30" i="10"/>
  <c r="D61" i="6"/>
  <c r="D61" i="7"/>
  <c r="X77" i="11"/>
  <c r="X77" i="10"/>
  <c r="R71" i="11"/>
  <c r="R71" i="10"/>
  <c r="Q36" i="11"/>
  <c r="Q36" i="10"/>
  <c r="I76" i="6"/>
  <c r="I76" i="7"/>
  <c r="P68" i="11"/>
  <c r="P68" i="10"/>
  <c r="X75" i="11"/>
  <c r="X75" i="10"/>
  <c r="X43" i="6"/>
  <c r="X43" i="7"/>
  <c r="R38" i="11"/>
  <c r="R38" i="10"/>
  <c r="T18" i="6"/>
  <c r="T18" i="7"/>
  <c r="C72" i="7"/>
  <c r="C72" i="6"/>
  <c r="G88" i="6"/>
  <c r="G88" i="7"/>
  <c r="P73" i="6"/>
  <c r="P73" i="7"/>
  <c r="L64" i="6"/>
  <c r="L64" i="7"/>
  <c r="Z45" i="7"/>
  <c r="Z45" i="6"/>
  <c r="G80" i="11"/>
  <c r="G80" i="10"/>
  <c r="I36" i="11"/>
  <c r="I36" i="10"/>
  <c r="W82" i="11"/>
  <c r="W82" i="10"/>
  <c r="L37" i="6"/>
  <c r="L37" i="7"/>
  <c r="H36" i="6"/>
  <c r="H36" i="7"/>
  <c r="B87" i="6"/>
  <c r="B87" i="7"/>
  <c r="S82" i="11"/>
  <c r="S82" i="10"/>
  <c r="R80" i="11"/>
  <c r="R80" i="10"/>
  <c r="J48" i="6"/>
  <c r="J48" i="7"/>
  <c r="R51" i="11"/>
  <c r="R51" i="10"/>
  <c r="Z20" i="11"/>
  <c r="Z20" i="10"/>
  <c r="Z32" i="6"/>
  <c r="Z32" i="7"/>
  <c r="I73" i="11"/>
  <c r="I73" i="10"/>
  <c r="R70" i="11"/>
  <c r="R70" i="10"/>
  <c r="W67" i="6"/>
  <c r="W67" i="7"/>
  <c r="AA65" i="11"/>
  <c r="AA65" i="10"/>
  <c r="W63" i="6"/>
  <c r="W63" i="7"/>
  <c r="R59" i="11"/>
  <c r="R59" i="10"/>
  <c r="S81" i="6"/>
  <c r="S81" i="7"/>
  <c r="AA77" i="6"/>
  <c r="AA77" i="7"/>
  <c r="N33" i="6"/>
  <c r="N33" i="7"/>
  <c r="M13" i="6"/>
  <c r="M13" i="7"/>
  <c r="W71" i="6"/>
  <c r="W71" i="7"/>
  <c r="V66" i="6"/>
  <c r="V66" i="7"/>
  <c r="Y46" i="6"/>
  <c r="Y46" i="7"/>
  <c r="S36" i="11"/>
  <c r="S36" i="10"/>
  <c r="P34" i="11"/>
  <c r="P34" i="10"/>
  <c r="M77" i="11"/>
  <c r="M77" i="10"/>
  <c r="X17" i="11"/>
  <c r="X17" i="10"/>
  <c r="D16" i="11"/>
  <c r="D16" i="10"/>
  <c r="D10" i="6"/>
  <c r="D10" i="7"/>
  <c r="H62" i="11"/>
  <c r="H62" i="10"/>
  <c r="D58" i="6"/>
  <c r="D58" i="7"/>
  <c r="J40" i="11"/>
  <c r="J40" i="10"/>
  <c r="E31" i="11"/>
  <c r="E31" i="10"/>
  <c r="I60" i="11"/>
  <c r="I60" i="10"/>
  <c r="D43" i="6"/>
  <c r="D43" i="7"/>
  <c r="M89" i="6"/>
  <c r="M89" i="7"/>
  <c r="Q41" i="7"/>
  <c r="Q41" i="6"/>
  <c r="U38" i="11"/>
  <c r="U38" i="10"/>
  <c r="S85" i="6"/>
  <c r="S85" i="7"/>
  <c r="Q78" i="11"/>
  <c r="Q78" i="10"/>
  <c r="E18" i="7"/>
  <c r="E18" i="6"/>
  <c r="Q14" i="11"/>
  <c r="Q14" i="10"/>
  <c r="G72" i="6"/>
  <c r="G72" i="7"/>
  <c r="H9" i="11"/>
  <c r="H9" i="10"/>
  <c r="Q30" i="11"/>
  <c r="Q30" i="10"/>
  <c r="V88" i="6"/>
  <c r="V88" i="7"/>
  <c r="K79" i="6"/>
  <c r="K79" i="7"/>
  <c r="E19" i="6"/>
  <c r="E19" i="7"/>
  <c r="N11" i="11"/>
  <c r="N11" i="10"/>
  <c r="I69" i="6"/>
  <c r="I69" i="7"/>
  <c r="F64" i="11"/>
  <c r="F64" i="10"/>
  <c r="X86" i="6"/>
  <c r="X86" i="7"/>
  <c r="J32" i="11"/>
  <c r="J32" i="10"/>
  <c r="V37" i="6"/>
  <c r="V37" i="7"/>
  <c r="B61" i="6"/>
  <c r="B61" i="7"/>
  <c r="Y47" i="11"/>
  <c r="Y47" i="10"/>
  <c r="Z83" i="11"/>
  <c r="Z83" i="10"/>
  <c r="M87" i="6"/>
  <c r="M87" i="7"/>
  <c r="L15" i="11"/>
  <c r="L15" i="10"/>
  <c r="G67" i="11"/>
  <c r="G67" i="10"/>
  <c r="U59" i="11"/>
  <c r="U59" i="10"/>
  <c r="Y33" i="11"/>
  <c r="Y33" i="10"/>
  <c r="G35" i="6"/>
  <c r="G35" i="7"/>
  <c r="D84" i="11"/>
  <c r="D84" i="10"/>
  <c r="P10" i="7"/>
  <c r="P10" i="6"/>
  <c r="W40" i="6"/>
  <c r="W40" i="7"/>
  <c r="V34" i="6"/>
  <c r="V34" i="7"/>
  <c r="I38" i="11"/>
  <c r="I38" i="10"/>
  <c r="J78" i="11"/>
  <c r="J78" i="10"/>
  <c r="T72" i="11"/>
  <c r="T72" i="10"/>
  <c r="S88" i="11"/>
  <c r="S88" i="10"/>
  <c r="Z45" i="11"/>
  <c r="Z45" i="10"/>
  <c r="H47" i="6"/>
  <c r="H47" i="7"/>
  <c r="B84" i="11"/>
  <c r="B84" i="10"/>
  <c r="M83" i="6"/>
  <c r="M83" i="7"/>
  <c r="J82" i="11"/>
  <c r="J82" i="10"/>
  <c r="I37" i="7"/>
  <c r="I37" i="6"/>
  <c r="Q45" i="11"/>
  <c r="Q45" i="10"/>
  <c r="C40" i="6"/>
  <c r="C40" i="7"/>
  <c r="F20" i="11"/>
  <c r="F20" i="10"/>
  <c r="P32" i="6"/>
  <c r="P32" i="7"/>
  <c r="X12" i="11"/>
  <c r="X12" i="10"/>
  <c r="Z70" i="11"/>
  <c r="Z70" i="10"/>
  <c r="C67" i="6"/>
  <c r="C67" i="7"/>
  <c r="Q65" i="11"/>
  <c r="Q65" i="10"/>
  <c r="K63" i="6"/>
  <c r="K63" i="7"/>
  <c r="V59" i="11"/>
  <c r="V59" i="10"/>
  <c r="I81" i="6"/>
  <c r="I81" i="7"/>
  <c r="Q77" i="6"/>
  <c r="Q77" i="7"/>
  <c r="J33" i="7"/>
  <c r="J33" i="6"/>
  <c r="J13" i="11"/>
  <c r="J13" i="10"/>
  <c r="U71" i="6"/>
  <c r="U71" i="7"/>
  <c r="R66" i="6"/>
  <c r="R66" i="7"/>
  <c r="D49" i="11"/>
  <c r="D49" i="10"/>
  <c r="X36" i="6"/>
  <c r="X36" i="7"/>
  <c r="D34" i="11"/>
  <c r="D34" i="10"/>
  <c r="X76" i="6"/>
  <c r="X76" i="7"/>
  <c r="Z17" i="7"/>
  <c r="Z17" i="6"/>
  <c r="R16" i="6"/>
  <c r="R16" i="7"/>
  <c r="Z68" i="11"/>
  <c r="Z68" i="10"/>
  <c r="X62" i="6"/>
  <c r="X62" i="7"/>
  <c r="S58" i="11"/>
  <c r="S58" i="10"/>
  <c r="F75" i="11"/>
  <c r="F75" i="10"/>
  <c r="D31" i="11"/>
  <c r="D31" i="10"/>
  <c r="Y60" i="6"/>
  <c r="Y60" i="7"/>
  <c r="P43" i="6"/>
  <c r="P43" i="7"/>
  <c r="C89" i="6"/>
  <c r="C89" i="7"/>
  <c r="O41" i="11"/>
  <c r="O41" i="10"/>
  <c r="H34" i="7"/>
  <c r="H34" i="6"/>
  <c r="N85" i="11"/>
  <c r="N85" i="10"/>
  <c r="S78" i="6"/>
  <c r="S78" i="7"/>
  <c r="H33" i="6"/>
  <c r="H33" i="7"/>
  <c r="H74" i="11"/>
  <c r="H74" i="10"/>
  <c r="C72" i="11"/>
  <c r="C72" i="10"/>
  <c r="U9" i="6"/>
  <c r="U9" i="7"/>
  <c r="E28" i="11"/>
  <c r="E28" i="10"/>
  <c r="K88" i="11"/>
  <c r="K88" i="10"/>
  <c r="X19" i="11"/>
  <c r="X19" i="10"/>
  <c r="Q73" i="11"/>
  <c r="Q73" i="10"/>
  <c r="M11" i="6"/>
  <c r="M11" i="7"/>
  <c r="K64" i="6"/>
  <c r="K64" i="7"/>
  <c r="O51" i="11"/>
  <c r="O51" i="10"/>
  <c r="G86" i="11"/>
  <c r="G86" i="10"/>
  <c r="R37" i="7"/>
  <c r="R37" i="6"/>
  <c r="B48" i="11"/>
  <c r="B48" i="10"/>
  <c r="M62" i="6"/>
  <c r="M62" i="7"/>
  <c r="Q53" i="4"/>
  <c r="W53" i="9"/>
  <c r="C57" i="9"/>
  <c r="J57" i="4"/>
  <c r="D57" i="9"/>
  <c r="V65" i="11"/>
  <c r="V65" i="10"/>
  <c r="H66" i="7"/>
  <c r="H66" i="6"/>
  <c r="I40" i="11"/>
  <c r="I40" i="10"/>
  <c r="D19" i="6"/>
  <c r="D19" i="7"/>
  <c r="I64" i="11"/>
  <c r="I64" i="10"/>
  <c r="K48" i="6"/>
  <c r="K48" i="7"/>
  <c r="F82" i="6"/>
  <c r="F82" i="7"/>
  <c r="O50" i="11"/>
  <c r="O50" i="10"/>
  <c r="I15" i="6"/>
  <c r="I15" i="7"/>
  <c r="K65" i="11"/>
  <c r="K65" i="10"/>
  <c r="V46" i="6"/>
  <c r="V46" i="7"/>
  <c r="I71" i="6"/>
  <c r="I71" i="7"/>
  <c r="M66" i="11"/>
  <c r="M66" i="10"/>
  <c r="W36" i="11"/>
  <c r="W36" i="10"/>
  <c r="J84" i="11"/>
  <c r="J84" i="10"/>
  <c r="F68" i="11"/>
  <c r="F68" i="10"/>
  <c r="R31" i="6"/>
  <c r="R31" i="7"/>
  <c r="N49" i="7"/>
  <c r="N49" i="6"/>
  <c r="W78" i="6"/>
  <c r="W78" i="7"/>
  <c r="J19" i="11"/>
  <c r="J19" i="10"/>
  <c r="U64" i="6"/>
  <c r="U64" i="7"/>
  <c r="Y13" i="11"/>
  <c r="Y13" i="10"/>
  <c r="F50" i="6"/>
  <c r="F50" i="7"/>
  <c r="N47" i="11"/>
  <c r="N47" i="10"/>
  <c r="H84" i="11"/>
  <c r="H84" i="10"/>
  <c r="F9" i="11"/>
  <c r="F9" i="10"/>
  <c r="B39" i="6"/>
  <c r="B39" i="7"/>
  <c r="R83" i="6"/>
  <c r="R83" i="7"/>
  <c r="M63" i="11"/>
  <c r="M63" i="10"/>
  <c r="L33" i="11"/>
  <c r="L33" i="10"/>
  <c r="D39" i="6"/>
  <c r="D39" i="7"/>
  <c r="AA75" i="6"/>
  <c r="AA75" i="7"/>
  <c r="I33" i="11"/>
  <c r="I33" i="10"/>
  <c r="I75" i="11"/>
  <c r="I75" i="10"/>
  <c r="AA19" i="7"/>
  <c r="AA19" i="6"/>
  <c r="DB91" i="2"/>
  <c r="DB21" i="2"/>
  <c r="DB49" i="2"/>
  <c r="DA54" i="2"/>
  <c r="CV26" i="2"/>
  <c r="CX26" i="2" s="1"/>
  <c r="CV6" i="2"/>
  <c r="CX6" i="2" s="1"/>
  <c r="DB43" i="2"/>
  <c r="DB39" i="2"/>
  <c r="CV23" i="2"/>
  <c r="CX23" i="2" s="1"/>
  <c r="CV22" i="2"/>
  <c r="CX22" i="2" s="1"/>
  <c r="CW22" i="2"/>
  <c r="CY22" i="2" s="1"/>
  <c r="CV25" i="2"/>
  <c r="CX25" i="2" s="1"/>
  <c r="CV9" i="2"/>
  <c r="CX9" i="2" s="1"/>
  <c r="CV5" i="2"/>
  <c r="CX5" i="2" s="1"/>
  <c r="CW6" i="2"/>
  <c r="CY6" i="2" s="1"/>
  <c r="CW25" i="2"/>
  <c r="CY25" i="2" s="1"/>
  <c r="CZ58" i="2"/>
  <c r="DE58" i="2"/>
  <c r="DF58" i="2" s="1"/>
  <c r="CT58" i="2"/>
  <c r="CW23" i="2"/>
  <c r="CY23" i="2" s="1"/>
  <c r="CV27" i="2"/>
  <c r="CX27" i="2" s="1"/>
  <c r="CV7" i="2"/>
  <c r="CX7" i="2" s="1"/>
  <c r="CV28" i="2"/>
  <c r="CX28" i="2" s="1"/>
  <c r="CV24" i="2"/>
  <c r="CX24" i="2" s="1"/>
  <c r="CV8" i="2"/>
  <c r="CX8" i="2" s="1"/>
  <c r="CV4" i="2"/>
  <c r="CX4" i="2" s="1"/>
  <c r="CW9" i="2"/>
  <c r="CY9" i="2" s="1"/>
  <c r="CW24" i="2"/>
  <c r="CY24" i="2" s="1"/>
  <c r="DB46" i="2"/>
  <c r="CU58" i="2"/>
  <c r="DA58" i="2"/>
  <c r="CW7" i="2"/>
  <c r="CY7" i="2" s="1"/>
  <c r="CZ54" i="2"/>
  <c r="DE54" i="2"/>
  <c r="DF54" i="2" s="1"/>
  <c r="CW27" i="2"/>
  <c r="CY27" i="2" s="1"/>
  <c r="DB10" i="2"/>
  <c r="DB47" i="2"/>
  <c r="DB48" i="2"/>
  <c r="CV3" i="2"/>
  <c r="CW3" i="2"/>
  <c r="CY3" i="2" s="1"/>
  <c r="D3" i="2"/>
  <c r="O6" i="4" l="1"/>
  <c r="Y22" i="4"/>
  <c r="S26" i="4"/>
  <c r="Y24" i="9"/>
  <c r="CT53" i="2"/>
  <c r="C5" i="9"/>
  <c r="Q21" i="4"/>
  <c r="V25" i="9"/>
  <c r="W2" i="9"/>
  <c r="C4" i="9"/>
  <c r="E22" i="9"/>
  <c r="X7" i="9"/>
  <c r="S23" i="9"/>
  <c r="CU53" i="2"/>
  <c r="Z21" i="9"/>
  <c r="K27" i="4"/>
  <c r="H6" i="9"/>
  <c r="D7" i="4"/>
  <c r="K27" i="9"/>
  <c r="D26" i="9"/>
  <c r="R8" i="4"/>
  <c r="T8" i="9"/>
  <c r="W24" i="4"/>
  <c r="U5" i="4"/>
  <c r="G25" i="4"/>
  <c r="CZ24" i="2"/>
  <c r="H4" i="4"/>
  <c r="M57" i="11"/>
  <c r="N57" i="11"/>
  <c r="D53" i="7"/>
  <c r="M53" i="7"/>
  <c r="D53" i="10"/>
  <c r="AA53" i="6"/>
  <c r="K57" i="11"/>
  <c r="S53" i="10"/>
  <c r="DL97" i="2"/>
  <c r="DI99" i="2"/>
  <c r="DJ99" i="2" s="1"/>
  <c r="M53" i="11"/>
  <c r="V53" i="11"/>
  <c r="X53" i="6"/>
  <c r="R53" i="7"/>
  <c r="DL94" i="2"/>
  <c r="DI97" i="2"/>
  <c r="DK97" i="2" s="1"/>
  <c r="DM97" i="2"/>
  <c r="DO97" i="2" s="1"/>
  <c r="DM98" i="2"/>
  <c r="DO98" i="2" s="1"/>
  <c r="DI94" i="2"/>
  <c r="DJ94" i="2" s="1"/>
  <c r="DM94" i="2"/>
  <c r="DN94" i="2" s="1"/>
  <c r="S57" i="10"/>
  <c r="R57" i="10"/>
  <c r="Y53" i="7"/>
  <c r="DM100" i="2"/>
  <c r="DN100" i="2" s="1"/>
  <c r="Z3" i="9"/>
  <c r="DL100" i="2"/>
  <c r="DM93" i="2"/>
  <c r="DN93" i="2" s="1"/>
  <c r="DL101" i="2"/>
  <c r="DM92" i="2"/>
  <c r="DN92" i="2" s="1"/>
  <c r="DI101" i="2"/>
  <c r="DK101" i="2" s="1"/>
  <c r="DI98" i="2"/>
  <c r="DJ98" i="2" s="1"/>
  <c r="DM101" i="2"/>
  <c r="DN101" i="2" s="1"/>
  <c r="R3" i="4"/>
  <c r="G57" i="11"/>
  <c r="DI93" i="2"/>
  <c r="DK93" i="2" s="1"/>
  <c r="DM96" i="2"/>
  <c r="DN96" i="2" s="1"/>
  <c r="Z2" i="4"/>
  <c r="H53" i="11"/>
  <c r="Y53" i="11"/>
  <c r="DL98" i="2"/>
  <c r="DL93" i="2"/>
  <c r="DL63" i="2"/>
  <c r="DL95" i="2"/>
  <c r="DL96" i="2"/>
  <c r="DM47" i="2"/>
  <c r="DO47" i="2" s="1"/>
  <c r="DL47" i="2"/>
  <c r="F57" i="10"/>
  <c r="Q57" i="10"/>
  <c r="DM95" i="2"/>
  <c r="DN95" i="2" s="1"/>
  <c r="DM48" i="2"/>
  <c r="DO48" i="2" s="1"/>
  <c r="DM39" i="2"/>
  <c r="DN39" i="2" s="1"/>
  <c r="G53" i="7"/>
  <c r="DL32" i="2"/>
  <c r="DL46" i="2"/>
  <c r="DL19" i="2"/>
  <c r="T57" i="10"/>
  <c r="I57" i="10"/>
  <c r="V57" i="11"/>
  <c r="DI40" i="2"/>
  <c r="DK40" i="2" s="1"/>
  <c r="DI95" i="2"/>
  <c r="DK95" i="2" s="1"/>
  <c r="DM16" i="2"/>
  <c r="DN16" i="2" s="1"/>
  <c r="DL92" i="2"/>
  <c r="DM99" i="2"/>
  <c r="DN99" i="2" s="1"/>
  <c r="DL99" i="2"/>
  <c r="DM85" i="2"/>
  <c r="DN85" i="2" s="1"/>
  <c r="DL60" i="2"/>
  <c r="DM66" i="2"/>
  <c r="DO66" i="2" s="1"/>
  <c r="DL51" i="2"/>
  <c r="DI11" i="2"/>
  <c r="DK11" i="2" s="1"/>
  <c r="DM18" i="2"/>
  <c r="DN18" i="2" s="1"/>
  <c r="DM65" i="2"/>
  <c r="DO65" i="2" s="1"/>
  <c r="DM74" i="2"/>
  <c r="DO74" i="2" s="1"/>
  <c r="DM89" i="2"/>
  <c r="DN89" i="2" s="1"/>
  <c r="DM30" i="2"/>
  <c r="DO30" i="2" s="1"/>
  <c r="DL18" i="2"/>
  <c r="DI68" i="2"/>
  <c r="DJ68" i="2" s="1"/>
  <c r="DM84" i="2"/>
  <c r="DO84" i="2" s="1"/>
  <c r="DL20" i="2"/>
  <c r="DM56" i="2"/>
  <c r="DN56" i="2" s="1"/>
  <c r="DM44" i="2"/>
  <c r="DN44" i="2" s="1"/>
  <c r="DM38" i="2"/>
  <c r="DN38" i="2" s="1"/>
  <c r="DI82" i="2"/>
  <c r="DJ82" i="2" s="1"/>
  <c r="DM60" i="2"/>
  <c r="DO60" i="2" s="1"/>
  <c r="DM75" i="2"/>
  <c r="DN75" i="2" s="1"/>
  <c r="DM32" i="2"/>
  <c r="DN32" i="2" s="1"/>
  <c r="DI86" i="2"/>
  <c r="DJ86" i="2" s="1"/>
  <c r="DM43" i="2"/>
  <c r="DN43" i="2" s="1"/>
  <c r="DM41" i="2"/>
  <c r="DN41" i="2" s="1"/>
  <c r="DM63" i="2"/>
  <c r="DN63" i="2" s="1"/>
  <c r="DM37" i="2"/>
  <c r="DO37" i="2" s="1"/>
  <c r="DM14" i="2"/>
  <c r="DN14" i="2" s="1"/>
  <c r="DL40" i="2"/>
  <c r="DM51" i="2"/>
  <c r="DN51" i="2" s="1"/>
  <c r="DL36" i="2"/>
  <c r="DM36" i="2"/>
  <c r="DN36" i="2" s="1"/>
  <c r="DI84" i="2"/>
  <c r="DK84" i="2" s="1"/>
  <c r="DI79" i="2"/>
  <c r="DK79" i="2" s="1"/>
  <c r="DM67" i="2"/>
  <c r="DO67" i="2" s="1"/>
  <c r="DM45" i="2"/>
  <c r="DO45" i="2" s="1"/>
  <c r="DM81" i="2"/>
  <c r="DN81" i="2" s="1"/>
  <c r="DM19" i="2"/>
  <c r="DO19" i="2" s="1"/>
  <c r="DI100" i="2"/>
  <c r="DI96" i="2"/>
  <c r="DL30" i="2"/>
  <c r="DL13" i="2"/>
  <c r="DM34" i="2"/>
  <c r="DO34" i="2" s="1"/>
  <c r="DL45" i="2"/>
  <c r="DL56" i="2"/>
  <c r="DL75" i="2"/>
  <c r="DL41" i="2"/>
  <c r="DL61" i="2"/>
  <c r="DL35" i="2"/>
  <c r="DL66" i="2"/>
  <c r="DL84" i="2"/>
  <c r="DM17" i="2"/>
  <c r="DN17" i="2" s="1"/>
  <c r="DL14" i="2"/>
  <c r="DL86" i="2"/>
  <c r="DL62" i="2"/>
  <c r="DL57" i="2"/>
  <c r="DL17" i="2"/>
  <c r="DL38" i="2"/>
  <c r="DL70" i="2"/>
  <c r="DL37" i="2"/>
  <c r="DL80" i="2"/>
  <c r="DL89" i="2"/>
  <c r="DM61" i="2"/>
  <c r="DN61" i="2" s="1"/>
  <c r="DI70" i="2"/>
  <c r="DJ70" i="2" s="1"/>
  <c r="DI66" i="2"/>
  <c r="DK66" i="2" s="1"/>
  <c r="DM20" i="2"/>
  <c r="DO20" i="2" s="1"/>
  <c r="DM62" i="2"/>
  <c r="DN62" i="2" s="1"/>
  <c r="DI74" i="2"/>
  <c r="DK74" i="2" s="1"/>
  <c r="DI92" i="2"/>
  <c r="DL16" i="2"/>
  <c r="DL81" i="2"/>
  <c r="DI87" i="2"/>
  <c r="DJ87" i="2" s="1"/>
  <c r="DL34" i="2"/>
  <c r="DL65" i="2"/>
  <c r="DL44" i="2"/>
  <c r="DL48" i="2"/>
  <c r="DM15" i="2"/>
  <c r="DN15" i="2" s="1"/>
  <c r="DI69" i="2"/>
  <c r="DJ69" i="2" s="1"/>
  <c r="DM70" i="2"/>
  <c r="DO70" i="2" s="1"/>
  <c r="DM12" i="2"/>
  <c r="DO12" i="2" s="1"/>
  <c r="DM29" i="2"/>
  <c r="DO29" i="2" s="1"/>
  <c r="DM59" i="2"/>
  <c r="DN59" i="2" s="1"/>
  <c r="DM46" i="2"/>
  <c r="DO46" i="2" s="1"/>
  <c r="DM57" i="2"/>
  <c r="DO57" i="2" s="1"/>
  <c r="DL39" i="2"/>
  <c r="DM40" i="2"/>
  <c r="DN40" i="2" s="1"/>
  <c r="DI73" i="2"/>
  <c r="DK73" i="2" s="1"/>
  <c r="DM86" i="2"/>
  <c r="DN86" i="2" s="1"/>
  <c r="DM80" i="2"/>
  <c r="DO80" i="2" s="1"/>
  <c r="DI85" i="2"/>
  <c r="DJ85" i="2" s="1"/>
  <c r="DI35" i="2"/>
  <c r="DJ35" i="2" s="1"/>
  <c r="DM13" i="2"/>
  <c r="DN13" i="2" s="1"/>
  <c r="DL85" i="2"/>
  <c r="Q53" i="7"/>
  <c r="Q53" i="6"/>
  <c r="J53" i="11"/>
  <c r="J53" i="10"/>
  <c r="K53" i="11"/>
  <c r="K53" i="10"/>
  <c r="L53" i="11"/>
  <c r="L53" i="10"/>
  <c r="P53" i="11"/>
  <c r="P53" i="10"/>
  <c r="H53" i="6"/>
  <c r="H53" i="7"/>
  <c r="Z57" i="6"/>
  <c r="Z57" i="7"/>
  <c r="G57" i="6"/>
  <c r="G57" i="7"/>
  <c r="J57" i="6"/>
  <c r="J57" i="7"/>
  <c r="C53" i="6"/>
  <c r="C53" i="7"/>
  <c r="H57" i="7"/>
  <c r="H57" i="6"/>
  <c r="E53" i="11"/>
  <c r="E53" i="10"/>
  <c r="H57" i="11"/>
  <c r="H57" i="10"/>
  <c r="Q57" i="6"/>
  <c r="Q57" i="7"/>
  <c r="E53" i="7"/>
  <c r="E53" i="6"/>
  <c r="L53" i="6"/>
  <c r="L53" i="7"/>
  <c r="AA53" i="11"/>
  <c r="AA53" i="10"/>
  <c r="M57" i="6"/>
  <c r="M57" i="7"/>
  <c r="B57" i="11"/>
  <c r="B57" i="10"/>
  <c r="T53" i="6"/>
  <c r="T53" i="7"/>
  <c r="F53" i="6"/>
  <c r="F53" i="7"/>
  <c r="Z53" i="11"/>
  <c r="Z53" i="10"/>
  <c r="U57" i="11"/>
  <c r="U57" i="10"/>
  <c r="O57" i="11"/>
  <c r="O57" i="10"/>
  <c r="C53" i="11"/>
  <c r="C53" i="10"/>
  <c r="Z53" i="7"/>
  <c r="Z53" i="6"/>
  <c r="N57" i="6"/>
  <c r="N57" i="7"/>
  <c r="N53" i="6"/>
  <c r="N53" i="7"/>
  <c r="K57" i="6"/>
  <c r="K57" i="7"/>
  <c r="I53" i="11"/>
  <c r="I53" i="10"/>
  <c r="U53" i="11"/>
  <c r="U53" i="10"/>
  <c r="P57" i="6"/>
  <c r="P57" i="7"/>
  <c r="D57" i="11"/>
  <c r="D57" i="10"/>
  <c r="Z57" i="11"/>
  <c r="Z57" i="10"/>
  <c r="W57" i="11"/>
  <c r="W57" i="10"/>
  <c r="O53" i="6"/>
  <c r="O53" i="7"/>
  <c r="L57" i="11"/>
  <c r="L57" i="10"/>
  <c r="S57" i="6"/>
  <c r="S57" i="7"/>
  <c r="DL59" i="2"/>
  <c r="C57" i="11"/>
  <c r="C57" i="10"/>
  <c r="AA57" i="6"/>
  <c r="AA57" i="7"/>
  <c r="B57" i="6"/>
  <c r="B57" i="7"/>
  <c r="V53" i="6"/>
  <c r="V53" i="7"/>
  <c r="X53" i="11"/>
  <c r="X53" i="10"/>
  <c r="T57" i="7"/>
  <c r="T57" i="6"/>
  <c r="O57" i="6"/>
  <c r="O57" i="7"/>
  <c r="Y57" i="6"/>
  <c r="Y57" i="7"/>
  <c r="AA57" i="11"/>
  <c r="AA57" i="10"/>
  <c r="O53" i="11"/>
  <c r="O53" i="10"/>
  <c r="X57" i="11"/>
  <c r="X57" i="10"/>
  <c r="B53" i="6"/>
  <c r="B53" i="7"/>
  <c r="Q53" i="11"/>
  <c r="Q53" i="10"/>
  <c r="E57" i="6"/>
  <c r="E57" i="7"/>
  <c r="K53" i="6"/>
  <c r="K53" i="7"/>
  <c r="R53" i="11"/>
  <c r="R53" i="10"/>
  <c r="N53" i="11"/>
  <c r="N53" i="10"/>
  <c r="U53" i="6"/>
  <c r="U53" i="7"/>
  <c r="F57" i="6"/>
  <c r="F57" i="7"/>
  <c r="J53" i="6"/>
  <c r="J53" i="7"/>
  <c r="D57" i="6"/>
  <c r="D57" i="7"/>
  <c r="V57" i="6"/>
  <c r="V57" i="7"/>
  <c r="DB54" i="2"/>
  <c r="W53" i="11"/>
  <c r="W53" i="10"/>
  <c r="E57" i="11"/>
  <c r="E57" i="10"/>
  <c r="F53" i="11"/>
  <c r="F53" i="10"/>
  <c r="P57" i="11"/>
  <c r="P57" i="10"/>
  <c r="P53" i="7"/>
  <c r="P53" i="6"/>
  <c r="X57" i="6"/>
  <c r="X57" i="7"/>
  <c r="W57" i="6"/>
  <c r="W57" i="7"/>
  <c r="L57" i="6"/>
  <c r="L57" i="7"/>
  <c r="U57" i="6"/>
  <c r="U57" i="7"/>
  <c r="I53" i="6"/>
  <c r="I53" i="7"/>
  <c r="Y57" i="11"/>
  <c r="Y57" i="10"/>
  <c r="W53" i="6"/>
  <c r="W53" i="7"/>
  <c r="T53" i="11"/>
  <c r="T53" i="10"/>
  <c r="G53" i="11"/>
  <c r="G53" i="10"/>
  <c r="R57" i="7"/>
  <c r="R57" i="6"/>
  <c r="I57" i="7"/>
  <c r="I57" i="6"/>
  <c r="DL50" i="2"/>
  <c r="DM52" i="2"/>
  <c r="DN52" i="2" s="1"/>
  <c r="DL31" i="2"/>
  <c r="DL74" i="2"/>
  <c r="DL33" i="2"/>
  <c r="DM33" i="2"/>
  <c r="DN33" i="2" s="1"/>
  <c r="DM21" i="2"/>
  <c r="DO21" i="2" s="1"/>
  <c r="DM49" i="2"/>
  <c r="DN49" i="2" s="1"/>
  <c r="DI61" i="2"/>
  <c r="DJ61" i="2" s="1"/>
  <c r="DI20" i="2"/>
  <c r="DK20" i="2" s="1"/>
  <c r="DI56" i="2"/>
  <c r="DJ56" i="2" s="1"/>
  <c r="DI57" i="2"/>
  <c r="DJ57" i="2" s="1"/>
  <c r="DI60" i="2"/>
  <c r="DK60" i="2" s="1"/>
  <c r="DI17" i="2"/>
  <c r="DK17" i="2" s="1"/>
  <c r="DM50" i="2"/>
  <c r="DN50" i="2" s="1"/>
  <c r="DI50" i="2"/>
  <c r="DK50" i="2" s="1"/>
  <c r="DL42" i="2"/>
  <c r="DI52" i="2"/>
  <c r="DK52" i="2" s="1"/>
  <c r="DI77" i="2"/>
  <c r="DJ77" i="2" s="1"/>
  <c r="DI59" i="2"/>
  <c r="DJ59" i="2" s="1"/>
  <c r="DI19" i="2"/>
  <c r="DJ19" i="2" s="1"/>
  <c r="DI45" i="2"/>
  <c r="DJ45" i="2" s="1"/>
  <c r="DL12" i="2"/>
  <c r="DL29" i="2"/>
  <c r="DL43" i="2"/>
  <c r="DL21" i="2"/>
  <c r="DL49" i="2"/>
  <c r="DL52" i="2"/>
  <c r="DL69" i="2"/>
  <c r="DM69" i="2"/>
  <c r="DO69" i="2" s="1"/>
  <c r="DI67" i="2"/>
  <c r="DJ67" i="2" s="1"/>
  <c r="DI90" i="2"/>
  <c r="DJ90" i="2" s="1"/>
  <c r="DI62" i="2"/>
  <c r="DJ62" i="2" s="1"/>
  <c r="DI12" i="2"/>
  <c r="DK12" i="2" s="1"/>
  <c r="DM31" i="2"/>
  <c r="DN31" i="2" s="1"/>
  <c r="DM42" i="2"/>
  <c r="DO42" i="2" s="1"/>
  <c r="DM71" i="2"/>
  <c r="DN71" i="2" s="1"/>
  <c r="DI15" i="2"/>
  <c r="DJ15" i="2" s="1"/>
  <c r="DM76" i="2"/>
  <c r="DO76" i="2" s="1"/>
  <c r="DM35" i="2"/>
  <c r="DO35" i="2" s="1"/>
  <c r="DL79" i="2"/>
  <c r="DI47" i="2"/>
  <c r="DK47" i="2" s="1"/>
  <c r="DI14" i="2"/>
  <c r="DJ14" i="2" s="1"/>
  <c r="DL15" i="2"/>
  <c r="DM10" i="2"/>
  <c r="DN10" i="2" s="1"/>
  <c r="DM79" i="2"/>
  <c r="DO79" i="2" s="1"/>
  <c r="DI51" i="2"/>
  <c r="DJ51" i="2" s="1"/>
  <c r="DL87" i="2"/>
  <c r="DI31" i="2"/>
  <c r="DJ31" i="2" s="1"/>
  <c r="DI37" i="2"/>
  <c r="DJ37" i="2" s="1"/>
  <c r="DM64" i="2"/>
  <c r="DO64" i="2" s="1"/>
  <c r="DL71" i="2"/>
  <c r="DI91" i="2"/>
  <c r="DJ91" i="2" s="1"/>
  <c r="DL10" i="2"/>
  <c r="DM90" i="2"/>
  <c r="DN90" i="2" s="1"/>
  <c r="DI75" i="2"/>
  <c r="DK75" i="2" s="1"/>
  <c r="DL91" i="2"/>
  <c r="DM11" i="2"/>
  <c r="DO11" i="2" s="1"/>
  <c r="DI88" i="2"/>
  <c r="DK88" i="2" s="1"/>
  <c r="DI65" i="2"/>
  <c r="DJ65" i="2" s="1"/>
  <c r="DI71" i="2"/>
  <c r="DK71" i="2" s="1"/>
  <c r="DI36" i="2"/>
  <c r="DJ36" i="2" s="1"/>
  <c r="DI81" i="2"/>
  <c r="DJ81" i="2" s="1"/>
  <c r="DM78" i="2"/>
  <c r="DN78" i="2" s="1"/>
  <c r="DI30" i="2"/>
  <c r="DK30" i="2" s="1"/>
  <c r="DM77" i="2"/>
  <c r="DN77" i="2" s="1"/>
  <c r="DI63" i="2"/>
  <c r="DJ63" i="2" s="1"/>
  <c r="DI46" i="2"/>
  <c r="DK46" i="2" s="1"/>
  <c r="DI76" i="2"/>
  <c r="DJ76" i="2" s="1"/>
  <c r="DI89" i="2"/>
  <c r="DJ89" i="2" s="1"/>
  <c r="DI16" i="2"/>
  <c r="DJ16" i="2" s="1"/>
  <c r="DL64" i="2"/>
  <c r="DI44" i="2"/>
  <c r="DK44" i="2" s="1"/>
  <c r="DI43" i="2"/>
  <c r="DJ43" i="2" s="1"/>
  <c r="DI72" i="2"/>
  <c r="DK72" i="2" s="1"/>
  <c r="DM83" i="2"/>
  <c r="DN83" i="2" s="1"/>
  <c r="DL73" i="2"/>
  <c r="DI64" i="2"/>
  <c r="DK64" i="2" s="1"/>
  <c r="DL78" i="2"/>
  <c r="DI80" i="2"/>
  <c r="DJ80" i="2" s="1"/>
  <c r="DI18" i="2"/>
  <c r="DJ18" i="2" s="1"/>
  <c r="DI78" i="2"/>
  <c r="DK78" i="2" s="1"/>
  <c r="DI83" i="2"/>
  <c r="DJ83" i="2" s="1"/>
  <c r="DI39" i="2"/>
  <c r="DJ39" i="2" s="1"/>
  <c r="DM87" i="2"/>
  <c r="DN87" i="2" s="1"/>
  <c r="DL67" i="2"/>
  <c r="DM68" i="2"/>
  <c r="DM88" i="2"/>
  <c r="DL68" i="2"/>
  <c r="DI32" i="2"/>
  <c r="DL88" i="2"/>
  <c r="DL72" i="2"/>
  <c r="DI33" i="2"/>
  <c r="DI10" i="2"/>
  <c r="DI34" i="2"/>
  <c r="DI48" i="2"/>
  <c r="DL83" i="2"/>
  <c r="DI13" i="2"/>
  <c r="DM73" i="2"/>
  <c r="DB58" i="2"/>
  <c r="DI42" i="2"/>
  <c r="DI21" i="2"/>
  <c r="DM82" i="2"/>
  <c r="DI49" i="2"/>
  <c r="DI29" i="2"/>
  <c r="DM91" i="2"/>
  <c r="DM72" i="2"/>
  <c r="DL11" i="2"/>
  <c r="DL77" i="2"/>
  <c r="DL76" i="2"/>
  <c r="DL82" i="2"/>
  <c r="DI38" i="2"/>
  <c r="DI41" i="2"/>
  <c r="DL90" i="2"/>
  <c r="CX3" i="2"/>
  <c r="DK94" i="2" l="1"/>
  <c r="DK86" i="2"/>
  <c r="DN98" i="2"/>
  <c r="DK99" i="2"/>
  <c r="DN97" i="2"/>
  <c r="DO95" i="2"/>
  <c r="DO85" i="2"/>
  <c r="DN30" i="2"/>
  <c r="DJ73" i="2"/>
  <c r="DK98" i="2"/>
  <c r="DO62" i="2"/>
  <c r="DN48" i="2"/>
  <c r="DN46" i="2"/>
  <c r="DN74" i="2"/>
  <c r="DO94" i="2"/>
  <c r="DO75" i="2"/>
  <c r="DN12" i="2"/>
  <c r="DO61" i="2"/>
  <c r="DN70" i="2"/>
  <c r="DO41" i="2"/>
  <c r="DO17" i="2"/>
  <c r="DO39" i="2"/>
  <c r="DJ84" i="2"/>
  <c r="DN45" i="2"/>
  <c r="DK68" i="2"/>
  <c r="DJ97" i="2"/>
  <c r="DN34" i="2"/>
  <c r="DN47" i="2"/>
  <c r="DN66" i="2"/>
  <c r="DJ40" i="2"/>
  <c r="DJ101" i="2"/>
  <c r="DO92" i="2"/>
  <c r="DO16" i="2"/>
  <c r="DK82" i="2"/>
  <c r="DO44" i="2"/>
  <c r="DO100" i="2"/>
  <c r="DN19" i="2"/>
  <c r="DN29" i="2"/>
  <c r="DJ11" i="2"/>
  <c r="DN57" i="2"/>
  <c r="DO89" i="2"/>
  <c r="DK59" i="2"/>
  <c r="DK70" i="2"/>
  <c r="DJ95" i="2"/>
  <c r="DO93" i="2"/>
  <c r="DN20" i="2"/>
  <c r="DN65" i="2"/>
  <c r="DK87" i="2"/>
  <c r="DO71" i="2"/>
  <c r="DJ93" i="2"/>
  <c r="DK83" i="2"/>
  <c r="DO10" i="2"/>
  <c r="DO56" i="2"/>
  <c r="DO101" i="2"/>
  <c r="DN60" i="2"/>
  <c r="DO43" i="2"/>
  <c r="DN21" i="2"/>
  <c r="DO59" i="2"/>
  <c r="DK85" i="2"/>
  <c r="DO14" i="2"/>
  <c r="DO36" i="2"/>
  <c r="DO96" i="2"/>
  <c r="DO81" i="2"/>
  <c r="DO86" i="2"/>
  <c r="DK35" i="2"/>
  <c r="DJ50" i="2"/>
  <c r="DO15" i="2"/>
  <c r="DO51" i="2"/>
  <c r="DO32" i="2"/>
  <c r="DO63" i="2"/>
  <c r="DN84" i="2"/>
  <c r="DJ74" i="2"/>
  <c r="DO40" i="2"/>
  <c r="DO38" i="2"/>
  <c r="DJ79" i="2"/>
  <c r="DK69" i="2"/>
  <c r="DO18" i="2"/>
  <c r="DO13" i="2"/>
  <c r="DN37" i="2"/>
  <c r="DE53" i="2"/>
  <c r="DF53" i="2" s="1"/>
  <c r="DJ66" i="2"/>
  <c r="DN67" i="2"/>
  <c r="DN69" i="2"/>
  <c r="DN80" i="2"/>
  <c r="DO50" i="2"/>
  <c r="DO99" i="2"/>
  <c r="L25" i="4"/>
  <c r="L25" i="6" s="1"/>
  <c r="E21" i="9"/>
  <c r="E21" i="11" s="1"/>
  <c r="X24" i="4"/>
  <c r="X24" i="6" s="1"/>
  <c r="O4" i="9"/>
  <c r="O4" i="11" s="1"/>
  <c r="P6" i="9"/>
  <c r="P6" i="10" s="1"/>
  <c r="I23" i="4"/>
  <c r="I23" i="6" s="1"/>
  <c r="K7" i="9"/>
  <c r="K7" i="10" s="1"/>
  <c r="N3" i="9"/>
  <c r="N3" i="11" s="1"/>
  <c r="K52" i="9"/>
  <c r="K52" i="11" s="1"/>
  <c r="I5" i="9"/>
  <c r="I5" i="10" s="1"/>
  <c r="G26" i="9"/>
  <c r="G26" i="11" s="1"/>
  <c r="Y7" i="4"/>
  <c r="Y7" i="7" s="1"/>
  <c r="P5" i="9"/>
  <c r="P5" i="11" s="1"/>
  <c r="Y21" i="4"/>
  <c r="Y21" i="6" s="1"/>
  <c r="O24" i="9"/>
  <c r="O24" i="10" s="1"/>
  <c r="P26" i="4"/>
  <c r="P26" i="7" s="1"/>
  <c r="Q27" i="4"/>
  <c r="Q27" i="7" s="1"/>
  <c r="B23" i="9"/>
  <c r="B23" i="11" s="1"/>
  <c r="P7" i="4"/>
  <c r="P7" i="6" s="1"/>
  <c r="K25" i="4"/>
  <c r="K25" i="7" s="1"/>
  <c r="B4" i="9"/>
  <c r="B4" i="11" s="1"/>
  <c r="S27" i="9"/>
  <c r="S27" i="11" s="1"/>
  <c r="R5" i="9"/>
  <c r="R5" i="10" s="1"/>
  <c r="U8" i="4"/>
  <c r="U8" i="7" s="1"/>
  <c r="L6" i="9"/>
  <c r="L6" i="11" s="1"/>
  <c r="E23" i="4"/>
  <c r="E23" i="7" s="1"/>
  <c r="Z3" i="4"/>
  <c r="Z3" i="6" s="1"/>
  <c r="G5" i="9"/>
  <c r="G5" i="11" s="1"/>
  <c r="N3" i="4"/>
  <c r="N3" i="6" s="1"/>
  <c r="DJ92" i="2"/>
  <c r="DK92" i="2"/>
  <c r="DJ100" i="2"/>
  <c r="DK100" i="2"/>
  <c r="V5" i="9"/>
  <c r="V5" i="11" s="1"/>
  <c r="U21" i="4"/>
  <c r="U21" i="6" s="1"/>
  <c r="K24" i="9"/>
  <c r="K24" i="10" s="1"/>
  <c r="H26" i="9"/>
  <c r="H26" i="11" s="1"/>
  <c r="R27" i="4"/>
  <c r="R27" i="6" s="1"/>
  <c r="P23" i="4"/>
  <c r="P23" i="7" s="1"/>
  <c r="F7" i="4"/>
  <c r="F7" i="7" s="1"/>
  <c r="X3" i="9"/>
  <c r="X3" i="11" s="1"/>
  <c r="AA21" i="9"/>
  <c r="AA21" i="10" s="1"/>
  <c r="AA26" i="4"/>
  <c r="AA26" i="7" s="1"/>
  <c r="V7" i="9"/>
  <c r="V7" i="11" s="1"/>
  <c r="D22" i="9"/>
  <c r="D22" i="10" s="1"/>
  <c r="L21" i="4"/>
  <c r="L21" i="6" s="1"/>
  <c r="K8" i="4"/>
  <c r="K8" i="7" s="1"/>
  <c r="O26" i="4"/>
  <c r="O26" i="7" s="1"/>
  <c r="U27" i="9"/>
  <c r="U27" i="11" s="1"/>
  <c r="P23" i="9"/>
  <c r="P23" i="10" s="1"/>
  <c r="S3" i="4"/>
  <c r="S3" i="6" s="1"/>
  <c r="Q52" i="9"/>
  <c r="Q52" i="11" s="1"/>
  <c r="P22" i="9"/>
  <c r="P22" i="11" s="1"/>
  <c r="N26" i="9"/>
  <c r="N26" i="10" s="1"/>
  <c r="I7" i="9"/>
  <c r="I7" i="10" s="1"/>
  <c r="B21" i="9"/>
  <c r="B21" i="11" s="1"/>
  <c r="S4" i="9"/>
  <c r="S4" i="10" s="1"/>
  <c r="N27" i="4"/>
  <c r="N27" i="7" s="1"/>
  <c r="L23" i="4"/>
  <c r="L23" i="7" s="1"/>
  <c r="X52" i="9"/>
  <c r="X52" i="11" s="1"/>
  <c r="W6" i="9"/>
  <c r="W6" i="11" s="1"/>
  <c r="B23" i="4"/>
  <c r="B23" i="6" s="1"/>
  <c r="J22" i="9"/>
  <c r="J22" i="10" s="1"/>
  <c r="AA21" i="4"/>
  <c r="AA21" i="7" s="1"/>
  <c r="Q8" i="4"/>
  <c r="Q8" i="7" s="1"/>
  <c r="U26" i="4"/>
  <c r="U26" i="7" s="1"/>
  <c r="W27" i="4"/>
  <c r="W27" i="6" s="1"/>
  <c r="N23" i="9"/>
  <c r="N23" i="11" s="1"/>
  <c r="H7" i="4"/>
  <c r="H7" i="6" s="1"/>
  <c r="F24" i="4"/>
  <c r="F24" i="6" s="1"/>
  <c r="R27" i="9"/>
  <c r="R27" i="10" s="1"/>
  <c r="F3" i="4"/>
  <c r="F3" i="6" s="1"/>
  <c r="K22" i="9"/>
  <c r="K22" i="11" s="1"/>
  <c r="U24" i="4"/>
  <c r="U24" i="7" s="1"/>
  <c r="Q4" i="9"/>
  <c r="Q4" i="11" s="1"/>
  <c r="S6" i="9"/>
  <c r="S6" i="11" s="1"/>
  <c r="C23" i="4"/>
  <c r="C23" i="7" s="1"/>
  <c r="E7" i="9"/>
  <c r="E7" i="11" s="1"/>
  <c r="AA3" i="9"/>
  <c r="AA3" i="10" s="1"/>
  <c r="L24" i="9"/>
  <c r="L24" i="10" s="1"/>
  <c r="G6" i="9"/>
  <c r="G6" i="10" s="1"/>
  <c r="G3" i="4"/>
  <c r="G3" i="6" s="1"/>
  <c r="Q25" i="4"/>
  <c r="Q25" i="6" s="1"/>
  <c r="I21" i="9"/>
  <c r="I21" i="11" s="1"/>
  <c r="E26" i="9"/>
  <c r="E26" i="11" s="1"/>
  <c r="S27" i="4"/>
  <c r="S27" i="6" s="1"/>
  <c r="V23" i="9"/>
  <c r="V23" i="11" s="1"/>
  <c r="O52" i="9"/>
  <c r="O52" i="11" s="1"/>
  <c r="P27" i="4"/>
  <c r="P27" i="6" s="1"/>
  <c r="Y25" i="4"/>
  <c r="Y25" i="7" s="1"/>
  <c r="Q22" i="9"/>
  <c r="Q22" i="11" s="1"/>
  <c r="S24" i="4"/>
  <c r="S24" i="6" s="1"/>
  <c r="Z8" i="4"/>
  <c r="Z8" i="6" s="1"/>
  <c r="I26" i="9"/>
  <c r="I26" i="10" s="1"/>
  <c r="F27" i="9"/>
  <c r="F27" i="10" s="1"/>
  <c r="H23" i="9"/>
  <c r="H23" i="10" s="1"/>
  <c r="Y3" i="4"/>
  <c r="Y3" i="6" s="1"/>
  <c r="D52" i="9"/>
  <c r="D52" i="11" s="1"/>
  <c r="L5" i="9"/>
  <c r="L5" i="10" s="1"/>
  <c r="W8" i="4"/>
  <c r="W8" i="7" s="1"/>
  <c r="U23" i="9"/>
  <c r="U23" i="11" s="1"/>
  <c r="S25" i="4"/>
  <c r="S25" i="7" s="1"/>
  <c r="G21" i="9"/>
  <c r="G21" i="11" s="1"/>
  <c r="Z24" i="4"/>
  <c r="Z24" i="7" s="1"/>
  <c r="B26" i="9"/>
  <c r="B26" i="11" s="1"/>
  <c r="D27" i="4"/>
  <c r="D27" i="7" s="1"/>
  <c r="J23" i="4"/>
  <c r="J23" i="6" s="1"/>
  <c r="T7" i="9"/>
  <c r="T7" i="11" s="1"/>
  <c r="L3" i="9"/>
  <c r="L3" i="11" s="1"/>
  <c r="F8" i="4"/>
  <c r="F8" i="7" s="1"/>
  <c r="H27" i="4"/>
  <c r="H27" i="6" s="1"/>
  <c r="P3" i="4"/>
  <c r="P3" i="6" s="1"/>
  <c r="W25" i="4"/>
  <c r="W25" i="7" s="1"/>
  <c r="D24" i="4"/>
  <c r="D24" i="7" s="1"/>
  <c r="L26" i="9"/>
  <c r="L26" i="11" s="1"/>
  <c r="Y27" i="9"/>
  <c r="Y27" i="11" s="1"/>
  <c r="O7" i="9"/>
  <c r="O7" i="10" s="1"/>
  <c r="U25" i="4"/>
  <c r="U25" i="6" s="1"/>
  <c r="C23" i="9"/>
  <c r="C23" i="10" s="1"/>
  <c r="DK96" i="2"/>
  <c r="DJ96" i="2"/>
  <c r="S26" i="6"/>
  <c r="S26" i="7"/>
  <c r="T8" i="11"/>
  <c r="T8" i="10"/>
  <c r="Y22" i="7"/>
  <c r="Y22" i="6"/>
  <c r="Z21" i="11"/>
  <c r="Z21" i="10"/>
  <c r="H6" i="11"/>
  <c r="H6" i="10"/>
  <c r="G25" i="6"/>
  <c r="G25" i="7"/>
  <c r="K27" i="11"/>
  <c r="K27" i="10"/>
  <c r="Q21" i="6"/>
  <c r="Q21" i="7"/>
  <c r="V25" i="11"/>
  <c r="V25" i="10"/>
  <c r="O6" i="6"/>
  <c r="O6" i="7"/>
  <c r="D26" i="11"/>
  <c r="D26" i="10"/>
  <c r="R8" i="6"/>
  <c r="R8" i="7"/>
  <c r="S23" i="11"/>
  <c r="S23" i="10"/>
  <c r="C4" i="11"/>
  <c r="C4" i="10"/>
  <c r="R3" i="6"/>
  <c r="R3" i="7"/>
  <c r="W24" i="6"/>
  <c r="W24" i="7"/>
  <c r="K27" i="7"/>
  <c r="K27" i="6"/>
  <c r="C5" i="11"/>
  <c r="C5" i="10"/>
  <c r="X7" i="11"/>
  <c r="X7" i="10"/>
  <c r="Y24" i="11"/>
  <c r="Y24" i="10"/>
  <c r="D7" i="7"/>
  <c r="D7" i="6"/>
  <c r="E22" i="11"/>
  <c r="E22" i="10"/>
  <c r="Z3" i="11"/>
  <c r="Z3" i="10"/>
  <c r="H4" i="6"/>
  <c r="H4" i="7"/>
  <c r="U5" i="6"/>
  <c r="U5" i="7"/>
  <c r="B5" i="4"/>
  <c r="R22" i="4"/>
  <c r="W8" i="9"/>
  <c r="G4" i="4"/>
  <c r="L4" i="4"/>
  <c r="Y6" i="4"/>
  <c r="R27" i="7"/>
  <c r="S6" i="4"/>
  <c r="R25" i="9"/>
  <c r="Y25" i="9"/>
  <c r="D5" i="4"/>
  <c r="Q8" i="9"/>
  <c r="I4" i="4"/>
  <c r="P4" i="4"/>
  <c r="K6" i="4"/>
  <c r="J52" i="4"/>
  <c r="G21" i="4"/>
  <c r="H5" i="4"/>
  <c r="M22" i="9"/>
  <c r="N21" i="4"/>
  <c r="F8" i="9"/>
  <c r="W26" i="4"/>
  <c r="Q6" i="4"/>
  <c r="E3" i="9"/>
  <c r="S22" i="4"/>
  <c r="W24" i="9"/>
  <c r="N4" i="4"/>
  <c r="DJ60" i="2"/>
  <c r="H25" i="9"/>
  <c r="O25" i="9"/>
  <c r="J25" i="4"/>
  <c r="D25" i="4"/>
  <c r="G5" i="4"/>
  <c r="R5" i="4"/>
  <c r="Y5" i="9"/>
  <c r="R22" i="9"/>
  <c r="Y22" i="9"/>
  <c r="G22" i="4"/>
  <c r="F21" i="9"/>
  <c r="M21" i="9"/>
  <c r="F21" i="4"/>
  <c r="X21" i="4"/>
  <c r="AA24" i="4"/>
  <c r="M24" i="9"/>
  <c r="AA24" i="9"/>
  <c r="Y8" i="4"/>
  <c r="H8" i="9"/>
  <c r="N8" i="9"/>
  <c r="O4" i="4"/>
  <c r="W4" i="9"/>
  <c r="D4" i="9"/>
  <c r="K26" i="9"/>
  <c r="P26" i="9"/>
  <c r="J26" i="4"/>
  <c r="I6" i="9"/>
  <c r="N6" i="4"/>
  <c r="N6" i="9"/>
  <c r="X6" i="9"/>
  <c r="Z27" i="4"/>
  <c r="H27" i="9"/>
  <c r="V27" i="9"/>
  <c r="Q23" i="4"/>
  <c r="X23" i="4"/>
  <c r="G23" i="9"/>
  <c r="K7" i="4"/>
  <c r="S7" i="9"/>
  <c r="V7" i="4"/>
  <c r="C7" i="4"/>
  <c r="I3" i="9"/>
  <c r="D3" i="4"/>
  <c r="V3" i="4"/>
  <c r="L52" i="9"/>
  <c r="S52" i="4"/>
  <c r="X52" i="4"/>
  <c r="U25" i="9"/>
  <c r="M5" i="4"/>
  <c r="H22" i="9"/>
  <c r="D22" i="4"/>
  <c r="R21" i="4"/>
  <c r="I24" i="9"/>
  <c r="D8" i="9"/>
  <c r="M4" i="9"/>
  <c r="Y26" i="9"/>
  <c r="O6" i="9"/>
  <c r="X27" i="4"/>
  <c r="O23" i="4"/>
  <c r="Z23" i="9"/>
  <c r="Q7" i="9"/>
  <c r="G3" i="9"/>
  <c r="J52" i="9"/>
  <c r="M52" i="9"/>
  <c r="Z25" i="9"/>
  <c r="M25" i="4"/>
  <c r="H25" i="4"/>
  <c r="X5" i="9"/>
  <c r="F5" i="4"/>
  <c r="T5" i="4"/>
  <c r="L22" i="9"/>
  <c r="S22" i="9"/>
  <c r="V22" i="4"/>
  <c r="H21" i="9"/>
  <c r="O21" i="9"/>
  <c r="J21" i="4"/>
  <c r="D21" i="4"/>
  <c r="B24" i="4"/>
  <c r="Q24" i="9"/>
  <c r="H24" i="9"/>
  <c r="S8" i="4"/>
  <c r="Y8" i="9"/>
  <c r="R8" i="9"/>
  <c r="Q4" i="4"/>
  <c r="Y4" i="9"/>
  <c r="H4" i="9"/>
  <c r="C26" i="9"/>
  <c r="J26" i="9"/>
  <c r="E26" i="4"/>
  <c r="G26" i="4"/>
  <c r="AA6" i="9"/>
  <c r="M6" i="4"/>
  <c r="AA6" i="4"/>
  <c r="L27" i="4"/>
  <c r="Y27" i="4"/>
  <c r="J27" i="9"/>
  <c r="K23" i="4"/>
  <c r="R23" i="4"/>
  <c r="R23" i="9"/>
  <c r="E7" i="4"/>
  <c r="M7" i="9"/>
  <c r="J7" i="4"/>
  <c r="X7" i="4"/>
  <c r="AA3" i="4"/>
  <c r="R3" i="9"/>
  <c r="B3" i="4"/>
  <c r="F52" i="9"/>
  <c r="M52" i="4"/>
  <c r="R52" i="4"/>
  <c r="S52" i="9"/>
  <c r="M25" i="9"/>
  <c r="D5" i="9"/>
  <c r="G22" i="9"/>
  <c r="T21" i="9"/>
  <c r="Y24" i="4"/>
  <c r="G8" i="4"/>
  <c r="Z8" i="9"/>
  <c r="X4" i="4"/>
  <c r="H26" i="4"/>
  <c r="D6" i="4"/>
  <c r="E27" i="4"/>
  <c r="G23" i="4"/>
  <c r="Y7" i="9"/>
  <c r="O3" i="4"/>
  <c r="T3" i="9"/>
  <c r="V52" i="4"/>
  <c r="D25" i="9"/>
  <c r="K25" i="9"/>
  <c r="B25" i="4"/>
  <c r="P25" i="4"/>
  <c r="Z5" i="9"/>
  <c r="J5" i="4"/>
  <c r="X5" i="4"/>
  <c r="N22" i="9"/>
  <c r="U22" i="9"/>
  <c r="Z22" i="4"/>
  <c r="J21" i="9"/>
  <c r="Q21" i="9"/>
  <c r="C21" i="4"/>
  <c r="G24" i="4"/>
  <c r="L24" i="4"/>
  <c r="N24" i="9"/>
  <c r="P24" i="9"/>
  <c r="C8" i="9"/>
  <c r="P8" i="9"/>
  <c r="V8" i="9"/>
  <c r="S4" i="4"/>
  <c r="AA4" i="9"/>
  <c r="L4" i="9"/>
  <c r="O26" i="9"/>
  <c r="T26" i="9"/>
  <c r="B26" i="4"/>
  <c r="E6" i="9"/>
  <c r="J6" i="4"/>
  <c r="F6" i="9"/>
  <c r="T6" i="9"/>
  <c r="V27" i="4"/>
  <c r="AA27" i="4"/>
  <c r="N27" i="9"/>
  <c r="M23" i="4"/>
  <c r="T23" i="4"/>
  <c r="O23" i="9"/>
  <c r="O7" i="4"/>
  <c r="W7" i="9"/>
  <c r="B7" i="9"/>
  <c r="E3" i="4"/>
  <c r="M3" i="9"/>
  <c r="L3" i="4"/>
  <c r="B3" i="9"/>
  <c r="G52" i="4"/>
  <c r="L52" i="4"/>
  <c r="Y52" i="9"/>
  <c r="X25" i="4"/>
  <c r="E5" i="9"/>
  <c r="D21" i="9"/>
  <c r="I24" i="4"/>
  <c r="O8" i="4"/>
  <c r="M4" i="4"/>
  <c r="F26" i="9"/>
  <c r="T6" i="4"/>
  <c r="U27" i="4"/>
  <c r="V23" i="4"/>
  <c r="F7" i="9"/>
  <c r="Z52" i="9"/>
  <c r="G25" i="9"/>
  <c r="P5" i="4"/>
  <c r="B4" i="4"/>
  <c r="U26" i="6"/>
  <c r="F6" i="4"/>
  <c r="K52" i="4"/>
  <c r="P52" i="4"/>
  <c r="E25" i="9"/>
  <c r="N22" i="4"/>
  <c r="U4" i="4"/>
  <c r="F52" i="4"/>
  <c r="Y5" i="4"/>
  <c r="F22" i="4"/>
  <c r="L22" i="4"/>
  <c r="B8" i="9"/>
  <c r="R4" i="4"/>
  <c r="X6" i="4"/>
  <c r="E52" i="4"/>
  <c r="N25" i="9"/>
  <c r="H22" i="4"/>
  <c r="Q52" i="4"/>
  <c r="C25" i="9"/>
  <c r="AA5" i="4"/>
  <c r="F22" i="9"/>
  <c r="J22" i="4"/>
  <c r="T21" i="4"/>
  <c r="U24" i="9"/>
  <c r="X24" i="9"/>
  <c r="AA8" i="9"/>
  <c r="K4" i="4"/>
  <c r="T4" i="4"/>
  <c r="M26" i="4"/>
  <c r="B6" i="4"/>
  <c r="G7" i="4"/>
  <c r="N7" i="4"/>
  <c r="L7" i="4"/>
  <c r="V3" i="9"/>
  <c r="D52" i="4"/>
  <c r="W21" i="4"/>
  <c r="J8" i="9"/>
  <c r="W23" i="4"/>
  <c r="DK61" i="2"/>
  <c r="DK45" i="2"/>
  <c r="DO52" i="2"/>
  <c r="P25" i="9"/>
  <c r="W25" i="9"/>
  <c r="Z25" i="4"/>
  <c r="F5" i="9"/>
  <c r="O5" i="4"/>
  <c r="K5" i="9"/>
  <c r="U5" i="9"/>
  <c r="Z22" i="9"/>
  <c r="M22" i="4"/>
  <c r="W22" i="4"/>
  <c r="N21" i="9"/>
  <c r="U21" i="9"/>
  <c r="V21" i="4"/>
  <c r="C24" i="4"/>
  <c r="H24" i="4"/>
  <c r="F24" i="9"/>
  <c r="B24" i="9"/>
  <c r="G8" i="9"/>
  <c r="X8" i="9"/>
  <c r="D8" i="4"/>
  <c r="W4" i="4"/>
  <c r="F4" i="9"/>
  <c r="T4" i="9"/>
  <c r="S26" i="9"/>
  <c r="X26" i="9"/>
  <c r="Z26" i="4"/>
  <c r="Q6" i="9"/>
  <c r="V6" i="4"/>
  <c r="G6" i="4"/>
  <c r="B27" i="4"/>
  <c r="G27" i="4"/>
  <c r="X27" i="9"/>
  <c r="G27" i="9"/>
  <c r="Y23" i="4"/>
  <c r="I23" i="9"/>
  <c r="W23" i="9"/>
  <c r="S7" i="4"/>
  <c r="AA7" i="9"/>
  <c r="J7" i="9"/>
  <c r="I3" i="4"/>
  <c r="Q3" i="9"/>
  <c r="T3" i="4"/>
  <c r="C3" i="9"/>
  <c r="T52" i="9"/>
  <c r="AA52" i="4"/>
  <c r="U52" i="9"/>
  <c r="V25" i="4"/>
  <c r="N5" i="4"/>
  <c r="O22" i="9"/>
  <c r="L21" i="9"/>
  <c r="H21" i="4"/>
  <c r="G24" i="9"/>
  <c r="V8" i="4"/>
  <c r="R4" i="9"/>
  <c r="V26" i="9"/>
  <c r="L6" i="4"/>
  <c r="M27" i="4"/>
  <c r="N23" i="4"/>
  <c r="T23" i="9"/>
  <c r="L7" i="9"/>
  <c r="J3" i="9"/>
  <c r="I52" i="4"/>
  <c r="B25" i="9"/>
  <c r="I25" i="9"/>
  <c r="N25" i="4"/>
  <c r="T25" i="4"/>
  <c r="I5" i="4"/>
  <c r="V5" i="4"/>
  <c r="M5" i="9"/>
  <c r="T22" i="9"/>
  <c r="AA22" i="9"/>
  <c r="K22" i="4"/>
  <c r="P21" i="9"/>
  <c r="W21" i="9"/>
  <c r="Z21" i="4"/>
  <c r="E24" i="4"/>
  <c r="J24" i="4"/>
  <c r="J24" i="9"/>
  <c r="D24" i="9"/>
  <c r="AA8" i="4"/>
  <c r="L8" i="9"/>
  <c r="T8" i="4"/>
  <c r="Y4" i="4"/>
  <c r="J4" i="9"/>
  <c r="X4" i="9"/>
  <c r="M26" i="9"/>
  <c r="R26" i="9"/>
  <c r="Y26" i="4"/>
  <c r="I26" i="4"/>
  <c r="H6" i="4"/>
  <c r="B6" i="9"/>
  <c r="D6" i="9"/>
  <c r="T27" i="4"/>
  <c r="L27" i="9"/>
  <c r="Z27" i="9"/>
  <c r="S23" i="4"/>
  <c r="Z23" i="4"/>
  <c r="K23" i="9"/>
  <c r="M7" i="4"/>
  <c r="U7" i="9"/>
  <c r="Z7" i="4"/>
  <c r="C7" i="9"/>
  <c r="K3" i="9"/>
  <c r="H3" i="4"/>
  <c r="J3" i="4"/>
  <c r="N52" i="9"/>
  <c r="U52" i="4"/>
  <c r="Z52" i="4"/>
  <c r="E25" i="4"/>
  <c r="E5" i="4"/>
  <c r="I22" i="4"/>
  <c r="S21" i="9"/>
  <c r="V24" i="4"/>
  <c r="E8" i="9"/>
  <c r="E4" i="4"/>
  <c r="F4" i="4"/>
  <c r="Q26" i="4"/>
  <c r="E6" i="4"/>
  <c r="D27" i="9"/>
  <c r="F23" i="4"/>
  <c r="R7" i="4"/>
  <c r="O3" i="9"/>
  <c r="B52" i="9"/>
  <c r="W52" i="9"/>
  <c r="L25" i="9"/>
  <c r="S25" i="9"/>
  <c r="R25" i="4"/>
  <c r="B5" i="9"/>
  <c r="K5" i="4"/>
  <c r="Z5" i="4"/>
  <c r="Q5" i="9"/>
  <c r="V22" i="9"/>
  <c r="E22" i="4"/>
  <c r="O22" i="4"/>
  <c r="R21" i="9"/>
  <c r="Y21" i="9"/>
  <c r="S21" i="4"/>
  <c r="O24" i="4"/>
  <c r="T24" i="4"/>
  <c r="C24" i="9"/>
  <c r="E8" i="4"/>
  <c r="K8" i="9"/>
  <c r="B8" i="4"/>
  <c r="H8" i="4"/>
  <c r="AA4" i="4"/>
  <c r="N4" i="9"/>
  <c r="Z4" i="4"/>
  <c r="W26" i="9"/>
  <c r="D26" i="4"/>
  <c r="R26" i="4"/>
  <c r="M6" i="9"/>
  <c r="R6" i="4"/>
  <c r="V6" i="9"/>
  <c r="C6" i="4"/>
  <c r="C27" i="4"/>
  <c r="P27" i="9"/>
  <c r="C27" i="9"/>
  <c r="U23" i="4"/>
  <c r="Q23" i="9"/>
  <c r="D23" i="9"/>
  <c r="W7" i="4"/>
  <c r="H7" i="9"/>
  <c r="R7" i="9"/>
  <c r="M3" i="4"/>
  <c r="U3" i="9"/>
  <c r="P3" i="9"/>
  <c r="H52" i="9"/>
  <c r="O52" i="4"/>
  <c r="T52" i="4"/>
  <c r="AA52" i="9"/>
  <c r="T5" i="9"/>
  <c r="X22" i="9"/>
  <c r="K21" i="9"/>
  <c r="N24" i="4"/>
  <c r="M8" i="9"/>
  <c r="U4" i="9"/>
  <c r="X26" i="4"/>
  <c r="Z6" i="9"/>
  <c r="M27" i="9"/>
  <c r="J23" i="9"/>
  <c r="W3" i="4"/>
  <c r="N52" i="4"/>
  <c r="X22" i="4"/>
  <c r="DJ52" i="2"/>
  <c r="X25" i="9"/>
  <c r="I25" i="4"/>
  <c r="O25" i="4"/>
  <c r="N5" i="9"/>
  <c r="W5" i="4"/>
  <c r="AA5" i="9"/>
  <c r="B22" i="9"/>
  <c r="I22" i="9"/>
  <c r="B22" i="4"/>
  <c r="T22" i="4"/>
  <c r="V21" i="9"/>
  <c r="E21" i="4"/>
  <c r="K21" i="4"/>
  <c r="K24" i="4"/>
  <c r="P24" i="4"/>
  <c r="V24" i="9"/>
  <c r="I8" i="4"/>
  <c r="O8" i="9"/>
  <c r="J8" i="4"/>
  <c r="L8" i="4"/>
  <c r="G4" i="9"/>
  <c r="V4" i="9"/>
  <c r="V4" i="4"/>
  <c r="AA26" i="9"/>
  <c r="L26" i="4"/>
  <c r="K26" i="4"/>
  <c r="Y6" i="9"/>
  <c r="I6" i="4"/>
  <c r="W6" i="4"/>
  <c r="J27" i="4"/>
  <c r="O27" i="4"/>
  <c r="Q27" i="9"/>
  <c r="AA27" i="9"/>
  <c r="H23" i="4"/>
  <c r="Y23" i="9"/>
  <c r="X23" i="9"/>
  <c r="AA7" i="4"/>
  <c r="P7" i="9"/>
  <c r="Z7" i="9"/>
  <c r="Q3" i="4"/>
  <c r="Y3" i="9"/>
  <c r="H3" i="9"/>
  <c r="C52" i="4"/>
  <c r="H52" i="4"/>
  <c r="I52" i="9"/>
  <c r="F25" i="9"/>
  <c r="AA25" i="4"/>
  <c r="W5" i="9"/>
  <c r="W22" i="9"/>
  <c r="C21" i="9"/>
  <c r="Q24" i="4"/>
  <c r="T24" i="9"/>
  <c r="X8" i="4"/>
  <c r="P4" i="9"/>
  <c r="F26" i="4"/>
  <c r="U6" i="4"/>
  <c r="T27" i="9"/>
  <c r="E23" i="9"/>
  <c r="I7" i="4"/>
  <c r="B7" i="4"/>
  <c r="D3" i="9"/>
  <c r="Y52" i="4"/>
  <c r="J25" i="9"/>
  <c r="Q25" i="9"/>
  <c r="C25" i="4"/>
  <c r="H5" i="9"/>
  <c r="Q5" i="4"/>
  <c r="O5" i="9"/>
  <c r="C5" i="4"/>
  <c r="C22" i="9"/>
  <c r="Q22" i="4"/>
  <c r="AA22" i="4"/>
  <c r="X21" i="9"/>
  <c r="I21" i="4"/>
  <c r="O21" i="4"/>
  <c r="M24" i="4"/>
  <c r="R24" i="4"/>
  <c r="Z24" i="9"/>
  <c r="C8" i="4"/>
  <c r="I8" i="9"/>
  <c r="N8" i="4"/>
  <c r="P8" i="4"/>
  <c r="I4" i="9"/>
  <c r="Z4" i="9"/>
  <c r="J4" i="4"/>
  <c r="U26" i="9"/>
  <c r="Z26" i="9"/>
  <c r="N26" i="4"/>
  <c r="K6" i="9"/>
  <c r="P6" i="4"/>
  <c r="R6" i="9"/>
  <c r="C6" i="9"/>
  <c r="I27" i="4"/>
  <c r="E27" i="9"/>
  <c r="W27" i="9"/>
  <c r="AA23" i="4"/>
  <c r="M23" i="9"/>
  <c r="AA23" i="9"/>
  <c r="U7" i="4"/>
  <c r="D7" i="9"/>
  <c r="N7" i="9"/>
  <c r="K3" i="4"/>
  <c r="S3" i="9"/>
  <c r="X3" i="4"/>
  <c r="C3" i="4"/>
  <c r="V52" i="9"/>
  <c r="B52" i="4"/>
  <c r="G52" i="9"/>
  <c r="F25" i="4"/>
  <c r="L5" i="4"/>
  <c r="C22" i="4"/>
  <c r="B21" i="4"/>
  <c r="R24" i="9"/>
  <c r="U8" i="9"/>
  <c r="E4" i="9"/>
  <c r="Q26" i="9"/>
  <c r="V26" i="4"/>
  <c r="J6" i="9"/>
  <c r="B27" i="9"/>
  <c r="Q7" i="4"/>
  <c r="T7" i="4"/>
  <c r="W3" i="9"/>
  <c r="R52" i="9"/>
  <c r="T25" i="9"/>
  <c r="AA25" i="9"/>
  <c r="J5" i="9"/>
  <c r="S5" i="4"/>
  <c r="S5" i="9"/>
  <c r="U22" i="4"/>
  <c r="P22" i="4"/>
  <c r="M21" i="4"/>
  <c r="P21" i="4"/>
  <c r="E24" i="9"/>
  <c r="S24" i="9"/>
  <c r="M8" i="4"/>
  <c r="S8" i="9"/>
  <c r="C4" i="4"/>
  <c r="K4" i="9"/>
  <c r="D4" i="4"/>
  <c r="T26" i="4"/>
  <c r="C26" i="4"/>
  <c r="U6" i="9"/>
  <c r="Z6" i="4"/>
  <c r="F27" i="4"/>
  <c r="I27" i="9"/>
  <c r="O27" i="9"/>
  <c r="D23" i="4"/>
  <c r="F23" i="9"/>
  <c r="L23" i="9"/>
  <c r="G7" i="9"/>
  <c r="U3" i="4"/>
  <c r="F3" i="9"/>
  <c r="P52" i="9"/>
  <c r="W52" i="4"/>
  <c r="E52" i="9"/>
  <c r="C52" i="9"/>
  <c r="DN76" i="2"/>
  <c r="DK56" i="2"/>
  <c r="DO31" i="2"/>
  <c r="DO49" i="2"/>
  <c r="DN35" i="2"/>
  <c r="DO90" i="2"/>
  <c r="DO33" i="2"/>
  <c r="DN79" i="2"/>
  <c r="DN64" i="2"/>
  <c r="DM55" i="2"/>
  <c r="DL55" i="2"/>
  <c r="DJ44" i="2"/>
  <c r="DK77" i="2"/>
  <c r="DK65" i="2"/>
  <c r="DJ17" i="2"/>
  <c r="DK89" i="2"/>
  <c r="DJ88" i="2"/>
  <c r="DJ12" i="2"/>
  <c r="DK57" i="2"/>
  <c r="DK51" i="2"/>
  <c r="DK19" i="2"/>
  <c r="DK90" i="2"/>
  <c r="DJ20" i="2"/>
  <c r="DI55" i="2"/>
  <c r="DJ46" i="2"/>
  <c r="DK31" i="2"/>
  <c r="DK37" i="2"/>
  <c r="DK18" i="2"/>
  <c r="DN11" i="2"/>
  <c r="DK67" i="2"/>
  <c r="DJ75" i="2"/>
  <c r="DK76" i="2"/>
  <c r="DK62" i="2"/>
  <c r="DJ78" i="2"/>
  <c r="DJ72" i="2"/>
  <c r="DK15" i="2"/>
  <c r="DJ47" i="2"/>
  <c r="DK81" i="2"/>
  <c r="DN42" i="2"/>
  <c r="DE24" i="2"/>
  <c r="DF24" i="2" s="1"/>
  <c r="DK39" i="2"/>
  <c r="DO77" i="2"/>
  <c r="Y2" i="9"/>
  <c r="Y2" i="11" s="1"/>
  <c r="DJ64" i="2"/>
  <c r="DJ71" i="2"/>
  <c r="DK36" i="2"/>
  <c r="DK14" i="2"/>
  <c r="CT24" i="2"/>
  <c r="DK80" i="2"/>
  <c r="DK16" i="2"/>
  <c r="DI54" i="2"/>
  <c r="DJ54" i="2" s="1"/>
  <c r="DK63" i="2"/>
  <c r="DK91" i="2"/>
  <c r="DO83" i="2"/>
  <c r="DO78" i="2"/>
  <c r="DO87" i="2"/>
  <c r="DK43" i="2"/>
  <c r="DJ30" i="2"/>
  <c r="DA5" i="2"/>
  <c r="CU5" i="2"/>
  <c r="DE7" i="2"/>
  <c r="DF7" i="2" s="1"/>
  <c r="CZ7" i="2"/>
  <c r="CT7" i="2"/>
  <c r="DE28" i="2"/>
  <c r="DF28" i="2" s="1"/>
  <c r="CZ28" i="2"/>
  <c r="CT28" i="2"/>
  <c r="DN82" i="2"/>
  <c r="DO82" i="2"/>
  <c r="CT5" i="2"/>
  <c r="CZ5" i="2"/>
  <c r="DE5" i="2"/>
  <c r="DF5" i="2" s="1"/>
  <c r="CU27" i="2"/>
  <c r="DA27" i="2"/>
  <c r="DM54" i="2"/>
  <c r="DK38" i="2"/>
  <c r="DJ38" i="2"/>
  <c r="CT22" i="2"/>
  <c r="DE22" i="2"/>
  <c r="DF22" i="2" s="1"/>
  <c r="CZ22" i="2"/>
  <c r="CT9" i="2"/>
  <c r="DE9" i="2"/>
  <c r="DF9" i="2" s="1"/>
  <c r="CZ9" i="2"/>
  <c r="DA24" i="2"/>
  <c r="CU24" i="2"/>
  <c r="DE4" i="2"/>
  <c r="DF4" i="2" s="1"/>
  <c r="CT4" i="2"/>
  <c r="CZ4" i="2"/>
  <c r="CU7" i="2"/>
  <c r="DA7" i="2"/>
  <c r="DN91" i="2"/>
  <c r="DO91" i="2"/>
  <c r="CU6" i="2"/>
  <c r="DA6" i="2"/>
  <c r="DJ49" i="2"/>
  <c r="DK49" i="2"/>
  <c r="DK13" i="2"/>
  <c r="DJ13" i="2"/>
  <c r="DJ48" i="2"/>
  <c r="DK48" i="2"/>
  <c r="DK34" i="2"/>
  <c r="DJ34" i="2"/>
  <c r="DJ33" i="2"/>
  <c r="DK33" i="2"/>
  <c r="DJ32" i="2"/>
  <c r="DK32" i="2"/>
  <c r="DN68" i="2"/>
  <c r="DO68" i="2"/>
  <c r="DL54" i="2"/>
  <c r="CU26" i="2"/>
  <c r="DA26" i="2"/>
  <c r="CU22" i="2"/>
  <c r="DA22" i="2"/>
  <c r="CT25" i="2"/>
  <c r="DE25" i="2"/>
  <c r="DF25" i="2" s="1"/>
  <c r="CZ25" i="2"/>
  <c r="DE8" i="2"/>
  <c r="DF8" i="2" s="1"/>
  <c r="CZ8" i="2"/>
  <c r="CT8" i="2"/>
  <c r="CT26" i="2"/>
  <c r="DE26" i="2"/>
  <c r="DF26" i="2" s="1"/>
  <c r="CZ26" i="2"/>
  <c r="DA23" i="2"/>
  <c r="CU23" i="2"/>
  <c r="DE23" i="2"/>
  <c r="DF23" i="2" s="1"/>
  <c r="CT23" i="2"/>
  <c r="CZ23" i="2"/>
  <c r="DK42" i="2"/>
  <c r="DJ42" i="2"/>
  <c r="DA8" i="2"/>
  <c r="CU8" i="2"/>
  <c r="DJ10" i="2"/>
  <c r="DK10" i="2"/>
  <c r="CU25" i="2"/>
  <c r="DA25" i="2"/>
  <c r="DA28" i="2"/>
  <c r="CU28" i="2"/>
  <c r="DM58" i="2"/>
  <c r="CT6" i="2"/>
  <c r="CZ6" i="2"/>
  <c r="DE6" i="2"/>
  <c r="DF6" i="2" s="1"/>
  <c r="DJ41" i="2"/>
  <c r="DK41" i="2"/>
  <c r="CU9" i="2"/>
  <c r="DA9" i="2"/>
  <c r="DE27" i="2"/>
  <c r="DF27" i="2" s="1"/>
  <c r="CT27" i="2"/>
  <c r="CZ27" i="2"/>
  <c r="DK29" i="2"/>
  <c r="DJ29" i="2"/>
  <c r="DO73" i="2"/>
  <c r="DN73" i="2"/>
  <c r="DO72" i="2"/>
  <c r="DN72" i="2"/>
  <c r="DJ21" i="2"/>
  <c r="DK21" i="2"/>
  <c r="CU4" i="2"/>
  <c r="DA4" i="2"/>
  <c r="DI58" i="2"/>
  <c r="DL58" i="2"/>
  <c r="DN88" i="2"/>
  <c r="DO88" i="2"/>
  <c r="X2" i="9"/>
  <c r="X2" i="10" s="1"/>
  <c r="AA2" i="9"/>
  <c r="AA2" i="4"/>
  <c r="X2" i="4"/>
  <c r="X2" i="6" s="1"/>
  <c r="Y2" i="4"/>
  <c r="Y2" i="7" s="1"/>
  <c r="Z2" i="6"/>
  <c r="Z2" i="7"/>
  <c r="Z2" i="9"/>
  <c r="D2" i="4"/>
  <c r="W2" i="4"/>
  <c r="W2" i="6" s="1"/>
  <c r="U2" i="9"/>
  <c r="U2" i="10" s="1"/>
  <c r="V2" i="9"/>
  <c r="W2" i="10"/>
  <c r="W2" i="11"/>
  <c r="T2" i="9"/>
  <c r="T2" i="10" s="1"/>
  <c r="T2" i="4"/>
  <c r="T2" i="7" s="1"/>
  <c r="V2" i="4"/>
  <c r="U2" i="4"/>
  <c r="U2" i="7" s="1"/>
  <c r="DA3" i="2"/>
  <c r="DA53" i="2"/>
  <c r="R2" i="9"/>
  <c r="B2" i="9"/>
  <c r="L2" i="9"/>
  <c r="K2" i="9"/>
  <c r="I2" i="9"/>
  <c r="C2" i="9"/>
  <c r="R2" i="4"/>
  <c r="S2" i="9"/>
  <c r="F2" i="9"/>
  <c r="E2" i="9"/>
  <c r="O2" i="9"/>
  <c r="S2" i="4"/>
  <c r="Q2" i="9"/>
  <c r="N2" i="9"/>
  <c r="M2" i="9"/>
  <c r="J2" i="9"/>
  <c r="P2" i="9"/>
  <c r="D2" i="9"/>
  <c r="G2" i="9"/>
  <c r="H2" i="9"/>
  <c r="Q2" i="4"/>
  <c r="Q2" i="7" s="1"/>
  <c r="P2" i="4"/>
  <c r="P2" i="6" s="1"/>
  <c r="CZ53" i="2"/>
  <c r="CZ3" i="2"/>
  <c r="DE3" i="2"/>
  <c r="DF3" i="2" s="1"/>
  <c r="K2" i="4"/>
  <c r="M2" i="4"/>
  <c r="N2" i="4"/>
  <c r="I2" i="4"/>
  <c r="CU3" i="2"/>
  <c r="G2" i="4"/>
  <c r="H2" i="4"/>
  <c r="J2" i="4"/>
  <c r="F2" i="4"/>
  <c r="E2" i="4"/>
  <c r="B2" i="4"/>
  <c r="C2" i="4"/>
  <c r="L2" i="4"/>
  <c r="O2" i="4"/>
  <c r="CT3" i="2"/>
  <c r="K7" i="11" l="1"/>
  <c r="S3" i="7"/>
  <c r="W27" i="7"/>
  <c r="X24" i="7"/>
  <c r="R5" i="11"/>
  <c r="L23" i="6"/>
  <c r="S27" i="7"/>
  <c r="S27" i="10"/>
  <c r="N26" i="11"/>
  <c r="L21" i="7"/>
  <c r="B23" i="10"/>
  <c r="Y21" i="7"/>
  <c r="S25" i="6"/>
  <c r="E21" i="10"/>
  <c r="I23" i="7"/>
  <c r="U25" i="7"/>
  <c r="P23" i="11"/>
  <c r="C23" i="11"/>
  <c r="AA3" i="11"/>
  <c r="K8" i="6"/>
  <c r="AA26" i="6"/>
  <c r="F27" i="11"/>
  <c r="G26" i="10"/>
  <c r="Q4" i="10"/>
  <c r="O24" i="11"/>
  <c r="J23" i="7"/>
  <c r="R27" i="11"/>
  <c r="L5" i="11"/>
  <c r="P23" i="6"/>
  <c r="Q22" i="10"/>
  <c r="X3" i="10"/>
  <c r="J22" i="11"/>
  <c r="I7" i="11"/>
  <c r="G6" i="11"/>
  <c r="L6" i="10"/>
  <c r="D27" i="6"/>
  <c r="F24" i="7"/>
  <c r="E23" i="6"/>
  <c r="B23" i="7"/>
  <c r="W6" i="10"/>
  <c r="G3" i="7"/>
  <c r="E7" i="10"/>
  <c r="D22" i="11"/>
  <c r="V5" i="10"/>
  <c r="N27" i="6"/>
  <c r="D24" i="6"/>
  <c r="U24" i="6"/>
  <c r="I5" i="11"/>
  <c r="I26" i="11"/>
  <c r="F8" i="6"/>
  <c r="AA21" i="11"/>
  <c r="Y25" i="6"/>
  <c r="D52" i="10"/>
  <c r="O26" i="6"/>
  <c r="P27" i="7"/>
  <c r="W25" i="6"/>
  <c r="B4" i="10"/>
  <c r="U27" i="10"/>
  <c r="K52" i="10"/>
  <c r="H7" i="7"/>
  <c r="P6" i="11"/>
  <c r="S4" i="11"/>
  <c r="P5" i="10"/>
  <c r="Z8" i="7"/>
  <c r="Q27" i="6"/>
  <c r="E26" i="10"/>
  <c r="Q8" i="6"/>
  <c r="O7" i="11"/>
  <c r="Q25" i="7"/>
  <c r="H27" i="7"/>
  <c r="P7" i="7"/>
  <c r="G21" i="10"/>
  <c r="U21" i="7"/>
  <c r="L26" i="10"/>
  <c r="Z3" i="7"/>
  <c r="V23" i="10"/>
  <c r="B26" i="10"/>
  <c r="L24" i="11"/>
  <c r="Y7" i="6"/>
  <c r="N3" i="10"/>
  <c r="P3" i="7"/>
  <c r="U8" i="6"/>
  <c r="B21" i="10"/>
  <c r="V7" i="10"/>
  <c r="I21" i="10"/>
  <c r="H23" i="11"/>
  <c r="O4" i="10"/>
  <c r="F7" i="6"/>
  <c r="G5" i="10"/>
  <c r="P26" i="6"/>
  <c r="Z24" i="6"/>
  <c r="F3" i="7"/>
  <c r="W8" i="6"/>
  <c r="N23" i="10"/>
  <c r="K24" i="11"/>
  <c r="Y27" i="10"/>
  <c r="K25" i="6"/>
  <c r="T7" i="10"/>
  <c r="AA21" i="6"/>
  <c r="O52" i="10"/>
  <c r="S6" i="10"/>
  <c r="L3" i="10"/>
  <c r="C23" i="6"/>
  <c r="K22" i="10"/>
  <c r="Y3" i="7"/>
  <c r="N3" i="7"/>
  <c r="P22" i="10"/>
  <c r="U23" i="10"/>
  <c r="H26" i="10"/>
  <c r="L25" i="7"/>
  <c r="Y2" i="10"/>
  <c r="X52" i="10"/>
  <c r="Q52" i="10"/>
  <c r="S24" i="7"/>
  <c r="U3" i="6"/>
  <c r="U3" i="7"/>
  <c r="D4" i="6"/>
  <c r="D4" i="7"/>
  <c r="R52" i="11"/>
  <c r="R52" i="10"/>
  <c r="C22" i="6"/>
  <c r="C22" i="7"/>
  <c r="U7" i="6"/>
  <c r="U7" i="7"/>
  <c r="Z26" i="11"/>
  <c r="Z26" i="10"/>
  <c r="O21" i="6"/>
  <c r="O21" i="7"/>
  <c r="J25" i="11"/>
  <c r="J25" i="10"/>
  <c r="Q24" i="6"/>
  <c r="Q24" i="7"/>
  <c r="Z7" i="11"/>
  <c r="Z7" i="10"/>
  <c r="Y6" i="11"/>
  <c r="Y6" i="10"/>
  <c r="P24" i="7"/>
  <c r="P24" i="6"/>
  <c r="B22" i="11"/>
  <c r="B22" i="10"/>
  <c r="O25" i="7"/>
  <c r="O25" i="6"/>
  <c r="M27" i="11"/>
  <c r="M27" i="10"/>
  <c r="H52" i="11"/>
  <c r="H52" i="10"/>
  <c r="R7" i="11"/>
  <c r="R7" i="10"/>
  <c r="M6" i="11"/>
  <c r="M6" i="10"/>
  <c r="T24" i="6"/>
  <c r="T24" i="7"/>
  <c r="R25" i="6"/>
  <c r="R25" i="7"/>
  <c r="E4" i="6"/>
  <c r="E4" i="7"/>
  <c r="M7" i="6"/>
  <c r="M7" i="7"/>
  <c r="B6" i="11"/>
  <c r="B6" i="10"/>
  <c r="D24" i="11"/>
  <c r="D24" i="10"/>
  <c r="I5" i="6"/>
  <c r="I5" i="7"/>
  <c r="T23" i="11"/>
  <c r="T23" i="10"/>
  <c r="H21" i="7"/>
  <c r="H21" i="6"/>
  <c r="J7" i="11"/>
  <c r="J7" i="10"/>
  <c r="G27" i="7"/>
  <c r="G27" i="6"/>
  <c r="T4" i="11"/>
  <c r="T4" i="10"/>
  <c r="X8" i="11"/>
  <c r="X8" i="10"/>
  <c r="N21" i="11"/>
  <c r="N21" i="10"/>
  <c r="Z25" i="6"/>
  <c r="Z25" i="7"/>
  <c r="W23" i="7"/>
  <c r="W23" i="6"/>
  <c r="V3" i="11"/>
  <c r="V3" i="10"/>
  <c r="T4" i="6"/>
  <c r="T4" i="7"/>
  <c r="J22" i="6"/>
  <c r="J22" i="7"/>
  <c r="F52" i="6"/>
  <c r="F52" i="7"/>
  <c r="V23" i="6"/>
  <c r="V23" i="7"/>
  <c r="E5" i="11"/>
  <c r="E5" i="10"/>
  <c r="E3" i="6"/>
  <c r="E3" i="7"/>
  <c r="AA27" i="7"/>
  <c r="AA27" i="6"/>
  <c r="O26" i="11"/>
  <c r="O26" i="10"/>
  <c r="Q21" i="11"/>
  <c r="Q21" i="10"/>
  <c r="P25" i="7"/>
  <c r="P25" i="6"/>
  <c r="G23" i="7"/>
  <c r="G23" i="6"/>
  <c r="T21" i="11"/>
  <c r="T21" i="10"/>
  <c r="B3" i="6"/>
  <c r="B3" i="7"/>
  <c r="R23" i="6"/>
  <c r="R23" i="7"/>
  <c r="G26" i="6"/>
  <c r="G26" i="7"/>
  <c r="Y8" i="11"/>
  <c r="Y8" i="10"/>
  <c r="H21" i="11"/>
  <c r="H21" i="10"/>
  <c r="M25" i="6"/>
  <c r="M25" i="7"/>
  <c r="X27" i="6"/>
  <c r="X27" i="7"/>
  <c r="H22" i="11"/>
  <c r="H22" i="10"/>
  <c r="I3" i="11"/>
  <c r="I3" i="10"/>
  <c r="V27" i="11"/>
  <c r="V27" i="10"/>
  <c r="O4" i="6"/>
  <c r="O4" i="7"/>
  <c r="F21" i="6"/>
  <c r="F21" i="7"/>
  <c r="G5" i="7"/>
  <c r="G5" i="6"/>
  <c r="S22" i="6"/>
  <c r="S22" i="7"/>
  <c r="M22" i="11"/>
  <c r="M22" i="10"/>
  <c r="G21" i="7"/>
  <c r="G21" i="6"/>
  <c r="K6" i="6"/>
  <c r="K6" i="7"/>
  <c r="Y6" i="6"/>
  <c r="Y6" i="7"/>
  <c r="DB6" i="2"/>
  <c r="W52" i="6"/>
  <c r="W52" i="7"/>
  <c r="G7" i="11"/>
  <c r="G7" i="10"/>
  <c r="O27" i="11"/>
  <c r="O27" i="10"/>
  <c r="U6" i="11"/>
  <c r="U6" i="10"/>
  <c r="K4" i="11"/>
  <c r="K4" i="10"/>
  <c r="S24" i="11"/>
  <c r="S24" i="10"/>
  <c r="P22" i="6"/>
  <c r="P22" i="7"/>
  <c r="J5" i="11"/>
  <c r="J5" i="10"/>
  <c r="W3" i="11"/>
  <c r="W3" i="10"/>
  <c r="J6" i="11"/>
  <c r="J6" i="10"/>
  <c r="U8" i="11"/>
  <c r="U8" i="10"/>
  <c r="L5" i="6"/>
  <c r="L5" i="7"/>
  <c r="V52" i="11"/>
  <c r="V52" i="10"/>
  <c r="K3" i="7"/>
  <c r="K3" i="6"/>
  <c r="AA23" i="11"/>
  <c r="AA23" i="10"/>
  <c r="E27" i="11"/>
  <c r="E27" i="10"/>
  <c r="P6" i="6"/>
  <c r="P6" i="7"/>
  <c r="U26" i="11"/>
  <c r="U26" i="10"/>
  <c r="P8" i="6"/>
  <c r="P8" i="7"/>
  <c r="Z24" i="11"/>
  <c r="Z24" i="10"/>
  <c r="I21" i="6"/>
  <c r="I21" i="7"/>
  <c r="C22" i="11"/>
  <c r="C22" i="10"/>
  <c r="H5" i="11"/>
  <c r="H5" i="10"/>
  <c r="Y52" i="6"/>
  <c r="Y52" i="7"/>
  <c r="E23" i="11"/>
  <c r="E23" i="10"/>
  <c r="P4" i="11"/>
  <c r="P4" i="10"/>
  <c r="C21" i="11"/>
  <c r="C21" i="10"/>
  <c r="F25" i="11"/>
  <c r="F25" i="10"/>
  <c r="H3" i="11"/>
  <c r="H3" i="10"/>
  <c r="P7" i="11"/>
  <c r="P7" i="10"/>
  <c r="H23" i="7"/>
  <c r="H23" i="6"/>
  <c r="J27" i="6"/>
  <c r="J27" i="7"/>
  <c r="K26" i="6"/>
  <c r="K26" i="7"/>
  <c r="V4" i="11"/>
  <c r="V4" i="10"/>
  <c r="O8" i="11"/>
  <c r="O8" i="10"/>
  <c r="K24" i="6"/>
  <c r="K24" i="7"/>
  <c r="T22" i="6"/>
  <c r="T22" i="7"/>
  <c r="AA5" i="11"/>
  <c r="AA5" i="10"/>
  <c r="I25" i="6"/>
  <c r="I25" i="7"/>
  <c r="N52" i="6"/>
  <c r="N52" i="7"/>
  <c r="Z6" i="11"/>
  <c r="Z6" i="10"/>
  <c r="N24" i="6"/>
  <c r="N24" i="7"/>
  <c r="AA52" i="11"/>
  <c r="AA52" i="10"/>
  <c r="P3" i="11"/>
  <c r="P3" i="10"/>
  <c r="H7" i="11"/>
  <c r="H7" i="10"/>
  <c r="U23" i="6"/>
  <c r="U23" i="7"/>
  <c r="C6" i="6"/>
  <c r="C6" i="7"/>
  <c r="R26" i="6"/>
  <c r="R26" i="7"/>
  <c r="N4" i="11"/>
  <c r="N4" i="10"/>
  <c r="K8" i="11"/>
  <c r="K8" i="10"/>
  <c r="O24" i="6"/>
  <c r="O24" i="7"/>
  <c r="O22" i="6"/>
  <c r="O22" i="7"/>
  <c r="Z5" i="6"/>
  <c r="Z5" i="7"/>
  <c r="S25" i="11"/>
  <c r="S25" i="10"/>
  <c r="O3" i="11"/>
  <c r="O3" i="10"/>
  <c r="E6" i="7"/>
  <c r="E6" i="6"/>
  <c r="E8" i="11"/>
  <c r="E8" i="10"/>
  <c r="E5" i="6"/>
  <c r="E5" i="7"/>
  <c r="N52" i="11"/>
  <c r="N52" i="10"/>
  <c r="C7" i="11"/>
  <c r="C7" i="10"/>
  <c r="K23" i="11"/>
  <c r="K23" i="10"/>
  <c r="L27" i="11"/>
  <c r="L27" i="10"/>
  <c r="H6" i="6"/>
  <c r="H6" i="7"/>
  <c r="M26" i="11"/>
  <c r="M26" i="10"/>
  <c r="T8" i="6"/>
  <c r="T8" i="7"/>
  <c r="J24" i="11"/>
  <c r="J24" i="10"/>
  <c r="W21" i="11"/>
  <c r="W21" i="10"/>
  <c r="T22" i="11"/>
  <c r="T22" i="10"/>
  <c r="T25" i="7"/>
  <c r="T25" i="6"/>
  <c r="I52" i="6"/>
  <c r="I52" i="7"/>
  <c r="N23" i="6"/>
  <c r="N23" i="7"/>
  <c r="R4" i="11"/>
  <c r="R4" i="10"/>
  <c r="L21" i="11"/>
  <c r="L21" i="10"/>
  <c r="U52" i="11"/>
  <c r="U52" i="10"/>
  <c r="T3" i="6"/>
  <c r="T3" i="7"/>
  <c r="AA7" i="11"/>
  <c r="AA7" i="10"/>
  <c r="Y23" i="6"/>
  <c r="Y23" i="7"/>
  <c r="B27" i="7"/>
  <c r="B27" i="6"/>
  <c r="Z26" i="6"/>
  <c r="Z26" i="7"/>
  <c r="F4" i="11"/>
  <c r="F4" i="10"/>
  <c r="G8" i="11"/>
  <c r="G8" i="10"/>
  <c r="C24" i="6"/>
  <c r="C24" i="7"/>
  <c r="W22" i="6"/>
  <c r="W22" i="7"/>
  <c r="K5" i="11"/>
  <c r="K5" i="10"/>
  <c r="W25" i="11"/>
  <c r="W25" i="10"/>
  <c r="L7" i="6"/>
  <c r="L7" i="7"/>
  <c r="M26" i="6"/>
  <c r="M26" i="7"/>
  <c r="K4" i="6"/>
  <c r="K4" i="7"/>
  <c r="T21" i="6"/>
  <c r="T21" i="7"/>
  <c r="F22" i="11"/>
  <c r="F22" i="10"/>
  <c r="C25" i="11"/>
  <c r="C25" i="10"/>
  <c r="H22" i="6"/>
  <c r="H22" i="7"/>
  <c r="L22" i="6"/>
  <c r="L22" i="7"/>
  <c r="Y5" i="6"/>
  <c r="Y5" i="7"/>
  <c r="U4" i="6"/>
  <c r="U4" i="7"/>
  <c r="G25" i="11"/>
  <c r="G25" i="10"/>
  <c r="U27" i="6"/>
  <c r="U27" i="7"/>
  <c r="O8" i="6"/>
  <c r="O8" i="7"/>
  <c r="X25" i="6"/>
  <c r="X25" i="7"/>
  <c r="B3" i="11"/>
  <c r="B3" i="10"/>
  <c r="B7" i="11"/>
  <c r="B7" i="10"/>
  <c r="T23" i="7"/>
  <c r="T23" i="6"/>
  <c r="V27" i="7"/>
  <c r="V27" i="6"/>
  <c r="E6" i="11"/>
  <c r="E6" i="10"/>
  <c r="L4" i="11"/>
  <c r="L4" i="10"/>
  <c r="P8" i="11"/>
  <c r="P8" i="10"/>
  <c r="L24" i="6"/>
  <c r="L24" i="7"/>
  <c r="J21" i="11"/>
  <c r="J21" i="10"/>
  <c r="X5" i="7"/>
  <c r="X5" i="6"/>
  <c r="B25" i="6"/>
  <c r="B25" i="7"/>
  <c r="T3" i="11"/>
  <c r="T3" i="10"/>
  <c r="E27" i="6"/>
  <c r="E27" i="7"/>
  <c r="Z8" i="11"/>
  <c r="Z8" i="10"/>
  <c r="G22" i="11"/>
  <c r="G22" i="10"/>
  <c r="R52" i="6"/>
  <c r="R52" i="7"/>
  <c r="R3" i="11"/>
  <c r="R3" i="10"/>
  <c r="M7" i="11"/>
  <c r="M7" i="10"/>
  <c r="K23" i="6"/>
  <c r="K23" i="7"/>
  <c r="AA6" i="6"/>
  <c r="AA6" i="7"/>
  <c r="E26" i="7"/>
  <c r="E26" i="6"/>
  <c r="Y4" i="11"/>
  <c r="Y4" i="10"/>
  <c r="S8" i="6"/>
  <c r="S8" i="7"/>
  <c r="D21" i="6"/>
  <c r="D21" i="7"/>
  <c r="V22" i="6"/>
  <c r="V22" i="7"/>
  <c r="F5" i="6"/>
  <c r="F5" i="7"/>
  <c r="Z25" i="11"/>
  <c r="Z25" i="10"/>
  <c r="Q7" i="11"/>
  <c r="Q7" i="10"/>
  <c r="O6" i="11"/>
  <c r="O6" i="10"/>
  <c r="I24" i="11"/>
  <c r="I24" i="10"/>
  <c r="M5" i="6"/>
  <c r="M5" i="7"/>
  <c r="L52" i="11"/>
  <c r="L52" i="10"/>
  <c r="C7" i="7"/>
  <c r="C7" i="6"/>
  <c r="G23" i="11"/>
  <c r="G23" i="10"/>
  <c r="H27" i="11"/>
  <c r="H27" i="10"/>
  <c r="N6" i="7"/>
  <c r="N6" i="6"/>
  <c r="K26" i="11"/>
  <c r="K26" i="10"/>
  <c r="N8" i="11"/>
  <c r="N8" i="10"/>
  <c r="M24" i="11"/>
  <c r="M24" i="10"/>
  <c r="M21" i="11"/>
  <c r="M21" i="10"/>
  <c r="R22" i="11"/>
  <c r="R22" i="10"/>
  <c r="D25" i="6"/>
  <c r="D25" i="7"/>
  <c r="E3" i="11"/>
  <c r="E3" i="10"/>
  <c r="N21" i="6"/>
  <c r="N21" i="7"/>
  <c r="H5" i="7"/>
  <c r="H5" i="6"/>
  <c r="P4" i="6"/>
  <c r="P4" i="7"/>
  <c r="Y25" i="11"/>
  <c r="Y25" i="10"/>
  <c r="L4" i="6"/>
  <c r="L4" i="7"/>
  <c r="B5" i="6"/>
  <c r="B5" i="7"/>
  <c r="D23" i="7"/>
  <c r="D23" i="6"/>
  <c r="M21" i="6"/>
  <c r="M21" i="7"/>
  <c r="B27" i="11"/>
  <c r="B27" i="10"/>
  <c r="B52" i="6"/>
  <c r="B52" i="7"/>
  <c r="W27" i="11"/>
  <c r="W27" i="10"/>
  <c r="I4" i="11"/>
  <c r="I4" i="10"/>
  <c r="Q22" i="7"/>
  <c r="Q22" i="6"/>
  <c r="I7" i="6"/>
  <c r="I7" i="7"/>
  <c r="AA25" i="7"/>
  <c r="AA25" i="6"/>
  <c r="Y23" i="11"/>
  <c r="Y23" i="10"/>
  <c r="J8" i="7"/>
  <c r="J8" i="6"/>
  <c r="M8" i="11"/>
  <c r="M8" i="10"/>
  <c r="Q23" i="11"/>
  <c r="Q23" i="10"/>
  <c r="Z4" i="6"/>
  <c r="Z4" i="7"/>
  <c r="R21" i="11"/>
  <c r="R21" i="10"/>
  <c r="B52" i="11"/>
  <c r="B52" i="10"/>
  <c r="I22" i="7"/>
  <c r="I22" i="6"/>
  <c r="U52" i="6"/>
  <c r="U52" i="7"/>
  <c r="Z27" i="11"/>
  <c r="Z27" i="10"/>
  <c r="Y4" i="7"/>
  <c r="Y4" i="6"/>
  <c r="AA22" i="11"/>
  <c r="AA22" i="10"/>
  <c r="B25" i="11"/>
  <c r="B25" i="10"/>
  <c r="V26" i="11"/>
  <c r="V26" i="10"/>
  <c r="C3" i="11"/>
  <c r="C3" i="10"/>
  <c r="I23" i="11"/>
  <c r="I23" i="10"/>
  <c r="Q6" i="11"/>
  <c r="Q6" i="10"/>
  <c r="H24" i="6"/>
  <c r="H24" i="7"/>
  <c r="U5" i="11"/>
  <c r="U5" i="10"/>
  <c r="W21" i="7"/>
  <c r="W21" i="6"/>
  <c r="B6" i="6"/>
  <c r="B6" i="7"/>
  <c r="U24" i="11"/>
  <c r="U24" i="10"/>
  <c r="N22" i="7"/>
  <c r="N22" i="6"/>
  <c r="F6" i="6"/>
  <c r="F6" i="7"/>
  <c r="M4" i="6"/>
  <c r="M4" i="7"/>
  <c r="G52" i="6"/>
  <c r="G52" i="7"/>
  <c r="O23" i="11"/>
  <c r="O23" i="10"/>
  <c r="J6" i="6"/>
  <c r="J6" i="7"/>
  <c r="V8" i="11"/>
  <c r="V8" i="10"/>
  <c r="N24" i="11"/>
  <c r="N24" i="10"/>
  <c r="N22" i="11"/>
  <c r="N22" i="10"/>
  <c r="V52" i="7"/>
  <c r="V52" i="6"/>
  <c r="X4" i="6"/>
  <c r="X4" i="7"/>
  <c r="S52" i="11"/>
  <c r="S52" i="10"/>
  <c r="J7" i="6"/>
  <c r="J7" i="7"/>
  <c r="L27" i="7"/>
  <c r="L27" i="6"/>
  <c r="H4" i="11"/>
  <c r="H4" i="10"/>
  <c r="B24" i="6"/>
  <c r="B24" i="7"/>
  <c r="T5" i="6"/>
  <c r="T5" i="7"/>
  <c r="G3" i="11"/>
  <c r="G3" i="10"/>
  <c r="D8" i="11"/>
  <c r="D8" i="10"/>
  <c r="S52" i="6"/>
  <c r="S52" i="7"/>
  <c r="K7" i="7"/>
  <c r="K7" i="6"/>
  <c r="N6" i="11"/>
  <c r="N6" i="10"/>
  <c r="P26" i="11"/>
  <c r="P26" i="10"/>
  <c r="AA24" i="11"/>
  <c r="AA24" i="10"/>
  <c r="Y22" i="11"/>
  <c r="Y22" i="10"/>
  <c r="H25" i="11"/>
  <c r="H25" i="10"/>
  <c r="F8" i="11"/>
  <c r="F8" i="10"/>
  <c r="P52" i="11"/>
  <c r="P52" i="10"/>
  <c r="L23" i="11"/>
  <c r="L23" i="10"/>
  <c r="I27" i="11"/>
  <c r="I27" i="10"/>
  <c r="C26" i="6"/>
  <c r="C26" i="7"/>
  <c r="C4" i="6"/>
  <c r="C4" i="7"/>
  <c r="E24" i="11"/>
  <c r="E24" i="10"/>
  <c r="U22" i="6"/>
  <c r="U22" i="7"/>
  <c r="AA25" i="11"/>
  <c r="AA25" i="10"/>
  <c r="T7" i="7"/>
  <c r="T7" i="6"/>
  <c r="V26" i="7"/>
  <c r="V26" i="6"/>
  <c r="R24" i="11"/>
  <c r="R24" i="10"/>
  <c r="F25" i="6"/>
  <c r="F25" i="7"/>
  <c r="C3" i="7"/>
  <c r="C3" i="6"/>
  <c r="N7" i="11"/>
  <c r="N7" i="10"/>
  <c r="M23" i="11"/>
  <c r="M23" i="10"/>
  <c r="I27" i="6"/>
  <c r="I27" i="7"/>
  <c r="K6" i="11"/>
  <c r="K6" i="10"/>
  <c r="J4" i="6"/>
  <c r="J4" i="7"/>
  <c r="N8" i="6"/>
  <c r="N8" i="7"/>
  <c r="R24" i="6"/>
  <c r="R24" i="7"/>
  <c r="X21" i="11"/>
  <c r="X21" i="10"/>
  <c r="C5" i="6"/>
  <c r="C5" i="7"/>
  <c r="C25" i="7"/>
  <c r="C25" i="6"/>
  <c r="D3" i="11"/>
  <c r="D3" i="10"/>
  <c r="T27" i="11"/>
  <c r="T27" i="10"/>
  <c r="X8" i="6"/>
  <c r="X8" i="7"/>
  <c r="W22" i="11"/>
  <c r="W22" i="10"/>
  <c r="I52" i="11"/>
  <c r="I52" i="10"/>
  <c r="Y3" i="11"/>
  <c r="Y3" i="10"/>
  <c r="AA7" i="7"/>
  <c r="AA7" i="6"/>
  <c r="AA27" i="11"/>
  <c r="AA27" i="10"/>
  <c r="W6" i="6"/>
  <c r="W6" i="7"/>
  <c r="L26" i="6"/>
  <c r="L26" i="7"/>
  <c r="G4" i="11"/>
  <c r="G4" i="10"/>
  <c r="I8" i="7"/>
  <c r="I8" i="6"/>
  <c r="K21" i="7"/>
  <c r="K21" i="6"/>
  <c r="B22" i="6"/>
  <c r="B22" i="7"/>
  <c r="W5" i="7"/>
  <c r="W5" i="6"/>
  <c r="X25" i="11"/>
  <c r="X25" i="10"/>
  <c r="X22" i="7"/>
  <c r="X22" i="6"/>
  <c r="W3" i="6"/>
  <c r="W3" i="7"/>
  <c r="X26" i="6"/>
  <c r="X26" i="7"/>
  <c r="K21" i="11"/>
  <c r="K21" i="10"/>
  <c r="T52" i="7"/>
  <c r="T52" i="6"/>
  <c r="U3" i="11"/>
  <c r="U3" i="10"/>
  <c r="W7" i="6"/>
  <c r="W7" i="7"/>
  <c r="C27" i="11"/>
  <c r="C27" i="10"/>
  <c r="V6" i="11"/>
  <c r="V6" i="10"/>
  <c r="D26" i="6"/>
  <c r="D26" i="7"/>
  <c r="AA4" i="6"/>
  <c r="AA4" i="7"/>
  <c r="E8" i="6"/>
  <c r="E8" i="7"/>
  <c r="S21" i="7"/>
  <c r="S21" i="6"/>
  <c r="E22" i="6"/>
  <c r="E22" i="7"/>
  <c r="K5" i="6"/>
  <c r="K5" i="7"/>
  <c r="L25" i="11"/>
  <c r="L25" i="10"/>
  <c r="R7" i="6"/>
  <c r="R7" i="7"/>
  <c r="Q26" i="7"/>
  <c r="Q26" i="6"/>
  <c r="V24" i="6"/>
  <c r="V24" i="7"/>
  <c r="E25" i="6"/>
  <c r="E25" i="7"/>
  <c r="J3" i="6"/>
  <c r="J3" i="7"/>
  <c r="Z7" i="6"/>
  <c r="Z7" i="7"/>
  <c r="Z23" i="6"/>
  <c r="Z23" i="7"/>
  <c r="T27" i="6"/>
  <c r="T27" i="7"/>
  <c r="I26" i="7"/>
  <c r="I26" i="6"/>
  <c r="X4" i="11"/>
  <c r="X4" i="10"/>
  <c r="L8" i="11"/>
  <c r="L8" i="10"/>
  <c r="J24" i="7"/>
  <c r="J24" i="6"/>
  <c r="P21" i="11"/>
  <c r="P21" i="10"/>
  <c r="M5" i="11"/>
  <c r="M5" i="10"/>
  <c r="N25" i="6"/>
  <c r="N25" i="7"/>
  <c r="J3" i="11"/>
  <c r="J3" i="10"/>
  <c r="M27" i="6"/>
  <c r="M27" i="7"/>
  <c r="V8" i="6"/>
  <c r="V8" i="7"/>
  <c r="O22" i="11"/>
  <c r="O22" i="10"/>
  <c r="AA52" i="6"/>
  <c r="AA52" i="7"/>
  <c r="Q3" i="11"/>
  <c r="Q3" i="10"/>
  <c r="S7" i="7"/>
  <c r="S7" i="6"/>
  <c r="G27" i="11"/>
  <c r="G27" i="10"/>
  <c r="G6" i="6"/>
  <c r="G6" i="7"/>
  <c r="X26" i="11"/>
  <c r="X26" i="10"/>
  <c r="W4" i="6"/>
  <c r="W4" i="7"/>
  <c r="B24" i="11"/>
  <c r="B24" i="10"/>
  <c r="V21" i="6"/>
  <c r="V21" i="7"/>
  <c r="M22" i="7"/>
  <c r="M22" i="6"/>
  <c r="O5" i="7"/>
  <c r="O5" i="6"/>
  <c r="P25" i="11"/>
  <c r="P25" i="10"/>
  <c r="N7" i="6"/>
  <c r="N7" i="7"/>
  <c r="AA8" i="11"/>
  <c r="AA8" i="10"/>
  <c r="AA5" i="6"/>
  <c r="AA5" i="7"/>
  <c r="Q52" i="6"/>
  <c r="Q52" i="7"/>
  <c r="X6" i="6"/>
  <c r="X6" i="7"/>
  <c r="B8" i="11"/>
  <c r="B8" i="10"/>
  <c r="F22" i="6"/>
  <c r="F22" i="7"/>
  <c r="P52" i="6"/>
  <c r="P52" i="7"/>
  <c r="P5" i="6"/>
  <c r="P5" i="7"/>
  <c r="Z52" i="11"/>
  <c r="Z52" i="10"/>
  <c r="T6" i="6"/>
  <c r="T6" i="7"/>
  <c r="I24" i="7"/>
  <c r="I24" i="6"/>
  <c r="Y52" i="11"/>
  <c r="Y52" i="10"/>
  <c r="L3" i="7"/>
  <c r="L3" i="6"/>
  <c r="W7" i="11"/>
  <c r="W7" i="10"/>
  <c r="M23" i="6"/>
  <c r="M23" i="7"/>
  <c r="T6" i="11"/>
  <c r="T6" i="10"/>
  <c r="B26" i="6"/>
  <c r="B26" i="7"/>
  <c r="AA4" i="11"/>
  <c r="AA4" i="10"/>
  <c r="C8" i="11"/>
  <c r="C8" i="10"/>
  <c r="G24" i="6"/>
  <c r="G24" i="7"/>
  <c r="Z22" i="6"/>
  <c r="Z22" i="7"/>
  <c r="J5" i="6"/>
  <c r="J5" i="7"/>
  <c r="K25" i="11"/>
  <c r="K25" i="10"/>
  <c r="O3" i="6"/>
  <c r="O3" i="7"/>
  <c r="D6" i="6"/>
  <c r="D6" i="7"/>
  <c r="G8" i="6"/>
  <c r="G8" i="7"/>
  <c r="D5" i="11"/>
  <c r="D5" i="10"/>
  <c r="M52" i="6"/>
  <c r="M52" i="7"/>
  <c r="AA3" i="7"/>
  <c r="AA3" i="6"/>
  <c r="E7" i="6"/>
  <c r="E7" i="7"/>
  <c r="J27" i="11"/>
  <c r="J27" i="10"/>
  <c r="M6" i="7"/>
  <c r="M6" i="6"/>
  <c r="J26" i="11"/>
  <c r="J26" i="10"/>
  <c r="Q4" i="7"/>
  <c r="Q4" i="6"/>
  <c r="H24" i="11"/>
  <c r="H24" i="10"/>
  <c r="J21" i="6"/>
  <c r="J21" i="7"/>
  <c r="S22" i="11"/>
  <c r="S22" i="10"/>
  <c r="X5" i="11"/>
  <c r="X5" i="10"/>
  <c r="M52" i="11"/>
  <c r="M52" i="10"/>
  <c r="Z23" i="11"/>
  <c r="Z23" i="10"/>
  <c r="Y26" i="11"/>
  <c r="Y26" i="10"/>
  <c r="R21" i="7"/>
  <c r="R21" i="6"/>
  <c r="U25" i="11"/>
  <c r="U25" i="10"/>
  <c r="V3" i="6"/>
  <c r="V3" i="7"/>
  <c r="V7" i="6"/>
  <c r="V7" i="7"/>
  <c r="X23" i="6"/>
  <c r="X23" i="7"/>
  <c r="Z27" i="6"/>
  <c r="Z27" i="7"/>
  <c r="I6" i="11"/>
  <c r="I6" i="10"/>
  <c r="D4" i="11"/>
  <c r="D4" i="10"/>
  <c r="H8" i="11"/>
  <c r="H8" i="10"/>
  <c r="AA24" i="6"/>
  <c r="AA24" i="7"/>
  <c r="F21" i="11"/>
  <c r="F21" i="10"/>
  <c r="Y5" i="11"/>
  <c r="Y5" i="10"/>
  <c r="J25" i="7"/>
  <c r="J25" i="6"/>
  <c r="N4" i="6"/>
  <c r="N4" i="7"/>
  <c r="Q6" i="6"/>
  <c r="Q6" i="7"/>
  <c r="I4" i="7"/>
  <c r="I4" i="6"/>
  <c r="D5" i="6"/>
  <c r="D5" i="7"/>
  <c r="R25" i="11"/>
  <c r="R25" i="10"/>
  <c r="G4" i="6"/>
  <c r="G4" i="7"/>
  <c r="R22" i="6"/>
  <c r="R22" i="7"/>
  <c r="E52" i="11"/>
  <c r="E52" i="10"/>
  <c r="Z6" i="6"/>
  <c r="Z6" i="7"/>
  <c r="M8" i="6"/>
  <c r="M8" i="7"/>
  <c r="S5" i="6"/>
  <c r="S5" i="7"/>
  <c r="E4" i="11"/>
  <c r="E4" i="10"/>
  <c r="S3" i="11"/>
  <c r="S3" i="10"/>
  <c r="R6" i="11"/>
  <c r="R6" i="10"/>
  <c r="C8" i="6"/>
  <c r="C8" i="7"/>
  <c r="Q5" i="6"/>
  <c r="Q5" i="7"/>
  <c r="F26" i="7"/>
  <c r="F26" i="6"/>
  <c r="C52" i="6"/>
  <c r="C52" i="7"/>
  <c r="O27" i="7"/>
  <c r="O27" i="6"/>
  <c r="V4" i="6"/>
  <c r="V4" i="7"/>
  <c r="V21" i="11"/>
  <c r="V21" i="10"/>
  <c r="T5" i="11"/>
  <c r="T5" i="10"/>
  <c r="C27" i="6"/>
  <c r="C27" i="7"/>
  <c r="B8" i="6"/>
  <c r="B8" i="7"/>
  <c r="Q5" i="11"/>
  <c r="Q5" i="10"/>
  <c r="D27" i="11"/>
  <c r="D27" i="10"/>
  <c r="K3" i="11"/>
  <c r="K3" i="10"/>
  <c r="R26" i="11"/>
  <c r="R26" i="10"/>
  <c r="Z21" i="6"/>
  <c r="Z21" i="7"/>
  <c r="V25" i="7"/>
  <c r="V25" i="6"/>
  <c r="N25" i="11"/>
  <c r="N25" i="10"/>
  <c r="C52" i="11"/>
  <c r="C52" i="10"/>
  <c r="F3" i="11"/>
  <c r="F3" i="10"/>
  <c r="F23" i="11"/>
  <c r="F23" i="10"/>
  <c r="F27" i="6"/>
  <c r="F27" i="7"/>
  <c r="T26" i="6"/>
  <c r="T26" i="7"/>
  <c r="S8" i="11"/>
  <c r="S8" i="10"/>
  <c r="P21" i="6"/>
  <c r="P21" i="7"/>
  <c r="S5" i="11"/>
  <c r="S5" i="10"/>
  <c r="T25" i="11"/>
  <c r="T25" i="10"/>
  <c r="Q7" i="6"/>
  <c r="Q7" i="7"/>
  <c r="Q26" i="11"/>
  <c r="Q26" i="10"/>
  <c r="B21" i="6"/>
  <c r="B21" i="7"/>
  <c r="G52" i="11"/>
  <c r="G52" i="10"/>
  <c r="X3" i="6"/>
  <c r="X3" i="7"/>
  <c r="D7" i="11"/>
  <c r="D7" i="10"/>
  <c r="AA23" i="6"/>
  <c r="AA23" i="7"/>
  <c r="C6" i="11"/>
  <c r="C6" i="10"/>
  <c r="N26" i="6"/>
  <c r="N26" i="7"/>
  <c r="Z4" i="11"/>
  <c r="Z4" i="10"/>
  <c r="I8" i="11"/>
  <c r="I8" i="10"/>
  <c r="M24" i="7"/>
  <c r="M24" i="6"/>
  <c r="AA22" i="6"/>
  <c r="AA22" i="7"/>
  <c r="O5" i="11"/>
  <c r="O5" i="10"/>
  <c r="Q25" i="11"/>
  <c r="Q25" i="10"/>
  <c r="B7" i="6"/>
  <c r="B7" i="7"/>
  <c r="U6" i="7"/>
  <c r="U6" i="6"/>
  <c r="T24" i="11"/>
  <c r="T24" i="10"/>
  <c r="W5" i="11"/>
  <c r="W5" i="10"/>
  <c r="H52" i="6"/>
  <c r="H52" i="7"/>
  <c r="Q3" i="6"/>
  <c r="Q3" i="7"/>
  <c r="X23" i="11"/>
  <c r="X23" i="10"/>
  <c r="Q27" i="11"/>
  <c r="Q27" i="10"/>
  <c r="I6" i="6"/>
  <c r="I6" i="7"/>
  <c r="AA26" i="11"/>
  <c r="AA26" i="10"/>
  <c r="L8" i="6"/>
  <c r="L8" i="7"/>
  <c r="V24" i="11"/>
  <c r="V24" i="10"/>
  <c r="E21" i="6"/>
  <c r="E21" i="7"/>
  <c r="I22" i="11"/>
  <c r="I22" i="10"/>
  <c r="N5" i="11"/>
  <c r="N5" i="10"/>
  <c r="J23" i="11"/>
  <c r="J23" i="10"/>
  <c r="U4" i="11"/>
  <c r="U4" i="10"/>
  <c r="X22" i="11"/>
  <c r="X22" i="10"/>
  <c r="O52" i="6"/>
  <c r="O52" i="7"/>
  <c r="M3" i="6"/>
  <c r="M3" i="7"/>
  <c r="D23" i="11"/>
  <c r="D23" i="10"/>
  <c r="P27" i="11"/>
  <c r="P27" i="10"/>
  <c r="R6" i="6"/>
  <c r="R6" i="7"/>
  <c r="W26" i="11"/>
  <c r="W26" i="10"/>
  <c r="H8" i="6"/>
  <c r="H8" i="7"/>
  <c r="C24" i="11"/>
  <c r="C24" i="10"/>
  <c r="Y21" i="11"/>
  <c r="Y21" i="10"/>
  <c r="V22" i="11"/>
  <c r="V22" i="10"/>
  <c r="B5" i="11"/>
  <c r="B5" i="10"/>
  <c r="W52" i="11"/>
  <c r="W52" i="10"/>
  <c r="F23" i="6"/>
  <c r="F23" i="7"/>
  <c r="F4" i="6"/>
  <c r="F4" i="7"/>
  <c r="S21" i="11"/>
  <c r="S21" i="10"/>
  <c r="Z52" i="6"/>
  <c r="Z52" i="7"/>
  <c r="H3" i="6"/>
  <c r="H3" i="7"/>
  <c r="U7" i="11"/>
  <c r="U7" i="10"/>
  <c r="S23" i="7"/>
  <c r="S23" i="6"/>
  <c r="D6" i="11"/>
  <c r="D6" i="10"/>
  <c r="Y26" i="7"/>
  <c r="Y26" i="6"/>
  <c r="J4" i="11"/>
  <c r="J4" i="10"/>
  <c r="AA8" i="6"/>
  <c r="AA8" i="7"/>
  <c r="E24" i="7"/>
  <c r="E24" i="6"/>
  <c r="K22" i="6"/>
  <c r="K22" i="7"/>
  <c r="V5" i="6"/>
  <c r="V5" i="7"/>
  <c r="I25" i="11"/>
  <c r="I25" i="10"/>
  <c r="L7" i="11"/>
  <c r="L7" i="10"/>
  <c r="L6" i="6"/>
  <c r="L6" i="7"/>
  <c r="G24" i="11"/>
  <c r="G24" i="10"/>
  <c r="N5" i="6"/>
  <c r="N5" i="7"/>
  <c r="T52" i="11"/>
  <c r="T52" i="10"/>
  <c r="I3" i="6"/>
  <c r="I3" i="7"/>
  <c r="W23" i="11"/>
  <c r="W23" i="10"/>
  <c r="X27" i="11"/>
  <c r="X27" i="10"/>
  <c r="V6" i="6"/>
  <c r="V6" i="7"/>
  <c r="S26" i="11"/>
  <c r="S26" i="10"/>
  <c r="D8" i="6"/>
  <c r="D8" i="7"/>
  <c r="F24" i="11"/>
  <c r="F24" i="10"/>
  <c r="U21" i="11"/>
  <c r="U21" i="10"/>
  <c r="Z22" i="11"/>
  <c r="Z22" i="10"/>
  <c r="F5" i="11"/>
  <c r="F5" i="10"/>
  <c r="J8" i="11"/>
  <c r="J8" i="10"/>
  <c r="D52" i="6"/>
  <c r="D52" i="7"/>
  <c r="G7" i="6"/>
  <c r="G7" i="7"/>
  <c r="X24" i="11"/>
  <c r="X24" i="10"/>
  <c r="E52" i="6"/>
  <c r="E52" i="7"/>
  <c r="R4" i="7"/>
  <c r="R4" i="6"/>
  <c r="E25" i="11"/>
  <c r="E25" i="10"/>
  <c r="K52" i="7"/>
  <c r="K52" i="6"/>
  <c r="B4" i="7"/>
  <c r="B4" i="6"/>
  <c r="F7" i="11"/>
  <c r="F7" i="10"/>
  <c r="F26" i="11"/>
  <c r="F26" i="10"/>
  <c r="D21" i="11"/>
  <c r="D21" i="10"/>
  <c r="L52" i="6"/>
  <c r="L52" i="7"/>
  <c r="M3" i="11"/>
  <c r="M3" i="10"/>
  <c r="O7" i="6"/>
  <c r="O7" i="7"/>
  <c r="N27" i="11"/>
  <c r="N27" i="10"/>
  <c r="F6" i="11"/>
  <c r="F6" i="10"/>
  <c r="T26" i="11"/>
  <c r="T26" i="10"/>
  <c r="S4" i="6"/>
  <c r="S4" i="7"/>
  <c r="P24" i="11"/>
  <c r="P24" i="10"/>
  <c r="C21" i="7"/>
  <c r="C21" i="6"/>
  <c r="U22" i="11"/>
  <c r="U22" i="10"/>
  <c r="Z5" i="11"/>
  <c r="Z5" i="10"/>
  <c r="D25" i="11"/>
  <c r="D25" i="10"/>
  <c r="Y7" i="11"/>
  <c r="Y7" i="10"/>
  <c r="H26" i="6"/>
  <c r="H26" i="7"/>
  <c r="Y24" i="7"/>
  <c r="Y24" i="6"/>
  <c r="M25" i="11"/>
  <c r="M25" i="10"/>
  <c r="F52" i="11"/>
  <c r="F52" i="10"/>
  <c r="X7" i="6"/>
  <c r="X7" i="7"/>
  <c r="R23" i="11"/>
  <c r="R23" i="10"/>
  <c r="Y27" i="6"/>
  <c r="Y27" i="7"/>
  <c r="AA6" i="11"/>
  <c r="AA6" i="10"/>
  <c r="C26" i="11"/>
  <c r="C26" i="10"/>
  <c r="R8" i="11"/>
  <c r="R8" i="10"/>
  <c r="Q24" i="11"/>
  <c r="Q24" i="10"/>
  <c r="O21" i="11"/>
  <c r="O21" i="10"/>
  <c r="L22" i="11"/>
  <c r="L22" i="10"/>
  <c r="H25" i="6"/>
  <c r="H25" i="7"/>
  <c r="J52" i="11"/>
  <c r="J52" i="10"/>
  <c r="O23" i="7"/>
  <c r="O23" i="6"/>
  <c r="M4" i="11"/>
  <c r="M4" i="10"/>
  <c r="D22" i="7"/>
  <c r="D22" i="6"/>
  <c r="X52" i="6"/>
  <c r="X52" i="7"/>
  <c r="D3" i="6"/>
  <c r="D3" i="7"/>
  <c r="S7" i="11"/>
  <c r="S7" i="10"/>
  <c r="Q23" i="6"/>
  <c r="Q23" i="7"/>
  <c r="X6" i="11"/>
  <c r="X6" i="10"/>
  <c r="J26" i="6"/>
  <c r="J26" i="7"/>
  <c r="W4" i="11"/>
  <c r="W4" i="10"/>
  <c r="Y8" i="7"/>
  <c r="Y8" i="6"/>
  <c r="X21" i="7"/>
  <c r="X21" i="6"/>
  <c r="G22" i="6"/>
  <c r="G22" i="7"/>
  <c r="R5" i="6"/>
  <c r="R5" i="7"/>
  <c r="O25" i="11"/>
  <c r="O25" i="10"/>
  <c r="W24" i="11"/>
  <c r="W24" i="10"/>
  <c r="W26" i="6"/>
  <c r="W26" i="7"/>
  <c r="J52" i="7"/>
  <c r="J52" i="6"/>
  <c r="Q8" i="11"/>
  <c r="Q8" i="10"/>
  <c r="S6" i="6"/>
  <c r="S6" i="7"/>
  <c r="W8" i="11"/>
  <c r="W8" i="10"/>
  <c r="X2" i="11"/>
  <c r="DN55" i="2"/>
  <c r="DO55" i="2"/>
  <c r="DK54" i="2"/>
  <c r="DJ55" i="2"/>
  <c r="DK55" i="2"/>
  <c r="DB27" i="2"/>
  <c r="DB23" i="2"/>
  <c r="DB9" i="2"/>
  <c r="DB24" i="2"/>
  <c r="DB26" i="2"/>
  <c r="DO58" i="2"/>
  <c r="DN58" i="2"/>
  <c r="DB4" i="2"/>
  <c r="DN54" i="2"/>
  <c r="DO54" i="2"/>
  <c r="DB28" i="2"/>
  <c r="DB22" i="2"/>
  <c r="DB7" i="2"/>
  <c r="DK58" i="2"/>
  <c r="DJ58" i="2"/>
  <c r="DB25" i="2"/>
  <c r="DB8" i="2"/>
  <c r="DB5" i="2"/>
  <c r="AA2" i="11"/>
  <c r="AA2" i="10"/>
  <c r="AA2" i="7"/>
  <c r="AA2" i="6"/>
  <c r="Y2" i="6"/>
  <c r="X2" i="7"/>
  <c r="Z2" i="11"/>
  <c r="Z2" i="10"/>
  <c r="U2" i="11"/>
  <c r="W2" i="7"/>
  <c r="T2" i="11"/>
  <c r="T2" i="6"/>
  <c r="U2" i="6"/>
  <c r="V2" i="11"/>
  <c r="V2" i="10"/>
  <c r="V2" i="7"/>
  <c r="V2" i="6"/>
  <c r="DB3" i="2"/>
  <c r="Q2" i="6"/>
  <c r="D2" i="11"/>
  <c r="D2" i="10"/>
  <c r="R2" i="6"/>
  <c r="R2" i="7"/>
  <c r="K2" i="11"/>
  <c r="K2" i="10"/>
  <c r="H2" i="11"/>
  <c r="H2" i="10"/>
  <c r="P2" i="11"/>
  <c r="P2" i="10"/>
  <c r="M2" i="11"/>
  <c r="M2" i="10"/>
  <c r="Q2" i="11"/>
  <c r="Q2" i="10"/>
  <c r="E2" i="11"/>
  <c r="E2" i="10"/>
  <c r="C2" i="11"/>
  <c r="C2" i="10"/>
  <c r="L2" i="11"/>
  <c r="L2" i="10"/>
  <c r="G2" i="11"/>
  <c r="G2" i="10"/>
  <c r="N2" i="11"/>
  <c r="N2" i="10"/>
  <c r="S2" i="6"/>
  <c r="S2" i="7"/>
  <c r="O2" i="11"/>
  <c r="O2" i="10"/>
  <c r="F2" i="11"/>
  <c r="F2" i="10"/>
  <c r="I2" i="11"/>
  <c r="I2" i="10"/>
  <c r="B2" i="11"/>
  <c r="B2" i="10"/>
  <c r="J2" i="11"/>
  <c r="J2" i="10"/>
  <c r="S2" i="11"/>
  <c r="S2" i="10"/>
  <c r="R2" i="11"/>
  <c r="R2" i="10"/>
  <c r="P2" i="7"/>
  <c r="DB53" i="2"/>
  <c r="L2" i="7"/>
  <c r="L2" i="6"/>
  <c r="O2" i="7"/>
  <c r="O2" i="6"/>
  <c r="C2" i="7"/>
  <c r="C2" i="6"/>
  <c r="H2" i="7"/>
  <c r="H2" i="6"/>
  <c r="I2" i="7"/>
  <c r="I2" i="6"/>
  <c r="N2" i="6"/>
  <c r="N2" i="7"/>
  <c r="G2" i="7"/>
  <c r="G2" i="6"/>
  <c r="E2" i="7"/>
  <c r="E2" i="6"/>
  <c r="F2" i="7"/>
  <c r="F2" i="6"/>
  <c r="K2" i="6"/>
  <c r="K2" i="7"/>
  <c r="J2" i="7"/>
  <c r="J2" i="6"/>
  <c r="D2" i="7"/>
  <c r="D2" i="6"/>
  <c r="B2" i="7"/>
  <c r="B2" i="6"/>
  <c r="M2" i="7"/>
  <c r="M2" i="6"/>
  <c r="DL28" i="2" l="1"/>
  <c r="DM25" i="2"/>
  <c r="DN25" i="2" s="1"/>
  <c r="DI24" i="2"/>
  <c r="DJ24" i="2" s="1"/>
  <c r="DM28" i="2"/>
  <c r="DN28" i="2" s="1"/>
  <c r="DL22" i="2"/>
  <c r="DL25" i="2"/>
  <c r="DI23" i="2"/>
  <c r="DK23" i="2" s="1"/>
  <c r="DM22" i="2"/>
  <c r="DN22" i="2" s="1"/>
  <c r="DM26" i="2"/>
  <c r="DN26" i="2" s="1"/>
  <c r="DM8" i="2"/>
  <c r="DO8" i="2" s="1"/>
  <c r="DI6" i="2"/>
  <c r="DJ6" i="2" s="1"/>
  <c r="DM6" i="2"/>
  <c r="DN6" i="2" s="1"/>
  <c r="DL23" i="2"/>
  <c r="DI26" i="2"/>
  <c r="DJ26" i="2" s="1"/>
  <c r="DL24" i="2"/>
  <c r="DI25" i="2"/>
  <c r="DJ25" i="2" s="1"/>
  <c r="DM23" i="2"/>
  <c r="DN23" i="2" s="1"/>
  <c r="DL6" i="2"/>
  <c r="DL7" i="2"/>
  <c r="DL26" i="2"/>
  <c r="DM24" i="2"/>
  <c r="DN24" i="2" s="1"/>
  <c r="DL8" i="2"/>
  <c r="DM7" i="2"/>
  <c r="DN7" i="2" s="1"/>
  <c r="DI5" i="2"/>
  <c r="DI8" i="2"/>
  <c r="DI7" i="2"/>
  <c r="DI27" i="2"/>
  <c r="DI22" i="2"/>
  <c r="DI53" i="2"/>
  <c r="DI9" i="2"/>
  <c r="DI4" i="2"/>
  <c r="DM27" i="2"/>
  <c r="DM5" i="2"/>
  <c r="DL53" i="2"/>
  <c r="DM9" i="2"/>
  <c r="DM4" i="2"/>
  <c r="DL27" i="2"/>
  <c r="DI28" i="2"/>
  <c r="DL9" i="2"/>
  <c r="DL4" i="2"/>
  <c r="DL5" i="2"/>
  <c r="DM53" i="2"/>
  <c r="DI3" i="2"/>
  <c r="DK3" i="2" s="1"/>
  <c r="DM3" i="2"/>
  <c r="DO3" i="2" s="1"/>
  <c r="DL3" i="2"/>
  <c r="DK24" i="2" l="1"/>
  <c r="DN8" i="2"/>
  <c r="DO25" i="2"/>
  <c r="DO22" i="2"/>
  <c r="DK6" i="2"/>
  <c r="DO28" i="2"/>
  <c r="DJ23" i="2"/>
  <c r="DO7" i="2"/>
  <c r="DO6" i="2"/>
  <c r="DO24" i="2"/>
  <c r="DO26" i="2"/>
  <c r="DK25" i="2"/>
  <c r="DK26" i="2"/>
  <c r="DO23" i="2"/>
  <c r="DK22" i="2"/>
  <c r="DJ22" i="2"/>
  <c r="DN53" i="2"/>
  <c r="DO53" i="2"/>
  <c r="DJ28" i="2"/>
  <c r="DK28" i="2"/>
  <c r="DJ9" i="2"/>
  <c r="DK9" i="2"/>
  <c r="DJ8" i="2"/>
  <c r="DK8" i="2"/>
  <c r="DN4" i="2"/>
  <c r="DO4" i="2"/>
  <c r="DJ53" i="2"/>
  <c r="DK53" i="2"/>
  <c r="DK5" i="2"/>
  <c r="DJ5" i="2"/>
  <c r="DN9" i="2"/>
  <c r="DO9" i="2"/>
  <c r="DN5" i="2"/>
  <c r="DO5" i="2"/>
  <c r="DN27" i="2"/>
  <c r="DO27" i="2"/>
  <c r="DJ7" i="2"/>
  <c r="DK7" i="2"/>
  <c r="DK4" i="2"/>
  <c r="DJ4" i="2"/>
  <c r="DJ27" i="2"/>
  <c r="DK27" i="2"/>
  <c r="DN3" i="2"/>
  <c r="DJ3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Vasco Vieira</author>
    <author>tc={540091BC-7ED0-49D1-8A6D-6838892AE2DF}</author>
    <author>tc={F9DF6004-816F-4CE9-B2E4-FEDCE37EBBB6}</author>
  </authors>
  <commentList>
    <comment ref="BX1" authorId="0" shapeId="0" xr:uid="{E3667B4F-56ED-4605-9BA6-BB932D242364}">
      <text>
        <r>
          <rPr>
            <b/>
            <sz val="9"/>
            <color indexed="81"/>
            <rFont val="Tahoma"/>
            <charset val="1"/>
          </rPr>
          <t>Vasco Vieira:</t>
        </r>
        <r>
          <rPr>
            <sz val="9"/>
            <color indexed="81"/>
            <rFont val="Tahoma"/>
            <charset val="1"/>
          </rPr>
          <t xml:space="preserve">
batata
</t>
        </r>
      </text>
    </comment>
    <comment ref="H2" authorId="0" shapeId="0" xr:uid="{041E9F94-3DBF-480F-9E99-33AC4E0A2D1F}">
      <text>
        <r>
          <rPr>
            <b/>
            <sz val="9"/>
            <color indexed="81"/>
            <rFont val="Tahoma"/>
            <family val="2"/>
          </rPr>
          <t>Vasco Vieira:</t>
        </r>
        <r>
          <rPr>
            <sz val="9"/>
            <color indexed="81"/>
            <rFont val="Tahoma"/>
            <family val="2"/>
          </rPr>
          <t xml:space="preserve">
outros 3</t>
        </r>
      </text>
    </comment>
    <comment ref="AF2" authorId="0" shapeId="0" xr:uid="{D84ED852-F121-48AE-9FE0-5FBBF107DBB5}">
      <text>
        <r>
          <rPr>
            <b/>
            <sz val="9"/>
            <color indexed="81"/>
            <rFont val="Tahoma"/>
            <family val="2"/>
          </rPr>
          <t>Vasco Vieira:</t>
        </r>
        <r>
          <rPr>
            <sz val="9"/>
            <color indexed="81"/>
            <rFont val="Tahoma"/>
            <family val="2"/>
          </rPr>
          <t xml:space="preserve">
outros 4</t>
        </r>
      </text>
    </comment>
    <comment ref="AH2" authorId="0" shapeId="0" xr:uid="{93DF42A3-C6A2-47C5-B779-5CEED1480A0A}">
      <text>
        <r>
          <rPr>
            <b/>
            <sz val="9"/>
            <color indexed="81"/>
            <rFont val="Tahoma"/>
            <charset val="1"/>
          </rPr>
          <t>Vasco Vieira:</t>
        </r>
        <r>
          <rPr>
            <sz val="9"/>
            <color indexed="81"/>
            <rFont val="Tahoma"/>
            <charset val="1"/>
          </rPr>
          <t xml:space="preserve">
outros 5
</t>
        </r>
      </text>
    </comment>
    <comment ref="AL2" authorId="0" shapeId="0" xr:uid="{0B79012A-2E10-4C97-A892-EB137F065674}">
      <text>
        <r>
          <rPr>
            <b/>
            <sz val="9"/>
            <color indexed="81"/>
            <rFont val="Tahoma"/>
            <charset val="1"/>
          </rPr>
          <t>Vasco Vieira:</t>
        </r>
        <r>
          <rPr>
            <sz val="9"/>
            <color indexed="81"/>
            <rFont val="Tahoma"/>
            <charset val="1"/>
          </rPr>
          <t xml:space="preserve">
Galactites</t>
        </r>
      </text>
    </comment>
    <comment ref="AP2" authorId="0" shapeId="0" xr:uid="{7EA2AA01-0BA7-44AA-8F50-F5CB2F4F3006}">
      <text>
        <r>
          <rPr>
            <b/>
            <sz val="9"/>
            <color indexed="81"/>
            <rFont val="Tahoma"/>
            <charset val="1"/>
          </rPr>
          <t>Vasco Vieira:</t>
        </r>
        <r>
          <rPr>
            <sz val="9"/>
            <color indexed="81"/>
            <rFont val="Tahoma"/>
            <charset val="1"/>
          </rPr>
          <t xml:space="preserve">
outros 7</t>
        </r>
      </text>
    </comment>
    <comment ref="BB2" authorId="0" shapeId="0" xr:uid="{4BD013DD-9326-4B5D-A019-06BA612986E4}">
      <text>
        <r>
          <rPr>
            <b/>
            <sz val="9"/>
            <color indexed="81"/>
            <rFont val="Tahoma"/>
            <charset val="1"/>
          </rPr>
          <t>Vasco Vieira:</t>
        </r>
        <r>
          <rPr>
            <sz val="9"/>
            <color indexed="81"/>
            <rFont val="Tahoma"/>
            <charset val="1"/>
          </rPr>
          <t xml:space="preserve">
Erva 2</t>
        </r>
      </text>
    </comment>
    <comment ref="CY2" authorId="0" shapeId="0" xr:uid="{B46CDA39-A947-49F3-B3CA-B6E8E817C5F6}">
      <text>
        <r>
          <rPr>
            <b/>
            <sz val="9"/>
            <color indexed="81"/>
            <rFont val="Tahoma"/>
            <family val="2"/>
          </rPr>
          <t>Vasco Vieira:</t>
        </r>
        <r>
          <rPr>
            <sz val="9"/>
            <color indexed="81"/>
            <rFont val="Tahoma"/>
            <family val="2"/>
          </rPr>
          <t xml:space="preserve">
outros 3</t>
        </r>
      </text>
    </comment>
    <comment ref="DW2" authorId="0" shapeId="0" xr:uid="{2755182F-4B82-4E23-8385-4D0AAC54D0EC}">
      <text>
        <r>
          <rPr>
            <b/>
            <sz val="9"/>
            <color indexed="81"/>
            <rFont val="Tahoma"/>
            <family val="2"/>
          </rPr>
          <t>Vasco Vieira:</t>
        </r>
        <r>
          <rPr>
            <sz val="9"/>
            <color indexed="81"/>
            <rFont val="Tahoma"/>
            <family val="2"/>
          </rPr>
          <t xml:space="preserve">
outros 4</t>
        </r>
      </text>
    </comment>
    <comment ref="DY2" authorId="0" shapeId="0" xr:uid="{CDF99C88-EA16-44B9-B1C3-EABD4D813554}">
      <text>
        <r>
          <rPr>
            <b/>
            <sz val="9"/>
            <color indexed="81"/>
            <rFont val="Tahoma"/>
            <charset val="1"/>
          </rPr>
          <t>Vasco Vieira:</t>
        </r>
        <r>
          <rPr>
            <sz val="9"/>
            <color indexed="81"/>
            <rFont val="Tahoma"/>
            <charset val="1"/>
          </rPr>
          <t xml:space="preserve">
outros 5
</t>
        </r>
      </text>
    </comment>
    <comment ref="EC2" authorId="0" shapeId="0" xr:uid="{D2F96D2C-98AD-4DB8-B698-41C6D791642D}">
      <text>
        <r>
          <rPr>
            <b/>
            <sz val="9"/>
            <color indexed="81"/>
            <rFont val="Tahoma"/>
            <charset val="1"/>
          </rPr>
          <t>Vasco Vieira:</t>
        </r>
        <r>
          <rPr>
            <sz val="9"/>
            <color indexed="81"/>
            <rFont val="Tahoma"/>
            <charset val="1"/>
          </rPr>
          <t xml:space="preserve">
Galactites</t>
        </r>
      </text>
    </comment>
    <comment ref="EG2" authorId="0" shapeId="0" xr:uid="{D61B23B4-8C35-4B05-AA1E-34155687714D}">
      <text>
        <r>
          <rPr>
            <b/>
            <sz val="9"/>
            <color indexed="81"/>
            <rFont val="Tahoma"/>
            <charset val="1"/>
          </rPr>
          <t>Vasco Vieira:</t>
        </r>
        <r>
          <rPr>
            <sz val="9"/>
            <color indexed="81"/>
            <rFont val="Tahoma"/>
            <charset val="1"/>
          </rPr>
          <t xml:space="preserve">
outros 7</t>
        </r>
      </text>
    </comment>
    <comment ref="ES2" authorId="0" shapeId="0" xr:uid="{A23E40C9-A16E-4631-9019-E1F0B9CCEA59}">
      <text>
        <r>
          <rPr>
            <b/>
            <sz val="9"/>
            <color indexed="81"/>
            <rFont val="Tahoma"/>
            <charset val="1"/>
          </rPr>
          <t>Vasco Vieira:</t>
        </r>
        <r>
          <rPr>
            <sz val="9"/>
            <color indexed="81"/>
            <rFont val="Tahoma"/>
            <charset val="1"/>
          </rPr>
          <t xml:space="preserve">
Erva 2</t>
        </r>
      </text>
    </comment>
    <comment ref="B19" authorId="1" shapeId="0" xr:uid="{540091BC-7ED0-49D1-8A6D-6838892AE2DF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FD1</t>
        </r>
      </text>
    </comment>
    <comment ref="B20" authorId="2" shapeId="0" xr:uid="{F9DF6004-816F-4CE9-B2E4-FEDCE37EBBB6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FD2</t>
        </r>
      </text>
    </comment>
    <comment ref="Z113" authorId="0" shapeId="0" xr:uid="{3E43EBF6-9B93-42E9-9451-7EF0BE43A201}">
      <text>
        <r>
          <rPr>
            <b/>
            <sz val="9"/>
            <color indexed="81"/>
            <rFont val="Tahoma"/>
            <family val="2"/>
          </rPr>
          <t>Vasco Vieira:</t>
        </r>
        <r>
          <rPr>
            <sz val="9"/>
            <color indexed="81"/>
            <rFont val="Tahoma"/>
            <family val="2"/>
          </rPr>
          <t xml:space="preserve">
Holcus</t>
        </r>
      </text>
    </comment>
    <comment ref="BT113" authorId="0" shapeId="0" xr:uid="{4F6441ED-C952-4777-8E3A-FAF6B6E99C3B}">
      <text>
        <r>
          <rPr>
            <b/>
            <sz val="9"/>
            <color indexed="81"/>
            <rFont val="Tahoma"/>
            <family val="2"/>
          </rPr>
          <t>Vasco Vieira:</t>
        </r>
        <r>
          <rPr>
            <sz val="9"/>
            <color indexed="81"/>
            <rFont val="Tahoma"/>
            <family val="2"/>
          </rPr>
          <t xml:space="preserve">
Forb desconhecido</t>
        </r>
      </text>
    </comment>
    <comment ref="BT114" authorId="0" shapeId="0" xr:uid="{4DBB7F6E-64BE-4E15-98D1-CF1B52CB1DD1}">
      <text>
        <r>
          <rPr>
            <b/>
            <sz val="9"/>
            <color indexed="81"/>
            <rFont val="Tahoma"/>
            <family val="2"/>
          </rPr>
          <t>Vasco Vieira:</t>
        </r>
        <r>
          <rPr>
            <sz val="9"/>
            <color indexed="81"/>
            <rFont val="Tahoma"/>
            <family val="2"/>
          </rPr>
          <t xml:space="preserve">
Forb A + Forb desconhecido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Vasco Vieira</author>
  </authors>
  <commentList>
    <comment ref="H1" authorId="0" shapeId="0" xr:uid="{E6402252-6B95-4F5F-AAF5-12726DE87091}">
      <text>
        <r>
          <rPr>
            <b/>
            <sz val="9"/>
            <color indexed="81"/>
            <rFont val="Tahoma"/>
            <family val="2"/>
          </rPr>
          <t>Vasco Vieira:</t>
        </r>
        <r>
          <rPr>
            <sz val="9"/>
            <color indexed="81"/>
            <rFont val="Tahoma"/>
            <family val="2"/>
          </rPr>
          <t xml:space="preserve">
outros 3</t>
        </r>
      </text>
    </comment>
    <comment ref="AF1" authorId="0" shapeId="0" xr:uid="{C3C466A9-61ED-4890-A22D-521A1D27509D}">
      <text>
        <r>
          <rPr>
            <b/>
            <sz val="9"/>
            <color indexed="81"/>
            <rFont val="Tahoma"/>
            <family val="2"/>
          </rPr>
          <t>Vasco Vieira:</t>
        </r>
        <r>
          <rPr>
            <sz val="9"/>
            <color indexed="81"/>
            <rFont val="Tahoma"/>
            <family val="2"/>
          </rPr>
          <t xml:space="preserve">
outros 4</t>
        </r>
      </text>
    </comment>
    <comment ref="AH1" authorId="0" shapeId="0" xr:uid="{7026D390-4FA4-42CA-AA05-6824FED57F83}">
      <text>
        <r>
          <rPr>
            <b/>
            <sz val="9"/>
            <color indexed="81"/>
            <rFont val="Tahoma"/>
            <charset val="1"/>
          </rPr>
          <t>Vasco Vieira:</t>
        </r>
        <r>
          <rPr>
            <sz val="9"/>
            <color indexed="81"/>
            <rFont val="Tahoma"/>
            <charset val="1"/>
          </rPr>
          <t xml:space="preserve">
outros 5
</t>
        </r>
      </text>
    </comment>
    <comment ref="AL1" authorId="0" shapeId="0" xr:uid="{9EA0D157-A079-4C3E-9BA1-D8ED3EEE183B}">
      <text>
        <r>
          <rPr>
            <b/>
            <sz val="9"/>
            <color indexed="81"/>
            <rFont val="Tahoma"/>
            <charset val="1"/>
          </rPr>
          <t>Vasco Vieira:</t>
        </r>
        <r>
          <rPr>
            <sz val="9"/>
            <color indexed="81"/>
            <rFont val="Tahoma"/>
            <charset val="1"/>
          </rPr>
          <t xml:space="preserve">
Galactites</t>
        </r>
      </text>
    </comment>
    <comment ref="AP1" authorId="0" shapeId="0" xr:uid="{B656565E-7B99-483D-B13B-4AC791F89606}">
      <text>
        <r>
          <rPr>
            <b/>
            <sz val="9"/>
            <color indexed="81"/>
            <rFont val="Tahoma"/>
            <charset val="1"/>
          </rPr>
          <t>Vasco Vieira:</t>
        </r>
        <r>
          <rPr>
            <sz val="9"/>
            <color indexed="81"/>
            <rFont val="Tahoma"/>
            <charset val="1"/>
          </rPr>
          <t xml:space="preserve">
outros 7</t>
        </r>
      </text>
    </comment>
    <comment ref="BB1" authorId="0" shapeId="0" xr:uid="{7A849FAC-7E47-48EE-802D-4AA2DEB4FD26}">
      <text>
        <r>
          <rPr>
            <b/>
            <sz val="9"/>
            <color indexed="81"/>
            <rFont val="Tahoma"/>
            <charset val="1"/>
          </rPr>
          <t>Vasco Vieira:</t>
        </r>
        <r>
          <rPr>
            <sz val="9"/>
            <color indexed="81"/>
            <rFont val="Tahoma"/>
            <charset val="1"/>
          </rPr>
          <t xml:space="preserve">
Erva 2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Vasco Vieira</author>
  </authors>
  <commentList>
    <comment ref="D1" authorId="0" shapeId="0" xr:uid="{98A46F4C-2E41-42AD-9F30-1FFFFD4042A0}">
      <text>
        <r>
          <rPr>
            <b/>
            <sz val="9"/>
            <color indexed="81"/>
            <rFont val="Tahoma"/>
            <family val="2"/>
          </rPr>
          <t>Vasco Vieira:</t>
        </r>
        <r>
          <rPr>
            <sz val="9"/>
            <color indexed="81"/>
            <rFont val="Tahoma"/>
            <family val="2"/>
          </rPr>
          <t xml:space="preserve">
outros 3</t>
        </r>
      </text>
    </comment>
    <comment ref="I1" authorId="0" shapeId="0" xr:uid="{2D44F271-DA98-407D-A61B-1A417A3CC767}">
      <text>
        <r>
          <rPr>
            <b/>
            <sz val="9"/>
            <color indexed="81"/>
            <rFont val="Tahoma"/>
            <family val="2"/>
          </rPr>
          <t>Vasco Vieira:</t>
        </r>
        <r>
          <rPr>
            <sz val="9"/>
            <color indexed="81"/>
            <rFont val="Tahoma"/>
            <family val="2"/>
          </rPr>
          <t xml:space="preserve">
outros</t>
        </r>
      </text>
    </comment>
    <comment ref="J1" authorId="0" shapeId="0" xr:uid="{C5C86A82-C2E1-4D46-85F7-F6AF4A6A63E6}">
      <text>
        <r>
          <rPr>
            <b/>
            <sz val="9"/>
            <color indexed="81"/>
            <rFont val="Tahoma"/>
            <family val="2"/>
          </rPr>
          <t>Vasco Vieira:</t>
        </r>
        <r>
          <rPr>
            <sz val="9"/>
            <color indexed="81"/>
            <rFont val="Tahoma"/>
            <family val="2"/>
          </rPr>
          <t xml:space="preserve">
outros 4</t>
        </r>
      </text>
    </comment>
    <comment ref="K1" authorId="0" shapeId="0" xr:uid="{3CE9AC85-89FD-43A1-BB9A-9250D57176EA}">
      <text>
        <r>
          <rPr>
            <b/>
            <sz val="9"/>
            <color indexed="81"/>
            <rFont val="Tahoma"/>
            <charset val="1"/>
          </rPr>
          <t>Vasco Vieira:</t>
        </r>
        <r>
          <rPr>
            <sz val="9"/>
            <color indexed="81"/>
            <rFont val="Tahoma"/>
            <charset val="1"/>
          </rPr>
          <t xml:space="preserve">
outros 5
</t>
        </r>
      </text>
    </comment>
    <comment ref="O1" authorId="0" shapeId="0" xr:uid="{0DFBD970-0FE8-4857-BD41-C381FCFAD23C}">
      <text>
        <r>
          <rPr>
            <b/>
            <sz val="9"/>
            <color indexed="81"/>
            <rFont val="Tahoma"/>
            <charset val="1"/>
          </rPr>
          <t>Vasco Vieira:</t>
        </r>
        <r>
          <rPr>
            <sz val="9"/>
            <color indexed="81"/>
            <rFont val="Tahoma"/>
            <charset val="1"/>
          </rPr>
          <t xml:space="preserve">
outros 7</t>
        </r>
      </text>
    </comment>
    <comment ref="C26" authorId="0" shapeId="0" xr:uid="{49033F55-84A1-41F6-B49F-FED76F3AE0FF}">
      <text>
        <r>
          <rPr>
            <b/>
            <sz val="9"/>
            <color indexed="81"/>
            <rFont val="Tahoma"/>
            <charset val="1"/>
          </rPr>
          <t>Vasco Vieira:</t>
        </r>
        <r>
          <rPr>
            <sz val="9"/>
            <color indexed="81"/>
            <rFont val="Tahoma"/>
            <charset val="1"/>
          </rPr>
          <t xml:space="preserve">
Hypochaeris or Crepis?</t>
        </r>
      </text>
    </comment>
    <comment ref="E26" authorId="0" shapeId="0" xr:uid="{68BA325E-98CC-4267-AF67-5280979B4A23}">
      <text>
        <r>
          <rPr>
            <b/>
            <sz val="9"/>
            <color indexed="81"/>
            <rFont val="Tahoma"/>
            <family val="2"/>
          </rPr>
          <t>Vasco Vieira:</t>
        </r>
        <r>
          <rPr>
            <sz val="9"/>
            <color indexed="81"/>
            <rFont val="Tahoma"/>
            <family val="2"/>
          </rPr>
          <t xml:space="preserve">
Euphorbia ou Senecia jacoberia?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Vasco Vieira</author>
  </authors>
  <commentList>
    <comment ref="D1" authorId="0" shapeId="0" xr:uid="{FDFAC21E-F5AF-4D4C-ABE6-39FCF9E01D09}">
      <text>
        <r>
          <rPr>
            <b/>
            <sz val="9"/>
            <color indexed="81"/>
            <rFont val="Tahoma"/>
            <family val="2"/>
          </rPr>
          <t>Vasco Vieira:</t>
        </r>
        <r>
          <rPr>
            <sz val="9"/>
            <color indexed="81"/>
            <rFont val="Tahoma"/>
            <family val="2"/>
          </rPr>
          <t xml:space="preserve">
outros 3</t>
        </r>
      </text>
    </comment>
    <comment ref="I1" authorId="0" shapeId="0" xr:uid="{0FE5E7B4-6F16-4FAA-B582-0347005C7346}">
      <text>
        <r>
          <rPr>
            <b/>
            <sz val="9"/>
            <color indexed="81"/>
            <rFont val="Tahoma"/>
            <family val="2"/>
          </rPr>
          <t>Vasco Vieira:</t>
        </r>
        <r>
          <rPr>
            <sz val="9"/>
            <color indexed="81"/>
            <rFont val="Tahoma"/>
            <family val="2"/>
          </rPr>
          <t xml:space="preserve">
outros</t>
        </r>
      </text>
    </comment>
    <comment ref="J1" authorId="0" shapeId="0" xr:uid="{E00B96CF-88E2-4087-9F8C-96DC04B78D71}">
      <text>
        <r>
          <rPr>
            <b/>
            <sz val="9"/>
            <color indexed="81"/>
            <rFont val="Tahoma"/>
            <family val="2"/>
          </rPr>
          <t>Vasco Vieira:</t>
        </r>
        <r>
          <rPr>
            <sz val="9"/>
            <color indexed="81"/>
            <rFont val="Tahoma"/>
            <family val="2"/>
          </rPr>
          <t xml:space="preserve">
outros 4</t>
        </r>
      </text>
    </comment>
    <comment ref="K1" authorId="0" shapeId="0" xr:uid="{7D3F7028-F451-46EF-B740-751F842ECB30}">
      <text>
        <r>
          <rPr>
            <b/>
            <sz val="9"/>
            <color indexed="81"/>
            <rFont val="Tahoma"/>
            <charset val="1"/>
          </rPr>
          <t>Vasco Vieira:</t>
        </r>
        <r>
          <rPr>
            <sz val="9"/>
            <color indexed="81"/>
            <rFont val="Tahoma"/>
            <charset val="1"/>
          </rPr>
          <t xml:space="preserve">
outros 5
</t>
        </r>
      </text>
    </comment>
    <comment ref="O1" authorId="0" shapeId="0" xr:uid="{C6CCA5C1-3551-4AB4-A5D6-2388C6D7D0DE}">
      <text>
        <r>
          <rPr>
            <b/>
            <sz val="9"/>
            <color indexed="81"/>
            <rFont val="Tahoma"/>
            <charset val="1"/>
          </rPr>
          <t>Vasco Vieira:</t>
        </r>
        <r>
          <rPr>
            <sz val="9"/>
            <color indexed="81"/>
            <rFont val="Tahoma"/>
            <charset val="1"/>
          </rPr>
          <t xml:space="preserve">
outros 7</t>
        </r>
      </text>
    </comment>
    <comment ref="C23" authorId="0" shapeId="0" xr:uid="{591AB9E9-23D0-480F-A499-8E660E8D1D51}">
      <text>
        <r>
          <rPr>
            <b/>
            <sz val="9"/>
            <color indexed="81"/>
            <rFont val="Tahoma"/>
            <charset val="1"/>
          </rPr>
          <t>Vasco Vieira:</t>
        </r>
        <r>
          <rPr>
            <sz val="9"/>
            <color indexed="81"/>
            <rFont val="Tahoma"/>
            <charset val="1"/>
          </rPr>
          <t xml:space="preserve">
Hypochaeris or Crepis?</t>
        </r>
      </text>
    </comment>
    <comment ref="E23" authorId="0" shapeId="0" xr:uid="{FB682086-1F7D-4E04-B858-92C93F85D1EB}">
      <text>
        <r>
          <rPr>
            <b/>
            <sz val="9"/>
            <color indexed="81"/>
            <rFont val="Tahoma"/>
            <family val="2"/>
          </rPr>
          <t>Vasco Vieira:</t>
        </r>
        <r>
          <rPr>
            <sz val="9"/>
            <color indexed="81"/>
            <rFont val="Tahoma"/>
            <family val="2"/>
          </rPr>
          <t xml:space="preserve">
Euphorbia ou Senecia jacoberia?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Vasco Vieira</author>
  </authors>
  <commentList>
    <comment ref="D1" authorId="0" shapeId="0" xr:uid="{24B79301-FE14-44A5-8DAE-C24532119874}">
      <text>
        <r>
          <rPr>
            <b/>
            <sz val="9"/>
            <color indexed="81"/>
            <rFont val="Tahoma"/>
            <family val="2"/>
          </rPr>
          <t>Vasco Vieira:</t>
        </r>
        <r>
          <rPr>
            <sz val="9"/>
            <color indexed="81"/>
            <rFont val="Tahoma"/>
            <family val="2"/>
          </rPr>
          <t xml:space="preserve">
outros 3</t>
        </r>
      </text>
    </comment>
    <comment ref="I1" authorId="0" shapeId="0" xr:uid="{6CDEDE02-55F6-4CE0-B199-711EAAC0D369}">
      <text>
        <r>
          <rPr>
            <b/>
            <sz val="9"/>
            <color indexed="81"/>
            <rFont val="Tahoma"/>
            <family val="2"/>
          </rPr>
          <t>Vasco Vieira:</t>
        </r>
        <r>
          <rPr>
            <sz val="9"/>
            <color indexed="81"/>
            <rFont val="Tahoma"/>
            <family val="2"/>
          </rPr>
          <t xml:space="preserve">
outros</t>
        </r>
      </text>
    </comment>
    <comment ref="J1" authorId="0" shapeId="0" xr:uid="{A29F8360-8A3D-4AAC-93C8-CD1F7CD9EB22}">
      <text>
        <r>
          <rPr>
            <b/>
            <sz val="9"/>
            <color indexed="81"/>
            <rFont val="Tahoma"/>
            <family val="2"/>
          </rPr>
          <t>Vasco Vieira:</t>
        </r>
        <r>
          <rPr>
            <sz val="9"/>
            <color indexed="81"/>
            <rFont val="Tahoma"/>
            <family val="2"/>
          </rPr>
          <t xml:space="preserve">
outros 4</t>
        </r>
      </text>
    </comment>
    <comment ref="K1" authorId="0" shapeId="0" xr:uid="{D313786B-9DA3-4E6B-BD72-D7F9BE7E8CD8}">
      <text>
        <r>
          <rPr>
            <b/>
            <sz val="9"/>
            <color indexed="81"/>
            <rFont val="Tahoma"/>
            <charset val="1"/>
          </rPr>
          <t>Vasco Vieira:</t>
        </r>
        <r>
          <rPr>
            <sz val="9"/>
            <color indexed="81"/>
            <rFont val="Tahoma"/>
            <charset val="1"/>
          </rPr>
          <t xml:space="preserve">
outros 5
</t>
        </r>
      </text>
    </comment>
    <comment ref="O1" authorId="0" shapeId="0" xr:uid="{9E167A07-E881-40F9-880F-967B1F46B741}">
      <text>
        <r>
          <rPr>
            <b/>
            <sz val="9"/>
            <color indexed="81"/>
            <rFont val="Tahoma"/>
            <charset val="1"/>
          </rPr>
          <t>Vasco Vieira:</t>
        </r>
        <r>
          <rPr>
            <sz val="9"/>
            <color indexed="81"/>
            <rFont val="Tahoma"/>
            <charset val="1"/>
          </rPr>
          <t xml:space="preserve">
outros 7</t>
        </r>
      </text>
    </comment>
    <comment ref="C23" authorId="0" shapeId="0" xr:uid="{69258767-2174-4EA2-B851-BBB82ACD1929}">
      <text>
        <r>
          <rPr>
            <b/>
            <sz val="9"/>
            <color indexed="81"/>
            <rFont val="Tahoma"/>
            <charset val="1"/>
          </rPr>
          <t>Vasco Vieira:</t>
        </r>
        <r>
          <rPr>
            <sz val="9"/>
            <color indexed="81"/>
            <rFont val="Tahoma"/>
            <charset val="1"/>
          </rPr>
          <t xml:space="preserve">
Hypochaeris or Crepis?</t>
        </r>
      </text>
    </comment>
    <comment ref="E23" authorId="0" shapeId="0" xr:uid="{0B831990-ACEA-4E09-A206-377C55749CA2}">
      <text>
        <r>
          <rPr>
            <b/>
            <sz val="9"/>
            <color indexed="81"/>
            <rFont val="Tahoma"/>
            <family val="2"/>
          </rPr>
          <t>Vasco Vieira:</t>
        </r>
        <r>
          <rPr>
            <sz val="9"/>
            <color indexed="81"/>
            <rFont val="Tahoma"/>
            <family val="2"/>
          </rPr>
          <t xml:space="preserve">
Euphorbia ou Senecia jacoberia?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Vasco Vieira</author>
  </authors>
  <commentList>
    <comment ref="D1" authorId="0" shapeId="0" xr:uid="{DC76B8F8-F092-444D-AF2E-9FE3ADFA67AB}">
      <text>
        <r>
          <rPr>
            <b/>
            <sz val="9"/>
            <color indexed="81"/>
            <rFont val="Tahoma"/>
            <family val="2"/>
          </rPr>
          <t>Vasco Vieira:</t>
        </r>
        <r>
          <rPr>
            <sz val="9"/>
            <color indexed="81"/>
            <rFont val="Tahoma"/>
            <family val="2"/>
          </rPr>
          <t xml:space="preserve">
outros 3</t>
        </r>
      </text>
    </comment>
    <comment ref="I1" authorId="0" shapeId="0" xr:uid="{113715A8-9DCF-49C8-A54C-10F45D39D749}">
      <text>
        <r>
          <rPr>
            <b/>
            <sz val="9"/>
            <color indexed="81"/>
            <rFont val="Tahoma"/>
            <family val="2"/>
          </rPr>
          <t>Vasco Vieira:</t>
        </r>
        <r>
          <rPr>
            <sz val="9"/>
            <color indexed="81"/>
            <rFont val="Tahoma"/>
            <family val="2"/>
          </rPr>
          <t xml:space="preserve">
outros</t>
        </r>
      </text>
    </comment>
    <comment ref="J1" authorId="0" shapeId="0" xr:uid="{CB218C38-11A7-412F-8ADB-18F07E451D7D}">
      <text>
        <r>
          <rPr>
            <b/>
            <sz val="9"/>
            <color indexed="81"/>
            <rFont val="Tahoma"/>
            <family val="2"/>
          </rPr>
          <t>Vasco Vieira:</t>
        </r>
        <r>
          <rPr>
            <sz val="9"/>
            <color indexed="81"/>
            <rFont val="Tahoma"/>
            <family val="2"/>
          </rPr>
          <t xml:space="preserve">
outros 4</t>
        </r>
      </text>
    </comment>
    <comment ref="K1" authorId="0" shapeId="0" xr:uid="{21D39DED-C66E-4AD0-AF6E-5B187062CD83}">
      <text>
        <r>
          <rPr>
            <b/>
            <sz val="9"/>
            <color indexed="81"/>
            <rFont val="Tahoma"/>
            <charset val="1"/>
          </rPr>
          <t>Vasco Vieira:</t>
        </r>
        <r>
          <rPr>
            <sz val="9"/>
            <color indexed="81"/>
            <rFont val="Tahoma"/>
            <charset val="1"/>
          </rPr>
          <t xml:space="preserve">
outros 5
</t>
        </r>
      </text>
    </comment>
    <comment ref="O1" authorId="0" shapeId="0" xr:uid="{2C6363D9-CE57-4B9B-8650-FE69657AFF07}">
      <text>
        <r>
          <rPr>
            <b/>
            <sz val="9"/>
            <color indexed="81"/>
            <rFont val="Tahoma"/>
            <charset val="1"/>
          </rPr>
          <t>Vasco Vieira:</t>
        </r>
        <r>
          <rPr>
            <sz val="9"/>
            <color indexed="81"/>
            <rFont val="Tahoma"/>
            <charset val="1"/>
          </rPr>
          <t xml:space="preserve">
outros 7</t>
        </r>
      </text>
    </comment>
    <comment ref="C23" authorId="0" shapeId="0" xr:uid="{5062B846-8F65-435D-9F5A-0F5A0F8DA9B5}">
      <text>
        <r>
          <rPr>
            <b/>
            <sz val="9"/>
            <color indexed="81"/>
            <rFont val="Tahoma"/>
            <charset val="1"/>
          </rPr>
          <t>Vasco Vieira:</t>
        </r>
        <r>
          <rPr>
            <sz val="9"/>
            <color indexed="81"/>
            <rFont val="Tahoma"/>
            <charset val="1"/>
          </rPr>
          <t xml:space="preserve">
Hypochaeris or Crepis?</t>
        </r>
      </text>
    </comment>
    <comment ref="E23" authorId="0" shapeId="0" xr:uid="{0BA615C1-1A80-4B45-A27B-9A4B23E0E70F}">
      <text>
        <r>
          <rPr>
            <b/>
            <sz val="9"/>
            <color indexed="81"/>
            <rFont val="Tahoma"/>
            <family val="2"/>
          </rPr>
          <t>Vasco Vieira:</t>
        </r>
        <r>
          <rPr>
            <sz val="9"/>
            <color indexed="81"/>
            <rFont val="Tahoma"/>
            <family val="2"/>
          </rPr>
          <t xml:space="preserve">
Euphorbia ou Senecia jacoberia?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Vasco Vieira</author>
  </authors>
  <commentList>
    <comment ref="D1" authorId="0" shapeId="0" xr:uid="{81568681-80FB-459D-8BBF-145BC6BB9704}">
      <text>
        <r>
          <rPr>
            <b/>
            <sz val="9"/>
            <color indexed="81"/>
            <rFont val="Tahoma"/>
            <family val="2"/>
          </rPr>
          <t>Vasco Vieira:</t>
        </r>
        <r>
          <rPr>
            <sz val="9"/>
            <color indexed="81"/>
            <rFont val="Tahoma"/>
            <family val="2"/>
          </rPr>
          <t xml:space="preserve">
outros 3</t>
        </r>
      </text>
    </comment>
    <comment ref="I1" authorId="0" shapeId="0" xr:uid="{1E328123-89B5-43F7-B56D-DAC5580958AA}">
      <text>
        <r>
          <rPr>
            <b/>
            <sz val="9"/>
            <color indexed="81"/>
            <rFont val="Tahoma"/>
            <family val="2"/>
          </rPr>
          <t>Vasco Vieira:</t>
        </r>
        <r>
          <rPr>
            <sz val="9"/>
            <color indexed="81"/>
            <rFont val="Tahoma"/>
            <family val="2"/>
          </rPr>
          <t xml:space="preserve">
outros</t>
        </r>
      </text>
    </comment>
    <comment ref="J1" authorId="0" shapeId="0" xr:uid="{38A48DAF-1C9E-499B-A7AA-2487938D3B47}">
      <text>
        <r>
          <rPr>
            <b/>
            <sz val="9"/>
            <color indexed="81"/>
            <rFont val="Tahoma"/>
            <family val="2"/>
          </rPr>
          <t>Vasco Vieira:</t>
        </r>
        <r>
          <rPr>
            <sz val="9"/>
            <color indexed="81"/>
            <rFont val="Tahoma"/>
            <family val="2"/>
          </rPr>
          <t xml:space="preserve">
outros 4</t>
        </r>
      </text>
    </comment>
    <comment ref="K1" authorId="0" shapeId="0" xr:uid="{5102FB0E-56D8-419C-8967-A6CE5EB6CB55}">
      <text>
        <r>
          <rPr>
            <b/>
            <sz val="9"/>
            <color indexed="81"/>
            <rFont val="Tahoma"/>
            <charset val="1"/>
          </rPr>
          <t>Vasco Vieira:</t>
        </r>
        <r>
          <rPr>
            <sz val="9"/>
            <color indexed="81"/>
            <rFont val="Tahoma"/>
            <charset val="1"/>
          </rPr>
          <t xml:space="preserve">
outros 5
</t>
        </r>
      </text>
    </comment>
    <comment ref="O1" authorId="0" shapeId="0" xr:uid="{EC89ADFB-F5AE-46EC-95F8-3A6ADF520C0C}">
      <text>
        <r>
          <rPr>
            <b/>
            <sz val="9"/>
            <color indexed="81"/>
            <rFont val="Tahoma"/>
            <charset val="1"/>
          </rPr>
          <t>Vasco Vieira:</t>
        </r>
        <r>
          <rPr>
            <sz val="9"/>
            <color indexed="81"/>
            <rFont val="Tahoma"/>
            <charset val="1"/>
          </rPr>
          <t xml:space="preserve">
outros 7</t>
        </r>
      </text>
    </comment>
    <comment ref="C23" authorId="0" shapeId="0" xr:uid="{39765B34-BE3C-4BDF-AEFE-43DE980F5D98}">
      <text>
        <r>
          <rPr>
            <b/>
            <sz val="9"/>
            <color indexed="81"/>
            <rFont val="Tahoma"/>
            <charset val="1"/>
          </rPr>
          <t>Vasco Vieira:</t>
        </r>
        <r>
          <rPr>
            <sz val="9"/>
            <color indexed="81"/>
            <rFont val="Tahoma"/>
            <charset val="1"/>
          </rPr>
          <t xml:space="preserve">
Hypochaeris or Crepis?</t>
        </r>
      </text>
    </comment>
    <comment ref="E23" authorId="0" shapeId="0" xr:uid="{F0E1DE93-BC63-4C06-8B52-D2B7AD7B6A3A}">
      <text>
        <r>
          <rPr>
            <b/>
            <sz val="9"/>
            <color indexed="81"/>
            <rFont val="Tahoma"/>
            <family val="2"/>
          </rPr>
          <t>Vasco Vieira:</t>
        </r>
        <r>
          <rPr>
            <sz val="9"/>
            <color indexed="81"/>
            <rFont val="Tahoma"/>
            <family val="2"/>
          </rPr>
          <t xml:space="preserve">
Euphorbia ou Senecia jacoberia?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Vasco Vieira</author>
  </authors>
  <commentList>
    <comment ref="D1" authorId="0" shapeId="0" xr:uid="{94CF7DE8-88E2-4854-A5FD-26ACC0C3CCAC}">
      <text>
        <r>
          <rPr>
            <b/>
            <sz val="9"/>
            <color indexed="81"/>
            <rFont val="Tahoma"/>
            <family val="2"/>
          </rPr>
          <t>Vasco Vieira:</t>
        </r>
        <r>
          <rPr>
            <sz val="9"/>
            <color indexed="81"/>
            <rFont val="Tahoma"/>
            <family val="2"/>
          </rPr>
          <t xml:space="preserve">
outros 3</t>
        </r>
      </text>
    </comment>
    <comment ref="I1" authorId="0" shapeId="0" xr:uid="{0F4D4008-12EA-49C4-A945-E610BB8ED6DF}">
      <text>
        <r>
          <rPr>
            <b/>
            <sz val="9"/>
            <color indexed="81"/>
            <rFont val="Tahoma"/>
            <family val="2"/>
          </rPr>
          <t>Vasco Vieira:</t>
        </r>
        <r>
          <rPr>
            <sz val="9"/>
            <color indexed="81"/>
            <rFont val="Tahoma"/>
            <family val="2"/>
          </rPr>
          <t xml:space="preserve">
outros</t>
        </r>
      </text>
    </comment>
    <comment ref="J1" authorId="0" shapeId="0" xr:uid="{7A443250-D5A9-4A55-832C-2E45EB7D995B}">
      <text>
        <r>
          <rPr>
            <b/>
            <sz val="9"/>
            <color indexed="81"/>
            <rFont val="Tahoma"/>
            <family val="2"/>
          </rPr>
          <t>Vasco Vieira:</t>
        </r>
        <r>
          <rPr>
            <sz val="9"/>
            <color indexed="81"/>
            <rFont val="Tahoma"/>
            <family val="2"/>
          </rPr>
          <t xml:space="preserve">
outros 4</t>
        </r>
      </text>
    </comment>
    <comment ref="K1" authorId="0" shapeId="0" xr:uid="{452232EA-C030-4FF2-B90E-623A7B43EB75}">
      <text>
        <r>
          <rPr>
            <b/>
            <sz val="9"/>
            <color indexed="81"/>
            <rFont val="Tahoma"/>
            <charset val="1"/>
          </rPr>
          <t>Vasco Vieira:</t>
        </r>
        <r>
          <rPr>
            <sz val="9"/>
            <color indexed="81"/>
            <rFont val="Tahoma"/>
            <charset val="1"/>
          </rPr>
          <t xml:space="preserve">
outros 5
</t>
        </r>
      </text>
    </comment>
    <comment ref="O1" authorId="0" shapeId="0" xr:uid="{D8666D4E-D636-471D-A669-443F00A450F1}">
      <text>
        <r>
          <rPr>
            <b/>
            <sz val="9"/>
            <color indexed="81"/>
            <rFont val="Tahoma"/>
            <charset val="1"/>
          </rPr>
          <t>Vasco Vieira:</t>
        </r>
        <r>
          <rPr>
            <sz val="9"/>
            <color indexed="81"/>
            <rFont val="Tahoma"/>
            <charset val="1"/>
          </rPr>
          <t xml:space="preserve">
outros 7</t>
        </r>
      </text>
    </comment>
    <comment ref="C23" authorId="0" shapeId="0" xr:uid="{A4CEBCE6-1002-4A57-8E9E-452C2E784E8B}">
      <text>
        <r>
          <rPr>
            <b/>
            <sz val="9"/>
            <color indexed="81"/>
            <rFont val="Tahoma"/>
            <charset val="1"/>
          </rPr>
          <t>Vasco Vieira:</t>
        </r>
        <r>
          <rPr>
            <sz val="9"/>
            <color indexed="81"/>
            <rFont val="Tahoma"/>
            <charset val="1"/>
          </rPr>
          <t xml:space="preserve">
Hypochaeris or Crepis?</t>
        </r>
      </text>
    </comment>
    <comment ref="E23" authorId="0" shapeId="0" xr:uid="{9895FD03-5DFD-44F7-9ADB-02CFD3D1DC50}">
      <text>
        <r>
          <rPr>
            <b/>
            <sz val="9"/>
            <color indexed="81"/>
            <rFont val="Tahoma"/>
            <family val="2"/>
          </rPr>
          <t>Vasco Vieira:</t>
        </r>
        <r>
          <rPr>
            <sz val="9"/>
            <color indexed="81"/>
            <rFont val="Tahoma"/>
            <family val="2"/>
          </rPr>
          <t xml:space="preserve">
Euphorbia ou Senecia jacoberia?</t>
        </r>
      </text>
    </comment>
  </commentList>
</comments>
</file>

<file path=xl/sharedStrings.xml><?xml version="1.0" encoding="utf-8"?>
<sst xmlns="http://schemas.openxmlformats.org/spreadsheetml/2006/main" count="1417" uniqueCount="247">
  <si>
    <t>Quadrat</t>
  </si>
  <si>
    <t>Date</t>
  </si>
  <si>
    <t>Density</t>
  </si>
  <si>
    <t>Weight</t>
  </si>
  <si>
    <t>Oxalis</t>
  </si>
  <si>
    <t>Euphorbia</t>
  </si>
  <si>
    <t>Malva</t>
  </si>
  <si>
    <t>Chrysanthenum</t>
  </si>
  <si>
    <t>Erva</t>
  </si>
  <si>
    <t>Senecia vulgaris</t>
  </si>
  <si>
    <t>Geranium mole</t>
  </si>
  <si>
    <t>FA1</t>
  </si>
  <si>
    <t>FA2</t>
  </si>
  <si>
    <t>FA3</t>
  </si>
  <si>
    <t>FA4</t>
  </si>
  <si>
    <t>FA5</t>
  </si>
  <si>
    <t>FA6</t>
  </si>
  <si>
    <t>FA7</t>
  </si>
  <si>
    <t>FB1</t>
  </si>
  <si>
    <t>FB2</t>
  </si>
  <si>
    <t>FB3</t>
  </si>
  <si>
    <t>FB4</t>
  </si>
  <si>
    <t>FB5</t>
  </si>
  <si>
    <t>FB6</t>
  </si>
  <si>
    <t>FB7</t>
  </si>
  <si>
    <t>TA1</t>
  </si>
  <si>
    <t>Hypochaeris</t>
  </si>
  <si>
    <r>
      <t>area (m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)</t>
    </r>
  </si>
  <si>
    <t>Erodium</t>
  </si>
  <si>
    <t>Carlina</t>
  </si>
  <si>
    <t>unknown</t>
  </si>
  <si>
    <t>Dead grass</t>
  </si>
  <si>
    <t>Total</t>
  </si>
  <si>
    <r>
      <t>log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B</t>
    </r>
  </si>
  <si>
    <r>
      <t>log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D</t>
    </r>
  </si>
  <si>
    <t>Dead+Alive</t>
  </si>
  <si>
    <t>Sisymbrium</t>
  </si>
  <si>
    <t>TA2</t>
  </si>
  <si>
    <t>TB1</t>
  </si>
  <si>
    <t>Sonchus sp.</t>
  </si>
  <si>
    <t>Morisita</t>
  </si>
  <si>
    <t>Bray-Curtis</t>
  </si>
  <si>
    <t>Shannon-Weiner</t>
  </si>
  <si>
    <t>Biodiversity Index</t>
  </si>
  <si>
    <t>number of species</t>
  </si>
  <si>
    <t>Simpson D</t>
  </si>
  <si>
    <t>Simpson D (reciprocal)</t>
  </si>
  <si>
    <t>Simpson D (inverse)</t>
  </si>
  <si>
    <r>
      <t>d</t>
    </r>
    <r>
      <rPr>
        <vertAlign val="subscript"/>
        <sz val="11"/>
        <color theme="1"/>
        <rFont val="Calibri"/>
        <family val="2"/>
        <scheme val="minor"/>
      </rPr>
      <t>plant</t>
    </r>
  </si>
  <si>
    <t>Efficiency of space occupation</t>
  </si>
  <si>
    <t>TB2</t>
  </si>
  <si>
    <t>Erodium muscatum</t>
  </si>
  <si>
    <t>TB3</t>
  </si>
  <si>
    <t>TB4</t>
  </si>
  <si>
    <t>TB5</t>
  </si>
  <si>
    <t>TB6</t>
  </si>
  <si>
    <t>TB7</t>
  </si>
  <si>
    <t>TB8</t>
  </si>
  <si>
    <t>Echium sp</t>
  </si>
  <si>
    <t>TB9</t>
  </si>
  <si>
    <t>TB10</t>
  </si>
  <si>
    <t>TB11</t>
  </si>
  <si>
    <t>TB12</t>
  </si>
  <si>
    <t>FB8</t>
  </si>
  <si>
    <t>FB9</t>
  </si>
  <si>
    <t>FB10</t>
  </si>
  <si>
    <t>FB11</t>
  </si>
  <si>
    <t>Geranium sp</t>
  </si>
  <si>
    <t>Bromus sp</t>
  </si>
  <si>
    <t>Lathyrus</t>
  </si>
  <si>
    <t>TB13</t>
  </si>
  <si>
    <t>TB14</t>
  </si>
  <si>
    <t>TB15</t>
  </si>
  <si>
    <t>FA8</t>
  </si>
  <si>
    <t>FA9</t>
  </si>
  <si>
    <t>FA10</t>
  </si>
  <si>
    <t>FA11</t>
  </si>
  <si>
    <t>TB16</t>
  </si>
  <si>
    <t>TB17</t>
  </si>
  <si>
    <t>TB18</t>
  </si>
  <si>
    <t>TB19</t>
  </si>
  <si>
    <t>Andryala sp</t>
  </si>
  <si>
    <t>Centaura sp</t>
  </si>
  <si>
    <t>FA12</t>
  </si>
  <si>
    <t>FA13</t>
  </si>
  <si>
    <t>FA14</t>
  </si>
  <si>
    <t>FA15</t>
  </si>
  <si>
    <t>Biomass</t>
  </si>
  <si>
    <t>FB12</t>
  </si>
  <si>
    <t>FB13</t>
  </si>
  <si>
    <t>FA16</t>
  </si>
  <si>
    <t>FA17</t>
  </si>
  <si>
    <t>FA18</t>
  </si>
  <si>
    <t>FA19</t>
  </si>
  <si>
    <t>FC1</t>
  </si>
  <si>
    <t>FC2</t>
  </si>
  <si>
    <t>FC3</t>
  </si>
  <si>
    <t>TB20</t>
  </si>
  <si>
    <t>Conyza sp</t>
  </si>
  <si>
    <t>TB21</t>
  </si>
  <si>
    <t>TB22</t>
  </si>
  <si>
    <t>TB23</t>
  </si>
  <si>
    <t>Erva 2</t>
  </si>
  <si>
    <t>TB24</t>
  </si>
  <si>
    <t>TB25</t>
  </si>
  <si>
    <t>TB26</t>
  </si>
  <si>
    <t>Orobanche sp</t>
  </si>
  <si>
    <t>TB27</t>
  </si>
  <si>
    <t>TB28</t>
  </si>
  <si>
    <t>TB29</t>
  </si>
  <si>
    <t>TB30</t>
  </si>
  <si>
    <t>Convulvus or Aristolochia</t>
  </si>
  <si>
    <t>Orobanche</t>
  </si>
  <si>
    <t>TB31</t>
  </si>
  <si>
    <t>TB32</t>
  </si>
  <si>
    <t>FB14</t>
  </si>
  <si>
    <t>FB15</t>
  </si>
  <si>
    <t>FB16</t>
  </si>
  <si>
    <t>FB17</t>
  </si>
  <si>
    <t>Urospermum sp</t>
  </si>
  <si>
    <t>FB18</t>
  </si>
  <si>
    <t>FB19</t>
  </si>
  <si>
    <t>FB20</t>
  </si>
  <si>
    <t>FB21</t>
  </si>
  <si>
    <t>FB22</t>
  </si>
  <si>
    <t>Allium</t>
  </si>
  <si>
    <t>Aetheorhiza sp</t>
  </si>
  <si>
    <t>Medicago sp</t>
  </si>
  <si>
    <t>FC4</t>
  </si>
  <si>
    <t>FC5</t>
  </si>
  <si>
    <t>FC6</t>
  </si>
  <si>
    <t>FC7</t>
  </si>
  <si>
    <t>FC8</t>
  </si>
  <si>
    <t>outro FC 7 e 8</t>
  </si>
  <si>
    <t>TB33</t>
  </si>
  <si>
    <t>TB34</t>
  </si>
  <si>
    <t>FB23</t>
  </si>
  <si>
    <t>TC1</t>
  </si>
  <si>
    <t>TC2</t>
  </si>
  <si>
    <t>TC3</t>
  </si>
  <si>
    <t>TC4</t>
  </si>
  <si>
    <t>TC5</t>
  </si>
  <si>
    <t>TC6</t>
  </si>
  <si>
    <t>TD1</t>
  </si>
  <si>
    <t>TD2</t>
  </si>
  <si>
    <t>TD3</t>
  </si>
  <si>
    <t>TD4</t>
  </si>
  <si>
    <t>TA4</t>
  </si>
  <si>
    <t>TA5</t>
  </si>
  <si>
    <t>TA6</t>
  </si>
  <si>
    <t>per area</t>
  </si>
  <si>
    <t>NA1</t>
  </si>
  <si>
    <t>NA2</t>
  </si>
  <si>
    <t>Urtica sp</t>
  </si>
  <si>
    <t>NA3</t>
  </si>
  <si>
    <t>NA4</t>
  </si>
  <si>
    <t>NB1</t>
  </si>
  <si>
    <t>NB2</t>
  </si>
  <si>
    <t>NB3</t>
  </si>
  <si>
    <t>Poa (Grass B)</t>
  </si>
  <si>
    <t>Stelaria</t>
  </si>
  <si>
    <t>Forb A</t>
  </si>
  <si>
    <t>Batata</t>
  </si>
  <si>
    <t>Crepis</t>
  </si>
  <si>
    <t>Picris</t>
  </si>
  <si>
    <t>Fumaria</t>
  </si>
  <si>
    <t>NA5</t>
  </si>
  <si>
    <t>NB4</t>
  </si>
  <si>
    <t>NB5</t>
  </si>
  <si>
    <t>NB6</t>
  </si>
  <si>
    <t>NB7</t>
  </si>
  <si>
    <t>Asparagaceae</t>
  </si>
  <si>
    <t>Silene</t>
  </si>
  <si>
    <t>relva</t>
  </si>
  <si>
    <t>Trifolium</t>
  </si>
  <si>
    <t>Papaver</t>
  </si>
  <si>
    <t>Calamintha</t>
  </si>
  <si>
    <t>NB8</t>
  </si>
  <si>
    <t>Vulpia</t>
  </si>
  <si>
    <t>NB9</t>
  </si>
  <si>
    <t>NB10</t>
  </si>
  <si>
    <t>NB11</t>
  </si>
  <si>
    <t>NB12</t>
  </si>
  <si>
    <t>NB13</t>
  </si>
  <si>
    <t>Other Compositae</t>
  </si>
  <si>
    <t>Senecio</t>
  </si>
  <si>
    <t>Senecio vulgaris</t>
  </si>
  <si>
    <t>Grasses</t>
  </si>
  <si>
    <t>Anagallis</t>
  </si>
  <si>
    <t>Sherardia</t>
  </si>
  <si>
    <t>Polycarpon</t>
  </si>
  <si>
    <t>Arisarum</t>
  </si>
  <si>
    <t>Solanum sp.</t>
  </si>
  <si>
    <t>Polycarpon tetraphyllum</t>
  </si>
  <si>
    <t>https://flora-on.pt/#/1gladiolus</t>
  </si>
  <si>
    <t>Gladiolus</t>
  </si>
  <si>
    <t>NB14</t>
  </si>
  <si>
    <t>NB15</t>
  </si>
  <si>
    <t>NB16</t>
  </si>
  <si>
    <t>NB17</t>
  </si>
  <si>
    <t>NA6</t>
  </si>
  <si>
    <t>NA7</t>
  </si>
  <si>
    <t>NA8</t>
  </si>
  <si>
    <t>NA9</t>
  </si>
  <si>
    <t>Centaurea sp</t>
  </si>
  <si>
    <t>NB18</t>
  </si>
  <si>
    <t>NB19</t>
  </si>
  <si>
    <t>NB20</t>
  </si>
  <si>
    <t>NC1</t>
  </si>
  <si>
    <t>Convulvulus or Aristolochia</t>
  </si>
  <si>
    <t>NC2</t>
  </si>
  <si>
    <t>NC3</t>
  </si>
  <si>
    <t>NC4</t>
  </si>
  <si>
    <t>Authors</t>
  </si>
  <si>
    <t>density/20cm</t>
  </si>
  <si>
    <t>Density/m2</t>
  </si>
  <si>
    <t>Mean weight</t>
  </si>
  <si>
    <t>Total Biomass</t>
  </si>
  <si>
    <t>Brassica napus</t>
  </si>
  <si>
    <t>Raphanus sativus</t>
  </si>
  <si>
    <t>White and Harper 1970</t>
  </si>
  <si>
    <t>log10D</t>
  </si>
  <si>
    <t>log10B</t>
  </si>
  <si>
    <t>Fertilizer</t>
  </si>
  <si>
    <t>Brassica:Raphnus</t>
  </si>
  <si>
    <t>low</t>
  </si>
  <si>
    <t>medium</t>
  </si>
  <si>
    <t>high</t>
  </si>
  <si>
    <t>0.37:0.63</t>
  </si>
  <si>
    <t>0.63:0.37</t>
  </si>
  <si>
    <t>Both species</t>
  </si>
  <si>
    <t>Black 1960</t>
  </si>
  <si>
    <t>Trifolium pratense: Medicago sativa</t>
  </si>
  <si>
    <t>6250:50</t>
  </si>
  <si>
    <t>6250:250</t>
  </si>
  <si>
    <t>50:6250</t>
  </si>
  <si>
    <t>250:6250</t>
  </si>
  <si>
    <t>Medicago</t>
  </si>
  <si>
    <t>Sinapis alba: Lepidium sativum</t>
  </si>
  <si>
    <t>Soil 1</t>
  </si>
  <si>
    <t>Soil 3</t>
  </si>
  <si>
    <t>400:400</t>
  </si>
  <si>
    <t>day (experiment)</t>
  </si>
  <si>
    <t>day (date)</t>
  </si>
  <si>
    <t>replicate</t>
  </si>
  <si>
    <t>density/quadrat</t>
  </si>
  <si>
    <t>Bazzaz and Harper 1976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</si>
</sst>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000"/>
    <numFmt numFmtId="166" formatCode="0.0"/>
  </numFmts>
  <fonts count="10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vertAlign val="superscript"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0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8">
    <xf numFmtId="0" fontId="0" fillId="0" borderId="0" xfId="0"/>
    <xf numFmtId="15" fontId="0" fillId="0" borderId="0" xfId="0" applyNumberFormat="1"/>
    <xf numFmtId="1" fontId="0" fillId="0" borderId="0" xfId="0" applyNumberFormat="1"/>
    <xf numFmtId="2" fontId="0" fillId="0" borderId="0" xfId="0" applyNumberFormat="1"/>
    <xf numFmtId="164" fontId="0" fillId="0" borderId="0" xfId="0" applyNumberFormat="1"/>
    <xf numFmtId="165" fontId="0" fillId="0" borderId="0" xfId="0" applyNumberFormat="1"/>
    <xf numFmtId="2" fontId="8" fillId="0" borderId="0" xfId="0" applyNumberFormat="1" applyFont="1" applyAlignment="1">
      <alignment horizontal="left" vertical="center"/>
    </xf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166" fontId="0" fillId="0" borderId="0" xfId="0" applyNumberFormat="1"/>
    <xf numFmtId="0" fontId="0" fillId="2" borderId="0" xfId="0" applyFill="1"/>
    <xf numFmtId="0" fontId="0" fillId="3" borderId="0" xfId="0" applyFill="1"/>
    <xf numFmtId="2" fontId="0" fillId="3" borderId="0" xfId="0" applyNumberFormat="1" applyFill="1"/>
    <xf numFmtId="0" fontId="0" fillId="0" borderId="0" xfId="0" applyAlignment="1">
      <alignment horizontal="left"/>
    </xf>
    <xf numFmtId="49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0" fontId="9" fillId="0" borderId="0" xfId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387739272723561"/>
          <c:y val="3.8194444444444448E-2"/>
          <c:w val="0.63255315154237557"/>
          <c:h val="0.80762740594925631"/>
        </c:manualLayout>
      </c:layout>
      <c:scatterChart>
        <c:scatterStyle val="lineMarker"/>
        <c:varyColors val="0"/>
        <c:ser>
          <c:idx val="0"/>
          <c:order val="0"/>
          <c:tx>
            <c:v>IBL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noFill/>
              <a:ln w="9525">
                <a:noFill/>
              </a:ln>
              <a:effectLst/>
            </c:spPr>
          </c:marker>
          <c:xVal>
            <c:numRef>
              <c:f>IBL!$A$2:$A$22</c:f>
              <c:numCache>
                <c:formatCode>General</c:formatCode>
                <c:ptCount val="21"/>
                <c:pt idx="0">
                  <c:v>2</c:v>
                </c:pt>
                <c:pt idx="1">
                  <c:v>2.1</c:v>
                </c:pt>
                <c:pt idx="2">
                  <c:v>2.2000000000000002</c:v>
                </c:pt>
                <c:pt idx="3">
                  <c:v>2.2999999999999998</c:v>
                </c:pt>
                <c:pt idx="4">
                  <c:v>2.4</c:v>
                </c:pt>
                <c:pt idx="5">
                  <c:v>2.5</c:v>
                </c:pt>
                <c:pt idx="6">
                  <c:v>2.6</c:v>
                </c:pt>
                <c:pt idx="7">
                  <c:v>2.7</c:v>
                </c:pt>
                <c:pt idx="8">
                  <c:v>2.8</c:v>
                </c:pt>
                <c:pt idx="9">
                  <c:v>2.9</c:v>
                </c:pt>
                <c:pt idx="10">
                  <c:v>3</c:v>
                </c:pt>
                <c:pt idx="11">
                  <c:v>3.1</c:v>
                </c:pt>
                <c:pt idx="12">
                  <c:v>3.2</c:v>
                </c:pt>
                <c:pt idx="13">
                  <c:v>3.3</c:v>
                </c:pt>
                <c:pt idx="14">
                  <c:v>3.4</c:v>
                </c:pt>
                <c:pt idx="15">
                  <c:v>3.5</c:v>
                </c:pt>
                <c:pt idx="16">
                  <c:v>3.6</c:v>
                </c:pt>
                <c:pt idx="17">
                  <c:v>3.7</c:v>
                </c:pt>
                <c:pt idx="18">
                  <c:v>3.8</c:v>
                </c:pt>
                <c:pt idx="19">
                  <c:v>3.9</c:v>
                </c:pt>
                <c:pt idx="20">
                  <c:v>4</c:v>
                </c:pt>
              </c:numCache>
            </c:numRef>
          </c:xVal>
          <c:yVal>
            <c:numRef>
              <c:f>IBL!$B$2:$B$22</c:f>
              <c:numCache>
                <c:formatCode>General</c:formatCode>
                <c:ptCount val="21"/>
                <c:pt idx="0">
                  <c:v>4.21</c:v>
                </c:pt>
                <c:pt idx="1">
                  <c:v>4.1769999999999996</c:v>
                </c:pt>
                <c:pt idx="2">
                  <c:v>4.1440000000000001</c:v>
                </c:pt>
                <c:pt idx="3">
                  <c:v>4.1109999999999998</c:v>
                </c:pt>
                <c:pt idx="4">
                  <c:v>4.0780000000000003</c:v>
                </c:pt>
                <c:pt idx="5">
                  <c:v>4.0449999999999999</c:v>
                </c:pt>
                <c:pt idx="6">
                  <c:v>4.0120000000000005</c:v>
                </c:pt>
                <c:pt idx="7">
                  <c:v>3.9790000000000001</c:v>
                </c:pt>
                <c:pt idx="8">
                  <c:v>3.9460000000000002</c:v>
                </c:pt>
                <c:pt idx="9">
                  <c:v>3.9130000000000003</c:v>
                </c:pt>
                <c:pt idx="10">
                  <c:v>3.88</c:v>
                </c:pt>
                <c:pt idx="11">
                  <c:v>3.847</c:v>
                </c:pt>
                <c:pt idx="12">
                  <c:v>3.8140000000000001</c:v>
                </c:pt>
                <c:pt idx="13">
                  <c:v>3.7810000000000001</c:v>
                </c:pt>
                <c:pt idx="14">
                  <c:v>3.7480000000000002</c:v>
                </c:pt>
                <c:pt idx="15">
                  <c:v>3.7149999999999999</c:v>
                </c:pt>
                <c:pt idx="16">
                  <c:v>3.6819999999999999</c:v>
                </c:pt>
                <c:pt idx="17">
                  <c:v>3.649</c:v>
                </c:pt>
                <c:pt idx="18">
                  <c:v>3.6160000000000001</c:v>
                </c:pt>
                <c:pt idx="19">
                  <c:v>3.5830000000000002</c:v>
                </c:pt>
                <c:pt idx="20">
                  <c:v>3.55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07A-42DA-B952-B4722F8B7D27}"/>
            </c:ext>
          </c:extLst>
        </c:ser>
        <c:ser>
          <c:idx val="1"/>
          <c:order val="1"/>
          <c:tx>
            <c:v>with dead grass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4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Analyzed!$CT$3:$CT$52</c:f>
              <c:numCache>
                <c:formatCode>0.00</c:formatCode>
                <c:ptCount val="50"/>
                <c:pt idx="0">
                  <c:v>2.9572480195790503</c:v>
                </c:pt>
                <c:pt idx="1">
                  <c:v>2.7549214096651689</c:v>
                </c:pt>
                <c:pt idx="2">
                  <c:v>2.8962505624616379</c:v>
                </c:pt>
                <c:pt idx="3">
                  <c:v>2.9661417327390325</c:v>
                </c:pt>
                <c:pt idx="4">
                  <c:v>3.1242596207828131</c:v>
                </c:pt>
                <c:pt idx="5">
                  <c:v>3.2858384967689096</c:v>
                </c:pt>
                <c:pt idx="6">
                  <c:v>2.8293037728310249</c:v>
                </c:pt>
                <c:pt idx="7">
                  <c:v>2.773603622632923</c:v>
                </c:pt>
                <c:pt idx="8">
                  <c:v>2.8653014261025436</c:v>
                </c:pt>
                <c:pt idx="9">
                  <c:v>2.8565778576976868</c:v>
                </c:pt>
                <c:pt idx="10">
                  <c:v>2.9972771416645267</c:v>
                </c:pt>
                <c:pt idx="11">
                  <c:v>2.8252637950292847</c:v>
                </c:pt>
                <c:pt idx="12">
                  <c:v>2.8677620246502005</c:v>
                </c:pt>
                <c:pt idx="13">
                  <c:v>2.8211858826088454</c:v>
                </c:pt>
                <c:pt idx="14">
                  <c:v>2.7201593034059566</c:v>
                </c:pt>
                <c:pt idx="15">
                  <c:v>2.5812098523548421</c:v>
                </c:pt>
                <c:pt idx="16">
                  <c:v>2.9197316583111608</c:v>
                </c:pt>
                <c:pt idx="17">
                  <c:v>2.8750612633917001</c:v>
                </c:pt>
                <c:pt idx="18">
                  <c:v>2.7549214096651689</c:v>
                </c:pt>
                <c:pt idx="19">
                  <c:v>3.1669478796158113</c:v>
                </c:pt>
                <c:pt idx="20">
                  <c:v>2.9512160548091368</c:v>
                </c:pt>
                <c:pt idx="21">
                  <c:v>2.9262137858390811</c:v>
                </c:pt>
                <c:pt idx="22">
                  <c:v>2.773603622632923</c:v>
                </c:pt>
                <c:pt idx="23">
                  <c:v>2.8211858826088454</c:v>
                </c:pt>
                <c:pt idx="24">
                  <c:v>3.0969100130080562</c:v>
                </c:pt>
                <c:pt idx="25">
                  <c:v>3.2272437815030623</c:v>
                </c:pt>
                <c:pt idx="26">
                  <c:v>2.3399480616943507</c:v>
                </c:pt>
                <c:pt idx="27">
                  <c:v>2.4490925311194189</c:v>
                </c:pt>
                <c:pt idx="28">
                  <c:v>2.7452700239889878</c:v>
                </c:pt>
                <c:pt idx="29">
                  <c:v>2.7501225267834002</c:v>
                </c:pt>
                <c:pt idx="30">
                  <c:v>2.871426978736606</c:v>
                </c:pt>
                <c:pt idx="31">
                  <c:v>2.8293037728310249</c:v>
                </c:pt>
                <c:pt idx="32">
                  <c:v>2.5812098523548421</c:v>
                </c:pt>
                <c:pt idx="33">
                  <c:v>2.6483600109809315</c:v>
                </c:pt>
                <c:pt idx="34">
                  <c:v>2.661181443446619</c:v>
                </c:pt>
                <c:pt idx="35">
                  <c:v>2.3873898263387292</c:v>
                </c:pt>
                <c:pt idx="36">
                  <c:v>2.8151348166368138</c:v>
                </c:pt>
                <c:pt idx="37">
                  <c:v>2.6989700043360187</c:v>
                </c:pt>
                <c:pt idx="38">
                  <c:v>2.6300887149282057</c:v>
                </c:pt>
                <c:pt idx="39">
                  <c:v>2.4828735836087539</c:v>
                </c:pt>
                <c:pt idx="40">
                  <c:v>2.8782664032669114</c:v>
                </c:pt>
                <c:pt idx="41">
                  <c:v>2.400414627799893</c:v>
                </c:pt>
                <c:pt idx="42">
                  <c:v>2.6766936096248664</c:v>
                </c:pt>
                <c:pt idx="43">
                  <c:v>2.3344537511509307</c:v>
                </c:pt>
                <c:pt idx="44">
                  <c:v>2.2430380486862944</c:v>
                </c:pt>
                <c:pt idx="45">
                  <c:v>2.3273589343863303</c:v>
                </c:pt>
                <c:pt idx="46">
                  <c:v>1.3716110699496884</c:v>
                </c:pt>
                <c:pt idx="47">
                  <c:v>2.7543483357110188</c:v>
                </c:pt>
                <c:pt idx="48">
                  <c:v>2.5642714304385628</c:v>
                </c:pt>
                <c:pt idx="49">
                  <c:v>2.8211858826088454</c:v>
                </c:pt>
              </c:numCache>
            </c:numRef>
          </c:xVal>
          <c:yVal>
            <c:numRef>
              <c:f>Analyzed!$CU$3:$CU$52</c:f>
              <c:numCache>
                <c:formatCode>0.00</c:formatCode>
                <c:ptCount val="50"/>
                <c:pt idx="0">
                  <c:v>2.5470821119324283</c:v>
                </c:pt>
                <c:pt idx="1">
                  <c:v>2.5900891336905718</c:v>
                </c:pt>
                <c:pt idx="2">
                  <c:v>2.3171488929424604</c:v>
                </c:pt>
                <c:pt idx="3">
                  <c:v>2.2015678040168525</c:v>
                </c:pt>
                <c:pt idx="4">
                  <c:v>2.3046789827479799</c:v>
                </c:pt>
                <c:pt idx="5">
                  <c:v>2.5031946509327834</c:v>
                </c:pt>
                <c:pt idx="6">
                  <c:v>2.0571428861365688</c:v>
                </c:pt>
                <c:pt idx="7">
                  <c:v>2.3901620461558815</c:v>
                </c:pt>
                <c:pt idx="8">
                  <c:v>2.577364122493397</c:v>
                </c:pt>
                <c:pt idx="9">
                  <c:v>2.663700925389648</c:v>
                </c:pt>
                <c:pt idx="10">
                  <c:v>2.6265969667809728</c:v>
                </c:pt>
                <c:pt idx="11">
                  <c:v>2.2677582166513659</c:v>
                </c:pt>
                <c:pt idx="12">
                  <c:v>2.3738311450738303</c:v>
                </c:pt>
                <c:pt idx="13">
                  <c:v>2.4854552331040134</c:v>
                </c:pt>
                <c:pt idx="14">
                  <c:v>2.4074971278984112</c:v>
                </c:pt>
                <c:pt idx="15">
                  <c:v>2.8272884815956991</c:v>
                </c:pt>
                <c:pt idx="16">
                  <c:v>2.3250536206057979</c:v>
                </c:pt>
                <c:pt idx="17">
                  <c:v>2.0984273898315609</c:v>
                </c:pt>
                <c:pt idx="18">
                  <c:v>2.5443006398116434</c:v>
                </c:pt>
                <c:pt idx="19">
                  <c:v>2.1780772277215288</c:v>
                </c:pt>
                <c:pt idx="20">
                  <c:v>2.2889196056617265</c:v>
                </c:pt>
                <c:pt idx="21">
                  <c:v>2.0492180226701815</c:v>
                </c:pt>
                <c:pt idx="22">
                  <c:v>2.5564532712884693</c:v>
                </c:pt>
                <c:pt idx="23">
                  <c:v>2.4818903086593607</c:v>
                </c:pt>
                <c:pt idx="24">
                  <c:v>2.1260908019156033</c:v>
                </c:pt>
                <c:pt idx="25">
                  <c:v>2.3913762391696491</c:v>
                </c:pt>
                <c:pt idx="26">
                  <c:v>3.0800850850458694</c:v>
                </c:pt>
                <c:pt idx="27">
                  <c:v>2.0921063046052355</c:v>
                </c:pt>
                <c:pt idx="28">
                  <c:v>2.1755480513777288</c:v>
                </c:pt>
                <c:pt idx="29">
                  <c:v>2.7772001906031822</c:v>
                </c:pt>
                <c:pt idx="30">
                  <c:v>2.5234212743726316</c:v>
                </c:pt>
                <c:pt idx="31">
                  <c:v>2.532674772268436</c:v>
                </c:pt>
                <c:pt idx="32">
                  <c:v>2.7014060657791235</c:v>
                </c:pt>
                <c:pt idx="33">
                  <c:v>2.6478717653062325</c:v>
                </c:pt>
                <c:pt idx="34">
                  <c:v>2.8861145497640313</c:v>
                </c:pt>
                <c:pt idx="35">
                  <c:v>2.5183559858910933</c:v>
                </c:pt>
                <c:pt idx="36">
                  <c:v>2.7915970913976316</c:v>
                </c:pt>
                <c:pt idx="37">
                  <c:v>2.5027911556150544</c:v>
                </c:pt>
                <c:pt idx="38">
                  <c:v>2.5249583716734585</c:v>
                </c:pt>
                <c:pt idx="39">
                  <c:v>2.3583917586490197</c:v>
                </c:pt>
                <c:pt idx="40">
                  <c:v>2.7726069041039012</c:v>
                </c:pt>
                <c:pt idx="41">
                  <c:v>2.9844244334802568</c:v>
                </c:pt>
                <c:pt idx="42">
                  <c:v>2.7264725057866732</c:v>
                </c:pt>
                <c:pt idx="43">
                  <c:v>2.9434747298297919</c:v>
                </c:pt>
                <c:pt idx="44">
                  <c:v>2.1751855350946574</c:v>
                </c:pt>
                <c:pt idx="45">
                  <c:v>3.0822691145725938</c:v>
                </c:pt>
                <c:pt idx="46">
                  <c:v>3.2920586537651246</c:v>
                </c:pt>
                <c:pt idx="47">
                  <c:v>2.4219985606833578</c:v>
                </c:pt>
                <c:pt idx="48">
                  <c:v>2.5237825842785822</c:v>
                </c:pt>
                <c:pt idx="49">
                  <c:v>2.9249573415968118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207A-42DA-B952-B4722F8B7D27}"/>
            </c:ext>
          </c:extLst>
        </c:ser>
        <c:ser>
          <c:idx val="4"/>
          <c:order val="2"/>
          <c:tx>
            <c:v>Clean Back 2021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4"/>
            <c:spPr>
              <a:solidFill>
                <a:schemeClr val="accent1"/>
              </a:solidFill>
              <a:ln w="9525">
                <a:solidFill>
                  <a:srgbClr val="00B050"/>
                </a:solidFill>
              </a:ln>
              <a:effectLst/>
            </c:spPr>
          </c:marker>
          <c:xVal>
            <c:numRef>
              <c:f>Analyzed!$CT$53:$CT$101</c:f>
              <c:numCache>
                <c:formatCode>0.00</c:formatCode>
                <c:ptCount val="49"/>
                <c:pt idx="0">
                  <c:v>3.5761973294842266</c:v>
                </c:pt>
                <c:pt idx="1">
                  <c:v>3.5630358834262554</c:v>
                </c:pt>
                <c:pt idx="2">
                  <c:v>2.7037688872177874</c:v>
                </c:pt>
                <c:pt idx="3">
                  <c:v>2.6168837676449868</c:v>
                </c:pt>
                <c:pt idx="4">
                  <c:v>2.6941175015416068</c:v>
                </c:pt>
                <c:pt idx="5">
                  <c:v>3.1118503628009928</c:v>
                </c:pt>
                <c:pt idx="6">
                  <c:v>2.885785128783473</c:v>
                </c:pt>
                <c:pt idx="7">
                  <c:v>2.6935071086345168</c:v>
                </c:pt>
                <c:pt idx="8">
                  <c:v>2.9197316583111608</c:v>
                </c:pt>
                <c:pt idx="9">
                  <c:v>3.0746336182969043</c:v>
                </c:pt>
                <c:pt idx="10">
                  <c:v>3.2941905711336754</c:v>
                </c:pt>
                <c:pt idx="11">
                  <c:v>3.2108533653148932</c:v>
                </c:pt>
                <c:pt idx="12">
                  <c:v>3.0107238653917729</c:v>
                </c:pt>
                <c:pt idx="13">
                  <c:v>2.9262137858390811</c:v>
                </c:pt>
                <c:pt idx="14">
                  <c:v>2.8293037728310249</c:v>
                </c:pt>
                <c:pt idx="15">
                  <c:v>3.0769133845918026</c:v>
                </c:pt>
                <c:pt idx="16">
                  <c:v>3.0339261204728705</c:v>
                </c:pt>
                <c:pt idx="17">
                  <c:v>2.4191293077419758</c:v>
                </c:pt>
                <c:pt idx="18">
                  <c:v>2.0746336182969043</c:v>
                </c:pt>
                <c:pt idx="19">
                  <c:v>2.5282737771670436</c:v>
                </c:pt>
                <c:pt idx="20">
                  <c:v>2.5812098523548421</c:v>
                </c:pt>
                <c:pt idx="21">
                  <c:v>2.916453948549925</c:v>
                </c:pt>
                <c:pt idx="22">
                  <c:v>2.5593080109070123</c:v>
                </c:pt>
                <c:pt idx="23">
                  <c:v>1.9719712763997563</c:v>
                </c:pt>
                <c:pt idx="24">
                  <c:v>2.3869446243705745</c:v>
                </c:pt>
                <c:pt idx="25">
                  <c:v>2.1938200260161129</c:v>
                </c:pt>
                <c:pt idx="26">
                  <c:v>2.4293484729236616</c:v>
                </c:pt>
                <c:pt idx="27">
                  <c:v>2.1383026981662812</c:v>
                </c:pt>
                <c:pt idx="28">
                  <c:v>2.7252989430583678</c:v>
                </c:pt>
                <c:pt idx="29">
                  <c:v>2.2582780152430311</c:v>
                </c:pt>
                <c:pt idx="30">
                  <c:v>2.3756636139608851</c:v>
                </c:pt>
                <c:pt idx="31">
                  <c:v>2.842609239610562</c:v>
                </c:pt>
                <c:pt idx="32">
                  <c:v>2.0791812460476247</c:v>
                </c:pt>
                <c:pt idx="33">
                  <c:v>1.6812412373755872</c:v>
                </c:pt>
                <c:pt idx="34">
                  <c:v>1.4471580313422192</c:v>
                </c:pt>
                <c:pt idx="35">
                  <c:v>2</c:v>
                </c:pt>
                <c:pt idx="36">
                  <c:v>2.3756636139608851</c:v>
                </c:pt>
                <c:pt idx="37">
                  <c:v>2.1760912590556813</c:v>
                </c:pt>
                <c:pt idx="38">
                  <c:v>2.8486289089093901</c:v>
                </c:pt>
                <c:pt idx="39">
                  <c:v>2.6463794193763199</c:v>
                </c:pt>
                <c:pt idx="40">
                  <c:v>2.4214211045215603</c:v>
                </c:pt>
                <c:pt idx="41">
                  <c:v>2.2566108558755684</c:v>
                </c:pt>
                <c:pt idx="42">
                  <c:v>2.7323937598229686</c:v>
                </c:pt>
                <c:pt idx="43">
                  <c:v>2.1320584777312477</c:v>
                </c:pt>
                <c:pt idx="44">
                  <c:v>2.5509074688805811</c:v>
                </c:pt>
                <c:pt idx="45">
                  <c:v>2.7664128471123997</c:v>
                </c:pt>
                <c:pt idx="46">
                  <c:v>2.7900504736833511</c:v>
                </c:pt>
                <c:pt idx="47">
                  <c:v>2.6139592146276702</c:v>
                </c:pt>
                <c:pt idx="48">
                  <c:v>2.5835765856339492</c:v>
                </c:pt>
              </c:numCache>
            </c:numRef>
          </c:xVal>
          <c:yVal>
            <c:numRef>
              <c:f>Analyzed!$CU$53:$CU$101</c:f>
              <c:numCache>
                <c:formatCode>0.00</c:formatCode>
                <c:ptCount val="49"/>
                <c:pt idx="0">
                  <c:v>2.4551304861167358</c:v>
                </c:pt>
                <c:pt idx="1">
                  <c:v>2.3496417157340796</c:v>
                </c:pt>
                <c:pt idx="2">
                  <c:v>2.6969143117348424</c:v>
                </c:pt>
                <c:pt idx="3">
                  <c:v>1.1840601887269566</c:v>
                </c:pt>
                <c:pt idx="4">
                  <c:v>1.8700460730202204</c:v>
                </c:pt>
                <c:pt idx="5">
                  <c:v>2.5185139398778875</c:v>
                </c:pt>
                <c:pt idx="6">
                  <c:v>2.7830097850039723</c:v>
                </c:pt>
                <c:pt idx="7">
                  <c:v>2.4172640458257284</c:v>
                </c:pt>
                <c:pt idx="8">
                  <c:v>2.1931245983544616</c:v>
                </c:pt>
                <c:pt idx="9">
                  <c:v>2.3048135433941082</c:v>
                </c:pt>
                <c:pt idx="10">
                  <c:v>2.4654757983683884</c:v>
                </c:pt>
                <c:pt idx="11">
                  <c:v>2.4664041751261552</c:v>
                </c:pt>
                <c:pt idx="12">
                  <c:v>2.6432058481294987</c:v>
                </c:pt>
                <c:pt idx="13">
                  <c:v>2.2059820939869357</c:v>
                </c:pt>
                <c:pt idx="14">
                  <c:v>2.9691537187966546</c:v>
                </c:pt>
                <c:pt idx="15">
                  <c:v>2.488021626710859</c:v>
                </c:pt>
                <c:pt idx="16">
                  <c:v>2.7724133977360128</c:v>
                </c:pt>
                <c:pt idx="17">
                  <c:v>2.9310126687208502</c:v>
                </c:pt>
                <c:pt idx="18">
                  <c:v>2.6951532046616791</c:v>
                </c:pt>
                <c:pt idx="19">
                  <c:v>2.5882717068423289</c:v>
                </c:pt>
                <c:pt idx="20">
                  <c:v>2.8243292600675836</c:v>
                </c:pt>
                <c:pt idx="21">
                  <c:v>2.745367607290579</c:v>
                </c:pt>
                <c:pt idx="22">
                  <c:v>3.0961710841211567</c:v>
                </c:pt>
                <c:pt idx="23">
                  <c:v>2.7676196082318536</c:v>
                </c:pt>
                <c:pt idx="24">
                  <c:v>2.9382069004983382</c:v>
                </c:pt>
                <c:pt idx="25">
                  <c:v>2.9039373911279291</c:v>
                </c:pt>
                <c:pt idx="26">
                  <c:v>3.1969184951768432</c:v>
                </c:pt>
                <c:pt idx="27">
                  <c:v>2.741299359947138</c:v>
                </c:pt>
                <c:pt idx="28">
                  <c:v>2.9621916980036667</c:v>
                </c:pt>
                <c:pt idx="29">
                  <c:v>3.0168767144914437</c:v>
                </c:pt>
                <c:pt idx="30">
                  <c:v>2.8685709723569439</c:v>
                </c:pt>
                <c:pt idx="31">
                  <c:v>2.8722495340321434</c:v>
                </c:pt>
                <c:pt idx="32">
                  <c:v>2.7587302678820889</c:v>
                </c:pt>
                <c:pt idx="33">
                  <c:v>2.8508666954566819</c:v>
                </c:pt>
                <c:pt idx="34">
                  <c:v>3.2654687766391315</c:v>
                </c:pt>
                <c:pt idx="35">
                  <c:v>2.8940944273226985</c:v>
                </c:pt>
                <c:pt idx="36">
                  <c:v>3.0083872301141588</c:v>
                </c:pt>
                <c:pt idx="37">
                  <c:v>3.2799092282845321</c:v>
                </c:pt>
                <c:pt idx="38">
                  <c:v>2.5876147651111299</c:v>
                </c:pt>
                <c:pt idx="39">
                  <c:v>2.8652165819286921</c:v>
                </c:pt>
                <c:pt idx="40">
                  <c:v>2.5200101872095706</c:v>
                </c:pt>
                <c:pt idx="41">
                  <c:v>2.6016677428374257</c:v>
                </c:pt>
                <c:pt idx="42">
                  <c:v>2.3671321924307542</c:v>
                </c:pt>
                <c:pt idx="43">
                  <c:v>2.462521746149374</c:v>
                </c:pt>
                <c:pt idx="44">
                  <c:v>2.2308744917032666</c:v>
                </c:pt>
                <c:pt idx="45">
                  <c:v>2.90659360173448</c:v>
                </c:pt>
                <c:pt idx="46">
                  <c:v>2.5800057664885259</c:v>
                </c:pt>
                <c:pt idx="47">
                  <c:v>2.5980301604750178</c:v>
                </c:pt>
                <c:pt idx="48">
                  <c:v>2.1265642948950374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25C-4D33-BDB2-883507623E66}"/>
            </c:ext>
          </c:extLst>
        </c:ser>
        <c:ser>
          <c:idx val="2"/>
          <c:order val="3"/>
          <c:tx>
            <c:v>'Clean Front 2022'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4"/>
            <c:spPr>
              <a:solidFill>
                <a:srgbClr val="00B0F0"/>
              </a:solidFill>
              <a:ln w="9525">
                <a:noFill/>
              </a:ln>
              <a:effectLst/>
            </c:spPr>
          </c:marker>
          <c:xVal>
            <c:numRef>
              <c:f>Analyzed!$CZ$102:$CZ$134</c:f>
              <c:numCache>
                <c:formatCode>0.00</c:formatCode>
                <c:ptCount val="33"/>
                <c:pt idx="0">
                  <c:v>2.959994838328416</c:v>
                </c:pt>
                <c:pt idx="1">
                  <c:v>2.8500332576897689</c:v>
                </c:pt>
                <c:pt idx="2">
                  <c:v>2.842609239610562</c:v>
                </c:pt>
                <c:pt idx="3">
                  <c:v>2.7604224834232118</c:v>
                </c:pt>
                <c:pt idx="4">
                  <c:v>2.9542425094393248</c:v>
                </c:pt>
                <c:pt idx="5">
                  <c:v>2.2108533653148932</c:v>
                </c:pt>
                <c:pt idx="6">
                  <c:v>2.6127838567197355</c:v>
                </c:pt>
                <c:pt idx="7">
                  <c:v>2.2304489213782741</c:v>
                </c:pt>
                <c:pt idx="8">
                  <c:v>2.5593080109070128</c:v>
                </c:pt>
                <c:pt idx="9">
                  <c:v>2.8853612200315122</c:v>
                </c:pt>
                <c:pt idx="10">
                  <c:v>2.8668778143374989</c:v>
                </c:pt>
                <c:pt idx="11">
                  <c:v>2.9138138523837167</c:v>
                </c:pt>
                <c:pt idx="12">
                  <c:v>2.7512791039833422</c:v>
                </c:pt>
                <c:pt idx="13">
                  <c:v>2.7693773260761385</c:v>
                </c:pt>
                <c:pt idx="14">
                  <c:v>2.9009130677376689</c:v>
                </c:pt>
                <c:pt idx="15">
                  <c:v>3.0762762554042178</c:v>
                </c:pt>
                <c:pt idx="16">
                  <c:v>2.9304395947667001</c:v>
                </c:pt>
                <c:pt idx="17">
                  <c:v>2.8808135922807914</c:v>
                </c:pt>
                <c:pt idx="18">
                  <c:v>2.9804578922761</c:v>
                </c:pt>
                <c:pt idx="19">
                  <c:v>2.8668778143374989</c:v>
                </c:pt>
                <c:pt idx="20">
                  <c:v>2.8808135922807914</c:v>
                </c:pt>
                <c:pt idx="21">
                  <c:v>2.9116901587538613</c:v>
                </c:pt>
                <c:pt idx="22">
                  <c:v>2.8668778143374989</c:v>
                </c:pt>
                <c:pt idx="23">
                  <c:v>2.8549130223078554</c:v>
                </c:pt>
                <c:pt idx="24">
                  <c:v>3.0119931146592571</c:v>
                </c:pt>
                <c:pt idx="25">
                  <c:v>2.7291647896927702</c:v>
                </c:pt>
                <c:pt idx="26">
                  <c:v>2.5263392773898441</c:v>
                </c:pt>
                <c:pt idx="27">
                  <c:v>2.4771212547196626</c:v>
                </c:pt>
                <c:pt idx="28">
                  <c:v>2.4933584535903481</c:v>
                </c:pt>
                <c:pt idx="29">
                  <c:v>2.0389180660303694</c:v>
                </c:pt>
                <c:pt idx="30">
                  <c:v>2.6127838567197355</c:v>
                </c:pt>
                <c:pt idx="31">
                  <c:v>2.8808135922807914</c:v>
                </c:pt>
                <c:pt idx="32">
                  <c:v>2.5665216659489731</c:v>
                </c:pt>
              </c:numCache>
            </c:numRef>
          </c:xVal>
          <c:yVal>
            <c:numRef>
              <c:f>Analyzed!$DA$102:$DA$134</c:f>
              <c:numCache>
                <c:formatCode>0.00</c:formatCode>
                <c:ptCount val="33"/>
                <c:pt idx="0">
                  <c:v>2.5324486095722842</c:v>
                </c:pt>
                <c:pt idx="1">
                  <c:v>2.413836012930866</c:v>
                </c:pt>
                <c:pt idx="2">
                  <c:v>2.3417509792651745</c:v>
                </c:pt>
                <c:pt idx="3">
                  <c:v>2.6650178254124728</c:v>
                </c:pt>
                <c:pt idx="4">
                  <c:v>2.2949069106051923</c:v>
                </c:pt>
                <c:pt idx="5">
                  <c:v>2.7362968820257403</c:v>
                </c:pt>
                <c:pt idx="6">
                  <c:v>2.7169488529014365</c:v>
                </c:pt>
                <c:pt idx="7">
                  <c:v>2.7608746380521891</c:v>
                </c:pt>
                <c:pt idx="8">
                  <c:v>2.6483193447997229</c:v>
                </c:pt>
                <c:pt idx="9">
                  <c:v>2.5697951231118425</c:v>
                </c:pt>
                <c:pt idx="10">
                  <c:v>2.5404045624460596</c:v>
                </c:pt>
                <c:pt idx="11">
                  <c:v>2.2389488983117616</c:v>
                </c:pt>
                <c:pt idx="12">
                  <c:v>2.462457896455275</c:v>
                </c:pt>
                <c:pt idx="13">
                  <c:v>2.4042519881169055</c:v>
                </c:pt>
                <c:pt idx="14">
                  <c:v>2.4841859110979945</c:v>
                </c:pt>
                <c:pt idx="15">
                  <c:v>2.3984955501381369</c:v>
                </c:pt>
                <c:pt idx="16">
                  <c:v>2.5643819640575467</c:v>
                </c:pt>
                <c:pt idx="17">
                  <c:v>2.4968189856998544</c:v>
                </c:pt>
                <c:pt idx="18">
                  <c:v>2.5406797728306434</c:v>
                </c:pt>
                <c:pt idx="19">
                  <c:v>2.4692032578342151</c:v>
                </c:pt>
                <c:pt idx="20">
                  <c:v>2.4798343413193602</c:v>
                </c:pt>
                <c:pt idx="21">
                  <c:v>2.4987239707479048</c:v>
                </c:pt>
                <c:pt idx="22">
                  <c:v>2.670412857299179</c:v>
                </c:pt>
                <c:pt idx="23">
                  <c:v>2.3724332791954499</c:v>
                </c:pt>
                <c:pt idx="24">
                  <c:v>2.6823256186678073</c:v>
                </c:pt>
                <c:pt idx="25">
                  <c:v>2.1187275504270051</c:v>
                </c:pt>
                <c:pt idx="26">
                  <c:v>2.9227669656375528</c:v>
                </c:pt>
                <c:pt idx="27">
                  <c:v>2.8109490279235856</c:v>
                </c:pt>
                <c:pt idx="28">
                  <c:v>2.810961812006771</c:v>
                </c:pt>
                <c:pt idx="29">
                  <c:v>1.2582780152430313</c:v>
                </c:pt>
                <c:pt idx="30">
                  <c:v>2.9036686606044118</c:v>
                </c:pt>
                <c:pt idx="31">
                  <c:v>2.2622928479790327</c:v>
                </c:pt>
                <c:pt idx="32">
                  <c:v>2.660824837192644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71C-488B-8752-8C2EED4DE91E}"/>
            </c:ext>
          </c:extLst>
        </c:ser>
        <c:ser>
          <c:idx val="3"/>
          <c:order val="4"/>
          <c:tx>
            <c:v>White &amp; Harper 1970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'Other Authors'!$K$3:$K$20</c:f>
              <c:numCache>
                <c:formatCode>0.0</c:formatCode>
                <c:ptCount val="18"/>
                <c:pt idx="0">
                  <c:v>3.6346601622843395</c:v>
                </c:pt>
                <c:pt idx="1">
                  <c:v>3.3984990502364605</c:v>
                </c:pt>
                <c:pt idx="2">
                  <c:v>3.1749894263340019</c:v>
                </c:pt>
                <c:pt idx="3">
                  <c:v>3.6009228605632142</c:v>
                </c:pt>
                <c:pt idx="4">
                  <c:v>3.3015043077882242</c:v>
                </c:pt>
                <c:pt idx="5">
                  <c:v>3.0147372431586548</c:v>
                </c:pt>
                <c:pt idx="6">
                  <c:v>3.487059467254416</c:v>
                </c:pt>
                <c:pt idx="7">
                  <c:v>3.1180577296796024</c:v>
                </c:pt>
                <c:pt idx="8">
                  <c:v>2.9767827787223879</c:v>
                </c:pt>
                <c:pt idx="9">
                  <c:v>3.6536373945024732</c:v>
                </c:pt>
                <c:pt idx="10">
                  <c:v>3.33524160950935</c:v>
                </c:pt>
                <c:pt idx="11">
                  <c:v>3.2445726111338247</c:v>
                </c:pt>
                <c:pt idx="12">
                  <c:v>3.6452030690721902</c:v>
                </c:pt>
                <c:pt idx="13">
                  <c:v>3.3542188417274832</c:v>
                </c:pt>
                <c:pt idx="14">
                  <c:v>3.1897494958369941</c:v>
                </c:pt>
                <c:pt idx="15">
                  <c:v>3.5376654198361051</c:v>
                </c:pt>
                <c:pt idx="16">
                  <c:v>3.1517950314007281</c:v>
                </c:pt>
                <c:pt idx="17">
                  <c:v>3.0379316380919281</c:v>
                </c:pt>
              </c:numCache>
            </c:numRef>
          </c:xVal>
          <c:yVal>
            <c:numRef>
              <c:f>'Other Authors'!$L$3:$L$20</c:f>
              <c:numCache>
                <c:formatCode>0.0</c:formatCode>
                <c:ptCount val="18"/>
                <c:pt idx="0">
                  <c:v>2.6832635798216069</c:v>
                </c:pt>
                <c:pt idx="1">
                  <c:v>2.9120047224780601</c:v>
                </c:pt>
                <c:pt idx="2">
                  <c:v>2.9632100672645225</c:v>
                </c:pt>
                <c:pt idx="3">
                  <c:v>2.9073357102547037</c:v>
                </c:pt>
                <c:pt idx="4">
                  <c:v>2.9544806564411217</c:v>
                </c:pt>
                <c:pt idx="5">
                  <c:v>3.0755596607112596</c:v>
                </c:pt>
                <c:pt idx="6">
                  <c:v>3.0533949411669616</c:v>
                </c:pt>
                <c:pt idx="7">
                  <c:v>3.088012888358179</c:v>
                </c:pt>
                <c:pt idx="8">
                  <c:v>3.153830759951072</c:v>
                </c:pt>
                <c:pt idx="9">
                  <c:v>2.6388450500346079</c:v>
                </c:pt>
                <c:pt idx="10">
                  <c:v>3.0368213756995184</c:v>
                </c:pt>
                <c:pt idx="11">
                  <c:v>3.0560383647995617</c:v>
                </c:pt>
                <c:pt idx="12">
                  <c:v>2.9072388853600835</c:v>
                </c:pt>
                <c:pt idx="13">
                  <c:v>3.026213918981921</c:v>
                </c:pt>
                <c:pt idx="14">
                  <c:v>3.2315531847880576</c:v>
                </c:pt>
                <c:pt idx="15">
                  <c:v>2.9898885221394056</c:v>
                </c:pt>
                <c:pt idx="16">
                  <c:v>2.9865058978016816</c:v>
                </c:pt>
                <c:pt idx="17">
                  <c:v>3.1748289700506955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A58-4BA7-9BCB-6C7C7204C279}"/>
            </c:ext>
          </c:extLst>
        </c:ser>
        <c:ser>
          <c:idx val="5"/>
          <c:order val="5"/>
          <c:tx>
            <c:v>Black 1960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9525">
                <a:noFill/>
              </a:ln>
              <a:effectLst/>
            </c:spPr>
          </c:marker>
          <c:xVal>
            <c:numRef>
              <c:f>'Other Authors'!$K$22:$K$29</c:f>
              <c:numCache>
                <c:formatCode>0.0</c:formatCode>
                <c:ptCount val="8"/>
                <c:pt idx="0">
                  <c:v>3.6796055016909666</c:v>
                </c:pt>
                <c:pt idx="1">
                  <c:v>3.5722205324775</c:v>
                </c:pt>
                <c:pt idx="2">
                  <c:v>3.690167957679177</c:v>
                </c:pt>
                <c:pt idx="3">
                  <c:v>3.5405331645128708</c:v>
                </c:pt>
                <c:pt idx="4">
                  <c:v>3.625</c:v>
                </c:pt>
                <c:pt idx="5">
                  <c:v>3.3958333333333321</c:v>
                </c:pt>
                <c:pt idx="6">
                  <c:v>3.5850694444444433</c:v>
                </c:pt>
                <c:pt idx="7">
                  <c:v>3.3715277777777763</c:v>
                </c:pt>
              </c:numCache>
            </c:numRef>
          </c:xVal>
          <c:yVal>
            <c:numRef>
              <c:f>'Other Authors'!$L$22:$L$29</c:f>
              <c:numCache>
                <c:formatCode>0.0</c:formatCode>
                <c:ptCount val="8"/>
                <c:pt idx="0">
                  <c:v>2.5139006378371782</c:v>
                </c:pt>
                <c:pt idx="1">
                  <c:v>2.7580095174813555</c:v>
                </c:pt>
                <c:pt idx="2">
                  <c:v>2.4840413012067599</c:v>
                </c:pt>
                <c:pt idx="3">
                  <c:v>2.7421393727153203</c:v>
                </c:pt>
                <c:pt idx="4">
                  <c:v>2.3007970988101714</c:v>
                </c:pt>
                <c:pt idx="5">
                  <c:v>2.5511313234091015</c:v>
                </c:pt>
                <c:pt idx="6">
                  <c:v>2.2644316056432068</c:v>
                </c:pt>
                <c:pt idx="7">
                  <c:v>2.5000877999391067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EA58-4BA7-9BCB-6C7C7204C279}"/>
            </c:ext>
          </c:extLst>
        </c:ser>
        <c:ser>
          <c:idx val="6"/>
          <c:order val="6"/>
          <c:tx>
            <c:v>Bazzaz &amp; Harper 1976 - soil 1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xVal>
            <c:numRef>
              <c:f>'Other Authors'!$K$31:$K$45</c:f>
              <c:numCache>
                <c:formatCode>0.0</c:formatCode>
                <c:ptCount val="15"/>
                <c:pt idx="0">
                  <c:v>3.8293820135927543</c:v>
                </c:pt>
                <c:pt idx="1">
                  <c:v>3.7992790140263559</c:v>
                </c:pt>
                <c:pt idx="2">
                  <c:v>3.8239087409443178</c:v>
                </c:pt>
                <c:pt idx="3">
                  <c:v>3.760966105487304</c:v>
                </c:pt>
                <c:pt idx="4">
                  <c:v>3.7171799242998151</c:v>
                </c:pt>
                <c:pt idx="5">
                  <c:v>3.6898135610576359</c:v>
                </c:pt>
                <c:pt idx="6">
                  <c:v>3.5064589273350291</c:v>
                </c:pt>
                <c:pt idx="7">
                  <c:v>3.610451107655313</c:v>
                </c:pt>
                <c:pt idx="8">
                  <c:v>3.6597105614912375</c:v>
                </c:pt>
                <c:pt idx="9">
                  <c:v>3.5037222910108099</c:v>
                </c:pt>
                <c:pt idx="10">
                  <c:v>3.5310886542529905</c:v>
                </c:pt>
                <c:pt idx="11">
                  <c:v>3.4927757457139381</c:v>
                </c:pt>
                <c:pt idx="12">
                  <c:v>3.5091955636592465</c:v>
                </c:pt>
                <c:pt idx="13">
                  <c:v>3.4298331102569244</c:v>
                </c:pt>
                <c:pt idx="14">
                  <c:v>3.095963478702326</c:v>
                </c:pt>
              </c:numCache>
            </c:numRef>
          </c:xVal>
          <c:yVal>
            <c:numRef>
              <c:f>'Other Authors'!$L$31:$L$45</c:f>
              <c:numCache>
                <c:formatCode>0.0</c:formatCode>
                <c:ptCount val="15"/>
                <c:pt idx="0">
                  <c:v>2.0316027682937361</c:v>
                </c:pt>
                <c:pt idx="1">
                  <c:v>2.0426702857952534</c:v>
                </c:pt>
                <c:pt idx="2">
                  <c:v>2.0947470240918267</c:v>
                </c:pt>
                <c:pt idx="3">
                  <c:v>2.4380201570382551</c:v>
                </c:pt>
                <c:pt idx="4">
                  <c:v>2.3887445735750448</c:v>
                </c:pt>
                <c:pt idx="5">
                  <c:v>2.5782096002238917</c:v>
                </c:pt>
                <c:pt idx="6">
                  <c:v>2.3399609437440629</c:v>
                </c:pt>
                <c:pt idx="7">
                  <c:v>2.5921669855088458</c:v>
                </c:pt>
                <c:pt idx="8">
                  <c:v>2.7265121746184624</c:v>
                </c:pt>
                <c:pt idx="9">
                  <c:v>2.5842474098273405</c:v>
                </c:pt>
                <c:pt idx="10">
                  <c:v>2.6472948878617171</c:v>
                </c:pt>
                <c:pt idx="11">
                  <c:v>2.6062372781848011</c:v>
                </c:pt>
                <c:pt idx="12">
                  <c:v>2.6720617166116112</c:v>
                </c:pt>
                <c:pt idx="13">
                  <c:v>2.5542734472792321</c:v>
                </c:pt>
                <c:pt idx="14">
                  <c:v>2.5662361590951339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45A-426E-A60C-51EB1028FA39}"/>
            </c:ext>
          </c:extLst>
        </c:ser>
        <c:ser>
          <c:idx val="7"/>
          <c:order val="7"/>
          <c:tx>
            <c:v>Bazzaz &amp; Harper 1976 - soil 3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xVal>
            <c:numRef>
              <c:f>'Other Authors'!$K$46:$K$60</c:f>
              <c:numCache>
                <c:formatCode>0.0</c:formatCode>
                <c:ptCount val="15"/>
                <c:pt idx="0">
                  <c:v>3.8649582858075884</c:v>
                </c:pt>
                <c:pt idx="1">
                  <c:v>3.8704315584560245</c:v>
                </c:pt>
                <c:pt idx="2">
                  <c:v>3.8293820135927543</c:v>
                </c:pt>
                <c:pt idx="3">
                  <c:v>3.747282923866214</c:v>
                </c:pt>
                <c:pt idx="4">
                  <c:v>3.610451107655313</c:v>
                </c:pt>
                <c:pt idx="5">
                  <c:v>3.3915202017178725</c:v>
                </c:pt>
                <c:pt idx="6">
                  <c:v>3.2793181124249329</c:v>
                </c:pt>
                <c:pt idx="7">
                  <c:v>3.3340508389092944</c:v>
                </c:pt>
                <c:pt idx="8">
                  <c:v>3.2218487496163566</c:v>
                </c:pt>
                <c:pt idx="9">
                  <c:v>3.2273220222647918</c:v>
                </c:pt>
                <c:pt idx="10">
                  <c:v>3.2984745666944599</c:v>
                </c:pt>
                <c:pt idx="11">
                  <c:v>3.2191121132921365</c:v>
                </c:pt>
                <c:pt idx="12">
                  <c:v>3.0275475705968753</c:v>
                </c:pt>
                <c:pt idx="13">
                  <c:v>2.8551394821711429</c:v>
                </c:pt>
                <c:pt idx="14">
                  <c:v>2.9345019355734614</c:v>
                </c:pt>
              </c:numCache>
            </c:numRef>
          </c:xVal>
          <c:yVal>
            <c:numRef>
              <c:f>'Other Authors'!$L$46:$L$60</c:f>
              <c:numCache>
                <c:formatCode>0.0</c:formatCode>
                <c:ptCount val="15"/>
                <c:pt idx="0">
                  <c:v>2.1303071666793736</c:v>
                </c:pt>
                <c:pt idx="1">
                  <c:v>2.3196754155645047</c:v>
                </c:pt>
                <c:pt idx="2">
                  <c:v>2.2703917672876517</c:v>
                </c:pt>
                <c:pt idx="3">
                  <c:v>2.5478485266209145</c:v>
                </c:pt>
                <c:pt idx="4">
                  <c:v>2.4082720092721526</c:v>
                </c:pt>
                <c:pt idx="5">
                  <c:v>2.3402996659170721</c:v>
                </c:pt>
                <c:pt idx="6">
                  <c:v>2.57667462113249</c:v>
                </c:pt>
                <c:pt idx="7">
                  <c:v>2.7768765079234909</c:v>
                </c:pt>
                <c:pt idx="8">
                  <c:v>2.5795886833568593</c:v>
                </c:pt>
                <c:pt idx="9">
                  <c:v>2.7003394037954607</c:v>
                </c:pt>
                <c:pt idx="10">
                  <c:v>2.9004929017046002</c:v>
                </c:pt>
                <c:pt idx="11">
                  <c:v>2.9144502869895548</c:v>
                </c:pt>
                <c:pt idx="12">
                  <c:v>2.5938847908148217</c:v>
                </c:pt>
                <c:pt idx="13">
                  <c:v>2.5532223570064221</c:v>
                </c:pt>
                <c:pt idx="14">
                  <c:v>2.7807986718532391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45A-426E-A60C-51EB1028FA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1294856"/>
        <c:axId val="451295184"/>
      </c:scatterChart>
      <c:valAx>
        <c:axId val="451294856"/>
        <c:scaling>
          <c:orientation val="minMax"/>
          <c:max val="4"/>
          <c:min val="1.3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Log</a:t>
                </a:r>
                <a:r>
                  <a:rPr lang="en-GB" baseline="-25000"/>
                  <a:t>10</a:t>
                </a:r>
                <a:r>
                  <a:rPr lang="en-GB"/>
                  <a:t>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1295184"/>
        <c:crosses val="autoZero"/>
        <c:crossBetween val="midCat"/>
      </c:valAx>
      <c:valAx>
        <c:axId val="451295184"/>
        <c:scaling>
          <c:orientation val="minMax"/>
          <c:max val="3.8"/>
          <c:min val="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Log</a:t>
                </a:r>
                <a:r>
                  <a:rPr lang="en-GB" baseline="-25000"/>
                  <a:t>10</a:t>
                </a:r>
                <a:r>
                  <a:rPr lang="en-GB"/>
                  <a:t>B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12948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5370374879101698"/>
          <c:y val="2.3089440742984049E-2"/>
          <c:w val="0.24629625120898302"/>
          <c:h val="0.34615626892792251"/>
        </c:manualLayout>
      </c:layout>
      <c:overlay val="0"/>
      <c:spPr>
        <a:noFill/>
        <a:ln>
          <a:solidFill>
            <a:schemeClr val="tx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452436</xdr:colOff>
      <xdr:row>0</xdr:row>
      <xdr:rowOff>114300</xdr:rowOff>
    </xdr:from>
    <xdr:to>
      <xdr:col>13</xdr:col>
      <xdr:colOff>476249</xdr:colOff>
      <xdr:row>26</xdr:row>
      <xdr:rowOff>76200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C930C31-A208-438A-BE2D-477778D1241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Vasco Vieira" id="{0AA05FE6-B314-4C4C-A4F2-76FE138975EA}" userId="6a7765373894106a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18" dT="2021-03-28T16:19:55.52" personId="{0AA05FE6-B314-4C4C-A4F2-76FE138975EA}" id="{540091BC-7ED0-49D1-8A6D-6838892AE2DF}">
    <text>FD1</text>
  </threadedComment>
  <threadedComment ref="B19" dT="2021-03-28T16:20:05.84" personId="{0AA05FE6-B314-4C4C-A4F2-76FE138975EA}" id="{F9DF6004-816F-4CE9-B2E4-FEDCE37EBBB6}">
    <text>FD2</text>
  </threadedComment>
</ThreadedComments>
</file>

<file path=xl/worksheets/_rels/sheet1.xml.rels><?xml version="1.0" encoding="UTF-8" standalone="yes"?>
<Relationships xmlns="http://schemas.openxmlformats.org/package/2006/relationships"><Relationship Id="rId8" Type="http://schemas.microsoft.com/office/2017/10/relationships/threadedComment" Target="../threadedComments/threadedComment1.xml"/><Relationship Id="rId3" Type="http://schemas.openxmlformats.org/officeDocument/2006/relationships/hyperlink" Target="https://flora-on.pt/" TargetMode="External"/><Relationship Id="rId7" Type="http://schemas.openxmlformats.org/officeDocument/2006/relationships/comments" Target="../comments1.xml"/><Relationship Id="rId2" Type="http://schemas.openxmlformats.org/officeDocument/2006/relationships/hyperlink" Target="https://flora-on.pt/" TargetMode="External"/><Relationship Id="rId1" Type="http://schemas.openxmlformats.org/officeDocument/2006/relationships/hyperlink" Target="https://flora-on.pt/" TargetMode="External"/><Relationship Id="rId6" Type="http://schemas.openxmlformats.org/officeDocument/2006/relationships/vmlDrawing" Target="../drawings/vmlDrawing1.v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flora-on.pt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7DA02C-433B-4054-A5DA-039F6823F355}">
  <dimension ref="A1:GJ135"/>
  <sheetViews>
    <sheetView zoomScaleNormal="100" workbookViewId="0">
      <pane xSplit="2" ySplit="3" topLeftCell="C121" activePane="bottomRight" state="frozen"/>
      <selection pane="topRight" activeCell="C1" sqref="C1"/>
      <selection pane="bottomLeft" activeCell="A3" sqref="A3"/>
      <selection pane="bottomRight" activeCell="F126" sqref="F126"/>
    </sheetView>
  </sheetViews>
  <sheetFormatPr defaultRowHeight="15" x14ac:dyDescent="0.25"/>
  <cols>
    <col min="1" max="1" width="10.140625" style="7" customWidth="1"/>
    <col min="2" max="2" width="8.5703125" style="7" customWidth="1"/>
    <col min="3" max="3" width="8.5703125" customWidth="1"/>
  </cols>
  <sheetData>
    <row r="1" spans="1:192" x14ac:dyDescent="0.25">
      <c r="D1" s="15" t="s">
        <v>4</v>
      </c>
      <c r="E1" s="15"/>
      <c r="F1" s="15" t="s">
        <v>184</v>
      </c>
      <c r="G1" s="15"/>
      <c r="H1" s="15" t="s">
        <v>185</v>
      </c>
      <c r="I1" s="15"/>
      <c r="J1" s="15" t="s">
        <v>5</v>
      </c>
      <c r="K1" s="15"/>
      <c r="L1" s="15" t="s">
        <v>6</v>
      </c>
      <c r="M1" s="15"/>
      <c r="N1" s="15" t="s">
        <v>7</v>
      </c>
      <c r="O1" s="15"/>
      <c r="P1" s="15" t="s">
        <v>69</v>
      </c>
      <c r="Q1" s="15"/>
      <c r="R1" s="15" t="s">
        <v>184</v>
      </c>
      <c r="S1" s="15"/>
      <c r="T1" s="15" t="s">
        <v>184</v>
      </c>
      <c r="U1" s="15"/>
      <c r="V1" s="15" t="s">
        <v>165</v>
      </c>
      <c r="W1" s="15"/>
      <c r="X1" s="15" t="s">
        <v>187</v>
      </c>
      <c r="Y1" s="15"/>
      <c r="Z1" s="15" t="s">
        <v>187</v>
      </c>
      <c r="AA1" s="15"/>
      <c r="AB1" s="15" t="s">
        <v>187</v>
      </c>
      <c r="AC1" s="15"/>
      <c r="AD1" s="17" t="s">
        <v>194</v>
      </c>
      <c r="AE1" s="17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 t="s">
        <v>187</v>
      </c>
      <c r="AU1" s="15"/>
      <c r="AV1" s="15" t="s">
        <v>184</v>
      </c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 t="s">
        <v>184</v>
      </c>
      <c r="BK1" s="15"/>
      <c r="BL1" s="15"/>
      <c r="BM1" s="15"/>
      <c r="BN1" s="15"/>
      <c r="BO1" s="15"/>
      <c r="BP1" s="15"/>
      <c r="BQ1" s="15"/>
      <c r="BR1" s="15"/>
      <c r="BS1" s="15"/>
      <c r="BT1" s="15" t="s">
        <v>184</v>
      </c>
      <c r="BU1" s="15"/>
      <c r="BV1" s="17" t="s">
        <v>193</v>
      </c>
      <c r="BW1" s="17"/>
      <c r="BX1" s="15" t="s">
        <v>192</v>
      </c>
      <c r="BY1" s="15"/>
      <c r="BZ1" s="15"/>
      <c r="CA1" s="15"/>
      <c r="CB1" s="15"/>
      <c r="CC1" s="15"/>
      <c r="CD1" s="15"/>
      <c r="CE1" s="15"/>
      <c r="CF1" s="15" t="s">
        <v>187</v>
      </c>
      <c r="CG1" s="15"/>
      <c r="CH1" s="15"/>
      <c r="CI1" s="15"/>
      <c r="CJ1" s="15"/>
      <c r="CK1" s="15"/>
      <c r="CL1" s="17" t="s">
        <v>188</v>
      </c>
      <c r="CM1" s="17"/>
      <c r="CN1" s="15"/>
      <c r="CO1" s="15"/>
      <c r="CP1" s="17" t="s">
        <v>191</v>
      </c>
      <c r="CQ1" s="17"/>
    </row>
    <row r="2" spans="1:192" x14ac:dyDescent="0.25">
      <c r="D2" s="15" t="s">
        <v>4</v>
      </c>
      <c r="E2" s="15"/>
      <c r="F2" s="15" t="s">
        <v>26</v>
      </c>
      <c r="G2" s="15"/>
      <c r="H2" s="15" t="s">
        <v>186</v>
      </c>
      <c r="I2" s="15"/>
      <c r="J2" s="15" t="s">
        <v>5</v>
      </c>
      <c r="K2" s="15"/>
      <c r="L2" s="15" t="s">
        <v>6</v>
      </c>
      <c r="M2" s="15"/>
      <c r="N2" s="15" t="s">
        <v>7</v>
      </c>
      <c r="O2" s="15"/>
      <c r="P2" s="15" t="s">
        <v>69</v>
      </c>
      <c r="Q2" s="15"/>
      <c r="R2" s="15" t="s">
        <v>163</v>
      </c>
      <c r="S2" s="15"/>
      <c r="T2" s="15" t="s">
        <v>164</v>
      </c>
      <c r="U2" s="15"/>
      <c r="V2" s="15" t="s">
        <v>165</v>
      </c>
      <c r="W2" s="15"/>
      <c r="X2" s="15" t="s">
        <v>8</v>
      </c>
      <c r="Y2" s="15"/>
      <c r="Z2" s="15" t="s">
        <v>159</v>
      </c>
      <c r="AA2" s="15"/>
      <c r="AB2" s="15" t="s">
        <v>178</v>
      </c>
      <c r="AC2" s="15"/>
      <c r="AD2" s="15" t="s">
        <v>195</v>
      </c>
      <c r="AE2" s="15"/>
      <c r="AF2" t="s">
        <v>67</v>
      </c>
      <c r="AH2" s="15" t="s">
        <v>39</v>
      </c>
      <c r="AI2" s="15"/>
      <c r="AJ2" s="15" t="s">
        <v>51</v>
      </c>
      <c r="AK2" s="15"/>
      <c r="AL2" s="15" t="s">
        <v>29</v>
      </c>
      <c r="AM2" s="15"/>
      <c r="AN2" s="15" t="s">
        <v>30</v>
      </c>
      <c r="AO2" s="15"/>
      <c r="AP2" s="15" t="s">
        <v>36</v>
      </c>
      <c r="AQ2" s="15"/>
      <c r="AR2" s="15" t="s">
        <v>58</v>
      </c>
      <c r="AS2" s="15"/>
      <c r="AT2" s="15" t="s">
        <v>68</v>
      </c>
      <c r="AU2" s="15"/>
      <c r="AV2" s="15" t="s">
        <v>81</v>
      </c>
      <c r="AW2" s="15"/>
      <c r="AX2" s="15" t="s">
        <v>82</v>
      </c>
      <c r="AY2" s="15"/>
      <c r="AZ2" s="15" t="s">
        <v>98</v>
      </c>
      <c r="BA2" s="15"/>
      <c r="BB2" s="15" t="s">
        <v>125</v>
      </c>
      <c r="BC2" s="15"/>
      <c r="BD2" s="15" t="s">
        <v>106</v>
      </c>
      <c r="BE2" s="15"/>
      <c r="BF2" s="15" t="s">
        <v>111</v>
      </c>
      <c r="BG2" s="15"/>
      <c r="BH2" s="15" t="s">
        <v>119</v>
      </c>
      <c r="BI2" s="15"/>
      <c r="BJ2" s="15" t="s">
        <v>126</v>
      </c>
      <c r="BK2" s="15"/>
      <c r="BL2" s="15" t="s">
        <v>127</v>
      </c>
      <c r="BM2" s="15"/>
      <c r="BN2" s="15" t="s">
        <v>133</v>
      </c>
      <c r="BO2" s="15"/>
      <c r="BP2" s="15" t="s">
        <v>153</v>
      </c>
      <c r="BQ2" s="15"/>
      <c r="BR2" s="15" t="s">
        <v>160</v>
      </c>
      <c r="BS2" s="15"/>
      <c r="BT2" s="15" t="s">
        <v>161</v>
      </c>
      <c r="BU2" s="15"/>
      <c r="BV2" s="15" t="s">
        <v>190</v>
      </c>
      <c r="BW2" s="15"/>
      <c r="BX2" s="15" t="s">
        <v>192</v>
      </c>
      <c r="BY2" s="15"/>
      <c r="BZ2" s="15" t="s">
        <v>171</v>
      </c>
      <c r="CA2" s="15"/>
      <c r="CB2" s="15" t="s">
        <v>172</v>
      </c>
      <c r="CC2" s="15"/>
      <c r="CD2" s="15" t="s">
        <v>174</v>
      </c>
      <c r="CE2" s="15"/>
      <c r="CF2" s="15" t="s">
        <v>173</v>
      </c>
      <c r="CG2" s="15"/>
      <c r="CH2" s="15" t="s">
        <v>175</v>
      </c>
      <c r="CI2" s="15"/>
      <c r="CJ2" s="15" t="s">
        <v>189</v>
      </c>
      <c r="CK2" s="15"/>
      <c r="CL2" s="15" t="s">
        <v>188</v>
      </c>
      <c r="CM2" s="15"/>
      <c r="CN2" s="15" t="s">
        <v>176</v>
      </c>
      <c r="CO2" s="15"/>
      <c r="CP2" s="15" t="s">
        <v>191</v>
      </c>
      <c r="CQ2" s="15"/>
      <c r="CR2" s="15" t="s">
        <v>31</v>
      </c>
      <c r="CS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</row>
    <row r="3" spans="1:192" ht="17.25" x14ac:dyDescent="0.25">
      <c r="A3" s="7" t="s">
        <v>1</v>
      </c>
      <c r="B3" s="7" t="s">
        <v>0</v>
      </c>
      <c r="C3" t="s">
        <v>27</v>
      </c>
      <c r="D3" t="s">
        <v>2</v>
      </c>
      <c r="E3" t="s">
        <v>3</v>
      </c>
      <c r="F3" t="s">
        <v>2</v>
      </c>
      <c r="G3" t="s">
        <v>3</v>
      </c>
      <c r="H3" t="s">
        <v>2</v>
      </c>
      <c r="I3" t="s">
        <v>3</v>
      </c>
      <c r="J3" t="s">
        <v>2</v>
      </c>
      <c r="K3" t="s">
        <v>3</v>
      </c>
      <c r="L3" t="s">
        <v>2</v>
      </c>
      <c r="M3" t="s">
        <v>3</v>
      </c>
      <c r="N3" t="s">
        <v>2</v>
      </c>
      <c r="O3" t="s">
        <v>3</v>
      </c>
      <c r="P3" t="s">
        <v>2</v>
      </c>
      <c r="Q3" t="s">
        <v>3</v>
      </c>
      <c r="R3" t="s">
        <v>2</v>
      </c>
      <c r="S3" t="s">
        <v>3</v>
      </c>
      <c r="T3" t="s">
        <v>2</v>
      </c>
      <c r="U3" t="s">
        <v>3</v>
      </c>
      <c r="V3" t="s">
        <v>2</v>
      </c>
      <c r="W3" t="s">
        <v>3</v>
      </c>
      <c r="X3" t="s">
        <v>2</v>
      </c>
      <c r="Y3" t="s">
        <v>3</v>
      </c>
      <c r="Z3" t="s">
        <v>2</v>
      </c>
      <c r="AA3" t="s">
        <v>3</v>
      </c>
      <c r="AB3" t="s">
        <v>2</v>
      </c>
      <c r="AC3" t="s">
        <v>3</v>
      </c>
      <c r="AD3" t="s">
        <v>2</v>
      </c>
      <c r="AE3" t="s">
        <v>3</v>
      </c>
      <c r="AF3" t="s">
        <v>2</v>
      </c>
      <c r="AG3" t="s">
        <v>3</v>
      </c>
      <c r="AH3" t="s">
        <v>2</v>
      </c>
      <c r="AI3" t="s">
        <v>3</v>
      </c>
      <c r="AJ3" t="s">
        <v>2</v>
      </c>
      <c r="AK3" t="s">
        <v>3</v>
      </c>
      <c r="AL3" t="s">
        <v>2</v>
      </c>
      <c r="AM3" t="s">
        <v>3</v>
      </c>
      <c r="AN3" t="s">
        <v>2</v>
      </c>
      <c r="AO3" t="s">
        <v>3</v>
      </c>
      <c r="AP3" t="s">
        <v>2</v>
      </c>
      <c r="AQ3" t="s">
        <v>3</v>
      </c>
      <c r="AR3" t="s">
        <v>2</v>
      </c>
      <c r="AS3" t="s">
        <v>3</v>
      </c>
      <c r="AT3" t="s">
        <v>2</v>
      </c>
      <c r="AU3" t="s">
        <v>3</v>
      </c>
      <c r="AV3" t="s">
        <v>2</v>
      </c>
      <c r="AW3" t="s">
        <v>3</v>
      </c>
      <c r="AX3" t="s">
        <v>2</v>
      </c>
      <c r="AY3" t="s">
        <v>3</v>
      </c>
      <c r="AZ3" t="s">
        <v>2</v>
      </c>
      <c r="BA3" t="s">
        <v>3</v>
      </c>
      <c r="BB3" t="s">
        <v>2</v>
      </c>
      <c r="BC3" t="s">
        <v>3</v>
      </c>
      <c r="BD3" t="s">
        <v>2</v>
      </c>
      <c r="BE3" t="s">
        <v>3</v>
      </c>
      <c r="BF3" t="s">
        <v>2</v>
      </c>
      <c r="BG3" t="s">
        <v>3</v>
      </c>
      <c r="BH3" t="s">
        <v>2</v>
      </c>
      <c r="BI3" t="s">
        <v>3</v>
      </c>
      <c r="BJ3" t="s">
        <v>2</v>
      </c>
      <c r="BK3" t="s">
        <v>3</v>
      </c>
      <c r="BL3" t="s">
        <v>2</v>
      </c>
      <c r="BM3" t="s">
        <v>3</v>
      </c>
      <c r="BN3" t="s">
        <v>2</v>
      </c>
      <c r="BO3" t="s">
        <v>3</v>
      </c>
      <c r="BP3" t="s">
        <v>2</v>
      </c>
      <c r="BQ3" t="s">
        <v>3</v>
      </c>
      <c r="BR3" t="s">
        <v>2</v>
      </c>
      <c r="BS3" t="s">
        <v>3</v>
      </c>
      <c r="BT3" t="s">
        <v>2</v>
      </c>
      <c r="BU3" t="s">
        <v>3</v>
      </c>
      <c r="BV3" t="s">
        <v>2</v>
      </c>
      <c r="BW3" t="s">
        <v>3</v>
      </c>
      <c r="BX3" t="s">
        <v>2</v>
      </c>
      <c r="BY3" t="s">
        <v>3</v>
      </c>
      <c r="BZ3" t="s">
        <v>2</v>
      </c>
      <c r="CA3" t="s">
        <v>3</v>
      </c>
      <c r="CB3" t="s">
        <v>2</v>
      </c>
      <c r="CC3" t="s">
        <v>3</v>
      </c>
      <c r="CD3" t="s">
        <v>2</v>
      </c>
      <c r="CE3" t="s">
        <v>3</v>
      </c>
      <c r="CF3" t="s">
        <v>2</v>
      </c>
      <c r="CG3" t="s">
        <v>3</v>
      </c>
      <c r="CH3" t="s">
        <v>2</v>
      </c>
      <c r="CI3" t="s">
        <v>3</v>
      </c>
      <c r="CJ3" t="s">
        <v>2</v>
      </c>
      <c r="CK3" t="s">
        <v>3</v>
      </c>
      <c r="CL3" t="s">
        <v>2</v>
      </c>
      <c r="CM3" t="s">
        <v>3</v>
      </c>
      <c r="CN3" t="s">
        <v>2</v>
      </c>
      <c r="CO3" t="s">
        <v>3</v>
      </c>
      <c r="CP3" t="s">
        <v>2</v>
      </c>
      <c r="CQ3" t="s">
        <v>3</v>
      </c>
      <c r="CR3" t="s">
        <v>2</v>
      </c>
      <c r="CS3" t="s">
        <v>3</v>
      </c>
    </row>
    <row r="4" spans="1:192" x14ac:dyDescent="0.25">
      <c r="A4" s="8">
        <v>44201</v>
      </c>
      <c r="B4" s="7" t="s">
        <v>11</v>
      </c>
      <c r="C4">
        <f>0.4*0.4</f>
        <v>0.16000000000000003</v>
      </c>
      <c r="D4">
        <v>113</v>
      </c>
      <c r="E4" s="3">
        <v>25.8</v>
      </c>
      <c r="F4">
        <f>1+28</f>
        <v>29</v>
      </c>
      <c r="G4">
        <f>29.14+0.85</f>
        <v>29.990000000000002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X4">
        <v>3</v>
      </c>
      <c r="Y4">
        <v>0.6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811</v>
      </c>
      <c r="CS4">
        <f>148.55+192.88</f>
        <v>341.43</v>
      </c>
    </row>
    <row r="5" spans="1:192" x14ac:dyDescent="0.25">
      <c r="A5" s="8">
        <v>44201</v>
      </c>
      <c r="B5" s="7" t="s">
        <v>12</v>
      </c>
      <c r="C5">
        <f t="shared" ref="C5:C84" si="0">0.4*0.4</f>
        <v>0.16000000000000003</v>
      </c>
      <c r="D5">
        <v>64</v>
      </c>
      <c r="E5" s="3">
        <f>6.94+7.98</f>
        <v>14.920000000000002</v>
      </c>
      <c r="F5">
        <f>25+2</f>
        <v>27</v>
      </c>
      <c r="G5">
        <f>47.25+0.09</f>
        <v>47.34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811</v>
      </c>
      <c r="CS5">
        <f>CS$4</f>
        <v>341.43</v>
      </c>
    </row>
    <row r="6" spans="1:192" x14ac:dyDescent="0.25">
      <c r="A6" s="8">
        <v>44201</v>
      </c>
      <c r="B6" s="7" t="s">
        <v>13</v>
      </c>
      <c r="C6">
        <f t="shared" si="0"/>
        <v>0.16000000000000003</v>
      </c>
      <c r="D6">
        <v>119</v>
      </c>
      <c r="E6" s="3">
        <v>19</v>
      </c>
      <c r="F6">
        <v>5</v>
      </c>
      <c r="G6">
        <f>11.66+2.45</f>
        <v>14.11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X6">
        <v>2</v>
      </c>
      <c r="Y6">
        <v>0.1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811</v>
      </c>
      <c r="CS6">
        <f t="shared" ref="CS6:CS22" si="1">CS$4</f>
        <v>341.43</v>
      </c>
    </row>
    <row r="7" spans="1:192" x14ac:dyDescent="0.25">
      <c r="A7" s="8">
        <v>44201</v>
      </c>
      <c r="B7" s="7" t="s">
        <v>14</v>
      </c>
      <c r="C7">
        <f t="shared" si="0"/>
        <v>0.16000000000000003</v>
      </c>
      <c r="D7">
        <v>137</v>
      </c>
      <c r="E7" s="3">
        <v>22.99</v>
      </c>
      <c r="F7">
        <f>1+3</f>
        <v>4</v>
      </c>
      <c r="G7">
        <f>0.3+0.04</f>
        <v>0.33999999999999997</v>
      </c>
      <c r="H7">
        <v>1</v>
      </c>
      <c r="I7">
        <v>0.23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2</v>
      </c>
      <c r="AE7">
        <v>1.87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4</v>
      </c>
      <c r="AO7">
        <v>0.02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811</v>
      </c>
      <c r="CS7">
        <f t="shared" si="1"/>
        <v>341.43</v>
      </c>
    </row>
    <row r="8" spans="1:192" x14ac:dyDescent="0.25">
      <c r="A8" s="8">
        <v>44201</v>
      </c>
      <c r="B8" s="7" t="s">
        <v>15</v>
      </c>
      <c r="C8">
        <f t="shared" si="0"/>
        <v>0.16000000000000003</v>
      </c>
      <c r="D8">
        <v>205</v>
      </c>
      <c r="E8" s="3">
        <v>32.119999999999997</v>
      </c>
      <c r="F8">
        <f>3+5</f>
        <v>8</v>
      </c>
      <c r="G8">
        <f>0.08+0.07</f>
        <v>0.15000000000000002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811</v>
      </c>
      <c r="CS8">
        <f t="shared" si="1"/>
        <v>341.43</v>
      </c>
    </row>
    <row r="9" spans="1:192" x14ac:dyDescent="0.25">
      <c r="A9" s="8">
        <v>44201</v>
      </c>
      <c r="B9" s="7" t="s">
        <v>16</v>
      </c>
      <c r="C9">
        <f t="shared" si="0"/>
        <v>0.16000000000000003</v>
      </c>
      <c r="D9">
        <v>295</v>
      </c>
      <c r="E9" s="3">
        <v>22.34</v>
      </c>
      <c r="F9">
        <f>13+1</f>
        <v>14</v>
      </c>
      <c r="G9">
        <f>28.52+0.11</f>
        <v>28.63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811</v>
      </c>
      <c r="CS9">
        <f t="shared" si="1"/>
        <v>341.43</v>
      </c>
    </row>
    <row r="10" spans="1:192" x14ac:dyDescent="0.25">
      <c r="A10" s="8">
        <v>44201</v>
      </c>
      <c r="B10" s="7" t="s">
        <v>17</v>
      </c>
      <c r="C10">
        <f t="shared" si="0"/>
        <v>0.16000000000000003</v>
      </c>
      <c r="D10">
        <v>104</v>
      </c>
      <c r="E10" s="3">
        <v>16.350000000000001</v>
      </c>
      <c r="F10">
        <v>1</v>
      </c>
      <c r="G10">
        <v>0.1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X10">
        <v>1</v>
      </c>
      <c r="Y10">
        <v>0.08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1</v>
      </c>
      <c r="AI10">
        <v>1.56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1</v>
      </c>
      <c r="AQ10">
        <v>0.16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811</v>
      </c>
      <c r="CS10">
        <f t="shared" si="1"/>
        <v>341.43</v>
      </c>
    </row>
    <row r="11" spans="1:192" x14ac:dyDescent="0.25">
      <c r="A11" s="8">
        <v>44274</v>
      </c>
      <c r="B11" s="7" t="s">
        <v>73</v>
      </c>
      <c r="C11">
        <f t="shared" si="0"/>
        <v>0.16000000000000003</v>
      </c>
      <c r="D11">
        <v>80</v>
      </c>
      <c r="E11" s="3">
        <f>19.25-5.49</f>
        <v>13.76</v>
      </c>
      <c r="F11">
        <v>11</v>
      </c>
      <c r="G11">
        <f>27.98-10.57</f>
        <v>17.41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3</v>
      </c>
      <c r="AW11">
        <f>10.89-3.04</f>
        <v>7.8500000000000005</v>
      </c>
      <c r="AX11">
        <v>1</v>
      </c>
      <c r="AY11">
        <f>3-2.73</f>
        <v>0.27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811</v>
      </c>
      <c r="CS11">
        <f t="shared" si="1"/>
        <v>341.43</v>
      </c>
    </row>
    <row r="12" spans="1:192" x14ac:dyDescent="0.25">
      <c r="A12" s="8">
        <v>44274</v>
      </c>
      <c r="B12" s="7" t="s">
        <v>74</v>
      </c>
      <c r="C12">
        <f>0.45*0.4</f>
        <v>0.18000000000000002</v>
      </c>
      <c r="D12">
        <f>6+4+59+22+10+1+14</f>
        <v>116</v>
      </c>
      <c r="E12" s="3">
        <f>57.19-35.46</f>
        <v>21.729999999999997</v>
      </c>
      <c r="F12">
        <f>2+12</f>
        <v>14</v>
      </c>
      <c r="G12">
        <f>119.71-95.08+4.71-4.61</f>
        <v>24.729999999999997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X12">
        <v>1</v>
      </c>
      <c r="Y12">
        <f>4.92-4.59</f>
        <v>0.33000000000000007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1</v>
      </c>
      <c r="AI12">
        <f>64.52-43.29</f>
        <v>21.229999999999997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811</v>
      </c>
      <c r="CS12">
        <f t="shared" si="1"/>
        <v>341.43</v>
      </c>
    </row>
    <row r="13" spans="1:192" x14ac:dyDescent="0.25">
      <c r="A13" s="8">
        <v>44274</v>
      </c>
      <c r="B13" s="7" t="s">
        <v>75</v>
      </c>
      <c r="C13">
        <f t="shared" si="0"/>
        <v>0.16000000000000003</v>
      </c>
      <c r="D13">
        <f>59+32+6+4</f>
        <v>101</v>
      </c>
      <c r="E13" s="3">
        <f>22.9-5.5</f>
        <v>17.399999999999999</v>
      </c>
      <c r="F13">
        <f>3+6</f>
        <v>9</v>
      </c>
      <c r="G13">
        <f>110.15-70.51+4.6-4.59</f>
        <v>39.650000000000006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5</v>
      </c>
      <c r="AI13">
        <f>22.09-5.38</f>
        <v>16.71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811</v>
      </c>
      <c r="CS13">
        <f t="shared" si="1"/>
        <v>341.43</v>
      </c>
    </row>
    <row r="14" spans="1:192" x14ac:dyDescent="0.25">
      <c r="A14" s="8">
        <v>44275</v>
      </c>
      <c r="B14" s="7" t="s">
        <v>76</v>
      </c>
      <c r="C14">
        <f t="shared" si="0"/>
        <v>0.16000000000000003</v>
      </c>
      <c r="D14">
        <f>79+16+32+2</f>
        <v>129</v>
      </c>
      <c r="E14" s="3">
        <f>22.52-6.92</f>
        <v>15.6</v>
      </c>
      <c r="F14">
        <f>29</f>
        <v>29</v>
      </c>
      <c r="G14">
        <f>23.34-5.42</f>
        <v>17.920000000000002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1</v>
      </c>
      <c r="AM14">
        <f>39.61-5.41</f>
        <v>34.200000000000003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811</v>
      </c>
      <c r="CS14">
        <f t="shared" si="1"/>
        <v>341.43</v>
      </c>
    </row>
    <row r="15" spans="1:192" x14ac:dyDescent="0.25">
      <c r="A15" s="8">
        <v>44276</v>
      </c>
      <c r="B15" s="7" t="s">
        <v>83</v>
      </c>
      <c r="C15">
        <f t="shared" si="0"/>
        <v>0.16000000000000003</v>
      </c>
      <c r="D15">
        <f>63+35+2</f>
        <v>100</v>
      </c>
      <c r="E15">
        <f>16.77-5.55</f>
        <v>11.219999999999999</v>
      </c>
      <c r="F15">
        <v>6</v>
      </c>
      <c r="G15">
        <f>21.36-7.52</f>
        <v>13.84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1</v>
      </c>
      <c r="AM15">
        <f>10.4-5.82</f>
        <v>4.58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811</v>
      </c>
      <c r="CS15">
        <f t="shared" si="1"/>
        <v>341.43</v>
      </c>
    </row>
    <row r="16" spans="1:192" x14ac:dyDescent="0.25">
      <c r="A16" s="8">
        <v>44277</v>
      </c>
      <c r="B16" s="7" t="s">
        <v>84</v>
      </c>
      <c r="C16">
        <f t="shared" si="0"/>
        <v>0.16000000000000003</v>
      </c>
      <c r="D16">
        <f>70+39</f>
        <v>109</v>
      </c>
      <c r="E16" s="3">
        <f>22.14-4.58</f>
        <v>17.560000000000002</v>
      </c>
      <c r="F16">
        <v>9</v>
      </c>
      <c r="G16">
        <f>27.58-7.3</f>
        <v>20.279999999999998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811</v>
      </c>
      <c r="CS16">
        <f t="shared" si="1"/>
        <v>341.43</v>
      </c>
    </row>
    <row r="17" spans="1:97" x14ac:dyDescent="0.25">
      <c r="A17" s="8">
        <v>44281</v>
      </c>
      <c r="B17" s="7" t="s">
        <v>85</v>
      </c>
      <c r="C17">
        <f t="shared" si="0"/>
        <v>0.16000000000000003</v>
      </c>
      <c r="D17">
        <f>64+24</f>
        <v>88</v>
      </c>
      <c r="E17" s="3">
        <f>18.87-5.29</f>
        <v>13.580000000000002</v>
      </c>
      <c r="F17">
        <v>17</v>
      </c>
      <c r="G17">
        <f>130.18-95.7</f>
        <v>34.480000000000004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X17">
        <v>1</v>
      </c>
      <c r="Y17">
        <f>5.4-4.53</f>
        <v>0.87000000000000011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811</v>
      </c>
      <c r="CS17">
        <f t="shared" si="1"/>
        <v>341.43</v>
      </c>
    </row>
    <row r="18" spans="1:97" x14ac:dyDescent="0.25">
      <c r="A18" s="8">
        <v>44281</v>
      </c>
      <c r="B18" s="7" t="s">
        <v>86</v>
      </c>
      <c r="C18">
        <f t="shared" si="0"/>
        <v>0.16000000000000003</v>
      </c>
      <c r="D18">
        <f>62+12+7</f>
        <v>81</v>
      </c>
      <c r="E18" s="3">
        <f>14.8-5.35</f>
        <v>9.4500000000000011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X18">
        <v>1</v>
      </c>
      <c r="Y18" s="11"/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2</v>
      </c>
      <c r="AM18">
        <f>36.64-5.2</f>
        <v>31.44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811</v>
      </c>
      <c r="CS18">
        <f t="shared" si="1"/>
        <v>341.43</v>
      </c>
    </row>
    <row r="19" spans="1:97" x14ac:dyDescent="0.25">
      <c r="A19" s="8">
        <v>44282</v>
      </c>
      <c r="B19" s="7" t="s">
        <v>90</v>
      </c>
      <c r="C19">
        <f t="shared" si="0"/>
        <v>0.16000000000000003</v>
      </c>
      <c r="D19">
        <v>39</v>
      </c>
      <c r="E19" s="3">
        <f>4.88-4.61+6.78-3.01</f>
        <v>4.04</v>
      </c>
      <c r="F19">
        <v>7</v>
      </c>
      <c r="G19">
        <f>4.86-2.8</f>
        <v>2.0600000000000005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1</v>
      </c>
      <c r="Q19">
        <f>4.77-4.6</f>
        <v>0.16999999999999993</v>
      </c>
      <c r="X19">
        <v>5</v>
      </c>
      <c r="Y19">
        <f>4.55-3.42</f>
        <v>1.1299999999999999</v>
      </c>
      <c r="Z19">
        <v>0</v>
      </c>
      <c r="AA19">
        <v>0</v>
      </c>
      <c r="AB19">
        <v>0</v>
      </c>
      <c r="AC19">
        <v>0</v>
      </c>
      <c r="AD19">
        <v>2</v>
      </c>
      <c r="AE19">
        <f>4.42-2.79</f>
        <v>1.63</v>
      </c>
      <c r="AF19">
        <v>0</v>
      </c>
      <c r="AG19">
        <v>0</v>
      </c>
      <c r="AH19">
        <v>3</v>
      </c>
      <c r="AI19">
        <f>16.61-5.66+19.13-5.66</f>
        <v>24.419999999999998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1</v>
      </c>
      <c r="BA19">
        <f>43.82-7.61</f>
        <v>36.21</v>
      </c>
      <c r="BB19">
        <v>2</v>
      </c>
      <c r="BC19">
        <f>4.42-2.79</f>
        <v>1.63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811</v>
      </c>
      <c r="CS19">
        <f t="shared" si="1"/>
        <v>341.43</v>
      </c>
    </row>
    <row r="20" spans="1:97" x14ac:dyDescent="0.25">
      <c r="A20" s="8">
        <v>44282</v>
      </c>
      <c r="B20" s="7" t="s">
        <v>91</v>
      </c>
      <c r="C20">
        <f t="shared" si="0"/>
        <v>0.16000000000000003</v>
      </c>
      <c r="D20">
        <f>49+46+17+3</f>
        <v>115</v>
      </c>
      <c r="E20" s="3">
        <f>22.96-5.43</f>
        <v>17.53</v>
      </c>
      <c r="F20">
        <v>9</v>
      </c>
      <c r="G20">
        <f>3.76-3.44</f>
        <v>0.31999999999999984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2</v>
      </c>
      <c r="Q20">
        <f>18.38-7.66</f>
        <v>10.719999999999999</v>
      </c>
      <c r="X20">
        <v>6</v>
      </c>
      <c r="Y20">
        <f>7.88-5.92</f>
        <v>1.96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1</v>
      </c>
      <c r="AM20">
        <f>8.7-5.41</f>
        <v>3.2899999999999991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811</v>
      </c>
      <c r="CS20">
        <f t="shared" si="1"/>
        <v>341.43</v>
      </c>
    </row>
    <row r="21" spans="1:97" x14ac:dyDescent="0.25">
      <c r="A21" s="8">
        <v>44282</v>
      </c>
      <c r="B21" s="7" t="s">
        <v>92</v>
      </c>
      <c r="C21">
        <f t="shared" si="0"/>
        <v>0.16000000000000003</v>
      </c>
      <c r="D21">
        <f>56+62</f>
        <v>118</v>
      </c>
      <c r="E21" s="3">
        <f>20.53-5.66</f>
        <v>14.870000000000001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X21">
        <v>1</v>
      </c>
      <c r="Y21">
        <f>3.54-2.96</f>
        <v>0.58000000000000007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1</v>
      </c>
      <c r="AI21">
        <f>10.29-5.67</f>
        <v>4.6199999999999992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811</v>
      </c>
      <c r="CS21">
        <f t="shared" si="1"/>
        <v>341.43</v>
      </c>
    </row>
    <row r="22" spans="1:97" x14ac:dyDescent="0.25">
      <c r="A22" s="8">
        <v>44282</v>
      </c>
      <c r="B22" s="7" t="s">
        <v>93</v>
      </c>
      <c r="C22">
        <f t="shared" si="0"/>
        <v>0.16000000000000003</v>
      </c>
      <c r="D22">
        <f>61+27</f>
        <v>88</v>
      </c>
      <c r="E22" s="3">
        <f>22.84-5.67</f>
        <v>17.170000000000002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X22">
        <v>2</v>
      </c>
      <c r="Y22">
        <f>6.91-5.36</f>
        <v>1.5499999999999998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1</v>
      </c>
      <c r="AM22">
        <f>73.73-36.42</f>
        <v>37.31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811</v>
      </c>
      <c r="CS22">
        <f t="shared" si="1"/>
        <v>341.43</v>
      </c>
    </row>
    <row r="23" spans="1:97" x14ac:dyDescent="0.25">
      <c r="A23" s="8">
        <v>44201</v>
      </c>
      <c r="B23" s="7" t="s">
        <v>18</v>
      </c>
      <c r="C23">
        <f t="shared" si="0"/>
        <v>0.16000000000000003</v>
      </c>
      <c r="D23">
        <v>211</v>
      </c>
      <c r="E23" s="3">
        <v>23.46</v>
      </c>
      <c r="F23">
        <v>12</v>
      </c>
      <c r="G23">
        <v>0.1</v>
      </c>
      <c r="H23">
        <v>0</v>
      </c>
      <c r="I23">
        <v>0</v>
      </c>
      <c r="J23">
        <v>12</v>
      </c>
      <c r="K23">
        <v>0.55000000000000004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579</v>
      </c>
      <c r="CS23">
        <f>83.49+60.37+217.74</f>
        <v>361.6</v>
      </c>
    </row>
    <row r="24" spans="1:97" x14ac:dyDescent="0.25">
      <c r="A24" s="8">
        <v>44201</v>
      </c>
      <c r="B24" s="7" t="s">
        <v>19</v>
      </c>
      <c r="C24">
        <f t="shared" si="0"/>
        <v>0.16000000000000003</v>
      </c>
      <c r="D24">
        <v>95</v>
      </c>
      <c r="E24" s="3">
        <v>30.62</v>
      </c>
      <c r="F24">
        <v>38</v>
      </c>
      <c r="G24">
        <v>0.3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9</v>
      </c>
      <c r="Q24">
        <v>0.19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1</v>
      </c>
      <c r="AM24">
        <v>0.01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579</v>
      </c>
      <c r="CS24">
        <f>CS$23</f>
        <v>361.6</v>
      </c>
    </row>
    <row r="25" spans="1:97" x14ac:dyDescent="0.25">
      <c r="A25" s="8">
        <v>44201</v>
      </c>
      <c r="B25" s="7" t="s">
        <v>20</v>
      </c>
      <c r="C25">
        <f t="shared" si="0"/>
        <v>0.16000000000000003</v>
      </c>
      <c r="D25">
        <f>45+1+3+14+6+2</f>
        <v>71</v>
      </c>
      <c r="E25" s="3">
        <v>14.62</v>
      </c>
      <c r="F25">
        <v>53</v>
      </c>
      <c r="G25">
        <f>0.01+0.36</f>
        <v>0.37</v>
      </c>
      <c r="H25">
        <v>0</v>
      </c>
      <c r="I25">
        <v>0</v>
      </c>
      <c r="J25">
        <v>1</v>
      </c>
      <c r="K25">
        <v>0.04</v>
      </c>
      <c r="L25">
        <v>0</v>
      </c>
      <c r="M25">
        <v>0</v>
      </c>
      <c r="N25">
        <v>0</v>
      </c>
      <c r="O25">
        <v>0</v>
      </c>
      <c r="P25">
        <v>8</v>
      </c>
      <c r="Q25">
        <f>0.21+0.91</f>
        <v>1.1200000000000001</v>
      </c>
      <c r="X25">
        <v>1</v>
      </c>
      <c r="Y25">
        <v>0.28999999999999998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1</v>
      </c>
      <c r="AI25">
        <v>1.48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579</v>
      </c>
      <c r="CS25">
        <f t="shared" ref="CS25:CS53" si="2">CS$23</f>
        <v>361.6</v>
      </c>
    </row>
    <row r="26" spans="1:97" x14ac:dyDescent="0.25">
      <c r="A26" s="8">
        <v>44201</v>
      </c>
      <c r="B26" s="7" t="s">
        <v>21</v>
      </c>
      <c r="C26">
        <f t="shared" si="0"/>
        <v>0.16000000000000003</v>
      </c>
      <c r="D26">
        <v>42</v>
      </c>
      <c r="E26" s="3">
        <f>22.5+30.75</f>
        <v>53.25</v>
      </c>
      <c r="F26">
        <v>32</v>
      </c>
      <c r="G26">
        <v>0.28000000000000003</v>
      </c>
      <c r="H26">
        <v>1</v>
      </c>
      <c r="I26">
        <v>0.57999999999999996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18</v>
      </c>
      <c r="Q26">
        <v>3.46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1</v>
      </c>
      <c r="AG26">
        <v>0.04</v>
      </c>
      <c r="AH26">
        <v>0</v>
      </c>
      <c r="AI26">
        <v>0</v>
      </c>
      <c r="AJ26">
        <v>1</v>
      </c>
      <c r="AK26">
        <v>0.01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  <c r="CR26">
        <v>579</v>
      </c>
      <c r="CS26">
        <f t="shared" si="2"/>
        <v>361.6</v>
      </c>
    </row>
    <row r="27" spans="1:97" x14ac:dyDescent="0.25">
      <c r="A27" s="8">
        <v>44201</v>
      </c>
      <c r="B27" s="7" t="s">
        <v>22</v>
      </c>
      <c r="C27">
        <f t="shared" si="0"/>
        <v>0.16000000000000003</v>
      </c>
      <c r="D27">
        <v>49</v>
      </c>
      <c r="E27" s="3">
        <v>37.82</v>
      </c>
      <c r="F27">
        <v>1</v>
      </c>
      <c r="G27">
        <v>0.13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47</v>
      </c>
      <c r="Q27">
        <v>9.0500000000000007</v>
      </c>
      <c r="X27">
        <v>8</v>
      </c>
      <c r="Y27">
        <v>1.25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1</v>
      </c>
      <c r="AM27">
        <v>0.28000000000000003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579</v>
      </c>
      <c r="CS27">
        <f t="shared" si="2"/>
        <v>361.6</v>
      </c>
    </row>
    <row r="28" spans="1:97" x14ac:dyDescent="0.25">
      <c r="A28" s="8">
        <v>44201</v>
      </c>
      <c r="B28" s="7" t="s">
        <v>23</v>
      </c>
      <c r="C28">
        <f t="shared" si="0"/>
        <v>0.16000000000000003</v>
      </c>
      <c r="D28">
        <v>19</v>
      </c>
      <c r="E28" s="3">
        <v>2.61</v>
      </c>
      <c r="F28">
        <v>10</v>
      </c>
      <c r="G28">
        <v>0.08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129</v>
      </c>
      <c r="Q28">
        <v>13.29</v>
      </c>
      <c r="X28">
        <f>37+2</f>
        <v>39</v>
      </c>
      <c r="Y28">
        <f>4.44+0.62</f>
        <v>5.0600000000000005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1</v>
      </c>
      <c r="AG28">
        <v>0.01</v>
      </c>
      <c r="AH28">
        <v>2</v>
      </c>
      <c r="AI28">
        <v>0.34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  <c r="CR28">
        <v>579</v>
      </c>
      <c r="CS28">
        <f t="shared" si="2"/>
        <v>361.6</v>
      </c>
    </row>
    <row r="29" spans="1:97" x14ac:dyDescent="0.25">
      <c r="A29" s="8">
        <v>44201</v>
      </c>
      <c r="B29" s="7" t="s">
        <v>24</v>
      </c>
      <c r="C29">
        <f t="shared" si="0"/>
        <v>0.16000000000000003</v>
      </c>
      <c r="D29">
        <v>181</v>
      </c>
      <c r="E29" s="3">
        <v>30.75</v>
      </c>
      <c r="F29">
        <v>14</v>
      </c>
      <c r="G29">
        <v>0.44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57</v>
      </c>
      <c r="Q29">
        <v>3.65</v>
      </c>
      <c r="X29">
        <v>14</v>
      </c>
      <c r="Y29">
        <v>0.87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3</v>
      </c>
      <c r="AI29">
        <v>1.8</v>
      </c>
      <c r="AJ29">
        <v>0</v>
      </c>
      <c r="AK29">
        <v>0</v>
      </c>
      <c r="AL29">
        <v>1</v>
      </c>
      <c r="AM29">
        <v>1.89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579</v>
      </c>
      <c r="CS29">
        <f t="shared" si="2"/>
        <v>361.6</v>
      </c>
    </row>
    <row r="30" spans="1:97" x14ac:dyDescent="0.25">
      <c r="A30" s="8">
        <v>44266</v>
      </c>
      <c r="B30" s="7" t="s">
        <v>63</v>
      </c>
      <c r="C30">
        <f t="shared" si="0"/>
        <v>0.16000000000000003</v>
      </c>
      <c r="D30">
        <f>16+6+1</f>
        <v>23</v>
      </c>
      <c r="E30" s="3">
        <f>20.35-5.47</f>
        <v>14.880000000000003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6</v>
      </c>
      <c r="Q30">
        <f>3.3-2.91</f>
        <v>0.38999999999999968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6</v>
      </c>
      <c r="AI30">
        <f>240.9-63.77</f>
        <v>177.13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579</v>
      </c>
      <c r="CS30">
        <f t="shared" si="2"/>
        <v>361.6</v>
      </c>
    </row>
    <row r="31" spans="1:97" x14ac:dyDescent="0.25">
      <c r="A31" s="8">
        <v>44266</v>
      </c>
      <c r="B31" s="7" t="s">
        <v>64</v>
      </c>
      <c r="C31">
        <f t="shared" si="0"/>
        <v>0.16000000000000003</v>
      </c>
      <c r="D31">
        <f>14+3+8+2</f>
        <v>27</v>
      </c>
      <c r="E31" s="3">
        <f>24.03-5.17</f>
        <v>18.86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f>7+1+1+3</f>
        <v>12</v>
      </c>
      <c r="Q31">
        <f>5.5-4.63</f>
        <v>0.87000000000000011</v>
      </c>
      <c r="X31">
        <v>6</v>
      </c>
      <c r="Y31">
        <f>4.63-4.58</f>
        <v>4.9999999999999822E-2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579</v>
      </c>
      <c r="CS31">
        <f t="shared" si="2"/>
        <v>361.6</v>
      </c>
    </row>
    <row r="32" spans="1:97" x14ac:dyDescent="0.25">
      <c r="A32" s="8">
        <v>44266</v>
      </c>
      <c r="B32" s="7" t="s">
        <v>65</v>
      </c>
      <c r="C32">
        <f t="shared" si="0"/>
        <v>0.16000000000000003</v>
      </c>
      <c r="D32">
        <f>8+9+2+3+1</f>
        <v>23</v>
      </c>
      <c r="E32" s="3">
        <f>20.64-7.61</f>
        <v>13.030000000000001</v>
      </c>
      <c r="F32">
        <f>6+9+1</f>
        <v>16</v>
      </c>
      <c r="G32">
        <f>4.63-4.59</f>
        <v>4.0000000000000036E-2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f>9+1+3+1+1+1+4</f>
        <v>20</v>
      </c>
      <c r="Q32">
        <f>11.19-5.82</f>
        <v>5.3699999999999992</v>
      </c>
      <c r="X32">
        <f>8+8+10+2</f>
        <v>28</v>
      </c>
      <c r="Y32">
        <f>6.62-4.63</f>
        <v>1.9900000000000002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2</v>
      </c>
      <c r="AG32">
        <f>9.18-5.64</f>
        <v>3.54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579</v>
      </c>
      <c r="CS32">
        <f t="shared" si="2"/>
        <v>361.6</v>
      </c>
    </row>
    <row r="33" spans="1:97" x14ac:dyDescent="0.25">
      <c r="A33" s="8">
        <v>44266</v>
      </c>
      <c r="B33" s="7" t="s">
        <v>66</v>
      </c>
      <c r="C33">
        <f t="shared" si="0"/>
        <v>0.16000000000000003</v>
      </c>
      <c r="D33">
        <f>13+12+10+1+2+5</f>
        <v>43</v>
      </c>
      <c r="E33" s="3">
        <f>19.78-6.98</f>
        <v>12.8</v>
      </c>
      <c r="F33">
        <v>1</v>
      </c>
      <c r="G33">
        <f>4.59-4.58</f>
        <v>9.9999999999997868E-3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f>9+7+9+3+2+2</f>
        <v>32</v>
      </c>
      <c r="Q33">
        <f>21.94-5.23</f>
        <v>16.71</v>
      </c>
      <c r="X33">
        <f>7+4</f>
        <v>11</v>
      </c>
      <c r="Y33">
        <f>5.82-4.6</f>
        <v>1.2200000000000006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3</v>
      </c>
      <c r="AI33">
        <f>99.55-34.5</f>
        <v>65.05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579</v>
      </c>
      <c r="CS33">
        <f t="shared" si="2"/>
        <v>361.6</v>
      </c>
    </row>
    <row r="34" spans="1:97" x14ac:dyDescent="0.25">
      <c r="A34" s="8">
        <v>44282</v>
      </c>
      <c r="B34" s="7" t="s">
        <v>88</v>
      </c>
      <c r="C34">
        <f t="shared" si="0"/>
        <v>0.16000000000000003</v>
      </c>
      <c r="D34">
        <f>12+7+1+6+8+3+4</f>
        <v>41</v>
      </c>
      <c r="E34" s="3">
        <f>16.65-7.63</f>
        <v>9.02</v>
      </c>
      <c r="F34">
        <v>12</v>
      </c>
      <c r="G34">
        <f>4.7-4.62</f>
        <v>8.0000000000000071E-2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f>10+2+2+2+2+1</f>
        <v>19</v>
      </c>
      <c r="Q34">
        <f>37.83-5.65</f>
        <v>32.18</v>
      </c>
      <c r="X34">
        <f>21+13+6+2</f>
        <v>42</v>
      </c>
      <c r="Y34">
        <f>6.12-4.63</f>
        <v>1.4900000000000002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1</v>
      </c>
      <c r="AG34">
        <f>4.91-4.59</f>
        <v>0.32000000000000028</v>
      </c>
      <c r="AH34">
        <v>4</v>
      </c>
      <c r="AI34">
        <f>15.64-5.33</f>
        <v>10.31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579</v>
      </c>
      <c r="CS34">
        <f t="shared" si="2"/>
        <v>361.6</v>
      </c>
    </row>
    <row r="35" spans="1:97" x14ac:dyDescent="0.25">
      <c r="A35" s="8">
        <v>44282</v>
      </c>
      <c r="B35" s="7" t="s">
        <v>89</v>
      </c>
      <c r="C35">
        <f t="shared" si="0"/>
        <v>0.16000000000000003</v>
      </c>
      <c r="D35">
        <f>8</f>
        <v>8</v>
      </c>
      <c r="E35" s="3">
        <f>8.22-4.82</f>
        <v>3.4000000000000004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f>29+6+17</f>
        <v>52</v>
      </c>
      <c r="Q35">
        <f>43.03-5.75</f>
        <v>37.28</v>
      </c>
      <c r="X35">
        <f>29+8+9</f>
        <v>46</v>
      </c>
      <c r="Y35">
        <f>6.08-3.21</f>
        <v>2.87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2</v>
      </c>
      <c r="AI35">
        <f>21.51-10.51</f>
        <v>11.000000000000002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579</v>
      </c>
      <c r="CS35">
        <f t="shared" si="2"/>
        <v>361.6</v>
      </c>
    </row>
    <row r="36" spans="1:97" x14ac:dyDescent="0.25">
      <c r="A36" s="8">
        <v>44283</v>
      </c>
      <c r="B36" s="7" t="s">
        <v>115</v>
      </c>
      <c r="C36">
        <f t="shared" si="0"/>
        <v>0.16000000000000003</v>
      </c>
      <c r="D36">
        <v>0</v>
      </c>
      <c r="E36" s="3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f>21+33</f>
        <v>54</v>
      </c>
      <c r="Q36">
        <f>87.59-7.62</f>
        <v>79.97</v>
      </c>
      <c r="X36">
        <v>7</v>
      </c>
      <c r="Y36">
        <f>3.58-3.1</f>
        <v>0.48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579</v>
      </c>
      <c r="CS36">
        <f t="shared" si="2"/>
        <v>361.6</v>
      </c>
    </row>
    <row r="37" spans="1:97" x14ac:dyDescent="0.25">
      <c r="A37" s="8">
        <v>44284</v>
      </c>
      <c r="B37" s="7" t="s">
        <v>116</v>
      </c>
      <c r="C37">
        <f>0.4*0.5</f>
        <v>0.2</v>
      </c>
      <c r="D37">
        <v>6</v>
      </c>
      <c r="E37" s="3">
        <f>3.48-3.25</f>
        <v>0.22999999999999998</v>
      </c>
      <c r="F37">
        <f>9+3+5</f>
        <v>17</v>
      </c>
      <c r="G37">
        <f>5.06-4.39</f>
        <v>0.66999999999999993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f>8+15+7</f>
        <v>30</v>
      </c>
      <c r="Q37">
        <f>77.74-7.63</f>
        <v>70.11</v>
      </c>
      <c r="X37">
        <v>30</v>
      </c>
      <c r="Y37">
        <f>9.14-5.67</f>
        <v>3.4700000000000006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1</v>
      </c>
      <c r="AG37">
        <f>5.56-5.19</f>
        <v>0.36999999999999922</v>
      </c>
      <c r="AH37">
        <v>2</v>
      </c>
      <c r="AI37">
        <f>18.44-5.35</f>
        <v>13.090000000000002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3</v>
      </c>
      <c r="BI37">
        <f>6.3-5.34</f>
        <v>0.96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  <c r="CQ37">
        <v>0</v>
      </c>
      <c r="CR37">
        <v>579</v>
      </c>
      <c r="CS37">
        <f t="shared" si="2"/>
        <v>361.6</v>
      </c>
    </row>
    <row r="38" spans="1:97" x14ac:dyDescent="0.25">
      <c r="A38" s="8">
        <v>44285</v>
      </c>
      <c r="B38" s="7" t="s">
        <v>117</v>
      </c>
      <c r="C38">
        <f>0.4*0.3</f>
        <v>0.12</v>
      </c>
      <c r="D38">
        <f>15+2+3</f>
        <v>20</v>
      </c>
      <c r="E38" s="3">
        <f>5.37-2.86</f>
        <v>2.5100000000000002</v>
      </c>
      <c r="F38">
        <v>10</v>
      </c>
      <c r="G38">
        <f>4.76-4.64</f>
        <v>0.12000000000000011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f>10+10+2</f>
        <v>22</v>
      </c>
      <c r="Q38">
        <f>96.66-7.37</f>
        <v>89.289999999999992</v>
      </c>
      <c r="X38">
        <v>2</v>
      </c>
      <c r="Y38">
        <f>5-4.64</f>
        <v>0.36000000000000032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1</v>
      </c>
      <c r="BI38">
        <f>3.42-3.38</f>
        <v>4.0000000000000036E-2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579</v>
      </c>
      <c r="CS38">
        <f t="shared" si="2"/>
        <v>361.6</v>
      </c>
    </row>
    <row r="39" spans="1:97" x14ac:dyDescent="0.25">
      <c r="A39" s="8">
        <v>44286</v>
      </c>
      <c r="B39" s="7" t="s">
        <v>118</v>
      </c>
      <c r="C39">
        <f>0.5*0.5</f>
        <v>0.25</v>
      </c>
      <c r="D39">
        <v>7</v>
      </c>
      <c r="E39" s="3">
        <f>8.05-5.89</f>
        <v>2.160000000000001</v>
      </c>
      <c r="F39">
        <v>45</v>
      </c>
      <c r="G39">
        <f>121.85-49.65</f>
        <v>72.199999999999989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7</v>
      </c>
      <c r="Q39">
        <f>13.8-5.75</f>
        <v>8.0500000000000007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2</v>
      </c>
      <c r="AI39">
        <f>5.76-5.7</f>
        <v>5.9999999999999609E-2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579</v>
      </c>
      <c r="CS39">
        <f t="shared" si="2"/>
        <v>361.6</v>
      </c>
    </row>
    <row r="40" spans="1:97" x14ac:dyDescent="0.25">
      <c r="A40" s="8">
        <v>44298</v>
      </c>
      <c r="B40" s="7" t="s">
        <v>120</v>
      </c>
      <c r="C40">
        <f>0.5*0.3</f>
        <v>0.15</v>
      </c>
      <c r="D40">
        <v>1</v>
      </c>
      <c r="E40" s="3">
        <f>4.66-4.61</f>
        <v>4.9999999999999822E-2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71</v>
      </c>
      <c r="Q40">
        <f>150.76-59.18</f>
        <v>91.579999999999984</v>
      </c>
      <c r="X40">
        <v>26</v>
      </c>
      <c r="Y40">
        <f>5.83-4.63</f>
        <v>1.2000000000000002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579</v>
      </c>
      <c r="CS40">
        <f t="shared" si="2"/>
        <v>361.6</v>
      </c>
    </row>
    <row r="41" spans="1:97" x14ac:dyDescent="0.25">
      <c r="A41" s="8">
        <v>44298</v>
      </c>
      <c r="B41" s="7" t="s">
        <v>121</v>
      </c>
      <c r="C41">
        <f>0.5*0.3</f>
        <v>0.15</v>
      </c>
      <c r="D41">
        <v>5</v>
      </c>
      <c r="E41" s="3">
        <f>4.66-4.61</f>
        <v>4.9999999999999822E-2</v>
      </c>
      <c r="F41">
        <v>35</v>
      </c>
      <c r="G41">
        <f>6.4-4.62</f>
        <v>1.7800000000000002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25</v>
      </c>
      <c r="Q41">
        <f>51.22-5.78</f>
        <v>45.44</v>
      </c>
      <c r="X41">
        <v>4</v>
      </c>
      <c r="Y41">
        <f>4.86-4.65</f>
        <v>0.20999999999999996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5</v>
      </c>
      <c r="AI41">
        <f>4.8-4.6</f>
        <v>0.20000000000000018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1</v>
      </c>
      <c r="BI41">
        <f>4.67-4.61</f>
        <v>5.9999999999999609E-2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0</v>
      </c>
      <c r="CR41">
        <v>579</v>
      </c>
      <c r="CS41">
        <f t="shared" si="2"/>
        <v>361.6</v>
      </c>
    </row>
    <row r="42" spans="1:97" x14ac:dyDescent="0.25">
      <c r="A42" s="8">
        <v>44301</v>
      </c>
      <c r="B42" s="7" t="s">
        <v>122</v>
      </c>
      <c r="C42">
        <f t="shared" ref="C42" si="3">0.5*0.3</f>
        <v>0.15</v>
      </c>
      <c r="D42">
        <v>0</v>
      </c>
      <c r="E42">
        <v>0</v>
      </c>
      <c r="F42">
        <f>1+24+3-6</f>
        <v>22</v>
      </c>
      <c r="G42">
        <f>15.01-5.79</f>
        <v>9.2199999999999989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26</v>
      </c>
      <c r="Q42">
        <f>21.59-5.41</f>
        <v>16.18</v>
      </c>
      <c r="X42">
        <v>7</v>
      </c>
      <c r="Y42">
        <f>3.89-3.42</f>
        <v>0.4700000000000002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3</v>
      </c>
      <c r="AI42">
        <f>29.82-5.67</f>
        <v>24.15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 s="11">
        <f>4.69-4.61</f>
        <v>8.0000000000000071E-2</v>
      </c>
      <c r="BJ42">
        <v>6</v>
      </c>
      <c r="BK42">
        <f>4.57-4.43</f>
        <v>0.14000000000000057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580</v>
      </c>
      <c r="CS42">
        <f t="shared" si="2"/>
        <v>361.6</v>
      </c>
    </row>
    <row r="43" spans="1:97" x14ac:dyDescent="0.25">
      <c r="A43" s="8">
        <v>44301</v>
      </c>
      <c r="B43" s="7" t="s">
        <v>123</v>
      </c>
      <c r="C43">
        <f>0.5*0.25</f>
        <v>0.125</v>
      </c>
      <c r="D43">
        <v>0</v>
      </c>
      <c r="E43">
        <v>0</v>
      </c>
      <c r="F43">
        <v>8</v>
      </c>
      <c r="G43">
        <f>2.97-2.77</f>
        <v>0.20000000000000018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9</v>
      </c>
      <c r="Q43">
        <f>18.2-5.65</f>
        <v>12.549999999999999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4</v>
      </c>
      <c r="AI43">
        <f>21.32-5.74</f>
        <v>15.58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5</v>
      </c>
      <c r="BI43">
        <f>4.7-4.69</f>
        <v>9.9999999999997868E-3</v>
      </c>
      <c r="BJ43">
        <v>6</v>
      </c>
      <c r="BK43">
        <f>5.68-5.53</f>
        <v>0.14999999999999947</v>
      </c>
      <c r="BL43">
        <v>6</v>
      </c>
      <c r="BM43">
        <f>2.24-2.2</f>
        <v>4.0000000000000036E-2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  <c r="CQ43">
        <v>0</v>
      </c>
      <c r="CR43">
        <v>581</v>
      </c>
      <c r="CS43">
        <f t="shared" si="2"/>
        <v>361.6</v>
      </c>
    </row>
    <row r="44" spans="1:97" x14ac:dyDescent="0.25">
      <c r="A44" s="8">
        <v>44317</v>
      </c>
      <c r="B44" s="7" t="s">
        <v>124</v>
      </c>
      <c r="C44">
        <f>0.6*0.3</f>
        <v>0.18</v>
      </c>
      <c r="D44">
        <v>0</v>
      </c>
      <c r="E44">
        <v>0</v>
      </c>
      <c r="F44">
        <v>21</v>
      </c>
      <c r="G44">
        <f>41.99-7.63</f>
        <v>34.36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20</v>
      </c>
      <c r="Q44">
        <f>56.03-5.74</f>
        <v>50.29</v>
      </c>
      <c r="X44">
        <v>5</v>
      </c>
      <c r="Y44">
        <f>6.72-5.46</f>
        <v>1.2599999999999998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3</v>
      </c>
      <c r="AI44">
        <f>24.13-5.68</f>
        <v>18.45</v>
      </c>
      <c r="AJ44">
        <v>0</v>
      </c>
      <c r="AK44">
        <v>0</v>
      </c>
      <c r="AL44">
        <v>4</v>
      </c>
      <c r="AM44">
        <f>7.36-5.49</f>
        <v>1.87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9</v>
      </c>
      <c r="BK44">
        <f>5.66-5.38</f>
        <v>0.28000000000000025</v>
      </c>
      <c r="BL44">
        <v>74</v>
      </c>
      <c r="BM44">
        <f>3.33-3.21</f>
        <v>0.12000000000000011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</v>
      </c>
      <c r="CQ44">
        <v>0</v>
      </c>
      <c r="CR44">
        <v>582</v>
      </c>
      <c r="CS44">
        <f t="shared" si="2"/>
        <v>361.6</v>
      </c>
    </row>
    <row r="45" spans="1:97" x14ac:dyDescent="0.25">
      <c r="A45" s="8">
        <v>44302</v>
      </c>
      <c r="B45" s="7" t="s">
        <v>136</v>
      </c>
      <c r="C45">
        <f>0.5*0.7</f>
        <v>0.35</v>
      </c>
      <c r="D45">
        <f>17</f>
        <v>17</v>
      </c>
      <c r="E45">
        <f>6.13-5.45</f>
        <v>0.67999999999999972</v>
      </c>
      <c r="F45">
        <v>35</v>
      </c>
      <c r="G45">
        <f>8.47-7.2</f>
        <v>1.2700000000000005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f>14+2+3</f>
        <v>19</v>
      </c>
      <c r="Q45">
        <f>64.57-7.38</f>
        <v>57.189999999999991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1</v>
      </c>
      <c r="AG45">
        <f>6.2-5.09</f>
        <v>1.1100000000000003</v>
      </c>
      <c r="AH45">
        <v>11</v>
      </c>
      <c r="AI45">
        <f>7.57-5.62</f>
        <v>1.9500000000000002</v>
      </c>
      <c r="AJ45">
        <v>0</v>
      </c>
      <c r="AK45">
        <v>0</v>
      </c>
      <c r="AL45">
        <v>1</v>
      </c>
      <c r="AM45">
        <f>7.88-5.13</f>
        <v>2.75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2</v>
      </c>
      <c r="BA45">
        <f>185.01-48.65</f>
        <v>136.35999999999999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  <c r="CR45">
        <v>582</v>
      </c>
      <c r="CS45">
        <f t="shared" si="2"/>
        <v>361.6</v>
      </c>
    </row>
    <row r="46" spans="1:97" x14ac:dyDescent="0.25">
      <c r="A46" s="8">
        <v>44282</v>
      </c>
      <c r="B46" s="7" t="s">
        <v>94</v>
      </c>
      <c r="C46">
        <f t="shared" si="0"/>
        <v>0.16000000000000003</v>
      </c>
      <c r="D46">
        <f>40+21+13</f>
        <v>74</v>
      </c>
      <c r="E46" s="3">
        <f>22.7-5.81</f>
        <v>16.89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1</v>
      </c>
      <c r="AG46">
        <f>4.67-4.58</f>
        <v>8.9999999999999858E-2</v>
      </c>
      <c r="AH46">
        <v>0</v>
      </c>
      <c r="AI46">
        <v>0</v>
      </c>
      <c r="AJ46">
        <v>0</v>
      </c>
      <c r="AK46">
        <v>0</v>
      </c>
      <c r="AL46">
        <v>1</v>
      </c>
      <c r="AM46">
        <f>131.13-62.88</f>
        <v>68.25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  <c r="CQ46">
        <v>0</v>
      </c>
      <c r="CR46">
        <v>579</v>
      </c>
      <c r="CS46">
        <f t="shared" si="2"/>
        <v>361.6</v>
      </c>
    </row>
    <row r="47" spans="1:97" x14ac:dyDescent="0.25">
      <c r="A47" s="8">
        <v>44282</v>
      </c>
      <c r="B47" s="7" t="s">
        <v>95</v>
      </c>
      <c r="C47">
        <f>0.5*0.5</f>
        <v>0.25</v>
      </c>
      <c r="D47">
        <f>15+31</f>
        <v>46</v>
      </c>
      <c r="E47" s="3">
        <f>36.55-5.78</f>
        <v>30.769999999999996</v>
      </c>
      <c r="F47">
        <v>6</v>
      </c>
      <c r="G47">
        <f>10.42-5.72</f>
        <v>4.7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2</v>
      </c>
      <c r="AM47">
        <f>273.78-89.76</f>
        <v>184.01999999999998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  <c r="CQ47">
        <v>0</v>
      </c>
      <c r="CR47">
        <v>579</v>
      </c>
      <c r="CS47">
        <f t="shared" si="2"/>
        <v>361.6</v>
      </c>
    </row>
    <row r="48" spans="1:97" x14ac:dyDescent="0.25">
      <c r="A48" s="8">
        <v>44282</v>
      </c>
      <c r="B48" s="7" t="s">
        <v>96</v>
      </c>
      <c r="C48">
        <f t="shared" si="0"/>
        <v>0.16000000000000003</v>
      </c>
      <c r="D48">
        <v>28</v>
      </c>
      <c r="E48" s="3">
        <f>29.96-6.01</f>
        <v>23.950000000000003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  <c r="CR48">
        <v>579</v>
      </c>
      <c r="CS48">
        <f t="shared" si="2"/>
        <v>361.6</v>
      </c>
    </row>
    <row r="49" spans="1:97" x14ac:dyDescent="0.25">
      <c r="A49" s="8">
        <v>44305</v>
      </c>
      <c r="B49" s="7" t="s">
        <v>128</v>
      </c>
      <c r="C49">
        <f t="shared" si="0"/>
        <v>0.16000000000000003</v>
      </c>
      <c r="D49">
        <v>25</v>
      </c>
      <c r="E49" s="3">
        <f>7.93-3.21</f>
        <v>4.72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X49">
        <v>2</v>
      </c>
      <c r="Y49">
        <f>4.71-4.62</f>
        <v>8.9999999999999858E-2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3</v>
      </c>
      <c r="AM49">
        <f>246.9-58.76</f>
        <v>188.14000000000001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4</v>
      </c>
      <c r="BG49">
        <f>5.02-4.6</f>
        <v>0.41999999999999993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0</v>
      </c>
      <c r="CR49">
        <v>579</v>
      </c>
      <c r="CS49">
        <f t="shared" si="2"/>
        <v>361.6</v>
      </c>
    </row>
    <row r="50" spans="1:97" x14ac:dyDescent="0.25">
      <c r="A50" s="8">
        <v>44306</v>
      </c>
      <c r="B50" s="7" t="s">
        <v>129</v>
      </c>
      <c r="C50">
        <f>0.7*0.85</f>
        <v>0.59499999999999997</v>
      </c>
      <c r="D50">
        <v>8</v>
      </c>
      <c r="E50" s="3">
        <f>5.16-2.86</f>
        <v>2.3000000000000003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X50">
        <v>1</v>
      </c>
      <c r="Y50">
        <f>4.74-4.62</f>
        <v>0.12000000000000011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1</v>
      </c>
      <c r="AM50">
        <f>400.27-45.63+316.87-70.75+197.67-35.79+199.1-49.43+295.84-45.63</f>
        <v>1162.52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4</v>
      </c>
      <c r="BG50">
        <f>3.5-2.77</f>
        <v>0.73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  <c r="CR50">
        <v>579</v>
      </c>
      <c r="CS50">
        <f t="shared" si="2"/>
        <v>361.6</v>
      </c>
    </row>
    <row r="51" spans="1:97" x14ac:dyDescent="0.25">
      <c r="A51" s="8">
        <v>44309</v>
      </c>
      <c r="B51" s="7" t="s">
        <v>130</v>
      </c>
      <c r="C51">
        <f>0.5*0.5</f>
        <v>0.25</v>
      </c>
      <c r="D51">
        <v>6</v>
      </c>
      <c r="E51" s="12">
        <f>4.79-4.63</f>
        <v>0.16000000000000014</v>
      </c>
      <c r="F51">
        <f>40+30+22+7+15</f>
        <v>114</v>
      </c>
      <c r="G51">
        <f>45.97-10.86</f>
        <v>35.11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X51">
        <v>13</v>
      </c>
      <c r="Y51">
        <f>9.29-5.55</f>
        <v>3.7399999999999993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7</v>
      </c>
      <c r="AI51">
        <f>4.68-4.6</f>
        <v>8.0000000000000071E-2</v>
      </c>
      <c r="AJ51">
        <v>0</v>
      </c>
      <c r="AK51">
        <v>0</v>
      </c>
      <c r="AL51">
        <v>2</v>
      </c>
      <c r="AM51">
        <f>32.25-5.28</f>
        <v>26.97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  <c r="CR51">
        <v>579</v>
      </c>
      <c r="CS51">
        <f t="shared" si="2"/>
        <v>361.6</v>
      </c>
    </row>
    <row r="52" spans="1:97" x14ac:dyDescent="0.25">
      <c r="A52" s="8">
        <v>44310</v>
      </c>
      <c r="B52" s="7" t="s">
        <v>131</v>
      </c>
      <c r="C52">
        <f>0.6*0.6</f>
        <v>0.36</v>
      </c>
      <c r="D52">
        <v>0</v>
      </c>
      <c r="E52" s="3">
        <v>0</v>
      </c>
      <c r="F52">
        <f>9+2+33+59</f>
        <v>103</v>
      </c>
      <c r="G52">
        <f>174.05-94.9+34.99-7.74</f>
        <v>106.40000000000002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X52">
        <f>19+2+1</f>
        <v>22</v>
      </c>
      <c r="Y52">
        <f>13.01-5.87</f>
        <v>7.14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1</v>
      </c>
      <c r="AI52">
        <f>3.53-3.52</f>
        <v>9.9999999999997868E-3</v>
      </c>
      <c r="AJ52">
        <v>0</v>
      </c>
      <c r="AK52">
        <v>0</v>
      </c>
      <c r="AL52">
        <v>1</v>
      </c>
      <c r="AM52">
        <f>12.06-5.55</f>
        <v>6.5100000000000007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2</v>
      </c>
      <c r="BK52">
        <f>5.57-5.47</f>
        <v>0.10000000000000053</v>
      </c>
      <c r="BL52">
        <v>0</v>
      </c>
      <c r="BM52">
        <v>0</v>
      </c>
      <c r="BN52">
        <v>3</v>
      </c>
      <c r="BO52">
        <f>4.75-4.66</f>
        <v>8.9999999999999858E-2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  <c r="CR52">
        <v>579</v>
      </c>
      <c r="CS52">
        <f t="shared" si="2"/>
        <v>361.6</v>
      </c>
    </row>
    <row r="53" spans="1:97" x14ac:dyDescent="0.25">
      <c r="A53" s="8">
        <v>44310</v>
      </c>
      <c r="B53" s="7" t="s">
        <v>132</v>
      </c>
      <c r="C53">
        <f t="shared" si="0"/>
        <v>0.16000000000000003</v>
      </c>
      <c r="D53">
        <v>10</v>
      </c>
      <c r="E53" s="3">
        <f>5.01-4.67</f>
        <v>0.33999999999999986</v>
      </c>
      <c r="F53">
        <f>38+47</f>
        <v>85</v>
      </c>
      <c r="G53">
        <f>4.2-3.63</f>
        <v>0.57000000000000028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1</v>
      </c>
      <c r="BA53">
        <f>77.2-10.52</f>
        <v>66.680000000000007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8</v>
      </c>
      <c r="BK53">
        <f>4.54-4.4</f>
        <v>0.13999999999999968</v>
      </c>
      <c r="BL53">
        <v>0</v>
      </c>
      <c r="BM53">
        <v>0</v>
      </c>
      <c r="BN53">
        <v>1</v>
      </c>
      <c r="BO53">
        <f>3.05-2.85</f>
        <v>0.19999999999999973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  <c r="CR53">
        <v>579</v>
      </c>
      <c r="CS53">
        <f t="shared" si="2"/>
        <v>361.6</v>
      </c>
    </row>
    <row r="54" spans="1:97" x14ac:dyDescent="0.25">
      <c r="A54" s="8">
        <v>44200</v>
      </c>
      <c r="B54" s="7" t="s">
        <v>25</v>
      </c>
      <c r="C54">
        <f t="shared" si="0"/>
        <v>0.16000000000000003</v>
      </c>
      <c r="D54">
        <v>550</v>
      </c>
      <c r="E54" s="3">
        <v>32.14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29</v>
      </c>
      <c r="O54">
        <v>8.93</v>
      </c>
      <c r="P54">
        <v>0</v>
      </c>
      <c r="Q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1</v>
      </c>
      <c r="AK54">
        <v>0.43</v>
      </c>
      <c r="AL54">
        <v>23</v>
      </c>
      <c r="AM54">
        <v>4.13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  <c r="CQ54">
        <v>0</v>
      </c>
      <c r="CR54">
        <v>0</v>
      </c>
      <c r="CS54">
        <v>0</v>
      </c>
    </row>
    <row r="55" spans="1:97" x14ac:dyDescent="0.25">
      <c r="A55" s="8">
        <v>44213</v>
      </c>
      <c r="B55" s="7" t="s">
        <v>37</v>
      </c>
      <c r="C55">
        <f t="shared" si="0"/>
        <v>0.16000000000000003</v>
      </c>
      <c r="D55">
        <v>566</v>
      </c>
      <c r="E55" s="3">
        <v>32.340000000000003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X55">
        <v>2</v>
      </c>
      <c r="Y55">
        <v>0.44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17</v>
      </c>
      <c r="AM55">
        <v>3.01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0</v>
      </c>
    </row>
    <row r="56" spans="1:97" x14ac:dyDescent="0.25">
      <c r="A56" s="8">
        <v>44323</v>
      </c>
      <c r="B56" s="7" t="s">
        <v>147</v>
      </c>
      <c r="C56">
        <f>0.6*0.6</f>
        <v>0.36</v>
      </c>
      <c r="D56">
        <v>4</v>
      </c>
      <c r="E56" s="3">
        <v>0.1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X56">
        <v>145</v>
      </c>
      <c r="Y56">
        <v>5.73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2</v>
      </c>
      <c r="AI56">
        <v>0.33</v>
      </c>
      <c r="AJ56">
        <v>0</v>
      </c>
      <c r="AK56">
        <v>0</v>
      </c>
      <c r="AL56">
        <v>13</v>
      </c>
      <c r="AM56">
        <v>167.87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18</v>
      </c>
      <c r="AU56">
        <v>5.12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0</v>
      </c>
      <c r="CS56">
        <v>0</v>
      </c>
    </row>
    <row r="57" spans="1:97" x14ac:dyDescent="0.25">
      <c r="A57" s="8">
        <v>44323</v>
      </c>
      <c r="B57" s="7" t="s">
        <v>148</v>
      </c>
      <c r="C57">
        <f t="shared" ref="C57:C58" si="4">0.6*0.6</f>
        <v>0.36</v>
      </c>
      <c r="D57">
        <f>20+5+4+1+3+2+3</f>
        <v>38</v>
      </c>
      <c r="E57" s="3">
        <v>0.48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X57">
        <f>8+12+3+11+12+20+16+2+7+2+7+2+1+4</f>
        <v>107</v>
      </c>
      <c r="Y57">
        <v>4.92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1</v>
      </c>
      <c r="AI57">
        <v>0.04</v>
      </c>
      <c r="AJ57">
        <v>1</v>
      </c>
      <c r="AK57">
        <v>0.01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2</v>
      </c>
      <c r="AU57">
        <v>0.05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  <c r="CQ57">
        <v>0</v>
      </c>
      <c r="CR57">
        <v>0</v>
      </c>
      <c r="CS57">
        <v>0</v>
      </c>
    </row>
    <row r="58" spans="1:97" x14ac:dyDescent="0.25">
      <c r="A58" s="8">
        <v>44323</v>
      </c>
      <c r="B58" s="7" t="s">
        <v>149</v>
      </c>
      <c r="C58">
        <f t="shared" si="4"/>
        <v>0.36</v>
      </c>
      <c r="D58">
        <f>1+7+2+10+5+5+2+4+1</f>
        <v>37</v>
      </c>
      <c r="E58" s="3">
        <v>3.86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X58">
        <f>80+14+10+1+8+6+6+4</f>
        <v>129</v>
      </c>
      <c r="Y58">
        <v>8.49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9</v>
      </c>
      <c r="AI58">
        <v>12.82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3</v>
      </c>
      <c r="AU58">
        <v>1.52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  <c r="CQ58">
        <v>0</v>
      </c>
      <c r="CR58">
        <v>0</v>
      </c>
      <c r="CS58">
        <v>0</v>
      </c>
    </row>
    <row r="59" spans="1:97" x14ac:dyDescent="0.25">
      <c r="A59" s="8">
        <v>44213</v>
      </c>
      <c r="B59" s="7" t="s">
        <v>38</v>
      </c>
      <c r="C59">
        <f t="shared" si="0"/>
        <v>0.16000000000000003</v>
      </c>
      <c r="D59">
        <f>16+1+14+25+21+52+4</f>
        <v>133</v>
      </c>
      <c r="E59" s="3">
        <v>19.559999999999999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10</v>
      </c>
      <c r="O59">
        <v>3.55</v>
      </c>
      <c r="P59">
        <v>0</v>
      </c>
      <c r="Q59">
        <v>0</v>
      </c>
      <c r="X59">
        <f>2+2+3+1+1+1+2+3</f>
        <v>15</v>
      </c>
      <c r="Y59">
        <v>1.1499999999999999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1</v>
      </c>
      <c r="AK59" s="10">
        <v>0.72</v>
      </c>
      <c r="AL59">
        <f>28+6+11+2+1</f>
        <v>48</v>
      </c>
      <c r="AM59">
        <v>27.82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</row>
    <row r="60" spans="1:97" x14ac:dyDescent="0.25">
      <c r="A60" s="8">
        <v>44230</v>
      </c>
      <c r="B60" s="7" t="s">
        <v>50</v>
      </c>
      <c r="C60">
        <f t="shared" si="0"/>
        <v>0.16000000000000003</v>
      </c>
      <c r="D60">
        <f>4+6+8+5+3+11+3+8+8+13</f>
        <v>69</v>
      </c>
      <c r="E60" s="3">
        <v>25.54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f>4+2+1+2+4+1+1+1+1</f>
        <v>17</v>
      </c>
      <c r="O60">
        <v>16.57</v>
      </c>
      <c r="P60">
        <v>0</v>
      </c>
      <c r="Q60">
        <v>0</v>
      </c>
      <c r="X60">
        <v>4</v>
      </c>
      <c r="Y60">
        <v>1.63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1</v>
      </c>
      <c r="AK60">
        <v>0.65</v>
      </c>
      <c r="AL60">
        <f>2+1+1+11+3+1+5+8</f>
        <v>32</v>
      </c>
      <c r="AM60">
        <v>52.69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</row>
    <row r="61" spans="1:97" x14ac:dyDescent="0.25">
      <c r="A61" s="8">
        <v>44234</v>
      </c>
      <c r="B61" s="7" t="s">
        <v>52</v>
      </c>
      <c r="C61">
        <f t="shared" si="0"/>
        <v>0.16000000000000003</v>
      </c>
      <c r="D61">
        <f>9+12+7+4+10+16+1</f>
        <v>59</v>
      </c>
      <c r="E61" s="3">
        <v>12.77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f>6+2</f>
        <v>8</v>
      </c>
      <c r="O61">
        <v>10.11</v>
      </c>
      <c r="P61">
        <v>0</v>
      </c>
      <c r="Q61">
        <v>0</v>
      </c>
      <c r="X61">
        <v>1</v>
      </c>
      <c r="Y61">
        <v>0.04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1</v>
      </c>
      <c r="AK61">
        <v>3.56</v>
      </c>
      <c r="AL61">
        <f>4+2+3+1</f>
        <v>10</v>
      </c>
      <c r="AM61">
        <v>15.34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</row>
    <row r="62" spans="1:97" x14ac:dyDescent="0.25">
      <c r="A62" s="8">
        <v>44234</v>
      </c>
      <c r="B62" s="7" t="s">
        <v>53</v>
      </c>
      <c r="C62">
        <f t="shared" si="0"/>
        <v>0.16000000000000003</v>
      </c>
      <c r="D62">
        <f>27+40+46+18</f>
        <v>131</v>
      </c>
      <c r="E62" s="3">
        <v>24.89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X62">
        <v>2</v>
      </c>
      <c r="Y62">
        <v>7.0000000000000007E-2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  <c r="CQ62">
        <v>0</v>
      </c>
      <c r="CR62">
        <v>0</v>
      </c>
      <c r="CS62">
        <v>0</v>
      </c>
    </row>
    <row r="63" spans="1:97" x14ac:dyDescent="0.25">
      <c r="A63" s="8">
        <v>44235</v>
      </c>
      <c r="B63" s="7" t="s">
        <v>54</v>
      </c>
      <c r="C63">
        <f t="shared" si="0"/>
        <v>0.16000000000000003</v>
      </c>
      <c r="D63">
        <f>60+40+26+18+13+12+20</f>
        <v>189</v>
      </c>
      <c r="E63" s="3">
        <v>31.84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X63">
        <v>1</v>
      </c>
      <c r="Y63">
        <v>0.44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0</v>
      </c>
      <c r="CR63">
        <v>0</v>
      </c>
      <c r="CS63">
        <v>0</v>
      </c>
    </row>
    <row r="64" spans="1:97" x14ac:dyDescent="0.25">
      <c r="A64" s="8">
        <v>44243</v>
      </c>
      <c r="B64" s="7" t="s">
        <v>55</v>
      </c>
      <c r="C64">
        <f t="shared" si="0"/>
        <v>0.16000000000000003</v>
      </c>
      <c r="D64">
        <f>38+38+80+47+55+40</f>
        <v>298</v>
      </c>
      <c r="E64" s="3">
        <v>39.04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2</v>
      </c>
      <c r="AK64">
        <v>3.19</v>
      </c>
      <c r="AL64">
        <f>5+2+2+6</f>
        <v>15</v>
      </c>
      <c r="AM64">
        <v>4.5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0</v>
      </c>
      <c r="CR64">
        <v>0</v>
      </c>
      <c r="CS64">
        <v>0</v>
      </c>
    </row>
    <row r="65" spans="1:97" x14ac:dyDescent="0.25">
      <c r="A65" s="8">
        <v>44249</v>
      </c>
      <c r="B65" s="7" t="s">
        <v>56</v>
      </c>
      <c r="C65">
        <f t="shared" si="0"/>
        <v>0.16000000000000003</v>
      </c>
      <c r="D65">
        <f>11+2+45+67+21+33+13+29+1+29</f>
        <v>251</v>
      </c>
      <c r="E65" s="3">
        <v>36.56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X65">
        <v>2</v>
      </c>
      <c r="Y65">
        <f>3.07-3.03</f>
        <v>4.0000000000000036E-2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f>2+2+1+1</f>
        <v>6</v>
      </c>
      <c r="AM65">
        <v>7.79</v>
      </c>
      <c r="AN65">
        <v>0</v>
      </c>
      <c r="AO65">
        <v>0</v>
      </c>
      <c r="AP65">
        <v>0</v>
      </c>
      <c r="AQ65">
        <v>0</v>
      </c>
      <c r="AR65">
        <v>1</v>
      </c>
      <c r="AS65">
        <v>2.44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0</v>
      </c>
      <c r="CR65">
        <v>0</v>
      </c>
      <c r="CS65">
        <v>0</v>
      </c>
    </row>
    <row r="66" spans="1:97" x14ac:dyDescent="0.25">
      <c r="A66" s="8">
        <v>44249</v>
      </c>
      <c r="B66" s="7" t="s">
        <v>57</v>
      </c>
      <c r="C66">
        <f t="shared" si="0"/>
        <v>0.16000000000000003</v>
      </c>
      <c r="D66">
        <f>11+16+14+34+10+21+19+18+16</f>
        <v>159</v>
      </c>
      <c r="E66" s="3">
        <v>28.74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f>5</f>
        <v>5</v>
      </c>
      <c r="AM66">
        <v>41.62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>
        <v>0</v>
      </c>
      <c r="CR66">
        <v>0</v>
      </c>
      <c r="CS66">
        <v>0</v>
      </c>
    </row>
    <row r="67" spans="1:97" x14ac:dyDescent="0.25">
      <c r="A67" s="8">
        <v>44261</v>
      </c>
      <c r="B67" s="7" t="s">
        <v>59</v>
      </c>
      <c r="C67">
        <f t="shared" si="0"/>
        <v>0.16000000000000003</v>
      </c>
      <c r="D67">
        <f>14+11+25+7+17+9+11+5+13+14+8</f>
        <v>134</v>
      </c>
      <c r="E67" s="3">
        <f>33.61-10.71</f>
        <v>22.9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1</v>
      </c>
      <c r="AM67">
        <f>8.18-5.37</f>
        <v>2.8099999999999996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  <c r="CR67">
        <v>0</v>
      </c>
      <c r="CS67">
        <v>0</v>
      </c>
    </row>
    <row r="68" spans="1:97" x14ac:dyDescent="0.25">
      <c r="A68" s="8">
        <v>44261</v>
      </c>
      <c r="B68" s="7" t="s">
        <v>60</v>
      </c>
      <c r="C68">
        <f t="shared" si="0"/>
        <v>0.16000000000000003</v>
      </c>
      <c r="D68">
        <f>10+24+16+16+10+9</f>
        <v>85</v>
      </c>
      <c r="E68" s="3">
        <f>34.5-11.25</f>
        <v>23.25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f>2+1+5+1</f>
        <v>9</v>
      </c>
      <c r="O68">
        <v>39.369999999999997</v>
      </c>
      <c r="P68">
        <v>0</v>
      </c>
      <c r="Q68">
        <v>0</v>
      </c>
      <c r="X68">
        <v>1</v>
      </c>
      <c r="Y68">
        <f>3.03-3</f>
        <v>2.9999999999999805E-2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f>2+10+1</f>
        <v>13</v>
      </c>
      <c r="AM68">
        <v>86.38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</v>
      </c>
      <c r="CR68">
        <v>0</v>
      </c>
      <c r="CS68">
        <v>0</v>
      </c>
    </row>
    <row r="69" spans="1:97" x14ac:dyDescent="0.25">
      <c r="A69" s="8">
        <v>44262</v>
      </c>
      <c r="B69" s="7" t="s">
        <v>61</v>
      </c>
      <c r="C69">
        <f t="shared" si="0"/>
        <v>0.16000000000000003</v>
      </c>
      <c r="D69">
        <f>165+8</f>
        <v>173</v>
      </c>
      <c r="E69" s="3">
        <v>48.95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X69">
        <f>2+13+3</f>
        <v>18</v>
      </c>
      <c r="Y69">
        <v>0.27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  <c r="CQ69">
        <v>0</v>
      </c>
      <c r="CR69">
        <v>0</v>
      </c>
      <c r="CS69">
        <v>0</v>
      </c>
    </row>
    <row r="70" spans="1:97" x14ac:dyDescent="0.25">
      <c r="A70" s="8">
        <v>44262</v>
      </c>
      <c r="B70" s="7" t="s">
        <v>62</v>
      </c>
      <c r="C70">
        <f t="shared" si="0"/>
        <v>0.16000000000000003</v>
      </c>
      <c r="D70">
        <f>18+25+49+2+27+33+9</f>
        <v>163</v>
      </c>
      <c r="E70" s="3">
        <f>20.12+30.04</f>
        <v>50.16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5</v>
      </c>
      <c r="O70">
        <v>30.01</v>
      </c>
      <c r="P70">
        <v>0</v>
      </c>
      <c r="Q70">
        <v>0</v>
      </c>
      <c r="X70">
        <v>1</v>
      </c>
      <c r="Y70">
        <v>0.01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3</v>
      </c>
      <c r="AM70">
        <v>11.96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1</v>
      </c>
      <c r="AU70">
        <v>2.6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0</v>
      </c>
      <c r="CQ70">
        <v>0</v>
      </c>
      <c r="CR70">
        <v>0</v>
      </c>
      <c r="CS70">
        <v>0</v>
      </c>
    </row>
    <row r="71" spans="1:97" x14ac:dyDescent="0.25">
      <c r="A71" s="8">
        <v>44271</v>
      </c>
      <c r="B71" s="7" t="s">
        <v>70</v>
      </c>
      <c r="C71">
        <f t="shared" si="0"/>
        <v>0.16000000000000003</v>
      </c>
      <c r="D71">
        <f>12+16+2</f>
        <v>30</v>
      </c>
      <c r="E71" s="3">
        <f>12.58-5.16</f>
        <v>7.42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2</v>
      </c>
      <c r="O71">
        <f>19.28-7.03</f>
        <v>12.25</v>
      </c>
      <c r="P71">
        <v>0</v>
      </c>
      <c r="Q71">
        <v>0</v>
      </c>
      <c r="X71">
        <v>2</v>
      </c>
      <c r="Y71">
        <f>2.19-2.11</f>
        <v>8.0000000000000071E-2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1</v>
      </c>
      <c r="AI71">
        <f>15.28-7.42</f>
        <v>7.8599999999999994</v>
      </c>
      <c r="AJ71">
        <v>0</v>
      </c>
      <c r="AK71">
        <v>0</v>
      </c>
      <c r="AL71">
        <v>7</v>
      </c>
      <c r="AM71">
        <f>171.49-62.6</f>
        <v>108.89000000000001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0</v>
      </c>
      <c r="CQ71">
        <v>0</v>
      </c>
      <c r="CR71">
        <v>0</v>
      </c>
      <c r="CS71">
        <v>0</v>
      </c>
    </row>
    <row r="72" spans="1:97" x14ac:dyDescent="0.25">
      <c r="A72" s="8">
        <v>44271</v>
      </c>
      <c r="B72" s="7" t="s">
        <v>71</v>
      </c>
      <c r="C72">
        <f t="shared" si="0"/>
        <v>0.16000000000000003</v>
      </c>
      <c r="D72">
        <f>10</f>
        <v>10</v>
      </c>
      <c r="E72" s="3">
        <f>11.48-10.58</f>
        <v>0.90000000000000036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1</v>
      </c>
      <c r="O72">
        <f>16.94-5.37</f>
        <v>11.57</v>
      </c>
      <c r="P72">
        <v>0</v>
      </c>
      <c r="Q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1</v>
      </c>
      <c r="AI72">
        <f>7.28-5.28</f>
        <v>2</v>
      </c>
      <c r="AJ72">
        <v>1</v>
      </c>
      <c r="AK72">
        <f>8.25-5.19</f>
        <v>3.0599999999999996</v>
      </c>
      <c r="AL72">
        <v>6</v>
      </c>
      <c r="AM72">
        <f>129.29-67.52</f>
        <v>61.769999999999996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0</v>
      </c>
      <c r="CP72">
        <v>0</v>
      </c>
      <c r="CQ72">
        <v>0</v>
      </c>
      <c r="CR72">
        <v>0</v>
      </c>
      <c r="CS72">
        <v>0</v>
      </c>
    </row>
    <row r="73" spans="1:97" x14ac:dyDescent="0.25">
      <c r="A73" s="8">
        <v>44271</v>
      </c>
      <c r="B73" s="7" t="s">
        <v>72</v>
      </c>
      <c r="C73">
        <f t="shared" si="0"/>
        <v>0.16000000000000003</v>
      </c>
      <c r="D73">
        <f>39+8</f>
        <v>47</v>
      </c>
      <c r="E73" s="3">
        <f>16.61-7.56</f>
        <v>9.0500000000000007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1</v>
      </c>
      <c r="O73">
        <f>11.07-5.85</f>
        <v>5.2200000000000006</v>
      </c>
      <c r="P73">
        <v>0</v>
      </c>
      <c r="Q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4</v>
      </c>
      <c r="AK73">
        <f>31.25-5.29</f>
        <v>25.96</v>
      </c>
      <c r="AL73">
        <v>2</v>
      </c>
      <c r="AM73">
        <f>66.83-45.06</f>
        <v>21.769999999999996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  <c r="CQ73">
        <v>0</v>
      </c>
      <c r="CR73">
        <v>0</v>
      </c>
      <c r="CS73">
        <v>0</v>
      </c>
    </row>
    <row r="74" spans="1:97" x14ac:dyDescent="0.25">
      <c r="A74" s="8">
        <v>44277</v>
      </c>
      <c r="B74" s="7" t="s">
        <v>77</v>
      </c>
      <c r="C74">
        <f t="shared" si="0"/>
        <v>0.16000000000000003</v>
      </c>
      <c r="D74">
        <f>25+11+4</f>
        <v>40</v>
      </c>
      <c r="E74" s="3">
        <f>17.39-10.29</f>
        <v>7.1000000000000014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1</v>
      </c>
      <c r="O74">
        <f>5.98-5.24</f>
        <v>0.74000000000000021</v>
      </c>
      <c r="P74">
        <v>0</v>
      </c>
      <c r="Q74">
        <v>0</v>
      </c>
      <c r="X74">
        <v>12</v>
      </c>
      <c r="Y74">
        <f>3.11-2.98</f>
        <v>0.12999999999999989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2</v>
      </c>
      <c r="AK74">
        <f>21.61-7.62</f>
        <v>13.989999999999998</v>
      </c>
      <c r="AL74">
        <v>5</v>
      </c>
      <c r="AM74">
        <f>132.57-48.87</f>
        <v>83.699999999999989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1</v>
      </c>
      <c r="AU74">
        <f>4.29-3.18</f>
        <v>1.1099999999999999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0</v>
      </c>
      <c r="CP74">
        <v>0</v>
      </c>
      <c r="CQ74">
        <v>0</v>
      </c>
      <c r="CR74">
        <v>0</v>
      </c>
      <c r="CS74">
        <v>0</v>
      </c>
    </row>
    <row r="75" spans="1:97" x14ac:dyDescent="0.25">
      <c r="A75" s="8">
        <v>44277</v>
      </c>
      <c r="B75" s="7" t="s">
        <v>78</v>
      </c>
      <c r="C75">
        <f t="shared" si="0"/>
        <v>0.16000000000000003</v>
      </c>
      <c r="D75">
        <f>41+38+4+30+9</f>
        <v>122</v>
      </c>
      <c r="E75" s="3">
        <f>62.29-34.25</f>
        <v>28.04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X75">
        <v>3</v>
      </c>
      <c r="Y75">
        <f>4.64-4.6</f>
        <v>4.0000000000000036E-2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4</v>
      </c>
      <c r="AK75">
        <f>114.37-77.81</f>
        <v>36.56</v>
      </c>
      <c r="AL75">
        <v>3</v>
      </c>
      <c r="AM75">
        <f>29.78-5.4</f>
        <v>24.380000000000003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0</v>
      </c>
      <c r="CQ75">
        <v>0</v>
      </c>
      <c r="CR75">
        <v>0</v>
      </c>
      <c r="CS75">
        <v>0</v>
      </c>
    </row>
    <row r="76" spans="1:97" x14ac:dyDescent="0.25">
      <c r="A76" s="8">
        <v>44279</v>
      </c>
      <c r="B76" s="7" t="s">
        <v>79</v>
      </c>
      <c r="C76">
        <f t="shared" si="0"/>
        <v>0.16000000000000003</v>
      </c>
      <c r="D76">
        <f>21+17+16</f>
        <v>54</v>
      </c>
      <c r="E76" s="3">
        <f>15.08-7.29</f>
        <v>7.79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1</v>
      </c>
      <c r="M76">
        <f>253.98-67.17</f>
        <v>186.81</v>
      </c>
      <c r="N76">
        <v>0</v>
      </c>
      <c r="O76">
        <v>0</v>
      </c>
      <c r="P76">
        <v>0</v>
      </c>
      <c r="Q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3</v>
      </c>
      <c r="AK76">
        <f>10.28-5.22</f>
        <v>5.0599999999999996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0</v>
      </c>
      <c r="CP76">
        <v>0</v>
      </c>
      <c r="CQ76">
        <v>0</v>
      </c>
      <c r="CR76">
        <v>0</v>
      </c>
      <c r="CS76">
        <v>0</v>
      </c>
    </row>
    <row r="77" spans="1:97" x14ac:dyDescent="0.25">
      <c r="A77" s="8">
        <v>44279</v>
      </c>
      <c r="B77" s="7" t="s">
        <v>80</v>
      </c>
      <c r="C77">
        <f t="shared" si="0"/>
        <v>0.16000000000000003</v>
      </c>
      <c r="D77">
        <v>9</v>
      </c>
      <c r="E77" s="3">
        <f>7-5.18</f>
        <v>1.8200000000000003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X77">
        <v>2</v>
      </c>
      <c r="Y77">
        <f>2.18-2.16</f>
        <v>2.0000000000000018E-2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4</v>
      </c>
      <c r="AM77">
        <f>136.97-45.11</f>
        <v>91.86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0</v>
      </c>
      <c r="CQ77">
        <v>0</v>
      </c>
      <c r="CR77">
        <v>0</v>
      </c>
      <c r="CS77">
        <v>0</v>
      </c>
    </row>
    <row r="78" spans="1:97" x14ac:dyDescent="0.25">
      <c r="A78" s="8">
        <v>44282</v>
      </c>
      <c r="B78" s="7" t="s">
        <v>97</v>
      </c>
      <c r="C78">
        <f t="shared" si="0"/>
        <v>0.16000000000000003</v>
      </c>
      <c r="D78">
        <v>32</v>
      </c>
      <c r="E78" s="3">
        <f>10.98-5.48</f>
        <v>5.5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1</v>
      </c>
      <c r="O78">
        <f>10.67-4.4</f>
        <v>6.27</v>
      </c>
      <c r="P78">
        <v>0</v>
      </c>
      <c r="Q78">
        <v>0</v>
      </c>
      <c r="X78">
        <v>1</v>
      </c>
      <c r="Y78">
        <f>4.64-4.63</f>
        <v>9.9999999999997868E-3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1</v>
      </c>
      <c r="AK78">
        <f>5.19-4.58</f>
        <v>0.61000000000000032</v>
      </c>
      <c r="AL78">
        <v>4</v>
      </c>
      <c r="AM78">
        <f>195.82-69.43</f>
        <v>126.38999999999999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0</v>
      </c>
      <c r="CP78">
        <v>0</v>
      </c>
      <c r="CQ78">
        <v>0</v>
      </c>
      <c r="CR78">
        <v>0</v>
      </c>
      <c r="CS78">
        <v>0</v>
      </c>
    </row>
    <row r="79" spans="1:97" x14ac:dyDescent="0.25">
      <c r="A79" s="8">
        <v>44283</v>
      </c>
      <c r="B79" s="7" t="s">
        <v>99</v>
      </c>
      <c r="C79">
        <f t="shared" si="0"/>
        <v>0.16000000000000003</v>
      </c>
      <c r="D79">
        <v>13</v>
      </c>
      <c r="E79" s="3">
        <f>7.43-5.57</f>
        <v>1.8599999999999994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X79">
        <v>4</v>
      </c>
      <c r="Y79">
        <f>2.22-2.18</f>
        <v>4.0000000000000036E-2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2</v>
      </c>
      <c r="AK79">
        <f>7.4-5.2</f>
        <v>2.2000000000000002</v>
      </c>
      <c r="AL79">
        <v>6</v>
      </c>
      <c r="AM79">
        <f>183.22-59.07</f>
        <v>124.15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0</v>
      </c>
      <c r="CQ79">
        <v>0</v>
      </c>
      <c r="CR79">
        <v>0</v>
      </c>
      <c r="CS79">
        <v>0</v>
      </c>
    </row>
    <row r="80" spans="1:97" x14ac:dyDescent="0.25">
      <c r="A80" s="8">
        <v>44283</v>
      </c>
      <c r="B80" s="7" t="s">
        <v>100</v>
      </c>
      <c r="C80">
        <f t="shared" si="0"/>
        <v>0.16000000000000003</v>
      </c>
      <c r="D80">
        <v>21</v>
      </c>
      <c r="E80" s="3">
        <f>11.59-7.4</f>
        <v>4.1899999999999995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4</v>
      </c>
      <c r="O80">
        <f>74.16-34.65</f>
        <v>39.51</v>
      </c>
      <c r="P80">
        <v>0</v>
      </c>
      <c r="Q80">
        <v>0</v>
      </c>
      <c r="X80">
        <v>7</v>
      </c>
      <c r="Y80">
        <f>3.16-3.09</f>
        <v>7.0000000000000284E-2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11</v>
      </c>
      <c r="AM80">
        <f>190.35-77.91+144.66-49.08</f>
        <v>208.02000000000004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0</v>
      </c>
      <c r="CP80">
        <v>0</v>
      </c>
      <c r="CQ80">
        <v>0</v>
      </c>
      <c r="CR80">
        <v>0</v>
      </c>
      <c r="CS80">
        <v>0</v>
      </c>
    </row>
    <row r="81" spans="1:97" x14ac:dyDescent="0.25">
      <c r="A81" s="8">
        <v>44283</v>
      </c>
      <c r="B81" s="7" t="s">
        <v>101</v>
      </c>
      <c r="C81">
        <f t="shared" si="0"/>
        <v>0.16000000000000003</v>
      </c>
      <c r="D81">
        <v>8</v>
      </c>
      <c r="E81" s="3">
        <f>8.48-6.99</f>
        <v>1.4900000000000002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6</v>
      </c>
      <c r="O81">
        <f>24.83-7.28</f>
        <v>17.549999999999997</v>
      </c>
      <c r="P81">
        <v>0</v>
      </c>
      <c r="Q81">
        <v>0</v>
      </c>
      <c r="X81">
        <v>4</v>
      </c>
      <c r="Y81">
        <f>2.81-2.72</f>
        <v>8.9999999999999858E-2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1</v>
      </c>
      <c r="AK81">
        <f>11-5.32</f>
        <v>5.68</v>
      </c>
      <c r="AL81">
        <v>3</v>
      </c>
      <c r="AM81">
        <f>109.96-46.58</f>
        <v>63.379999999999995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0</v>
      </c>
      <c r="CR81">
        <v>0</v>
      </c>
      <c r="CS81">
        <v>0</v>
      </c>
    </row>
    <row r="82" spans="1:97" x14ac:dyDescent="0.25">
      <c r="A82" s="8">
        <v>44288</v>
      </c>
      <c r="B82" s="7" t="s">
        <v>103</v>
      </c>
      <c r="C82">
        <f t="shared" si="0"/>
        <v>0.16000000000000003</v>
      </c>
      <c r="D82">
        <v>8</v>
      </c>
      <c r="E82" s="3">
        <f>4.89-3.01</f>
        <v>1.88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5</v>
      </c>
      <c r="O82">
        <f>46.32-5.3</f>
        <v>41.02</v>
      </c>
      <c r="P82">
        <v>0</v>
      </c>
      <c r="Q82">
        <v>0</v>
      </c>
      <c r="X82">
        <f>26+35</f>
        <v>61</v>
      </c>
      <c r="Y82">
        <f>5.82-4.63</f>
        <v>1.1900000000000004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1</v>
      </c>
      <c r="AI82">
        <f>19.94-5.68</f>
        <v>14.260000000000002</v>
      </c>
      <c r="AJ82">
        <v>0</v>
      </c>
      <c r="AK82">
        <v>0</v>
      </c>
      <c r="AL82">
        <v>10</v>
      </c>
      <c r="AM82">
        <f>183.74-95.43</f>
        <v>88.31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0</v>
      </c>
      <c r="CP82">
        <v>0</v>
      </c>
      <c r="CQ82">
        <v>0</v>
      </c>
      <c r="CR82">
        <v>0</v>
      </c>
      <c r="CS82">
        <v>0</v>
      </c>
    </row>
    <row r="83" spans="1:97" x14ac:dyDescent="0.25">
      <c r="A83" s="8">
        <v>44288</v>
      </c>
      <c r="B83" s="7" t="s">
        <v>104</v>
      </c>
      <c r="C83">
        <f t="shared" si="0"/>
        <v>0.16000000000000003</v>
      </c>
      <c r="D83">
        <v>14</v>
      </c>
      <c r="E83" s="3">
        <f>11.65-5.83</f>
        <v>5.82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4</v>
      </c>
      <c r="O83">
        <f>35.89-7.66</f>
        <v>28.23</v>
      </c>
      <c r="P83">
        <v>0</v>
      </c>
      <c r="Q83">
        <v>0</v>
      </c>
      <c r="X83">
        <v>1</v>
      </c>
      <c r="Y83">
        <f>4.67-4.63</f>
        <v>4.0000000000000036E-2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1</v>
      </c>
      <c r="AI83">
        <f>7.73-5.66</f>
        <v>2.0700000000000003</v>
      </c>
      <c r="AJ83">
        <v>0</v>
      </c>
      <c r="AK83">
        <v>0</v>
      </c>
      <c r="AL83">
        <v>9</v>
      </c>
      <c r="AM83">
        <f>193.5-63.32</f>
        <v>130.18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0</v>
      </c>
      <c r="CP83">
        <v>0</v>
      </c>
      <c r="CQ83">
        <v>0</v>
      </c>
      <c r="CR83">
        <v>0</v>
      </c>
      <c r="CS83">
        <v>0</v>
      </c>
    </row>
    <row r="84" spans="1:97" x14ac:dyDescent="0.25">
      <c r="A84" s="8">
        <v>44289</v>
      </c>
      <c r="B84" s="7" t="s">
        <v>105</v>
      </c>
      <c r="C84">
        <f t="shared" si="0"/>
        <v>0.16000000000000003</v>
      </c>
      <c r="D84">
        <v>23</v>
      </c>
      <c r="E84" s="3">
        <f>13.43-5.5</f>
        <v>7.93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2</v>
      </c>
      <c r="O84">
        <f>45.41-5.67</f>
        <v>39.739999999999995</v>
      </c>
      <c r="P84">
        <v>0</v>
      </c>
      <c r="Q84">
        <v>0</v>
      </c>
      <c r="X84">
        <v>11</v>
      </c>
      <c r="Y84">
        <f>3.01-2.93</f>
        <v>7.9999999999999627E-2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1</v>
      </c>
      <c r="AM84">
        <f>106.18-35.84</f>
        <v>70.34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1</v>
      </c>
      <c r="BE84">
        <f>4.74-4.61</f>
        <v>0.12999999999999989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0</v>
      </c>
      <c r="CQ84">
        <v>0</v>
      </c>
      <c r="CR84">
        <v>0</v>
      </c>
      <c r="CS84">
        <v>0</v>
      </c>
    </row>
    <row r="85" spans="1:97" x14ac:dyDescent="0.25">
      <c r="A85" s="8">
        <v>44292</v>
      </c>
      <c r="B85" s="7" t="s">
        <v>107</v>
      </c>
      <c r="C85">
        <f>0.5*0.5</f>
        <v>0.25</v>
      </c>
      <c r="D85">
        <v>24</v>
      </c>
      <c r="E85" s="3">
        <f>11.38-5.84</f>
        <v>5.5400000000000009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2</v>
      </c>
      <c r="O85">
        <f>184.34-34.66</f>
        <v>149.68</v>
      </c>
      <c r="P85">
        <v>0</v>
      </c>
      <c r="Q85">
        <v>0</v>
      </c>
      <c r="X85">
        <f>30+47+3+58</f>
        <v>138</v>
      </c>
      <c r="Y85">
        <f>4.86-2.17</f>
        <v>2.6900000000000004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3</v>
      </c>
      <c r="AM85">
        <f>86.64-59.12</f>
        <v>27.520000000000003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3</v>
      </c>
      <c r="BE85">
        <f>4.73-4.63</f>
        <v>0.10000000000000053</v>
      </c>
      <c r="BF85">
        <v>4</v>
      </c>
      <c r="BG85">
        <f>3.71-2.95</f>
        <v>0.75999999999999979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0</v>
      </c>
      <c r="CQ85">
        <v>0</v>
      </c>
      <c r="CR85">
        <v>0</v>
      </c>
      <c r="CS85">
        <v>0</v>
      </c>
    </row>
    <row r="86" spans="1:97" x14ac:dyDescent="0.25">
      <c r="A86" s="8">
        <v>44292</v>
      </c>
      <c r="B86" s="7" t="s">
        <v>108</v>
      </c>
      <c r="C86">
        <f t="shared" ref="C86:C89" si="5">0.5*0.5</f>
        <v>0.25</v>
      </c>
      <c r="D86">
        <v>17</v>
      </c>
      <c r="E86" s="3">
        <f>9.29-5.51</f>
        <v>3.7799999999999994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X86">
        <v>10</v>
      </c>
      <c r="Y86">
        <f>4.79-4.62</f>
        <v>0.16999999999999993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1</v>
      </c>
      <c r="AK86">
        <f>19.34-5.25</f>
        <v>14.09</v>
      </c>
      <c r="AL86">
        <v>2</v>
      </c>
      <c r="AM86">
        <f>189.25-63.85</f>
        <v>125.4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  <c r="CQ86">
        <v>0</v>
      </c>
      <c r="CR86">
        <v>0</v>
      </c>
      <c r="CS86">
        <v>0</v>
      </c>
    </row>
    <row r="87" spans="1:97" x14ac:dyDescent="0.25">
      <c r="A87" s="8">
        <v>44292</v>
      </c>
      <c r="B87" s="7" t="s">
        <v>109</v>
      </c>
      <c r="C87">
        <f t="shared" si="5"/>
        <v>0.25</v>
      </c>
      <c r="D87">
        <v>8</v>
      </c>
      <c r="E87" s="3">
        <f>4.21-3.02</f>
        <v>1.19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X87">
        <v>1</v>
      </c>
      <c r="Y87">
        <f>4.67-4.61</f>
        <v>5.9999999999999609E-2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1</v>
      </c>
      <c r="AK87">
        <f>26.01-5.71</f>
        <v>20.3</v>
      </c>
      <c r="AL87">
        <v>2</v>
      </c>
      <c r="AM87">
        <f>191.82-36.03</f>
        <v>155.79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0</v>
      </c>
      <c r="CP87">
        <v>0</v>
      </c>
      <c r="CQ87">
        <v>0</v>
      </c>
      <c r="CR87">
        <v>0</v>
      </c>
      <c r="CS87">
        <v>0</v>
      </c>
    </row>
    <row r="88" spans="1:97" x14ac:dyDescent="0.25">
      <c r="A88" s="8">
        <v>44292</v>
      </c>
      <c r="B88" s="7" t="s">
        <v>110</v>
      </c>
      <c r="C88">
        <f t="shared" si="5"/>
        <v>0.25</v>
      </c>
      <c r="D88">
        <v>0</v>
      </c>
      <c r="E88" s="3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1</v>
      </c>
      <c r="M88">
        <f>417.8-90.09</f>
        <v>327.71000000000004</v>
      </c>
      <c r="N88">
        <v>0</v>
      </c>
      <c r="O88">
        <v>0</v>
      </c>
      <c r="P88">
        <v>0</v>
      </c>
      <c r="Q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f>3+2+1</f>
        <v>6</v>
      </c>
      <c r="AM88">
        <f>176.18-43.2</f>
        <v>132.98000000000002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0</v>
      </c>
      <c r="CQ88">
        <v>0</v>
      </c>
      <c r="CR88">
        <v>0</v>
      </c>
      <c r="CS88">
        <v>0</v>
      </c>
    </row>
    <row r="89" spans="1:97" x14ac:dyDescent="0.25">
      <c r="A89" s="8">
        <v>44293</v>
      </c>
      <c r="B89" s="7" t="s">
        <v>113</v>
      </c>
      <c r="C89">
        <f t="shared" si="5"/>
        <v>0.25</v>
      </c>
      <c r="D89">
        <v>3</v>
      </c>
      <c r="E89" s="3">
        <f>5.11-4.61</f>
        <v>0.5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1</v>
      </c>
      <c r="O89">
        <f>7.67-5.33</f>
        <v>2.34</v>
      </c>
      <c r="P89">
        <v>0</v>
      </c>
      <c r="Q89">
        <v>0</v>
      </c>
      <c r="X89">
        <v>15</v>
      </c>
      <c r="Y89">
        <f>4.81-4.61</f>
        <v>0.19999999999999929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1</v>
      </c>
      <c r="AK89">
        <f>4.67-4.57</f>
        <v>9.9999999999999645E-2</v>
      </c>
      <c r="AL89">
        <v>5</v>
      </c>
      <c r="AM89">
        <f>263.32-70.56</f>
        <v>192.76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0</v>
      </c>
      <c r="CP89">
        <v>0</v>
      </c>
      <c r="CQ89">
        <v>0</v>
      </c>
      <c r="CR89">
        <v>0</v>
      </c>
      <c r="CS89">
        <v>0</v>
      </c>
    </row>
    <row r="90" spans="1:97" x14ac:dyDescent="0.25">
      <c r="A90" s="8">
        <v>44293</v>
      </c>
      <c r="B90" s="7" t="s">
        <v>114</v>
      </c>
      <c r="C90">
        <f>0.4*0.4</f>
        <v>0.16000000000000003</v>
      </c>
      <c r="D90">
        <v>23</v>
      </c>
      <c r="E90" s="3">
        <f>15.08-7.06</f>
        <v>8.02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1</v>
      </c>
      <c r="O90">
        <f>27.02-7.67</f>
        <v>19.350000000000001</v>
      </c>
      <c r="P90">
        <v>0</v>
      </c>
      <c r="Q90">
        <v>0</v>
      </c>
      <c r="X90">
        <v>9</v>
      </c>
      <c r="Y90">
        <f>4.82-4.63</f>
        <v>0.19000000000000039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1</v>
      </c>
      <c r="AK90">
        <f>5.28-2.8</f>
        <v>2.4800000000000004</v>
      </c>
      <c r="AL90">
        <v>3</v>
      </c>
      <c r="AM90">
        <f>228.66-95.64</f>
        <v>133.01999999999998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1</v>
      </c>
      <c r="BG90">
        <f>4.68-4.62</f>
        <v>5.9999999999999609E-2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0</v>
      </c>
    </row>
    <row r="91" spans="1:97" x14ac:dyDescent="0.25">
      <c r="A91" s="8">
        <v>44313</v>
      </c>
      <c r="B91" s="7" t="s">
        <v>134</v>
      </c>
      <c r="C91">
        <f>0.4*0.4</f>
        <v>0.16000000000000003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1</v>
      </c>
      <c r="M91">
        <f>111.59-70.49</f>
        <v>41.100000000000009</v>
      </c>
      <c r="N91">
        <v>0</v>
      </c>
      <c r="O91">
        <v>0</v>
      </c>
      <c r="P91">
        <v>0</v>
      </c>
      <c r="Q91">
        <v>0</v>
      </c>
      <c r="X91">
        <v>20</v>
      </c>
      <c r="Y91">
        <f>5.08-4.56</f>
        <v>0.52000000000000046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3</v>
      </c>
      <c r="AM91">
        <f>351.71-88.52</f>
        <v>263.19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0</v>
      </c>
      <c r="CP91">
        <v>0</v>
      </c>
      <c r="CQ91">
        <v>0</v>
      </c>
      <c r="CR91">
        <v>0</v>
      </c>
      <c r="CS91">
        <v>0</v>
      </c>
    </row>
    <row r="92" spans="1:97" x14ac:dyDescent="0.25">
      <c r="A92" s="8">
        <v>44315</v>
      </c>
      <c r="B92" s="7" t="s">
        <v>135</v>
      </c>
      <c r="C92">
        <f>0.5*0.7</f>
        <v>0.35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1</v>
      </c>
      <c r="M92">
        <f>33.98-6.9</f>
        <v>27.08</v>
      </c>
      <c r="N92">
        <v>1</v>
      </c>
      <c r="O92">
        <f>21.12-5.27</f>
        <v>15.850000000000001</v>
      </c>
      <c r="P92">
        <v>0</v>
      </c>
      <c r="Q92">
        <v>0</v>
      </c>
      <c r="X92">
        <v>240</v>
      </c>
      <c r="Y92">
        <f>16.68-5.56</f>
        <v>11.120000000000001</v>
      </c>
      <c r="Z92">
        <v>1</v>
      </c>
      <c r="AA92">
        <f>7.15-4.58</f>
        <v>2.5700000000000003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1</v>
      </c>
      <c r="AK92">
        <f>10.37-4.64</f>
        <v>5.7299999999999995</v>
      </c>
      <c r="AL92">
        <v>3</v>
      </c>
      <c r="AM92">
        <f>108.24-35.17</f>
        <v>73.069999999999993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0</v>
      </c>
      <c r="CP92">
        <v>0</v>
      </c>
      <c r="CQ92">
        <v>0</v>
      </c>
      <c r="CR92">
        <v>0</v>
      </c>
      <c r="CS92">
        <v>0</v>
      </c>
    </row>
    <row r="93" spans="1:97" x14ac:dyDescent="0.25">
      <c r="A93" s="8">
        <v>44323</v>
      </c>
      <c r="B93" s="7" t="s">
        <v>137</v>
      </c>
      <c r="C93" s="3">
        <f>0.55*0.55</f>
        <v>0.30250000000000005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9</v>
      </c>
      <c r="O93">
        <v>109.89</v>
      </c>
      <c r="P93">
        <v>0</v>
      </c>
      <c r="Q93">
        <v>0</v>
      </c>
      <c r="X93">
        <v>110</v>
      </c>
      <c r="Y93">
        <v>9.23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12</v>
      </c>
      <c r="AM93">
        <v>102.48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3</v>
      </c>
      <c r="AU93">
        <v>0.19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0</v>
      </c>
      <c r="CP93">
        <v>0</v>
      </c>
      <c r="CQ93">
        <v>0</v>
      </c>
      <c r="CR93">
        <v>0</v>
      </c>
      <c r="CS93">
        <v>0</v>
      </c>
    </row>
    <row r="94" spans="1:97" x14ac:dyDescent="0.25">
      <c r="A94" s="8">
        <v>44323</v>
      </c>
      <c r="B94" s="7" t="s">
        <v>138</v>
      </c>
      <c r="C94">
        <f>0.6*0.6</f>
        <v>0.36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2</v>
      </c>
      <c r="O94">
        <v>26.6</v>
      </c>
      <c r="P94">
        <v>0</v>
      </c>
      <c r="Q94">
        <v>0</v>
      </c>
      <c r="X94">
        <v>76</v>
      </c>
      <c r="Y94">
        <v>4.28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17</v>
      </c>
      <c r="AM94">
        <v>88.33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  <c r="CQ94">
        <v>0</v>
      </c>
      <c r="CR94">
        <v>0</v>
      </c>
      <c r="CS94">
        <v>0</v>
      </c>
    </row>
    <row r="95" spans="1:97" x14ac:dyDescent="0.25">
      <c r="A95" s="8">
        <v>44323</v>
      </c>
      <c r="B95" s="7" t="s">
        <v>139</v>
      </c>
      <c r="C95">
        <f>0.6*0.6</f>
        <v>0.36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1</v>
      </c>
      <c r="O95">
        <v>4.47</v>
      </c>
      <c r="P95">
        <v>0</v>
      </c>
      <c r="Q95">
        <v>0</v>
      </c>
      <c r="X95">
        <v>46</v>
      </c>
      <c r="Y95">
        <v>2.12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18</v>
      </c>
      <c r="AM95">
        <v>137.28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0</v>
      </c>
      <c r="CP95">
        <v>0</v>
      </c>
      <c r="CQ95">
        <v>0</v>
      </c>
      <c r="CR95">
        <v>0</v>
      </c>
      <c r="CS95">
        <v>0</v>
      </c>
    </row>
    <row r="96" spans="1:97" x14ac:dyDescent="0.25">
      <c r="A96" s="8">
        <v>44323</v>
      </c>
      <c r="B96" s="7" t="s">
        <v>140</v>
      </c>
      <c r="C96">
        <f>0.5*0.5</f>
        <v>0.25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X96">
        <f>29+10+10+10+40+14</f>
        <v>113</v>
      </c>
      <c r="Y96">
        <v>7.15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f>6+4+9</f>
        <v>19</v>
      </c>
      <c r="AM96">
        <v>48.57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1</v>
      </c>
      <c r="AU96">
        <v>1.67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2</v>
      </c>
      <c r="BG96">
        <v>0.83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0</v>
      </c>
      <c r="CR96">
        <v>0</v>
      </c>
      <c r="CS96">
        <v>0</v>
      </c>
    </row>
    <row r="97" spans="1:97" x14ac:dyDescent="0.25">
      <c r="A97" s="8">
        <v>44323</v>
      </c>
      <c r="B97" s="7" t="s">
        <v>141</v>
      </c>
      <c r="C97" s="3">
        <f>0.55*0.55</f>
        <v>0.30250000000000005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3</v>
      </c>
      <c r="O97">
        <v>16.77</v>
      </c>
      <c r="P97">
        <v>0</v>
      </c>
      <c r="Q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38</v>
      </c>
      <c r="AM97">
        <v>70.98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  <c r="CQ97">
        <v>0</v>
      </c>
      <c r="CR97">
        <v>0</v>
      </c>
      <c r="CS97">
        <v>0</v>
      </c>
    </row>
    <row r="98" spans="1:97" x14ac:dyDescent="0.25">
      <c r="A98" s="8">
        <v>44323</v>
      </c>
      <c r="B98" s="7" t="s">
        <v>142</v>
      </c>
      <c r="C98">
        <f>0.6*0.6</f>
        <v>0.36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2</v>
      </c>
      <c r="O98">
        <v>4.92</v>
      </c>
      <c r="P98">
        <v>0</v>
      </c>
      <c r="Q98">
        <v>0</v>
      </c>
      <c r="X98">
        <f>33+25+20+13</f>
        <v>91</v>
      </c>
      <c r="Y98">
        <v>4.3899999999999997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f>35</f>
        <v>35</v>
      </c>
      <c r="AM98">
        <v>51.95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0</v>
      </c>
      <c r="CQ98">
        <v>0</v>
      </c>
      <c r="CR98">
        <v>0</v>
      </c>
      <c r="CS98">
        <v>0</v>
      </c>
    </row>
    <row r="99" spans="1:97" x14ac:dyDescent="0.25">
      <c r="A99" s="8">
        <v>44323</v>
      </c>
      <c r="B99" s="7" t="s">
        <v>143</v>
      </c>
      <c r="C99">
        <f>0.5*0.5</f>
        <v>0.25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1</v>
      </c>
      <c r="M99">
        <v>5.72</v>
      </c>
      <c r="N99">
        <v>1</v>
      </c>
      <c r="O99">
        <v>15.25</v>
      </c>
      <c r="P99">
        <v>0</v>
      </c>
      <c r="Q99">
        <v>0</v>
      </c>
      <c r="X99">
        <f>124</f>
        <v>124</v>
      </c>
      <c r="Y99">
        <v>6.36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13</v>
      </c>
      <c r="AM99">
        <v>155.72999999999999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4</v>
      </c>
      <c r="AU99">
        <v>17.39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3</v>
      </c>
      <c r="BG99">
        <v>1.17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</v>
      </c>
      <c r="CP99">
        <v>0</v>
      </c>
      <c r="CQ99">
        <v>0</v>
      </c>
      <c r="CR99">
        <v>0</v>
      </c>
      <c r="CS99">
        <v>0</v>
      </c>
    </row>
    <row r="100" spans="1:97" x14ac:dyDescent="0.25">
      <c r="A100" s="8">
        <v>44323</v>
      </c>
      <c r="B100" s="7" t="s">
        <v>144</v>
      </c>
      <c r="C100">
        <f>0.6*0.6</f>
        <v>0.36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X100">
        <f>11+18+16+21+7+18+20+5+18+14+19</f>
        <v>167</v>
      </c>
      <c r="Y100">
        <v>7.41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40</v>
      </c>
      <c r="AM100">
        <v>104.85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15</v>
      </c>
      <c r="AU100">
        <v>24.61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0</v>
      </c>
      <c r="CP100">
        <v>0</v>
      </c>
      <c r="CQ100">
        <v>0</v>
      </c>
      <c r="CR100">
        <v>0</v>
      </c>
      <c r="CS100">
        <v>0</v>
      </c>
    </row>
    <row r="101" spans="1:97" x14ac:dyDescent="0.25">
      <c r="A101" s="8">
        <v>44323</v>
      </c>
      <c r="B101" s="7" t="s">
        <v>145</v>
      </c>
      <c r="C101">
        <f t="shared" ref="C101:C102" si="6">0.6*0.6</f>
        <v>0.36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3</v>
      </c>
      <c r="O101">
        <v>13.36</v>
      </c>
      <c r="P101">
        <v>0</v>
      </c>
      <c r="Q101">
        <v>0</v>
      </c>
      <c r="X101">
        <f>20+13+22+16+11+22+10</f>
        <v>114</v>
      </c>
      <c r="Y101">
        <v>4.7300000000000004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26</v>
      </c>
      <c r="AM101">
        <v>122.47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5</v>
      </c>
      <c r="AU101">
        <v>2.11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0</v>
      </c>
      <c r="CP101">
        <v>0</v>
      </c>
      <c r="CQ101">
        <v>0</v>
      </c>
      <c r="CR101">
        <v>0</v>
      </c>
      <c r="CS101">
        <v>0</v>
      </c>
    </row>
    <row r="102" spans="1:97" x14ac:dyDescent="0.25">
      <c r="A102" s="8">
        <v>44323</v>
      </c>
      <c r="B102" s="7" t="s">
        <v>146</v>
      </c>
      <c r="C102">
        <f t="shared" si="6"/>
        <v>0.36</v>
      </c>
      <c r="D102">
        <v>1</v>
      </c>
      <c r="E102" s="3">
        <v>0.01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X102">
        <f>13+24+24+34+18+10</f>
        <v>123</v>
      </c>
      <c r="Y102">
        <v>7.17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2</v>
      </c>
      <c r="AI102">
        <v>0.01</v>
      </c>
      <c r="AJ102">
        <v>0</v>
      </c>
      <c r="AK102">
        <v>0</v>
      </c>
      <c r="AL102">
        <v>6</v>
      </c>
      <c r="AM102">
        <v>36.93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6</v>
      </c>
      <c r="AU102">
        <v>4.0599999999999996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0</v>
      </c>
      <c r="CP102">
        <v>0</v>
      </c>
      <c r="CQ102">
        <v>0</v>
      </c>
      <c r="CR102">
        <v>0</v>
      </c>
      <c r="CS102">
        <v>0</v>
      </c>
    </row>
    <row r="103" spans="1:97" x14ac:dyDescent="0.25">
      <c r="A103" s="8">
        <v>44582</v>
      </c>
      <c r="B103" s="7" t="s">
        <v>151</v>
      </c>
      <c r="C103">
        <f>0.5*0.5</f>
        <v>0.25</v>
      </c>
      <c r="D103">
        <f>37+38+40+18+30+5</f>
        <v>168</v>
      </c>
      <c r="E103" s="3">
        <f>23.15-5.55+29.11-7.4+9.84-5.21</f>
        <v>43.939999999999991</v>
      </c>
      <c r="F103">
        <f>24+19+6+2+3</f>
        <v>54</v>
      </c>
      <c r="G103">
        <f>25.89-5.83+24.92-5.38</f>
        <v>39.6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X103">
        <v>2</v>
      </c>
      <c r="Y103">
        <f>3.78-2.9</f>
        <v>0.87999999999999989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4</v>
      </c>
      <c r="AM103">
        <f>6.05-5.28</f>
        <v>0.76999999999999957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0</v>
      </c>
      <c r="CP103">
        <v>0</v>
      </c>
      <c r="CQ103">
        <v>0</v>
      </c>
      <c r="CR103">
        <v>0</v>
      </c>
      <c r="CS103">
        <v>0</v>
      </c>
    </row>
    <row r="104" spans="1:97" x14ac:dyDescent="0.25">
      <c r="A104" s="8">
        <v>44586</v>
      </c>
      <c r="B104" s="7" t="s">
        <v>152</v>
      </c>
      <c r="C104">
        <f>0.5*0.5</f>
        <v>0.25</v>
      </c>
      <c r="D104">
        <f>18+18+35+31+19+11+11</f>
        <v>143</v>
      </c>
      <c r="E104" s="3">
        <f>122.99-81.87</f>
        <v>41.11999999999999</v>
      </c>
      <c r="F104">
        <v>15</v>
      </c>
      <c r="G104">
        <f>19.99-5.41</f>
        <v>14.579999999999998</v>
      </c>
      <c r="H104">
        <v>1</v>
      </c>
      <c r="I104">
        <f>3.28-3.13</f>
        <v>0.14999999999999991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17</v>
      </c>
      <c r="AM104">
        <f>14.15-5.28</f>
        <v>8.870000000000001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1</v>
      </c>
      <c r="BQ104">
        <f>2.79-2.68</f>
        <v>0.10999999999999988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  <c r="CQ104">
        <v>0</v>
      </c>
      <c r="CR104">
        <v>0</v>
      </c>
      <c r="CS104">
        <v>0</v>
      </c>
    </row>
    <row r="105" spans="1:97" x14ac:dyDescent="0.25">
      <c r="A105" s="8">
        <v>44589</v>
      </c>
      <c r="B105" s="7" t="s">
        <v>154</v>
      </c>
      <c r="C105">
        <f t="shared" ref="C105:C129" si="7">0.5*0.5</f>
        <v>0.25</v>
      </c>
      <c r="D105">
        <f>27+17+26+25+32+20+12</f>
        <v>159</v>
      </c>
      <c r="E105" s="3">
        <f>100.88-59.15</f>
        <v>41.73</v>
      </c>
      <c r="F105">
        <v>0</v>
      </c>
      <c r="G105">
        <v>0</v>
      </c>
      <c r="H105">
        <v>1</v>
      </c>
      <c r="I105">
        <f>3.91-3.46</f>
        <v>0.45000000000000018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2</v>
      </c>
      <c r="AA105">
        <f>3.44-3.3</f>
        <v>0.14000000000000012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1</v>
      </c>
      <c r="AI105">
        <f>4.42-4.32</f>
        <v>9.9999999999999645E-2</v>
      </c>
      <c r="AJ105">
        <v>0</v>
      </c>
      <c r="AK105">
        <v>0</v>
      </c>
      <c r="AL105">
        <v>6</v>
      </c>
      <c r="AM105">
        <f>14.93-8.05</f>
        <v>6.879999999999999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1</v>
      </c>
      <c r="BQ105">
        <v>5.0000000000000001E-3</v>
      </c>
      <c r="BR105">
        <v>2</v>
      </c>
      <c r="BS105">
        <f>4.54-3.46</f>
        <v>1.08</v>
      </c>
      <c r="BT105">
        <v>1</v>
      </c>
      <c r="BU105">
        <v>0.76</v>
      </c>
      <c r="BV105">
        <v>0</v>
      </c>
      <c r="BW105">
        <v>0</v>
      </c>
      <c r="BX105">
        <v>1</v>
      </c>
      <c r="BY105">
        <f>7.21-3.44</f>
        <v>3.77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0</v>
      </c>
      <c r="CP105">
        <v>0</v>
      </c>
      <c r="CQ105">
        <v>0</v>
      </c>
      <c r="CR105">
        <v>0</v>
      </c>
      <c r="CS105">
        <v>0</v>
      </c>
    </row>
    <row r="106" spans="1:97" x14ac:dyDescent="0.25">
      <c r="A106" s="8">
        <v>44589</v>
      </c>
      <c r="B106" s="7" t="s">
        <v>155</v>
      </c>
      <c r="C106">
        <f t="shared" si="7"/>
        <v>0.25</v>
      </c>
      <c r="D106">
        <f>30+23+16+12</f>
        <v>81</v>
      </c>
      <c r="E106" s="3">
        <f>72.09-59.49</f>
        <v>12.600000000000001</v>
      </c>
      <c r="F106">
        <v>0</v>
      </c>
      <c r="G106">
        <v>0</v>
      </c>
      <c r="H106">
        <v>1</v>
      </c>
      <c r="I106">
        <f>3.45-3.25</f>
        <v>0.20000000000000018</v>
      </c>
      <c r="J106">
        <v>2</v>
      </c>
      <c r="K106">
        <f>7.57-7.39</f>
        <v>0.1800000000000006</v>
      </c>
      <c r="L106">
        <v>0</v>
      </c>
      <c r="M106">
        <v>0</v>
      </c>
      <c r="N106">
        <v>0</v>
      </c>
      <c r="O106">
        <v>0</v>
      </c>
      <c r="P106">
        <v>2</v>
      </c>
      <c r="Q106">
        <f>7.6-7.45</f>
        <v>0.14999999999999947</v>
      </c>
      <c r="R106">
        <v>1</v>
      </c>
      <c r="S106">
        <f>0.75-0.74</f>
        <v>1.0000000000000009E-2</v>
      </c>
      <c r="T106">
        <v>1</v>
      </c>
      <c r="U106">
        <f>9.16-8.08</f>
        <v>1.08</v>
      </c>
      <c r="V106">
        <v>2</v>
      </c>
      <c r="W106" s="3">
        <f>3.26-2.94</f>
        <v>0.31999999999999984</v>
      </c>
      <c r="X106">
        <v>0</v>
      </c>
      <c r="Y106">
        <v>0</v>
      </c>
      <c r="Z106">
        <v>13</v>
      </c>
      <c r="AA106">
        <f>7.69-3.46</f>
        <v>4.2300000000000004</v>
      </c>
      <c r="AB106">
        <v>3</v>
      </c>
      <c r="AC106">
        <f>7.55-7.41</f>
        <v>0.13999999999999968</v>
      </c>
      <c r="AD106">
        <v>6</v>
      </c>
      <c r="AE106">
        <f>4.29-3.5</f>
        <v>0.79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13</v>
      </c>
      <c r="AM106">
        <v>82.6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2</v>
      </c>
      <c r="BQ106">
        <f>11.75-8.53</f>
        <v>3.2200000000000006</v>
      </c>
      <c r="BR106">
        <v>5</v>
      </c>
      <c r="BS106">
        <f>6.92-5.17</f>
        <v>1.75</v>
      </c>
      <c r="BT106">
        <v>12</v>
      </c>
      <c r="BU106">
        <f>16.45-8.12</f>
        <v>8.33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0</v>
      </c>
      <c r="CP106">
        <v>0</v>
      </c>
      <c r="CQ106">
        <v>0</v>
      </c>
      <c r="CR106">
        <v>0</v>
      </c>
      <c r="CS106">
        <v>0</v>
      </c>
    </row>
    <row r="107" spans="1:97" x14ac:dyDescent="0.25">
      <c r="A107" s="8">
        <v>44593</v>
      </c>
      <c r="B107" s="7" t="s">
        <v>166</v>
      </c>
      <c r="C107">
        <f t="shared" si="7"/>
        <v>0.25</v>
      </c>
      <c r="D107">
        <f>21+27+15+15+16+8+17+22+14</f>
        <v>155</v>
      </c>
      <c r="E107" s="3">
        <f>90.91-57.36</f>
        <v>33.549999999999997</v>
      </c>
      <c r="F107">
        <v>0</v>
      </c>
      <c r="G107">
        <v>0</v>
      </c>
      <c r="H107">
        <v>3</v>
      </c>
      <c r="I107">
        <f>5.31-4.63</f>
        <v>0.67999999999999972</v>
      </c>
      <c r="J107">
        <v>2</v>
      </c>
      <c r="K107">
        <f>1.99-1.96</f>
        <v>3.0000000000000027E-2</v>
      </c>
      <c r="L107">
        <v>0</v>
      </c>
      <c r="M107">
        <v>0</v>
      </c>
      <c r="N107">
        <v>0</v>
      </c>
      <c r="O107">
        <v>0</v>
      </c>
      <c r="P107">
        <v>3</v>
      </c>
      <c r="Q107">
        <f>4.9-4.6</f>
        <v>0.30000000000000071</v>
      </c>
      <c r="R107">
        <v>5</v>
      </c>
      <c r="S107">
        <f>4.66-4.62</f>
        <v>4.0000000000000036E-2</v>
      </c>
      <c r="T107">
        <v>0</v>
      </c>
      <c r="U107">
        <v>0</v>
      </c>
      <c r="V107">
        <v>2</v>
      </c>
      <c r="W107" s="3">
        <f>3.3-2.99</f>
        <v>0.30999999999999961</v>
      </c>
      <c r="X107">
        <v>0</v>
      </c>
      <c r="Y107">
        <v>0</v>
      </c>
      <c r="Z107">
        <f>4+1+2+2+2+7+1+1</f>
        <v>20</v>
      </c>
      <c r="AA107">
        <f>5.66-4.65</f>
        <v>1.0099999999999998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4</v>
      </c>
      <c r="AI107">
        <f>4.86-4.66</f>
        <v>0.20000000000000018</v>
      </c>
      <c r="AJ107">
        <v>0</v>
      </c>
      <c r="AK107">
        <v>0</v>
      </c>
      <c r="AL107">
        <f>17+3+1+1+1+2+3+1</f>
        <v>29</v>
      </c>
      <c r="AM107">
        <f>23.33-10.18</f>
        <v>13.149999999999999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1</v>
      </c>
      <c r="BQ107">
        <f>4.65-4.63</f>
        <v>2.0000000000000462E-2</v>
      </c>
      <c r="BR107">
        <v>0</v>
      </c>
      <c r="BS107">
        <v>0</v>
      </c>
      <c r="BT107">
        <v>0</v>
      </c>
      <c r="BU107">
        <v>0</v>
      </c>
      <c r="BV107">
        <v>1</v>
      </c>
      <c r="BW107">
        <f>1.99-1.98</f>
        <v>1.0000000000000009E-2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0</v>
      </c>
      <c r="CP107">
        <v>0</v>
      </c>
      <c r="CQ107">
        <v>0</v>
      </c>
      <c r="CR107">
        <v>0</v>
      </c>
      <c r="CS107">
        <v>0</v>
      </c>
    </row>
    <row r="108" spans="1:97" x14ac:dyDescent="0.25">
      <c r="A108" s="8">
        <v>44677</v>
      </c>
      <c r="B108" s="7" t="s">
        <v>200</v>
      </c>
      <c r="C108">
        <f>0.8*0.5</f>
        <v>0.4</v>
      </c>
      <c r="D108">
        <v>2</v>
      </c>
      <c r="E108" s="3">
        <f>2.12-1.97</f>
        <v>0.15000000000000013</v>
      </c>
      <c r="F108">
        <v>17</v>
      </c>
      <c r="G108">
        <f>17.88-9.91</f>
        <v>7.9699999999999989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1</v>
      </c>
      <c r="Q108">
        <f>4.69-2.76</f>
        <v>1.9300000000000006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7</v>
      </c>
      <c r="Y108">
        <f>3.07-1.38</f>
        <v>1.69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4</v>
      </c>
      <c r="AI108">
        <f>19.4-10</f>
        <v>9.3999999999999986</v>
      </c>
      <c r="AJ108">
        <v>0</v>
      </c>
      <c r="AK108">
        <v>0</v>
      </c>
      <c r="AL108">
        <v>21</v>
      </c>
      <c r="AM108">
        <f>249.57-57.76</f>
        <v>191.81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5</v>
      </c>
      <c r="BQ108">
        <f>7.1-3.1</f>
        <v>3.9999999999999996</v>
      </c>
      <c r="BR108">
        <v>0</v>
      </c>
      <c r="BS108">
        <v>0</v>
      </c>
      <c r="BT108">
        <v>0</v>
      </c>
      <c r="BU108">
        <v>0</v>
      </c>
      <c r="BV108">
        <v>4</v>
      </c>
      <c r="BW108">
        <f>1.47-1.41</f>
        <v>6.0000000000000053E-2</v>
      </c>
      <c r="BX108">
        <v>0</v>
      </c>
      <c r="BY108">
        <v>0</v>
      </c>
      <c r="BZ108">
        <v>0</v>
      </c>
      <c r="CA108">
        <v>0</v>
      </c>
      <c r="CB108">
        <v>1</v>
      </c>
      <c r="CC108">
        <f>2.25-1.41</f>
        <v>0.84000000000000008</v>
      </c>
      <c r="CD108">
        <v>3</v>
      </c>
      <c r="CE108">
        <f>1.52-1.42</f>
        <v>0.10000000000000009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</v>
      </c>
      <c r="CP108">
        <v>0</v>
      </c>
      <c r="CQ108">
        <v>0</v>
      </c>
      <c r="CR108">
        <v>0</v>
      </c>
      <c r="CS108">
        <v>0</v>
      </c>
    </row>
    <row r="109" spans="1:97" x14ac:dyDescent="0.25">
      <c r="A109" s="8">
        <v>44680</v>
      </c>
      <c r="B109" s="7" t="s">
        <v>201</v>
      </c>
      <c r="C109">
        <f>0.6*0.5</f>
        <v>0.3</v>
      </c>
      <c r="D109">
        <v>3</v>
      </c>
      <c r="E109" s="3">
        <f>1.43-1.37</f>
        <v>5.9999999999999831E-2</v>
      </c>
      <c r="F109">
        <v>23</v>
      </c>
      <c r="G109">
        <f>7.15-3.03</f>
        <v>4.120000000000001</v>
      </c>
      <c r="H109">
        <v>3</v>
      </c>
      <c r="I109">
        <f>3.35-2.92</f>
        <v>0.43000000000000016</v>
      </c>
      <c r="J109">
        <f>21+1+3+1</f>
        <v>26</v>
      </c>
      <c r="K109">
        <f>3.28-2.95</f>
        <v>0.32999999999999963</v>
      </c>
      <c r="L109">
        <v>0</v>
      </c>
      <c r="M109">
        <v>0</v>
      </c>
      <c r="N109">
        <v>0</v>
      </c>
      <c r="O109">
        <v>0</v>
      </c>
      <c r="P109">
        <v>1</v>
      </c>
      <c r="Q109">
        <f>4.07-2.96</f>
        <v>1.1100000000000003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f>7+2+5+2</f>
        <v>16</v>
      </c>
      <c r="Y109">
        <f>16.97-6.53</f>
        <v>10.439999999999998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f>12+2+1+1+1</f>
        <v>17</v>
      </c>
      <c r="AI109">
        <f>136.96-57.02</f>
        <v>79.94</v>
      </c>
      <c r="AJ109">
        <v>0</v>
      </c>
      <c r="AK109">
        <v>0</v>
      </c>
      <c r="AL109">
        <v>6</v>
      </c>
      <c r="AM109">
        <f>63.85-10.22</f>
        <v>53.63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1</v>
      </c>
      <c r="BC109">
        <f>2.03-1.99</f>
        <v>3.9999999999999813E-2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f>5+15</f>
        <v>20</v>
      </c>
      <c r="BW109">
        <f>2.26-2.01</f>
        <v>0.25</v>
      </c>
      <c r="BX109">
        <v>1</v>
      </c>
      <c r="BY109">
        <f>14.23-10</f>
        <v>4.2300000000000004</v>
      </c>
      <c r="BZ109">
        <v>0</v>
      </c>
      <c r="CA109">
        <v>0</v>
      </c>
      <c r="CB109">
        <v>3</v>
      </c>
      <c r="CC109">
        <f>4.65-2.92</f>
        <v>1.7300000000000004</v>
      </c>
      <c r="CD109">
        <v>3</v>
      </c>
      <c r="CE109">
        <f>1.44-1.41</f>
        <v>3.0000000000000027E-2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0</v>
      </c>
      <c r="CP109">
        <v>0</v>
      </c>
      <c r="CQ109">
        <v>0</v>
      </c>
      <c r="CR109">
        <v>0</v>
      </c>
      <c r="CS109">
        <v>0</v>
      </c>
    </row>
    <row r="110" spans="1:97" x14ac:dyDescent="0.25">
      <c r="A110" s="8">
        <v>44678</v>
      </c>
      <c r="B110" s="7" t="s">
        <v>202</v>
      </c>
      <c r="C110">
        <f t="shared" ref="C110" si="8">0.8*0.5</f>
        <v>0.4</v>
      </c>
      <c r="D110">
        <v>1</v>
      </c>
      <c r="E110" s="3">
        <f>2.88-2.85</f>
        <v>2.9999999999999805E-2</v>
      </c>
      <c r="F110">
        <v>11</v>
      </c>
      <c r="G110">
        <f>7.78-7.31</f>
        <v>0.47000000000000064</v>
      </c>
      <c r="H110">
        <v>0</v>
      </c>
      <c r="I110">
        <v>0</v>
      </c>
      <c r="J110">
        <v>7</v>
      </c>
      <c r="K110">
        <f>3.67-2.87</f>
        <v>0.79999999999999982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17</v>
      </c>
      <c r="Y110">
        <f>3.66-3.16</f>
        <v>0.5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12</v>
      </c>
      <c r="AI110">
        <f>33.9-9.94</f>
        <v>23.96</v>
      </c>
      <c r="AJ110">
        <v>0</v>
      </c>
      <c r="AK110">
        <v>0</v>
      </c>
      <c r="AL110">
        <v>13</v>
      </c>
      <c r="AM110">
        <f>259.57-56.48</f>
        <v>203.09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2</v>
      </c>
      <c r="BC110">
        <f>4.83-4.2</f>
        <v>0.62999999999999989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4</v>
      </c>
      <c r="BQ110">
        <f>7.86-7.28</f>
        <v>0.58000000000000007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1</v>
      </c>
      <c r="CE110">
        <f>1.96-1.38</f>
        <v>0.58000000000000007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0</v>
      </c>
      <c r="CQ110">
        <v>0</v>
      </c>
      <c r="CR110">
        <v>0</v>
      </c>
      <c r="CS110">
        <v>0</v>
      </c>
    </row>
    <row r="111" spans="1:97" x14ac:dyDescent="0.25">
      <c r="A111" s="8">
        <v>44680</v>
      </c>
      <c r="B111" s="7" t="s">
        <v>203</v>
      </c>
      <c r="C111">
        <f>0.6*0.4</f>
        <v>0.24</v>
      </c>
      <c r="D111">
        <v>32</v>
      </c>
      <c r="E111" s="3">
        <f>6.27-2.89</f>
        <v>3.3799999999999994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21</v>
      </c>
      <c r="Y111">
        <f>3.13-2.35</f>
        <v>0.7799999999999998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3</v>
      </c>
      <c r="AI111">
        <f>2.95-2.94</f>
        <v>1.0000000000000231E-2</v>
      </c>
      <c r="AJ111">
        <v>0</v>
      </c>
      <c r="AK111">
        <v>0</v>
      </c>
      <c r="AL111">
        <v>3</v>
      </c>
      <c r="AM111">
        <f>159.53-57.88</f>
        <v>101.65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5</v>
      </c>
      <c r="BC111">
        <f>3.34-2.95</f>
        <v>0.38999999999999968</v>
      </c>
      <c r="BD111">
        <v>1</v>
      </c>
      <c r="BE111">
        <f>1.58-1.4</f>
        <v>0.18000000000000016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21</v>
      </c>
      <c r="CE111">
        <f>1.8-1.41</f>
        <v>0.39000000000000012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1</v>
      </c>
      <c r="CM111">
        <f>1.4-1.39</f>
        <v>1.0000000000000009E-2</v>
      </c>
      <c r="CN111">
        <v>0</v>
      </c>
      <c r="CO111">
        <v>0</v>
      </c>
      <c r="CP111">
        <v>0</v>
      </c>
      <c r="CQ111">
        <v>0</v>
      </c>
      <c r="CR111">
        <v>0</v>
      </c>
      <c r="CS111">
        <v>0</v>
      </c>
    </row>
    <row r="112" spans="1:97" x14ac:dyDescent="0.25">
      <c r="A112" s="8">
        <v>44589</v>
      </c>
      <c r="B112" s="7" t="s">
        <v>156</v>
      </c>
      <c r="C112">
        <f t="shared" si="7"/>
        <v>0.25</v>
      </c>
      <c r="D112">
        <v>43</v>
      </c>
      <c r="E112" s="3">
        <f>26.56-8</f>
        <v>18.559999999999999</v>
      </c>
      <c r="F112">
        <v>0</v>
      </c>
      <c r="G112">
        <v>0</v>
      </c>
      <c r="H112">
        <v>1</v>
      </c>
      <c r="I112">
        <f>6.02-5.92</f>
        <v>9.9999999999999645E-2</v>
      </c>
      <c r="J112">
        <v>3</v>
      </c>
      <c r="K112">
        <f>6.82-5.94</f>
        <v>0.87999999999999989</v>
      </c>
      <c r="L112">
        <v>0</v>
      </c>
      <c r="M112">
        <v>0</v>
      </c>
      <c r="N112">
        <v>0</v>
      </c>
      <c r="O112">
        <v>0</v>
      </c>
      <c r="P112">
        <v>100</v>
      </c>
      <c r="Q112">
        <f>78.01-58.35</f>
        <v>19.660000000000004</v>
      </c>
      <c r="R112">
        <v>0</v>
      </c>
      <c r="S112">
        <v>0</v>
      </c>
      <c r="T112">
        <v>0</v>
      </c>
      <c r="U112">
        <v>0</v>
      </c>
      <c r="V112">
        <v>10</v>
      </c>
      <c r="W112" s="3">
        <f>6.15-3.42</f>
        <v>2.7300000000000004</v>
      </c>
      <c r="X112">
        <v>13</v>
      </c>
      <c r="Y112" s="3">
        <f>8-5.92</f>
        <v>2.08</v>
      </c>
      <c r="Z112">
        <v>1</v>
      </c>
      <c r="AA112">
        <f>3.46-3.44</f>
        <v>2.0000000000000018E-2</v>
      </c>
      <c r="AB112">
        <v>0</v>
      </c>
      <c r="AC112">
        <v>0</v>
      </c>
      <c r="AD112">
        <v>0</v>
      </c>
      <c r="AE112">
        <v>0</v>
      </c>
      <c r="AF112">
        <v>2</v>
      </c>
      <c r="AG112">
        <f>6.82-6.44</f>
        <v>0.37999999999999989</v>
      </c>
      <c r="AH112">
        <v>7</v>
      </c>
      <c r="AI112">
        <f>102.08-58.36</f>
        <v>43.72</v>
      </c>
      <c r="AJ112">
        <v>0</v>
      </c>
      <c r="AK112">
        <v>0</v>
      </c>
      <c r="AL112">
        <v>2</v>
      </c>
      <c r="AM112">
        <f>9.64-8.08</f>
        <v>1.5600000000000005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2</v>
      </c>
      <c r="AW112">
        <f>6.46-5.93</f>
        <v>0.53000000000000025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1</v>
      </c>
      <c r="BS112">
        <f>3.64-3.46</f>
        <v>0.18000000000000016</v>
      </c>
      <c r="BT112">
        <v>1</v>
      </c>
      <c r="BU112">
        <f>7.77-5.88</f>
        <v>1.8899999999999997</v>
      </c>
      <c r="BV112">
        <v>0</v>
      </c>
      <c r="BW112">
        <v>0</v>
      </c>
      <c r="BX112">
        <v>0</v>
      </c>
      <c r="BY112">
        <v>0</v>
      </c>
      <c r="BZ112">
        <v>6</v>
      </c>
      <c r="CA112">
        <f>4.01-3.46</f>
        <v>0.54999999999999982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0</v>
      </c>
      <c r="CP112">
        <v>0</v>
      </c>
      <c r="CQ112">
        <v>0</v>
      </c>
      <c r="CR112">
        <v>0</v>
      </c>
      <c r="CS112">
        <v>0</v>
      </c>
    </row>
    <row r="113" spans="1:97" x14ac:dyDescent="0.25">
      <c r="A113" s="8">
        <v>44589</v>
      </c>
      <c r="B113" s="7" t="s">
        <v>157</v>
      </c>
      <c r="C113">
        <f t="shared" si="7"/>
        <v>0.25</v>
      </c>
      <c r="D113">
        <v>66</v>
      </c>
      <c r="E113" s="3">
        <f>38.49-10.08</f>
        <v>28.410000000000004</v>
      </c>
      <c r="F113">
        <v>2</v>
      </c>
      <c r="G113" s="3">
        <f>11.64-10.05</f>
        <v>1.5899999999999999</v>
      </c>
      <c r="H113">
        <v>1</v>
      </c>
      <c r="I113">
        <f>0.005</f>
        <v>5.0000000000000001E-3</v>
      </c>
      <c r="J113">
        <v>4</v>
      </c>
      <c r="K113">
        <f>7.32-7.31+7.62-7.44</f>
        <v>0.19000000000000039</v>
      </c>
      <c r="L113">
        <v>0</v>
      </c>
      <c r="M113">
        <v>0</v>
      </c>
      <c r="N113">
        <v>1</v>
      </c>
      <c r="O113">
        <f>7.41-7.39</f>
        <v>2.0000000000000462E-2</v>
      </c>
      <c r="P113">
        <v>43</v>
      </c>
      <c r="Q113">
        <f>17.17-10.06</f>
        <v>7.1100000000000012</v>
      </c>
      <c r="R113">
        <v>2</v>
      </c>
      <c r="S113">
        <f>9.92-9.86</f>
        <v>6.0000000000000497E-2</v>
      </c>
      <c r="T113">
        <v>0</v>
      </c>
      <c r="U113">
        <v>0</v>
      </c>
      <c r="V113">
        <v>1</v>
      </c>
      <c r="W113" s="3">
        <f>6.65-5.22</f>
        <v>1.4300000000000006</v>
      </c>
      <c r="X113">
        <v>5</v>
      </c>
      <c r="Y113" s="3">
        <f>7.62-7.35</f>
        <v>0.27000000000000046</v>
      </c>
      <c r="Z113">
        <v>2</v>
      </c>
      <c r="AA113">
        <f>7.46-7.35+7.35-7.34</f>
        <v>0.12000000000000011</v>
      </c>
      <c r="AB113">
        <v>0</v>
      </c>
      <c r="AC113">
        <v>0</v>
      </c>
      <c r="AD113">
        <v>1</v>
      </c>
      <c r="AE113">
        <f>7.52-7.37</f>
        <v>0.14999999999999947</v>
      </c>
      <c r="AF113">
        <v>0</v>
      </c>
      <c r="AG113">
        <v>0</v>
      </c>
      <c r="AH113">
        <v>6</v>
      </c>
      <c r="AI113">
        <f>88.7-57.2</f>
        <v>31.5</v>
      </c>
      <c r="AJ113">
        <v>0</v>
      </c>
      <c r="AK113">
        <v>0</v>
      </c>
      <c r="AL113">
        <v>1</v>
      </c>
      <c r="AM113">
        <f>10.58-9.97</f>
        <v>0.60999999999999943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2</v>
      </c>
      <c r="AW113">
        <f>10.25-9.96</f>
        <v>0.28999999999999915</v>
      </c>
      <c r="AX113">
        <v>0</v>
      </c>
      <c r="AY113">
        <v>0</v>
      </c>
      <c r="AZ113">
        <v>12</v>
      </c>
      <c r="BA113">
        <f>5.48-5.36</f>
        <v>0.12000000000000011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9</v>
      </c>
      <c r="BK113">
        <f>10.15-9.95</f>
        <v>0.20000000000000107</v>
      </c>
      <c r="BL113">
        <v>2</v>
      </c>
      <c r="BM113">
        <f>3.43-3.37</f>
        <v>6.0000000000000053E-2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1</v>
      </c>
      <c r="BU113">
        <f>7.4-7.38</f>
        <v>2.0000000000000462E-2</v>
      </c>
      <c r="BV113">
        <v>2</v>
      </c>
      <c r="BW113">
        <f>7.43-7.38</f>
        <v>4.9999999999999822E-2</v>
      </c>
      <c r="BX113">
        <v>0</v>
      </c>
      <c r="BY113">
        <v>0</v>
      </c>
      <c r="BZ113">
        <v>4</v>
      </c>
      <c r="CA113">
        <f>7.62-7.32</f>
        <v>0.29999999999999982</v>
      </c>
      <c r="CB113">
        <v>5</v>
      </c>
      <c r="CC113">
        <f>24.16-10.02</f>
        <v>14.14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0</v>
      </c>
      <c r="CP113">
        <v>0</v>
      </c>
      <c r="CQ113">
        <v>0</v>
      </c>
      <c r="CR113">
        <v>0</v>
      </c>
      <c r="CS113">
        <v>0</v>
      </c>
    </row>
    <row r="114" spans="1:97" x14ac:dyDescent="0.25">
      <c r="A114" s="8">
        <v>44589</v>
      </c>
      <c r="B114" s="7" t="s">
        <v>158</v>
      </c>
      <c r="C114">
        <f t="shared" si="7"/>
        <v>0.25</v>
      </c>
      <c r="D114">
        <f>67+1+2+1+10+2</f>
        <v>83</v>
      </c>
      <c r="E114" s="3">
        <f>27.7-10.1</f>
        <v>17.600000000000001</v>
      </c>
      <c r="F114">
        <v>14</v>
      </c>
      <c r="G114" s="3">
        <f>14.17-10.01</f>
        <v>4.16</v>
      </c>
      <c r="H114">
        <v>3</v>
      </c>
      <c r="I114">
        <f>12.74-10.05</f>
        <v>2.6899999999999995</v>
      </c>
      <c r="J114">
        <f>2+3+2+1</f>
        <v>8</v>
      </c>
      <c r="K114">
        <f>10.46-10.18</f>
        <v>0.28000000000000114</v>
      </c>
      <c r="L114">
        <v>0</v>
      </c>
      <c r="M114">
        <v>0</v>
      </c>
      <c r="N114">
        <v>2</v>
      </c>
      <c r="O114">
        <f>11.02-10.05</f>
        <v>0.96999999999999886</v>
      </c>
      <c r="P114">
        <v>28</v>
      </c>
      <c r="Q114">
        <f>14.4-10.14</f>
        <v>4.26</v>
      </c>
      <c r="R114">
        <v>0</v>
      </c>
      <c r="S114">
        <v>0</v>
      </c>
      <c r="T114">
        <v>0</v>
      </c>
      <c r="U114">
        <v>0</v>
      </c>
      <c r="V114">
        <v>2</v>
      </c>
      <c r="W114" s="3">
        <f>7.65-7.39</f>
        <v>0.26000000000000068</v>
      </c>
      <c r="X114">
        <v>4</v>
      </c>
      <c r="Y114" s="3">
        <f>10.23-10.05</f>
        <v>0.17999999999999972</v>
      </c>
      <c r="Z114">
        <v>1</v>
      </c>
      <c r="AA114">
        <f>10.08-10.05</f>
        <v>2.9999999999999361E-2</v>
      </c>
      <c r="AB114">
        <v>0</v>
      </c>
      <c r="AC114">
        <v>0</v>
      </c>
      <c r="AD114">
        <v>0</v>
      </c>
      <c r="AE114">
        <v>0</v>
      </c>
      <c r="AF114">
        <v>4</v>
      </c>
      <c r="AG114">
        <f>12.37-10.01</f>
        <v>2.3599999999999994</v>
      </c>
      <c r="AH114">
        <v>16</v>
      </c>
      <c r="AI114">
        <f>12.92-10.01</f>
        <v>2.91</v>
      </c>
      <c r="AJ114">
        <v>0</v>
      </c>
      <c r="AK114">
        <v>0</v>
      </c>
      <c r="AL114">
        <v>3</v>
      </c>
      <c r="AM114">
        <f>14.8-10.06</f>
        <v>4.74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4</v>
      </c>
      <c r="AW114">
        <f>10.9-10</f>
        <v>0.90000000000000036</v>
      </c>
      <c r="AX114">
        <v>0</v>
      </c>
      <c r="AY114">
        <v>0</v>
      </c>
      <c r="AZ114">
        <v>8</v>
      </c>
      <c r="BA114">
        <f>10.11-10</f>
        <v>0.10999999999999943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4</v>
      </c>
      <c r="BK114">
        <f>10.04-9.94</f>
        <v>9.9999999999999645E-2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f>1+1</f>
        <v>2</v>
      </c>
      <c r="BU114">
        <f>10.04-10.03+0.86</f>
        <v>0.86999999999999977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1</v>
      </c>
      <c r="CE114">
        <f>10.1-10.05</f>
        <v>4.9999999999998934E-2</v>
      </c>
      <c r="CF114">
        <v>10</v>
      </c>
      <c r="CG114">
        <f>10.74-9.98</f>
        <v>0.75999999999999979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0</v>
      </c>
      <c r="CP114">
        <v>0</v>
      </c>
      <c r="CQ114">
        <v>0</v>
      </c>
      <c r="CR114">
        <v>0</v>
      </c>
      <c r="CS114">
        <v>0</v>
      </c>
    </row>
    <row r="115" spans="1:97" x14ac:dyDescent="0.25">
      <c r="A115" s="8">
        <v>44593</v>
      </c>
      <c r="B115" s="7" t="s">
        <v>167</v>
      </c>
      <c r="C115">
        <f t="shared" si="7"/>
        <v>0.25</v>
      </c>
      <c r="D115">
        <f>9+11+11+14+2</f>
        <v>47</v>
      </c>
      <c r="E115" s="3">
        <f>101.77-57.57</f>
        <v>44.199999999999996</v>
      </c>
      <c r="F115">
        <f>12+1+1+1+1</f>
        <v>16</v>
      </c>
      <c r="G115" s="3">
        <f>3.96-2.33</f>
        <v>1.63</v>
      </c>
      <c r="H115">
        <v>4</v>
      </c>
      <c r="I115">
        <f>15.32-4.75</f>
        <v>10.57</v>
      </c>
      <c r="J115">
        <v>5</v>
      </c>
      <c r="K115">
        <f>2-1.95</f>
        <v>5.0000000000000044E-2</v>
      </c>
      <c r="L115">
        <v>0</v>
      </c>
      <c r="M115">
        <v>0</v>
      </c>
      <c r="N115">
        <v>0</v>
      </c>
      <c r="O115">
        <v>0</v>
      </c>
      <c r="P115">
        <f>10+12+14+4</f>
        <v>40</v>
      </c>
      <c r="Q115">
        <f>19.99-13.89+2-1.94</f>
        <v>6.1599999999999984</v>
      </c>
      <c r="R115">
        <v>0</v>
      </c>
      <c r="S115">
        <v>0</v>
      </c>
      <c r="T115">
        <v>0</v>
      </c>
      <c r="U115">
        <v>0</v>
      </c>
      <c r="V115">
        <v>2</v>
      </c>
      <c r="W115" s="3">
        <f>2.26-1.96</f>
        <v>0.29999999999999982</v>
      </c>
      <c r="X115">
        <v>8</v>
      </c>
      <c r="Y115" s="3">
        <f>2.08-1.97</f>
        <v>0.1100000000000001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1</v>
      </c>
      <c r="AG115">
        <f>2.31-1.98</f>
        <v>0.33000000000000007</v>
      </c>
      <c r="AH115">
        <v>9</v>
      </c>
      <c r="AI115">
        <f>7.1-3.3</f>
        <v>3.8</v>
      </c>
      <c r="AJ115">
        <v>0</v>
      </c>
      <c r="AK115">
        <v>0</v>
      </c>
      <c r="AL115">
        <v>2</v>
      </c>
      <c r="AM115">
        <f>9.6-5.22</f>
        <v>4.38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1</v>
      </c>
      <c r="CC115">
        <f>2.29-1.96</f>
        <v>0.33000000000000007</v>
      </c>
      <c r="CD115">
        <v>1</v>
      </c>
      <c r="CE115">
        <f>1.99-1.98</f>
        <v>1.0000000000000009E-2</v>
      </c>
      <c r="CF115">
        <v>0</v>
      </c>
      <c r="CG115">
        <v>0</v>
      </c>
      <c r="CH115">
        <v>1</v>
      </c>
      <c r="CI115">
        <f>2.4-1.97</f>
        <v>0.42999999999999994</v>
      </c>
      <c r="CJ115">
        <v>1</v>
      </c>
      <c r="CK115">
        <f>1.98-1.95</f>
        <v>3.0000000000000027E-2</v>
      </c>
      <c r="CL115">
        <v>2</v>
      </c>
      <c r="CM115">
        <f>2.02-1.98</f>
        <v>4.0000000000000036E-2</v>
      </c>
      <c r="CN115">
        <v>1</v>
      </c>
      <c r="CO115">
        <f>2.14-2</f>
        <v>0.14000000000000012</v>
      </c>
      <c r="CP115">
        <v>0</v>
      </c>
      <c r="CQ115">
        <v>0</v>
      </c>
      <c r="CR115">
        <v>0</v>
      </c>
      <c r="CS115">
        <v>0</v>
      </c>
    </row>
    <row r="116" spans="1:97" x14ac:dyDescent="0.25">
      <c r="A116" s="8">
        <v>44593</v>
      </c>
      <c r="B116" s="7" t="s">
        <v>168</v>
      </c>
      <c r="C116">
        <f t="shared" si="7"/>
        <v>0.25</v>
      </c>
      <c r="D116">
        <f>10+15+18+12+12</f>
        <v>67</v>
      </c>
      <c r="E116" s="3">
        <f>104.06-57.17</f>
        <v>46.89</v>
      </c>
      <c r="F116">
        <v>24</v>
      </c>
      <c r="G116" s="3">
        <f>13.15-6.53</f>
        <v>6.62</v>
      </c>
      <c r="H116">
        <v>3</v>
      </c>
      <c r="I116">
        <f>9.93-4.62</f>
        <v>5.31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29</v>
      </c>
      <c r="Q116">
        <f>5.31-3.02</f>
        <v>2.2899999999999996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7</v>
      </c>
      <c r="Y116" s="3">
        <f>2.29-1.98</f>
        <v>0.31000000000000005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4</v>
      </c>
      <c r="AG116">
        <f>2.86-1.97</f>
        <v>0.8899999999999999</v>
      </c>
      <c r="AH116">
        <v>5</v>
      </c>
      <c r="AI116">
        <f>2.46-1.97</f>
        <v>0.49</v>
      </c>
      <c r="AJ116">
        <v>0</v>
      </c>
      <c r="AK116">
        <v>0</v>
      </c>
      <c r="AL116">
        <v>2</v>
      </c>
      <c r="AM116">
        <f>2.42-1.97</f>
        <v>0.44999999999999996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2</v>
      </c>
      <c r="BM116">
        <f>2.06-1.97</f>
        <v>9.000000000000008E-2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2</v>
      </c>
      <c r="BW116">
        <f>1.99-1.98</f>
        <v>1.0000000000000009E-2</v>
      </c>
      <c r="BX116">
        <v>0</v>
      </c>
      <c r="BY116">
        <v>0</v>
      </c>
      <c r="BZ116">
        <v>0</v>
      </c>
      <c r="CA116">
        <v>0</v>
      </c>
      <c r="CB116">
        <v>1</v>
      </c>
      <c r="CC116">
        <f>2.03-1.97</f>
        <v>5.9999999999999831E-2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1</v>
      </c>
      <c r="CM116">
        <v>5.0000000000000001E-3</v>
      </c>
      <c r="CN116">
        <v>0</v>
      </c>
      <c r="CO116">
        <v>0</v>
      </c>
      <c r="CP116">
        <v>0</v>
      </c>
      <c r="CQ116">
        <v>0</v>
      </c>
      <c r="CR116">
        <v>0</v>
      </c>
      <c r="CS116">
        <v>0</v>
      </c>
    </row>
    <row r="117" spans="1:97" x14ac:dyDescent="0.25">
      <c r="A117" s="8">
        <v>44593</v>
      </c>
      <c r="B117" s="7" t="s">
        <v>169</v>
      </c>
      <c r="C117">
        <f t="shared" si="7"/>
        <v>0.25</v>
      </c>
      <c r="D117">
        <f>35+51+1</f>
        <v>87</v>
      </c>
      <c r="E117" s="3">
        <f>39.74-9.93</f>
        <v>29.810000000000002</v>
      </c>
      <c r="F117">
        <v>57</v>
      </c>
      <c r="G117" s="3">
        <f>51.97-9.94</f>
        <v>42.03</v>
      </c>
      <c r="H117">
        <v>3</v>
      </c>
      <c r="I117">
        <f>3.22-1.99</f>
        <v>1.2300000000000002</v>
      </c>
      <c r="J117">
        <v>1</v>
      </c>
      <c r="K117">
        <f>1.99-1.98</f>
        <v>1.0000000000000009E-2</v>
      </c>
      <c r="L117">
        <v>0</v>
      </c>
      <c r="M117">
        <v>0</v>
      </c>
      <c r="N117">
        <v>0</v>
      </c>
      <c r="O117">
        <v>0</v>
      </c>
      <c r="P117">
        <v>26</v>
      </c>
      <c r="Q117">
        <f>3.52-1.98</f>
        <v>1.54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2</v>
      </c>
      <c r="Y117" s="3">
        <f>1.99-1.97</f>
        <v>2.0000000000000018E-2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3</v>
      </c>
      <c r="AG117">
        <f>2.42-2.01</f>
        <v>0.41000000000000014</v>
      </c>
      <c r="AH117">
        <v>3</v>
      </c>
      <c r="AI117">
        <f>2.09-1.97</f>
        <v>0.11999999999999988</v>
      </c>
      <c r="AJ117">
        <v>0</v>
      </c>
      <c r="AK117">
        <v>0</v>
      </c>
      <c r="AL117">
        <v>2</v>
      </c>
      <c r="AM117">
        <f>2.27-1.98</f>
        <v>0.29000000000000004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9</v>
      </c>
      <c r="BY117">
        <f>2.16-1.99</f>
        <v>0.17000000000000015</v>
      </c>
      <c r="BZ117">
        <v>0</v>
      </c>
      <c r="CA117">
        <v>0</v>
      </c>
      <c r="CB117">
        <v>5</v>
      </c>
      <c r="CC117">
        <f>2.58-1.99</f>
        <v>0.59000000000000008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1</v>
      </c>
      <c r="CO117">
        <f>2.03-2.02</f>
        <v>9.9999999999997868E-3</v>
      </c>
      <c r="CP117">
        <v>0</v>
      </c>
      <c r="CQ117">
        <v>0</v>
      </c>
      <c r="CR117">
        <v>0</v>
      </c>
      <c r="CS117">
        <v>0</v>
      </c>
    </row>
    <row r="118" spans="1:97" x14ac:dyDescent="0.25">
      <c r="A118" s="8">
        <v>44593</v>
      </c>
      <c r="B118" s="7" t="s">
        <v>170</v>
      </c>
      <c r="C118">
        <f t="shared" si="7"/>
        <v>0.25</v>
      </c>
      <c r="D118">
        <f>23+25+29+31+17+15+27+19+33+21+2</f>
        <v>242</v>
      </c>
      <c r="E118" s="3">
        <f>133.61-81.62</f>
        <v>51.990000000000009</v>
      </c>
      <c r="F118">
        <v>2</v>
      </c>
      <c r="G118" s="3">
        <f>4.74-4.68</f>
        <v>6.0000000000000497E-2</v>
      </c>
      <c r="H118">
        <v>1</v>
      </c>
      <c r="I118">
        <f>3.4-3.16</f>
        <v>0.23999999999999977</v>
      </c>
      <c r="J118">
        <v>6</v>
      </c>
      <c r="K118">
        <f>4.69-4.66</f>
        <v>3.0000000000000249E-2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f>9+4+1+6+4+5+4+2+2</f>
        <v>37</v>
      </c>
      <c r="AA118">
        <f>11.91-5.58</f>
        <v>6.33</v>
      </c>
      <c r="AB118">
        <v>0</v>
      </c>
      <c r="AC118">
        <v>0</v>
      </c>
      <c r="AD118">
        <v>1</v>
      </c>
      <c r="AE118">
        <f>3.2-2.86</f>
        <v>0.3400000000000003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8</v>
      </c>
      <c r="AM118">
        <f>8.7-5.36</f>
        <v>3.339999999999999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1</v>
      </c>
      <c r="BQ118">
        <f>4.94-4.69</f>
        <v>0.25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0</v>
      </c>
      <c r="CP118">
        <v>0</v>
      </c>
      <c r="CQ118">
        <v>0</v>
      </c>
      <c r="CR118">
        <v>0</v>
      </c>
      <c r="CS118">
        <v>0</v>
      </c>
    </row>
    <row r="119" spans="1:97" x14ac:dyDescent="0.25">
      <c r="A119" s="8">
        <v>44593</v>
      </c>
      <c r="B119" s="7" t="s">
        <v>177</v>
      </c>
      <c r="C119">
        <f t="shared" si="7"/>
        <v>0.25</v>
      </c>
      <c r="D119">
        <f>125+6+2</f>
        <v>133</v>
      </c>
      <c r="E119" s="3">
        <f>66.98-9.36</f>
        <v>57.620000000000005</v>
      </c>
      <c r="F119">
        <v>9</v>
      </c>
      <c r="G119" s="3">
        <f>4.7-4.68</f>
        <v>2.0000000000000462E-2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36</v>
      </c>
      <c r="Q119">
        <f>20.66-15.24</f>
        <v>5.42</v>
      </c>
      <c r="R119">
        <v>0</v>
      </c>
      <c r="S119">
        <v>0</v>
      </c>
      <c r="T119">
        <v>0</v>
      </c>
      <c r="U119">
        <v>0</v>
      </c>
      <c r="V119">
        <v>4</v>
      </c>
      <c r="W119" s="3">
        <f>2.92-1.97</f>
        <v>0.95</v>
      </c>
      <c r="X119">
        <v>11</v>
      </c>
      <c r="Y119" s="3">
        <f>2.89-1.98</f>
        <v>0.91000000000000014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4</v>
      </c>
      <c r="AI119">
        <f>23-7.9</f>
        <v>15.1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11</v>
      </c>
      <c r="CA119">
        <f>2.91-2.01</f>
        <v>0.90000000000000036</v>
      </c>
      <c r="CB119">
        <v>4</v>
      </c>
      <c r="CC119">
        <f>19.85-10.01</f>
        <v>9.8400000000000016</v>
      </c>
      <c r="CD119">
        <v>1</v>
      </c>
      <c r="CE119">
        <f>2.93-2</f>
        <v>0.93000000000000016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0</v>
      </c>
      <c r="CP119">
        <v>0</v>
      </c>
      <c r="CQ119">
        <v>0</v>
      </c>
      <c r="CR119">
        <v>0</v>
      </c>
      <c r="CS119">
        <v>0</v>
      </c>
    </row>
    <row r="120" spans="1:97" x14ac:dyDescent="0.25">
      <c r="A120" s="8">
        <v>44595</v>
      </c>
      <c r="B120" s="7" t="s">
        <v>179</v>
      </c>
      <c r="C120">
        <f t="shared" si="7"/>
        <v>0.25</v>
      </c>
      <c r="D120">
        <f>39+70+2</f>
        <v>111</v>
      </c>
      <c r="E120" s="3">
        <f>52.74-10.01</f>
        <v>42.730000000000004</v>
      </c>
      <c r="F120">
        <v>20</v>
      </c>
      <c r="G120" s="3">
        <f>22.53-10.14</f>
        <v>12.39</v>
      </c>
      <c r="H120">
        <v>2</v>
      </c>
      <c r="I120">
        <f>3.6-2.97</f>
        <v>0.62999999999999989</v>
      </c>
      <c r="J120">
        <v>7</v>
      </c>
      <c r="K120">
        <f>3.09-2.95</f>
        <v>0.13999999999999968</v>
      </c>
      <c r="L120">
        <v>0</v>
      </c>
      <c r="M120">
        <v>0</v>
      </c>
      <c r="N120">
        <v>0</v>
      </c>
      <c r="O120">
        <v>0</v>
      </c>
      <c r="P120">
        <v>22</v>
      </c>
      <c r="Q120">
        <f>6.09-2.96</f>
        <v>3.13</v>
      </c>
      <c r="R120">
        <v>0</v>
      </c>
      <c r="S120">
        <v>0</v>
      </c>
      <c r="T120">
        <v>0</v>
      </c>
      <c r="U120">
        <v>0</v>
      </c>
      <c r="V120">
        <v>2</v>
      </c>
      <c r="W120" s="3">
        <f>3.6-2.99</f>
        <v>0.60999999999999988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2</v>
      </c>
      <c r="AG120">
        <f>3.62-2.95</f>
        <v>0.66999999999999993</v>
      </c>
      <c r="AH120">
        <v>12</v>
      </c>
      <c r="AI120">
        <f>12.01-5.31</f>
        <v>6.7</v>
      </c>
      <c r="AJ120">
        <v>0</v>
      </c>
      <c r="AK120">
        <v>0</v>
      </c>
      <c r="AL120">
        <v>10</v>
      </c>
      <c r="AM120">
        <f>16.01-5.21</f>
        <v>10.8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2</v>
      </c>
      <c r="CO120">
        <f>3.64-2.96</f>
        <v>0.68000000000000016</v>
      </c>
      <c r="CP120">
        <v>0</v>
      </c>
      <c r="CQ120">
        <v>0</v>
      </c>
      <c r="CR120">
        <v>0</v>
      </c>
      <c r="CS120">
        <v>0</v>
      </c>
    </row>
    <row r="121" spans="1:97" x14ac:dyDescent="0.25">
      <c r="A121" s="8">
        <v>44595</v>
      </c>
      <c r="B121" s="7" t="s">
        <v>180</v>
      </c>
      <c r="C121">
        <f t="shared" si="7"/>
        <v>0.25</v>
      </c>
      <c r="D121">
        <f>70+24+43+2+2</f>
        <v>141</v>
      </c>
      <c r="E121" s="3">
        <f>56.9-10.09</f>
        <v>46.81</v>
      </c>
      <c r="F121">
        <v>17</v>
      </c>
      <c r="G121" s="3">
        <f>4.68-2.9</f>
        <v>1.7799999999999998</v>
      </c>
      <c r="H121">
        <v>3</v>
      </c>
      <c r="I121">
        <f>5.06-2.98</f>
        <v>2.0799999999999996</v>
      </c>
      <c r="J121">
        <v>6</v>
      </c>
      <c r="K121">
        <f>3.1-2.95</f>
        <v>0.14999999999999991</v>
      </c>
      <c r="L121">
        <v>0</v>
      </c>
      <c r="M121">
        <v>0</v>
      </c>
      <c r="N121">
        <v>0</v>
      </c>
      <c r="O121">
        <v>0</v>
      </c>
      <c r="P121">
        <v>33</v>
      </c>
      <c r="Q121">
        <f>9.1-5.41</f>
        <v>3.6899999999999995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3</v>
      </c>
      <c r="Y121" s="3">
        <f>2.42-2.38</f>
        <v>4.0000000000000036E-2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2</v>
      </c>
      <c r="AG121">
        <f>3.6-2.97</f>
        <v>0.62999999999999989</v>
      </c>
      <c r="AH121">
        <v>14</v>
      </c>
      <c r="AI121">
        <f>9.7-2.98</f>
        <v>6.7199999999999989</v>
      </c>
      <c r="AJ121">
        <v>0</v>
      </c>
      <c r="AK121">
        <v>0</v>
      </c>
      <c r="AL121">
        <v>13</v>
      </c>
      <c r="AM121">
        <f>32.92-10.03</f>
        <v>22.89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1</v>
      </c>
      <c r="BW121">
        <f>2.03-2.01</f>
        <v>2.0000000000000018E-2</v>
      </c>
      <c r="BX121">
        <v>1</v>
      </c>
      <c r="BY121">
        <f>3.41-3</f>
        <v>0.41000000000000014</v>
      </c>
      <c r="BZ121">
        <v>0</v>
      </c>
      <c r="CA121">
        <v>0</v>
      </c>
      <c r="CB121">
        <v>4</v>
      </c>
      <c r="CC121">
        <f>3.99-2.98</f>
        <v>1.0100000000000002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0</v>
      </c>
      <c r="CP121">
        <v>1</v>
      </c>
      <c r="CQ121" s="11">
        <f>2.01-1.42</f>
        <v>0.58999999999999986</v>
      </c>
      <c r="CR121">
        <v>0</v>
      </c>
      <c r="CS121">
        <v>0</v>
      </c>
    </row>
    <row r="122" spans="1:97" x14ac:dyDescent="0.25">
      <c r="A122" s="8">
        <v>44595</v>
      </c>
      <c r="B122" s="7" t="s">
        <v>181</v>
      </c>
      <c r="C122">
        <f t="shared" si="7"/>
        <v>0.25</v>
      </c>
      <c r="D122">
        <f>112</f>
        <v>112</v>
      </c>
      <c r="E122" s="3">
        <f>47.16-9.97</f>
        <v>37.19</v>
      </c>
      <c r="F122">
        <v>7</v>
      </c>
      <c r="G122" s="3">
        <f>1.56-1.37</f>
        <v>0.18999999999999995</v>
      </c>
      <c r="H122">
        <v>0</v>
      </c>
      <c r="I122">
        <v>0</v>
      </c>
      <c r="J122">
        <v>1</v>
      </c>
      <c r="K122">
        <f>1.47-1.42</f>
        <v>5.0000000000000044E-2</v>
      </c>
      <c r="L122">
        <v>0</v>
      </c>
      <c r="M122">
        <v>0</v>
      </c>
      <c r="N122">
        <v>0</v>
      </c>
      <c r="O122">
        <v>0</v>
      </c>
      <c r="P122">
        <v>25</v>
      </c>
      <c r="Q122">
        <f>4.83-2.91</f>
        <v>1.92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6</v>
      </c>
      <c r="AG122">
        <f>3.88-2.95</f>
        <v>0.92999999999999972</v>
      </c>
      <c r="AH122">
        <v>11</v>
      </c>
      <c r="AI122">
        <f>4.61-2.96</f>
        <v>1.6500000000000004</v>
      </c>
      <c r="AJ122">
        <v>0</v>
      </c>
      <c r="AK122">
        <v>0</v>
      </c>
      <c r="AL122">
        <v>19</v>
      </c>
      <c r="AM122">
        <f>47.96-17.25</f>
        <v>30.71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1</v>
      </c>
      <c r="BY122">
        <v>5.0000000000000001E-3</v>
      </c>
      <c r="BZ122">
        <v>0</v>
      </c>
      <c r="CA122">
        <v>0</v>
      </c>
      <c r="CB122">
        <v>1</v>
      </c>
      <c r="CC122">
        <f>1.89-1.39</f>
        <v>0.5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1</v>
      </c>
      <c r="CO122">
        <f>3.44-2.94</f>
        <v>0.5</v>
      </c>
      <c r="CP122">
        <v>0</v>
      </c>
      <c r="CQ122">
        <v>0</v>
      </c>
      <c r="CR122">
        <v>0</v>
      </c>
      <c r="CS122">
        <v>0</v>
      </c>
    </row>
    <row r="123" spans="1:97" x14ac:dyDescent="0.25">
      <c r="A123" s="8">
        <v>44595</v>
      </c>
      <c r="B123" s="7" t="s">
        <v>182</v>
      </c>
      <c r="C123">
        <f t="shared" si="7"/>
        <v>0.25</v>
      </c>
      <c r="D123">
        <v>70</v>
      </c>
      <c r="E123" s="3">
        <f>46.66-5.36</f>
        <v>41.3</v>
      </c>
      <c r="F123">
        <v>24</v>
      </c>
      <c r="G123" s="3">
        <f>22.16-5.28</f>
        <v>16.88</v>
      </c>
      <c r="H123">
        <v>1</v>
      </c>
      <c r="I123">
        <f>1.86-1.43</f>
        <v>0.43000000000000016</v>
      </c>
      <c r="J123">
        <v>2</v>
      </c>
      <c r="K123">
        <f>2.12-2.11</f>
        <v>1.0000000000000231E-2</v>
      </c>
      <c r="L123">
        <v>0</v>
      </c>
      <c r="M123">
        <v>0</v>
      </c>
      <c r="N123">
        <v>0</v>
      </c>
      <c r="O123">
        <v>0</v>
      </c>
      <c r="P123">
        <v>44</v>
      </c>
      <c r="Q123">
        <f>13.14-5.38</f>
        <v>7.7600000000000007</v>
      </c>
      <c r="R123">
        <v>0</v>
      </c>
      <c r="S123">
        <v>0</v>
      </c>
      <c r="T123">
        <v>0</v>
      </c>
      <c r="U123">
        <v>0</v>
      </c>
      <c r="V123">
        <v>1</v>
      </c>
      <c r="W123" s="3">
        <f>1.43-1.41</f>
        <v>2.0000000000000018E-2</v>
      </c>
      <c r="X123">
        <v>20</v>
      </c>
      <c r="Y123" s="3">
        <f>6.57-2.96</f>
        <v>3.6100000000000003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2</v>
      </c>
      <c r="AG123">
        <f>1.92-1.43</f>
        <v>0.49</v>
      </c>
      <c r="AH123">
        <v>7</v>
      </c>
      <c r="AI123">
        <f>4.2-2.95</f>
        <v>1.25</v>
      </c>
      <c r="AJ123">
        <v>0</v>
      </c>
      <c r="AK123">
        <v>0</v>
      </c>
      <c r="AL123">
        <v>2</v>
      </c>
      <c r="AM123">
        <f>4.3-2.93</f>
        <v>1.3699999999999997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15</v>
      </c>
      <c r="CC123">
        <f>5.16-2.97</f>
        <v>2.19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2</v>
      </c>
      <c r="CO123">
        <f>3.1-2.94</f>
        <v>0.16000000000000014</v>
      </c>
      <c r="CP123">
        <v>0</v>
      </c>
      <c r="CQ123">
        <v>0</v>
      </c>
      <c r="CR123">
        <v>0</v>
      </c>
      <c r="CS123">
        <v>0</v>
      </c>
    </row>
    <row r="124" spans="1:97" x14ac:dyDescent="0.25">
      <c r="A124" s="8">
        <v>44595</v>
      </c>
      <c r="B124" s="7" t="s">
        <v>183</v>
      </c>
      <c r="C124">
        <f t="shared" si="7"/>
        <v>0.25</v>
      </c>
      <c r="D124">
        <f>42+12</f>
        <v>54</v>
      </c>
      <c r="E124" s="3">
        <f>96.83-57.09</f>
        <v>39.739999999999995</v>
      </c>
      <c r="F124">
        <f>10+27+1</f>
        <v>38</v>
      </c>
      <c r="G124" s="3">
        <f>29.95-10.06</f>
        <v>19.89</v>
      </c>
      <c r="H124">
        <v>0</v>
      </c>
      <c r="I124">
        <v>0</v>
      </c>
      <c r="J124">
        <v>1</v>
      </c>
      <c r="K124">
        <f>1.43-1.42</f>
        <v>1.0000000000000009E-2</v>
      </c>
      <c r="L124">
        <v>0</v>
      </c>
      <c r="M124">
        <v>0</v>
      </c>
      <c r="N124">
        <v>1</v>
      </c>
      <c r="O124">
        <f>4.06-2.81</f>
        <v>1.2499999999999996</v>
      </c>
      <c r="P124">
        <v>38</v>
      </c>
      <c r="Q124">
        <f>14.69-10.12</f>
        <v>4.57</v>
      </c>
      <c r="R124">
        <v>0</v>
      </c>
      <c r="S124">
        <v>0</v>
      </c>
      <c r="T124">
        <v>0</v>
      </c>
      <c r="U124">
        <v>0</v>
      </c>
      <c r="V124">
        <v>1</v>
      </c>
      <c r="W124" s="3">
        <f>0.005</f>
        <v>5.0000000000000001E-3</v>
      </c>
      <c r="X124">
        <v>17</v>
      </c>
      <c r="Y124" s="3">
        <f>8.81-7.41</f>
        <v>1.4000000000000004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5</v>
      </c>
      <c r="AG124">
        <f>3.76-2.95</f>
        <v>0.80999999999999961</v>
      </c>
      <c r="AH124">
        <v>14</v>
      </c>
      <c r="AI124">
        <f>4.71-2.93</f>
        <v>1.7799999999999998</v>
      </c>
      <c r="AJ124">
        <v>0</v>
      </c>
      <c r="AK124">
        <v>0</v>
      </c>
      <c r="AL124">
        <v>3</v>
      </c>
      <c r="AM124">
        <f>4.61-2.92</f>
        <v>1.6900000000000004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2</v>
      </c>
      <c r="BW124">
        <f>1.44-1.42</f>
        <v>2.0000000000000018E-2</v>
      </c>
      <c r="BX124">
        <v>0</v>
      </c>
      <c r="BY124">
        <v>0</v>
      </c>
      <c r="BZ124">
        <v>0</v>
      </c>
      <c r="CA124">
        <v>0</v>
      </c>
      <c r="CB124">
        <v>28</v>
      </c>
      <c r="CC124">
        <f>17.51-10.12</f>
        <v>7.3900000000000023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2</v>
      </c>
      <c r="CO124">
        <f>1.69-1.42</f>
        <v>0.27</v>
      </c>
      <c r="CP124">
        <v>0</v>
      </c>
      <c r="CQ124">
        <v>0</v>
      </c>
      <c r="CR124">
        <v>0</v>
      </c>
      <c r="CS124">
        <v>0</v>
      </c>
    </row>
    <row r="125" spans="1:97" x14ac:dyDescent="0.25">
      <c r="A125" s="8">
        <v>44607</v>
      </c>
      <c r="B125" s="7" t="s">
        <v>196</v>
      </c>
      <c r="C125">
        <f t="shared" si="7"/>
        <v>0.25</v>
      </c>
      <c r="D125">
        <f>30+11+11+11+6</f>
        <v>69</v>
      </c>
      <c r="E125" s="3">
        <f>113.48-57.43</f>
        <v>56.050000000000004</v>
      </c>
      <c r="F125">
        <f>3+1+12+2</f>
        <v>18</v>
      </c>
      <c r="G125" s="3">
        <f>17.86-10.21</f>
        <v>7.6499999999999986</v>
      </c>
      <c r="H125">
        <v>1</v>
      </c>
      <c r="I125">
        <f>9.09-4.83</f>
        <v>4.26</v>
      </c>
      <c r="J125">
        <v>1</v>
      </c>
      <c r="K125">
        <v>5.0000000000000001E-3</v>
      </c>
      <c r="L125">
        <v>0</v>
      </c>
      <c r="M125">
        <v>0</v>
      </c>
      <c r="N125">
        <v>0</v>
      </c>
      <c r="O125">
        <v>0</v>
      </c>
      <c r="P125">
        <f>6+3+10+24</f>
        <v>43</v>
      </c>
      <c r="Q125">
        <f>20.1-10.15</f>
        <v>9.9500000000000011</v>
      </c>
      <c r="R125">
        <v>0</v>
      </c>
      <c r="S125">
        <v>0</v>
      </c>
      <c r="T125">
        <v>0</v>
      </c>
      <c r="U125">
        <v>0</v>
      </c>
      <c r="V125">
        <v>1</v>
      </c>
      <c r="W125" s="3">
        <f>13.66-10.28</f>
        <v>3.3800000000000008</v>
      </c>
      <c r="X125">
        <v>2</v>
      </c>
      <c r="Y125" s="3">
        <f>2.89-1.96</f>
        <v>0.93000000000000016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2</v>
      </c>
      <c r="AG125">
        <f>5.79-3.22</f>
        <v>2.57</v>
      </c>
      <c r="AH125">
        <v>13</v>
      </c>
      <c r="AI125">
        <f>17.73-8.01</f>
        <v>9.7200000000000006</v>
      </c>
      <c r="AJ125">
        <v>0</v>
      </c>
      <c r="AK125">
        <v>0</v>
      </c>
      <c r="AL125">
        <v>4</v>
      </c>
      <c r="AM125">
        <f>20.52-10.13</f>
        <v>10.389999999999999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7</v>
      </c>
      <c r="BA125" s="11"/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2</v>
      </c>
      <c r="BW125">
        <f>2.05-1.99</f>
        <v>5.9999999999999831E-2</v>
      </c>
      <c r="BX125">
        <v>0</v>
      </c>
      <c r="BY125">
        <v>0</v>
      </c>
      <c r="BZ125">
        <v>0</v>
      </c>
      <c r="CA125">
        <v>0</v>
      </c>
      <c r="CB125">
        <v>13</v>
      </c>
      <c r="CC125">
        <f>21.47-10.16</f>
        <v>11.309999999999999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1</v>
      </c>
      <c r="CO125">
        <f>5.41-4.64</f>
        <v>0.77000000000000046</v>
      </c>
      <c r="CP125">
        <v>0</v>
      </c>
      <c r="CQ125">
        <v>0</v>
      </c>
      <c r="CR125">
        <v>0</v>
      </c>
      <c r="CS125">
        <v>0</v>
      </c>
    </row>
    <row r="126" spans="1:97" x14ac:dyDescent="0.25">
      <c r="A126" s="8">
        <v>44607</v>
      </c>
      <c r="B126" s="7" t="s">
        <v>197</v>
      </c>
      <c r="C126">
        <f t="shared" si="7"/>
        <v>0.25</v>
      </c>
      <c r="D126">
        <f>30+8+20+1+6</f>
        <v>65</v>
      </c>
      <c r="E126" s="12">
        <f>74.54-57.01</f>
        <v>17.530000000000008</v>
      </c>
      <c r="F126">
        <v>10</v>
      </c>
      <c r="G126" s="3">
        <f>3.07-1.97</f>
        <v>1.0999999999999999</v>
      </c>
      <c r="H126">
        <v>2</v>
      </c>
      <c r="I126">
        <f>9.3-6.63</f>
        <v>2.6700000000000008</v>
      </c>
      <c r="J126">
        <v>1</v>
      </c>
      <c r="K126">
        <v>5.0000000000000001E-3</v>
      </c>
      <c r="L126">
        <v>0</v>
      </c>
      <c r="M126">
        <v>0</v>
      </c>
      <c r="N126">
        <v>0</v>
      </c>
      <c r="O126">
        <v>0</v>
      </c>
      <c r="P126">
        <f>11+13+12+22</f>
        <v>58</v>
      </c>
      <c r="Q126">
        <f>27.8-15.39</f>
        <v>12.41</v>
      </c>
      <c r="R126">
        <v>0</v>
      </c>
      <c r="S126">
        <v>0</v>
      </c>
      <c r="T126">
        <v>0</v>
      </c>
      <c r="U126">
        <v>0</v>
      </c>
      <c r="V126">
        <v>0</v>
      </c>
      <c r="W126" s="3">
        <v>0</v>
      </c>
      <c r="X126">
        <v>7</v>
      </c>
      <c r="Y126" s="3">
        <f>2.21-2</f>
        <v>0.20999999999999996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2</v>
      </c>
      <c r="AG126">
        <f>2.04-1.89</f>
        <v>0.15000000000000013</v>
      </c>
      <c r="AH126">
        <v>15</v>
      </c>
      <c r="AI126">
        <f>70.03-57.89</f>
        <v>12.14</v>
      </c>
      <c r="AJ126">
        <v>0</v>
      </c>
      <c r="AK126">
        <v>0</v>
      </c>
      <c r="AL126">
        <v>7</v>
      </c>
      <c r="AM126">
        <f>18.99-10.33</f>
        <v>8.6599999999999984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12</v>
      </c>
      <c r="CC126">
        <f>14.32-10.26</f>
        <v>4.0600000000000005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0</v>
      </c>
      <c r="CP126">
        <v>0</v>
      </c>
      <c r="CQ126">
        <v>0</v>
      </c>
      <c r="CR126">
        <v>0</v>
      </c>
      <c r="CS126">
        <v>0</v>
      </c>
    </row>
    <row r="127" spans="1:97" x14ac:dyDescent="0.25">
      <c r="A127" s="8">
        <v>44677</v>
      </c>
      <c r="B127" s="7" t="s">
        <v>198</v>
      </c>
      <c r="C127">
        <f t="shared" si="7"/>
        <v>0.25</v>
      </c>
      <c r="D127">
        <v>3</v>
      </c>
      <c r="E127">
        <f>5.74-5.35</f>
        <v>0.39000000000000057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66</v>
      </c>
      <c r="Y127">
        <f>42.52-10.6</f>
        <v>31.92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2</v>
      </c>
      <c r="AM127">
        <f>143.85-58.27</f>
        <v>85.579999999999984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f>52+48+47+39</f>
        <v>186</v>
      </c>
      <c r="CE127">
        <f>5.38-2.97</f>
        <v>2.4099999999999997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0</v>
      </c>
      <c r="CP127">
        <v>0</v>
      </c>
      <c r="CQ127">
        <v>0</v>
      </c>
      <c r="CR127">
        <v>0</v>
      </c>
      <c r="CS127">
        <v>0</v>
      </c>
    </row>
    <row r="128" spans="1:97" x14ac:dyDescent="0.25">
      <c r="A128" s="8">
        <v>44677</v>
      </c>
      <c r="B128" s="7" t="s">
        <v>199</v>
      </c>
      <c r="C128">
        <f t="shared" si="7"/>
        <v>0.25</v>
      </c>
      <c r="D128">
        <v>2</v>
      </c>
      <c r="E128">
        <f>1.63-1.41</f>
        <v>0.21999999999999997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70</v>
      </c>
      <c r="Y128">
        <f>42.1-10.4</f>
        <v>31.700000000000003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1</v>
      </c>
      <c r="AI128">
        <f>1.43-1.41</f>
        <v>2.0000000000000018E-2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f>46+15</f>
        <v>61</v>
      </c>
      <c r="CE128">
        <f>2.33-1.41</f>
        <v>0.92000000000000015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0</v>
      </c>
      <c r="CP128">
        <v>0</v>
      </c>
      <c r="CQ128">
        <v>0</v>
      </c>
      <c r="CR128">
        <v>0</v>
      </c>
      <c r="CS128">
        <v>0</v>
      </c>
    </row>
    <row r="129" spans="1:97" x14ac:dyDescent="0.25">
      <c r="A129" s="8">
        <v>44690</v>
      </c>
      <c r="B129" s="7" t="s">
        <v>205</v>
      </c>
      <c r="C129">
        <f t="shared" si="7"/>
        <v>0.25</v>
      </c>
      <c r="D129">
        <v>3</v>
      </c>
      <c r="E129">
        <f>1.46-1.42</f>
        <v>4.0000000000000036E-2</v>
      </c>
      <c r="F129">
        <v>14</v>
      </c>
      <c r="G129">
        <f>39.35-10.17</f>
        <v>29.18</v>
      </c>
      <c r="H129">
        <v>0</v>
      </c>
      <c r="I129">
        <v>0</v>
      </c>
      <c r="J129">
        <v>1</v>
      </c>
      <c r="K129">
        <f>3.55-2.91</f>
        <v>0.63999999999999968</v>
      </c>
      <c r="L129">
        <v>0</v>
      </c>
      <c r="M129">
        <v>0</v>
      </c>
      <c r="N129">
        <v>0</v>
      </c>
      <c r="O129">
        <v>0</v>
      </c>
      <c r="P129">
        <v>3</v>
      </c>
      <c r="Q129">
        <f>5.71-2.9</f>
        <v>2.81</v>
      </c>
      <c r="R129">
        <v>3</v>
      </c>
      <c r="S129">
        <f>14.37-10.26</f>
        <v>4.1099999999999994</v>
      </c>
      <c r="T129">
        <v>0</v>
      </c>
      <c r="U129">
        <v>0</v>
      </c>
      <c r="V129">
        <v>0</v>
      </c>
      <c r="W129">
        <v>0</v>
      </c>
      <c r="X129">
        <v>7</v>
      </c>
      <c r="Y129">
        <f>9.29-2.95</f>
        <v>6.339999999999999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8</v>
      </c>
      <c r="AI129">
        <f>32.39-10.17</f>
        <v>22.22</v>
      </c>
      <c r="AJ129">
        <v>0</v>
      </c>
      <c r="AK129">
        <v>0</v>
      </c>
      <c r="AL129">
        <v>4</v>
      </c>
      <c r="AM129">
        <f>150.55-58.68</f>
        <v>91.87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7</v>
      </c>
      <c r="BA129">
        <f>9.86-4.83</f>
        <v>5.0299999999999994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4</v>
      </c>
      <c r="BW129">
        <f>2.03-1.99</f>
        <v>3.9999999999999813E-2</v>
      </c>
      <c r="BX129">
        <v>0</v>
      </c>
      <c r="BY129">
        <v>0</v>
      </c>
      <c r="BZ129">
        <v>0</v>
      </c>
      <c r="CA129">
        <v>0</v>
      </c>
      <c r="CB129">
        <v>23</v>
      </c>
      <c r="CC129">
        <f>52-10.04</f>
        <v>41.96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0</v>
      </c>
      <c r="CP129">
        <v>0</v>
      </c>
      <c r="CQ129">
        <v>0</v>
      </c>
      <c r="CR129">
        <v>0</v>
      </c>
      <c r="CS129">
        <v>0</v>
      </c>
    </row>
    <row r="130" spans="1:97" x14ac:dyDescent="0.25">
      <c r="A130" s="8">
        <v>44691</v>
      </c>
      <c r="B130" s="7" t="s">
        <v>206</v>
      </c>
      <c r="C130">
        <f>0.5*0.6</f>
        <v>0.3</v>
      </c>
      <c r="D130">
        <v>1</v>
      </c>
      <c r="E130">
        <f>1.44-1.42</f>
        <v>2.0000000000000018E-2</v>
      </c>
      <c r="F130">
        <v>9</v>
      </c>
      <c r="G130">
        <f>29.98-10.03</f>
        <v>19.950000000000003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3</v>
      </c>
      <c r="Q130">
        <f>3.71-2.91</f>
        <v>0.79999999999999982</v>
      </c>
      <c r="R130">
        <v>4</v>
      </c>
      <c r="S130">
        <f>19.16-15.34</f>
        <v>3.8200000000000003</v>
      </c>
      <c r="T130">
        <v>0</v>
      </c>
      <c r="U130">
        <v>0</v>
      </c>
      <c r="V130">
        <v>0</v>
      </c>
      <c r="W130">
        <v>0</v>
      </c>
      <c r="X130">
        <v>6</v>
      </c>
      <c r="Y130">
        <f>5.43-3.15</f>
        <v>2.2799999999999998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3</v>
      </c>
      <c r="AI130">
        <f>7.59-2.95</f>
        <v>4.6399999999999997</v>
      </c>
      <c r="AJ130">
        <v>0</v>
      </c>
      <c r="AK130">
        <v>0</v>
      </c>
      <c r="AL130">
        <v>11</v>
      </c>
      <c r="AM130">
        <f>142.88-58.31</f>
        <v>84.57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10</v>
      </c>
      <c r="BA130">
        <f>9.02-7.33</f>
        <v>1.6899999999999995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2</v>
      </c>
      <c r="BK130">
        <f>2.92-1.43</f>
        <v>1.49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3</v>
      </c>
      <c r="BW130">
        <f>7.44-7.42</f>
        <v>2.0000000000000462E-2</v>
      </c>
      <c r="BX130">
        <v>0</v>
      </c>
      <c r="BY130">
        <v>0</v>
      </c>
      <c r="BZ130">
        <v>0</v>
      </c>
      <c r="CA130">
        <v>0</v>
      </c>
      <c r="CB130">
        <v>28</v>
      </c>
      <c r="CC130">
        <f>83.27-10.12</f>
        <v>73.149999999999991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0</v>
      </c>
      <c r="CQ130">
        <v>0</v>
      </c>
      <c r="CR130">
        <v>0</v>
      </c>
      <c r="CS130">
        <v>0</v>
      </c>
    </row>
    <row r="131" spans="1:97" x14ac:dyDescent="0.25">
      <c r="A131" s="8">
        <v>44695</v>
      </c>
      <c r="B131" s="7" t="s">
        <v>207</v>
      </c>
      <c r="C131">
        <f>0.5*0.7</f>
        <v>0.35</v>
      </c>
      <c r="D131">
        <v>0</v>
      </c>
      <c r="E131">
        <v>0</v>
      </c>
      <c r="F131">
        <v>9</v>
      </c>
      <c r="G131">
        <f>172.47-10.09</f>
        <v>162.38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2</v>
      </c>
      <c r="S131">
        <f>12.97-10.07</f>
        <v>2.9000000000000004</v>
      </c>
      <c r="T131">
        <v>0</v>
      </c>
      <c r="U131">
        <v>0</v>
      </c>
      <c r="V131">
        <v>0</v>
      </c>
      <c r="W131">
        <v>0</v>
      </c>
      <c r="X131">
        <v>23</v>
      </c>
      <c r="Y131">
        <f>18.77-10.04</f>
        <v>8.73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6</v>
      </c>
      <c r="AI131">
        <f>14.35-10.23</f>
        <v>4.1199999999999992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1</v>
      </c>
      <c r="BC131">
        <f>7.67-7.4</f>
        <v>0.26999999999999957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11</v>
      </c>
      <c r="BW131">
        <f>7.46-7.34</f>
        <v>0.12000000000000011</v>
      </c>
      <c r="BX131">
        <v>0</v>
      </c>
      <c r="BY131">
        <v>0</v>
      </c>
      <c r="BZ131">
        <v>0</v>
      </c>
      <c r="CA131">
        <v>0</v>
      </c>
      <c r="CB131">
        <f>27+21+8+1</f>
        <v>57</v>
      </c>
      <c r="CC131">
        <f>57.97-10.01</f>
        <v>47.96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0</v>
      </c>
      <c r="CP131">
        <v>0</v>
      </c>
      <c r="CQ131">
        <v>0</v>
      </c>
      <c r="CR131">
        <v>0</v>
      </c>
      <c r="CS131">
        <v>0</v>
      </c>
    </row>
    <row r="132" spans="1:97" x14ac:dyDescent="0.25">
      <c r="A132" s="8">
        <v>44695</v>
      </c>
      <c r="B132" s="7" t="s">
        <v>208</v>
      </c>
      <c r="C132">
        <f>0.4*0.8</f>
        <v>0.32000000000000006</v>
      </c>
      <c r="D132">
        <v>13</v>
      </c>
      <c r="E132">
        <f>9.67-7.42</f>
        <v>2.25</v>
      </c>
      <c r="F132">
        <v>0</v>
      </c>
      <c r="G132">
        <v>0</v>
      </c>
      <c r="H132">
        <v>0</v>
      </c>
      <c r="I132">
        <v>0</v>
      </c>
      <c r="J132">
        <v>4</v>
      </c>
      <c r="K132">
        <f>7.94-7.45</f>
        <v>0.49000000000000021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1</v>
      </c>
      <c r="W132">
        <f>1.66-1.42</f>
        <v>0.24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3</v>
      </c>
      <c r="AG132">
        <f>4.35-2.98</f>
        <v>1.3699999999999997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5</v>
      </c>
      <c r="BA132">
        <f>1.61-1.43</f>
        <v>0.18000000000000016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2</v>
      </c>
      <c r="BW132">
        <f>2.41-1.41</f>
        <v>1.0000000000000002</v>
      </c>
      <c r="BX132">
        <v>2</v>
      </c>
      <c r="BY132">
        <f>1.49-1.4</f>
        <v>9.000000000000008E-2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0</v>
      </c>
      <c r="CP132">
        <v>0</v>
      </c>
      <c r="CQ132">
        <v>0</v>
      </c>
      <c r="CR132">
        <v>0</v>
      </c>
      <c r="CS132">
        <v>0</v>
      </c>
    </row>
    <row r="133" spans="1:97" x14ac:dyDescent="0.25">
      <c r="A133" s="8">
        <v>44698</v>
      </c>
      <c r="B133" s="7" t="s">
        <v>210</v>
      </c>
      <c r="C133">
        <f>0.5*0.6</f>
        <v>0.3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11</v>
      </c>
      <c r="M133">
        <f>249.6-59.35</f>
        <v>190.25</v>
      </c>
      <c r="N133">
        <v>0</v>
      </c>
      <c r="O133">
        <v>0</v>
      </c>
      <c r="P133">
        <v>0</v>
      </c>
      <c r="Q133">
        <v>0</v>
      </c>
      <c r="R133">
        <v>1</v>
      </c>
      <c r="S133">
        <f>4.06</f>
        <v>4.0599999999999996</v>
      </c>
      <c r="T133">
        <v>0</v>
      </c>
      <c r="U133">
        <v>0</v>
      </c>
      <c r="V133">
        <v>0</v>
      </c>
      <c r="W133">
        <v>0</v>
      </c>
      <c r="X133">
        <v>87</v>
      </c>
      <c r="Y133">
        <f>24.62-5.4</f>
        <v>19.22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2</v>
      </c>
      <c r="AI133">
        <f>3.27-2.96</f>
        <v>0.31000000000000005</v>
      </c>
      <c r="AJ133">
        <v>0</v>
      </c>
      <c r="AK133">
        <v>0</v>
      </c>
      <c r="AL133">
        <v>6</v>
      </c>
      <c r="AM133">
        <f>83.84-58.95</f>
        <v>24.89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5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4</v>
      </c>
      <c r="BG133">
        <f>2.18-1.43</f>
        <v>0.75000000000000022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2</v>
      </c>
      <c r="CC133">
        <f>2.27-1.43</f>
        <v>0.84000000000000008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0</v>
      </c>
      <c r="CP133">
        <v>0</v>
      </c>
      <c r="CQ133">
        <v>0</v>
      </c>
      <c r="CR133">
        <v>0</v>
      </c>
      <c r="CS133">
        <v>0</v>
      </c>
    </row>
    <row r="134" spans="1:97" x14ac:dyDescent="0.25">
      <c r="A134" s="8">
        <v>44698</v>
      </c>
      <c r="B134" s="7" t="s">
        <v>211</v>
      </c>
      <c r="C134">
        <f t="shared" ref="C134" si="9">0.5*0.6</f>
        <v>0.3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5</v>
      </c>
      <c r="M134">
        <f>95.92-59.09</f>
        <v>36.83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f>79+75+43+5+1+1</f>
        <v>204</v>
      </c>
      <c r="Y134">
        <f>12.57-2.99</f>
        <v>9.58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2</v>
      </c>
      <c r="AG134">
        <f>3.16-2.97</f>
        <v>0.18999999999999995</v>
      </c>
      <c r="AH134">
        <v>0</v>
      </c>
      <c r="AI134">
        <v>0</v>
      </c>
      <c r="AJ134">
        <v>0</v>
      </c>
      <c r="AK134">
        <v>0</v>
      </c>
      <c r="AL134">
        <v>2</v>
      </c>
      <c r="AM134">
        <f>11.33-6.44</f>
        <v>4.8899999999999997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5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1</v>
      </c>
      <c r="BG134">
        <f>1.67-1.42</f>
        <v>0.25</v>
      </c>
      <c r="BH134">
        <v>0</v>
      </c>
      <c r="BI134">
        <v>0</v>
      </c>
      <c r="BJ134">
        <v>0</v>
      </c>
      <c r="BK134">
        <v>0</v>
      </c>
      <c r="BL134">
        <v>1</v>
      </c>
      <c r="BM134">
        <f>1.44-1.43</f>
        <v>1.0000000000000009E-2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3</v>
      </c>
      <c r="CC134">
        <f>6.12-2.99</f>
        <v>3.13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0</v>
      </c>
      <c r="CO134">
        <v>0</v>
      </c>
      <c r="CP134">
        <v>0</v>
      </c>
      <c r="CQ134">
        <v>0</v>
      </c>
      <c r="CR134">
        <v>0</v>
      </c>
      <c r="CS134">
        <v>0</v>
      </c>
    </row>
    <row r="135" spans="1:97" x14ac:dyDescent="0.25">
      <c r="A135" s="8">
        <v>44698</v>
      </c>
      <c r="B135" s="7" t="s">
        <v>212</v>
      </c>
      <c r="C135">
        <f>0.5*0.7</f>
        <v>0.35</v>
      </c>
      <c r="D135">
        <v>1</v>
      </c>
      <c r="E135">
        <f>1.57-1.4</f>
        <v>0.17000000000000015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3</v>
      </c>
      <c r="M135">
        <f>143.54-56.78</f>
        <v>86.759999999999991</v>
      </c>
      <c r="N135">
        <v>0</v>
      </c>
      <c r="O135">
        <v>0</v>
      </c>
      <c r="P135">
        <v>0</v>
      </c>
      <c r="Q135">
        <v>0</v>
      </c>
      <c r="R135">
        <v>1</v>
      </c>
      <c r="S135">
        <f>0.005</f>
        <v>5.0000000000000001E-3</v>
      </c>
      <c r="T135">
        <v>0</v>
      </c>
      <c r="U135">
        <v>0</v>
      </c>
      <c r="V135">
        <v>0</v>
      </c>
      <c r="W135">
        <v>0</v>
      </c>
      <c r="X135">
        <v>84</v>
      </c>
      <c r="Y135">
        <f>8.22-2.96</f>
        <v>5.2600000000000007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1</v>
      </c>
      <c r="AG135">
        <f>3.07-2.95</f>
        <v>0.11999999999999966</v>
      </c>
      <c r="AH135">
        <v>1</v>
      </c>
      <c r="AI135">
        <f>1.64-1.5</f>
        <v>0.1399999999999999</v>
      </c>
      <c r="AJ135">
        <v>0</v>
      </c>
      <c r="AK135">
        <v>0</v>
      </c>
      <c r="AL135">
        <f>14+3+4</f>
        <v>21</v>
      </c>
      <c r="AM135">
        <f>76.83-10.05</f>
        <v>66.78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5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4</v>
      </c>
      <c r="BG135">
        <f>1.74-1.44</f>
        <v>0.30000000000000004</v>
      </c>
      <c r="BH135">
        <v>0</v>
      </c>
      <c r="BI135">
        <v>0</v>
      </c>
      <c r="BJ135">
        <v>0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3</v>
      </c>
      <c r="CC135">
        <f>3.71-2.96</f>
        <v>0.75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0</v>
      </c>
      <c r="CO135">
        <v>0</v>
      </c>
      <c r="CP135">
        <v>0</v>
      </c>
      <c r="CQ135">
        <v>0</v>
      </c>
      <c r="CR135">
        <v>0</v>
      </c>
      <c r="CS135">
        <v>0</v>
      </c>
    </row>
  </sheetData>
  <mergeCells count="138">
    <mergeCell ref="CP1:CQ1"/>
    <mergeCell ref="CF1:CG1"/>
    <mergeCell ref="CH1:CI1"/>
    <mergeCell ref="CJ1:CK1"/>
    <mergeCell ref="CL1:CM1"/>
    <mergeCell ref="CN1:CO1"/>
    <mergeCell ref="BV1:BW1"/>
    <mergeCell ref="BX1:BY1"/>
    <mergeCell ref="BZ1:CA1"/>
    <mergeCell ref="CB1:CC1"/>
    <mergeCell ref="CD1:CE1"/>
    <mergeCell ref="BL1:BM1"/>
    <mergeCell ref="BN1:BO1"/>
    <mergeCell ref="BP1:BQ1"/>
    <mergeCell ref="BR1:BS1"/>
    <mergeCell ref="BT1:BU1"/>
    <mergeCell ref="AR1:AS1"/>
    <mergeCell ref="AT1:AU1"/>
    <mergeCell ref="AV1:AW1"/>
    <mergeCell ref="AX1:AY1"/>
    <mergeCell ref="BJ1:BK1"/>
    <mergeCell ref="AZ1:BA1"/>
    <mergeCell ref="BB1:BC1"/>
    <mergeCell ref="BD1:BE1"/>
    <mergeCell ref="BF1:BG1"/>
    <mergeCell ref="BH1:BI1"/>
    <mergeCell ref="AH1:AI1"/>
    <mergeCell ref="AJ1:AK1"/>
    <mergeCell ref="AL1:AM1"/>
    <mergeCell ref="AN1:AO1"/>
    <mergeCell ref="AP1:AQ1"/>
    <mergeCell ref="X1:Y1"/>
    <mergeCell ref="Z1:AA1"/>
    <mergeCell ref="AB1:AC1"/>
    <mergeCell ref="AD1:AE1"/>
    <mergeCell ref="AF1:AG1"/>
    <mergeCell ref="N1:O1"/>
    <mergeCell ref="P1:Q1"/>
    <mergeCell ref="R1:S1"/>
    <mergeCell ref="T1:U1"/>
    <mergeCell ref="V1:W1"/>
    <mergeCell ref="D1:E1"/>
    <mergeCell ref="F1:G1"/>
    <mergeCell ref="H1:I1"/>
    <mergeCell ref="J1:K1"/>
    <mergeCell ref="L1:M1"/>
    <mergeCell ref="AN2:AO2"/>
    <mergeCell ref="AP2:AQ2"/>
    <mergeCell ref="BX2:BY2"/>
    <mergeCell ref="CP2:CQ2"/>
    <mergeCell ref="AJ2:AK2"/>
    <mergeCell ref="AL2:AM2"/>
    <mergeCell ref="CL2:CM2"/>
    <mergeCell ref="CN2:CO2"/>
    <mergeCell ref="CJ2:CK2"/>
    <mergeCell ref="CB2:CC2"/>
    <mergeCell ref="CD2:CE2"/>
    <mergeCell ref="CF2:CG2"/>
    <mergeCell ref="CH2:CI2"/>
    <mergeCell ref="BV2:BW2"/>
    <mergeCell ref="BZ2:CA2"/>
    <mergeCell ref="CR2:CS2"/>
    <mergeCell ref="AR2:AS2"/>
    <mergeCell ref="AT2:AU2"/>
    <mergeCell ref="AV2:AW2"/>
    <mergeCell ref="AX2:AY2"/>
    <mergeCell ref="AZ2:BA2"/>
    <mergeCell ref="BB2:BC2"/>
    <mergeCell ref="BD2:BE2"/>
    <mergeCell ref="BF2:BG2"/>
    <mergeCell ref="BH2:BI2"/>
    <mergeCell ref="BJ2:BK2"/>
    <mergeCell ref="BL2:BM2"/>
    <mergeCell ref="BN2:BO2"/>
    <mergeCell ref="BP2:BQ2"/>
    <mergeCell ref="BR2:BS2"/>
    <mergeCell ref="BT2:BU2"/>
    <mergeCell ref="D2:E2"/>
    <mergeCell ref="J2:K2"/>
    <mergeCell ref="L2:M2"/>
    <mergeCell ref="N2:O2"/>
    <mergeCell ref="AH2:AI2"/>
    <mergeCell ref="Z2:AA2"/>
    <mergeCell ref="AD2:AE2"/>
    <mergeCell ref="H2:I2"/>
    <mergeCell ref="F2:G2"/>
    <mergeCell ref="P2:Q2"/>
    <mergeCell ref="X2:Y2"/>
    <mergeCell ref="R2:S2"/>
    <mergeCell ref="T2:U2"/>
    <mergeCell ref="V2:W2"/>
    <mergeCell ref="AB2:AC2"/>
    <mergeCell ref="CU2:CV2"/>
    <mergeCell ref="CW2:CX2"/>
    <mergeCell ref="CY2:CZ2"/>
    <mergeCell ref="DA2:DB2"/>
    <mergeCell ref="DC2:DD2"/>
    <mergeCell ref="DE2:DF2"/>
    <mergeCell ref="DG2:DH2"/>
    <mergeCell ref="DI2:DJ2"/>
    <mergeCell ref="DK2:DL2"/>
    <mergeCell ref="DM2:DN2"/>
    <mergeCell ref="DO2:DP2"/>
    <mergeCell ref="DQ2:DR2"/>
    <mergeCell ref="DS2:DT2"/>
    <mergeCell ref="DU2:DV2"/>
    <mergeCell ref="DY2:DZ2"/>
    <mergeCell ref="EA2:EB2"/>
    <mergeCell ref="EC2:ED2"/>
    <mergeCell ref="EE2:EF2"/>
    <mergeCell ref="EG2:EH2"/>
    <mergeCell ref="EI2:EJ2"/>
    <mergeCell ref="EK2:EL2"/>
    <mergeCell ref="EM2:EN2"/>
    <mergeCell ref="EO2:EP2"/>
    <mergeCell ref="EQ2:ER2"/>
    <mergeCell ref="ES2:ET2"/>
    <mergeCell ref="EU2:EV2"/>
    <mergeCell ref="EW2:EX2"/>
    <mergeCell ref="EY2:EZ2"/>
    <mergeCell ref="FA2:FB2"/>
    <mergeCell ref="FC2:FD2"/>
    <mergeCell ref="FE2:FF2"/>
    <mergeCell ref="FG2:FH2"/>
    <mergeCell ref="FI2:FJ2"/>
    <mergeCell ref="FK2:FL2"/>
    <mergeCell ref="FM2:FN2"/>
    <mergeCell ref="FO2:FP2"/>
    <mergeCell ref="FQ2:FR2"/>
    <mergeCell ref="FS2:FT2"/>
    <mergeCell ref="FU2:FV2"/>
    <mergeCell ref="FW2:FX2"/>
    <mergeCell ref="GI2:GJ2"/>
    <mergeCell ref="FY2:FZ2"/>
    <mergeCell ref="GA2:GB2"/>
    <mergeCell ref="GC2:GD2"/>
    <mergeCell ref="GE2:GF2"/>
    <mergeCell ref="GG2:GH2"/>
  </mergeCells>
  <phoneticPr fontId="1" type="noConversion"/>
  <hyperlinks>
    <hyperlink ref="CL1:CM1" r:id="rId1" location="/1anagallis" display="https://flora-on.pt/#/1anagallis" xr:uid="{E0F8F4A9-FD26-4F17-A444-6DEA96C8DE62}"/>
    <hyperlink ref="CP1:CQ1" r:id="rId2" location="/1arisarum" display="Arisanum" xr:uid="{F53F31AD-1DF0-4107-8D22-6AAFB7DCD71B}"/>
    <hyperlink ref="BV1:BW1" r:id="rId3" location="1Polycarpon+tetraphyllum" display="https://flora-on.pt/#1Polycarpon+tetraphyllum" xr:uid="{4CF6C00F-D257-4E65-96B8-D7E52F582D3B}"/>
    <hyperlink ref="AD1:AE1" r:id="rId4" location="/1gladiolus" display="https://flora-on.pt/#/1gladiolus" xr:uid="{1C967C86-7ADA-4D31-A427-03E6648429A6}"/>
  </hyperlinks>
  <pageMargins left="0.7" right="0.7" top="0.75" bottom="0.75" header="0.3" footer="0.3"/>
  <pageSetup paperSize="9" orientation="portrait" r:id="rId5"/>
  <legacy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A79DA-F34B-4F9F-A372-50067B2A9599}">
  <dimension ref="A1:DO134"/>
  <sheetViews>
    <sheetView topLeftCell="B1" workbookViewId="0">
      <pane xSplit="2" ySplit="2" topLeftCell="CW3" activePane="bottomRight" state="frozen"/>
      <selection activeCell="B1" sqref="B1"/>
      <selection pane="topRight" activeCell="D1" sqref="D1"/>
      <selection pane="bottomLeft" activeCell="B3" sqref="B3"/>
      <selection pane="bottomRight" activeCell="DQ6" sqref="DQ6"/>
    </sheetView>
  </sheetViews>
  <sheetFormatPr defaultRowHeight="15" x14ac:dyDescent="0.25"/>
  <cols>
    <col min="1" max="1" width="0" hidden="1" customWidth="1"/>
    <col min="98" max="99" width="9.28515625" bestFit="1" customWidth="1"/>
    <col min="100" max="100" width="10.5703125" bestFit="1" customWidth="1"/>
    <col min="101" max="105" width="9.28515625" bestFit="1" customWidth="1"/>
    <col min="106" max="106" width="9.28515625" customWidth="1"/>
    <col min="107" max="108" width="9.85546875" customWidth="1"/>
    <col min="109" max="109" width="9.28515625" customWidth="1"/>
  </cols>
  <sheetData>
    <row r="1" spans="1:119" x14ac:dyDescent="0.25">
      <c r="D1" s="15" t="s">
        <v>4</v>
      </c>
      <c r="E1" s="15"/>
      <c r="F1" s="15" t="s">
        <v>26</v>
      </c>
      <c r="G1" s="15"/>
      <c r="H1" s="15" t="s">
        <v>186</v>
      </c>
      <c r="I1" s="15"/>
      <c r="J1" s="15" t="s">
        <v>5</v>
      </c>
      <c r="K1" s="15"/>
      <c r="L1" s="15" t="s">
        <v>6</v>
      </c>
      <c r="M1" s="15"/>
      <c r="N1" s="15" t="s">
        <v>7</v>
      </c>
      <c r="O1" s="15"/>
      <c r="P1" s="15" t="s">
        <v>69</v>
      </c>
      <c r="Q1" s="15"/>
      <c r="R1" s="15" t="s">
        <v>163</v>
      </c>
      <c r="S1" s="15"/>
      <c r="T1" s="15" t="s">
        <v>164</v>
      </c>
      <c r="U1" s="15"/>
      <c r="V1" s="15" t="s">
        <v>165</v>
      </c>
      <c r="W1" s="15"/>
      <c r="X1" s="15" t="s">
        <v>8</v>
      </c>
      <c r="Y1" s="15"/>
      <c r="Z1" s="15" t="s">
        <v>159</v>
      </c>
      <c r="AA1" s="15"/>
      <c r="AB1" s="15" t="s">
        <v>178</v>
      </c>
      <c r="AC1" s="15"/>
      <c r="AD1" s="15" t="s">
        <v>195</v>
      </c>
      <c r="AE1" s="15"/>
      <c r="AF1" t="s">
        <v>67</v>
      </c>
      <c r="AH1" s="15" t="s">
        <v>39</v>
      </c>
      <c r="AI1" s="15"/>
      <c r="AJ1" s="15" t="s">
        <v>51</v>
      </c>
      <c r="AK1" s="15"/>
      <c r="AL1" s="15" t="s">
        <v>29</v>
      </c>
      <c r="AM1" s="15"/>
      <c r="AN1" s="15" t="s">
        <v>30</v>
      </c>
      <c r="AO1" s="15"/>
      <c r="AP1" s="15" t="s">
        <v>36</v>
      </c>
      <c r="AQ1" s="15"/>
      <c r="AR1" s="15" t="s">
        <v>58</v>
      </c>
      <c r="AS1" s="15"/>
      <c r="AT1" s="15" t="s">
        <v>68</v>
      </c>
      <c r="AU1" s="15"/>
      <c r="AV1" s="15" t="s">
        <v>81</v>
      </c>
      <c r="AW1" s="15"/>
      <c r="AX1" s="15" t="s">
        <v>204</v>
      </c>
      <c r="AY1" s="15"/>
      <c r="AZ1" s="15" t="s">
        <v>98</v>
      </c>
      <c r="BA1" s="15"/>
      <c r="BB1" s="15" t="s">
        <v>125</v>
      </c>
      <c r="BC1" s="15"/>
      <c r="BD1" s="15" t="s">
        <v>106</v>
      </c>
      <c r="BE1" s="15"/>
      <c r="BF1" s="15" t="s">
        <v>209</v>
      </c>
      <c r="BG1" s="15"/>
      <c r="BH1" s="15" t="s">
        <v>119</v>
      </c>
      <c r="BI1" s="15"/>
      <c r="BJ1" s="15" t="s">
        <v>126</v>
      </c>
      <c r="BK1" s="15"/>
      <c r="BL1" s="15" t="s">
        <v>127</v>
      </c>
      <c r="BM1" s="15"/>
      <c r="BN1" s="15" t="s">
        <v>133</v>
      </c>
      <c r="BO1" s="15"/>
      <c r="BP1" s="15" t="s">
        <v>153</v>
      </c>
      <c r="BQ1" s="15"/>
      <c r="BR1" s="15" t="s">
        <v>160</v>
      </c>
      <c r="BS1" s="15"/>
      <c r="BT1" s="15" t="s">
        <v>161</v>
      </c>
      <c r="BU1" s="15"/>
      <c r="BV1" s="15" t="s">
        <v>190</v>
      </c>
      <c r="BW1" s="15"/>
      <c r="BX1" s="15" t="s">
        <v>162</v>
      </c>
      <c r="BY1" s="15"/>
      <c r="BZ1" s="15" t="s">
        <v>171</v>
      </c>
      <c r="CA1" s="15"/>
      <c r="CB1" s="15" t="s">
        <v>172</v>
      </c>
      <c r="CC1" s="15"/>
      <c r="CD1" s="15" t="s">
        <v>174</v>
      </c>
      <c r="CE1" s="15"/>
      <c r="CF1" s="15" t="s">
        <v>173</v>
      </c>
      <c r="CG1" s="15"/>
      <c r="CH1" s="15" t="s">
        <v>175</v>
      </c>
      <c r="CI1" s="15"/>
      <c r="CJ1" s="15" t="s">
        <v>189</v>
      </c>
      <c r="CK1" s="15"/>
      <c r="CL1" s="15" t="s">
        <v>188</v>
      </c>
      <c r="CM1" s="15"/>
      <c r="CN1" s="15" t="s">
        <v>176</v>
      </c>
      <c r="CO1" s="15"/>
      <c r="CP1" s="15" t="s">
        <v>191</v>
      </c>
      <c r="CQ1" s="15"/>
      <c r="CR1" s="15" t="s">
        <v>32</v>
      </c>
      <c r="CS1" s="15"/>
      <c r="CT1" s="15"/>
      <c r="CU1" s="15"/>
      <c r="CV1" s="15" t="s">
        <v>31</v>
      </c>
      <c r="CW1" s="15"/>
      <c r="CX1" s="15"/>
      <c r="CY1" s="15"/>
      <c r="CZ1" s="15" t="s">
        <v>35</v>
      </c>
      <c r="DA1" s="15"/>
      <c r="DB1" s="7" t="s">
        <v>49</v>
      </c>
      <c r="DC1" s="7" t="s">
        <v>44</v>
      </c>
      <c r="DD1" s="7" t="s">
        <v>44</v>
      </c>
      <c r="DE1" s="7" t="s">
        <v>43</v>
      </c>
      <c r="DF1" t="s">
        <v>41</v>
      </c>
      <c r="DG1" t="s">
        <v>40</v>
      </c>
      <c r="DH1" s="15" t="s">
        <v>2</v>
      </c>
      <c r="DI1" s="15"/>
      <c r="DJ1" s="15"/>
      <c r="DK1" s="15"/>
      <c r="DL1" s="15" t="s">
        <v>87</v>
      </c>
      <c r="DM1" s="15"/>
      <c r="DN1" s="15"/>
      <c r="DO1" s="15"/>
    </row>
    <row r="2" spans="1:119" ht="18.75" x14ac:dyDescent="0.35">
      <c r="A2" t="s">
        <v>1</v>
      </c>
      <c r="B2" t="s">
        <v>0</v>
      </c>
      <c r="C2" t="s">
        <v>27</v>
      </c>
      <c r="D2" t="s">
        <v>2</v>
      </c>
      <c r="E2" t="s">
        <v>3</v>
      </c>
      <c r="F2" t="s">
        <v>2</v>
      </c>
      <c r="G2" t="s">
        <v>3</v>
      </c>
      <c r="H2" t="s">
        <v>2</v>
      </c>
      <c r="I2" t="s">
        <v>3</v>
      </c>
      <c r="J2" t="s">
        <v>2</v>
      </c>
      <c r="K2" t="s">
        <v>3</v>
      </c>
      <c r="L2" t="s">
        <v>2</v>
      </c>
      <c r="M2" t="s">
        <v>3</v>
      </c>
      <c r="N2" t="s">
        <v>2</v>
      </c>
      <c r="O2" t="s">
        <v>3</v>
      </c>
      <c r="P2" t="s">
        <v>2</v>
      </c>
      <c r="Q2" t="s">
        <v>3</v>
      </c>
      <c r="R2" t="s">
        <v>2</v>
      </c>
      <c r="S2" t="s">
        <v>3</v>
      </c>
      <c r="T2" t="s">
        <v>2</v>
      </c>
      <c r="U2" t="s">
        <v>3</v>
      </c>
      <c r="V2" t="s">
        <v>2</v>
      </c>
      <c r="W2" t="s">
        <v>3</v>
      </c>
      <c r="X2" t="s">
        <v>2</v>
      </c>
      <c r="Y2" t="s">
        <v>3</v>
      </c>
      <c r="Z2" t="s">
        <v>2</v>
      </c>
      <c r="AA2" t="s">
        <v>3</v>
      </c>
      <c r="AB2" t="s">
        <v>2</v>
      </c>
      <c r="AC2" t="s">
        <v>3</v>
      </c>
      <c r="AD2" t="s">
        <v>2</v>
      </c>
      <c r="AE2" t="s">
        <v>3</v>
      </c>
      <c r="AF2" t="s">
        <v>2</v>
      </c>
      <c r="AG2" t="s">
        <v>3</v>
      </c>
      <c r="AH2" t="s">
        <v>2</v>
      </c>
      <c r="AI2" t="s">
        <v>3</v>
      </c>
      <c r="AJ2" t="s">
        <v>2</v>
      </c>
      <c r="AK2" t="s">
        <v>3</v>
      </c>
      <c r="AL2" t="s">
        <v>2</v>
      </c>
      <c r="AM2" t="s">
        <v>3</v>
      </c>
      <c r="AN2" t="s">
        <v>2</v>
      </c>
      <c r="AO2" t="s">
        <v>3</v>
      </c>
      <c r="AP2" t="s">
        <v>2</v>
      </c>
      <c r="AQ2" t="s">
        <v>3</v>
      </c>
      <c r="AR2" t="s">
        <v>2</v>
      </c>
      <c r="AS2" t="s">
        <v>3</v>
      </c>
      <c r="AT2" t="s">
        <v>2</v>
      </c>
      <c r="AU2" t="s">
        <v>3</v>
      </c>
      <c r="AV2" t="s">
        <v>2</v>
      </c>
      <c r="AW2" t="s">
        <v>3</v>
      </c>
      <c r="AX2" t="s">
        <v>2</v>
      </c>
      <c r="AY2" t="s">
        <v>3</v>
      </c>
      <c r="AZ2" t="s">
        <v>2</v>
      </c>
      <c r="BA2" t="s">
        <v>3</v>
      </c>
      <c r="BB2" t="s">
        <v>2</v>
      </c>
      <c r="BC2" t="s">
        <v>3</v>
      </c>
      <c r="BD2" t="s">
        <v>2</v>
      </c>
      <c r="BE2" t="s">
        <v>3</v>
      </c>
      <c r="BF2" t="s">
        <v>2</v>
      </c>
      <c r="BG2" t="s">
        <v>3</v>
      </c>
      <c r="BH2" t="s">
        <v>2</v>
      </c>
      <c r="BI2" t="s">
        <v>3</v>
      </c>
      <c r="BJ2" t="s">
        <v>2</v>
      </c>
      <c r="BK2" t="s">
        <v>3</v>
      </c>
      <c r="BL2" t="s">
        <v>2</v>
      </c>
      <c r="BM2" t="s">
        <v>3</v>
      </c>
      <c r="BN2" t="s">
        <v>2</v>
      </c>
      <c r="BO2" t="s">
        <v>3</v>
      </c>
      <c r="BP2" t="s">
        <v>2</v>
      </c>
      <c r="BQ2" t="s">
        <v>3</v>
      </c>
      <c r="BR2" t="s">
        <v>2</v>
      </c>
      <c r="BS2" t="s">
        <v>3</v>
      </c>
      <c r="BT2" t="s">
        <v>2</v>
      </c>
      <c r="BU2" t="s">
        <v>3</v>
      </c>
      <c r="BV2" t="s">
        <v>2</v>
      </c>
      <c r="BW2" t="s">
        <v>3</v>
      </c>
      <c r="BX2" t="s">
        <v>2</v>
      </c>
      <c r="BY2" t="s">
        <v>3</v>
      </c>
      <c r="BZ2" t="s">
        <v>2</v>
      </c>
      <c r="CA2" t="s">
        <v>3</v>
      </c>
      <c r="CB2" t="s">
        <v>2</v>
      </c>
      <c r="CC2" t="s">
        <v>3</v>
      </c>
      <c r="CD2" t="s">
        <v>2</v>
      </c>
      <c r="CE2" t="s">
        <v>3</v>
      </c>
      <c r="CF2" t="s">
        <v>2</v>
      </c>
      <c r="CG2" t="s">
        <v>3</v>
      </c>
      <c r="CH2" t="s">
        <v>2</v>
      </c>
      <c r="CI2" t="s">
        <v>3</v>
      </c>
      <c r="CJ2" t="s">
        <v>2</v>
      </c>
      <c r="CK2" t="s">
        <v>3</v>
      </c>
      <c r="CL2" t="s">
        <v>2</v>
      </c>
      <c r="CM2" t="s">
        <v>3</v>
      </c>
      <c r="CN2" t="s">
        <v>2</v>
      </c>
      <c r="CO2" t="s">
        <v>3</v>
      </c>
      <c r="CP2" t="s">
        <v>2</v>
      </c>
      <c r="CQ2" t="s">
        <v>3</v>
      </c>
      <c r="CR2" t="s">
        <v>2</v>
      </c>
      <c r="CS2" t="s">
        <v>3</v>
      </c>
      <c r="CT2" t="s">
        <v>34</v>
      </c>
      <c r="CU2" t="s">
        <v>33</v>
      </c>
      <c r="CV2" t="s">
        <v>2</v>
      </c>
      <c r="CW2" t="s">
        <v>3</v>
      </c>
      <c r="CX2" t="s">
        <v>34</v>
      </c>
      <c r="CY2" t="s">
        <v>33</v>
      </c>
      <c r="CZ2" t="s">
        <v>34</v>
      </c>
      <c r="DA2" t="s">
        <v>33</v>
      </c>
      <c r="DB2" t="s">
        <v>48</v>
      </c>
      <c r="DD2" t="s">
        <v>150</v>
      </c>
      <c r="DH2" t="s">
        <v>42</v>
      </c>
      <c r="DI2" t="s">
        <v>45</v>
      </c>
      <c r="DJ2" t="s">
        <v>46</v>
      </c>
      <c r="DK2" t="s">
        <v>47</v>
      </c>
      <c r="DL2" t="s">
        <v>42</v>
      </c>
      <c r="DM2" t="s">
        <v>45</v>
      </c>
      <c r="DN2" t="s">
        <v>46</v>
      </c>
      <c r="DO2" t="s">
        <v>47</v>
      </c>
    </row>
    <row r="3" spans="1:119" x14ac:dyDescent="0.25">
      <c r="A3" s="1">
        <v>44201</v>
      </c>
      <c r="B3" t="str">
        <f>Raw!B4</f>
        <v>FA1</v>
      </c>
      <c r="C3">
        <v>1</v>
      </c>
      <c r="D3" s="9">
        <f>Raw!D4/Raw!$C4</f>
        <v>706.24999999999989</v>
      </c>
      <c r="E3" s="9">
        <f>Raw!E4/Raw!$C4</f>
        <v>161.24999999999997</v>
      </c>
      <c r="F3" s="9">
        <f>Raw!F4/Raw!$C4</f>
        <v>181.24999999999997</v>
      </c>
      <c r="G3" s="9">
        <f>Raw!G4/Raw!$C4</f>
        <v>187.43749999999997</v>
      </c>
      <c r="H3" s="9">
        <f>Raw!H4/Raw!$C4</f>
        <v>0</v>
      </c>
      <c r="I3" s="9">
        <f>Raw!I4/Raw!$C4</f>
        <v>0</v>
      </c>
      <c r="J3" s="9">
        <f>Raw!J4/Raw!$C4</f>
        <v>0</v>
      </c>
      <c r="K3" s="9">
        <f>Raw!K4/Raw!$C4</f>
        <v>0</v>
      </c>
      <c r="L3" s="9">
        <f>Raw!L4/Raw!$C4</f>
        <v>0</v>
      </c>
      <c r="M3" s="9">
        <f>Raw!M4/Raw!$C4</f>
        <v>0</v>
      </c>
      <c r="N3" s="9">
        <f>Raw!N4/Raw!$C4</f>
        <v>0</v>
      </c>
      <c r="O3" s="9">
        <f>Raw!O4/Raw!$C4</f>
        <v>0</v>
      </c>
      <c r="P3" s="9">
        <f>Raw!P4/Raw!$C4</f>
        <v>0</v>
      </c>
      <c r="Q3" s="9">
        <f>Raw!Q4/Raw!$C4</f>
        <v>0</v>
      </c>
      <c r="R3" s="9">
        <f>Raw!R4/Raw!$C4</f>
        <v>0</v>
      </c>
      <c r="S3" s="9">
        <f>Raw!S4/Raw!$C4</f>
        <v>0</v>
      </c>
      <c r="T3" s="9">
        <f>Raw!T4/Raw!$C4</f>
        <v>0</v>
      </c>
      <c r="U3" s="9">
        <f>Raw!U4/Raw!$C4</f>
        <v>0</v>
      </c>
      <c r="V3" s="9">
        <f>Raw!V4/Raw!$C4</f>
        <v>0</v>
      </c>
      <c r="W3" s="9">
        <f>Raw!W4/Raw!$C4</f>
        <v>0</v>
      </c>
      <c r="X3" s="9">
        <f>Raw!X4/Raw!$C4</f>
        <v>18.749999999999996</v>
      </c>
      <c r="Y3" s="9">
        <f>Raw!Y4/Raw!$C4</f>
        <v>3.7499999999999991</v>
      </c>
      <c r="Z3" s="9">
        <f>Raw!Z4/Raw!$C4</f>
        <v>0</v>
      </c>
      <c r="AA3" s="9">
        <f>Raw!AA4/Raw!$C4</f>
        <v>0</v>
      </c>
      <c r="AB3" s="9">
        <f>Raw!AB4/Raw!$C4</f>
        <v>0</v>
      </c>
      <c r="AC3" s="9">
        <f>Raw!AC4/Raw!$C4</f>
        <v>0</v>
      </c>
      <c r="AD3" s="9">
        <f>Raw!AD4/Raw!$C4</f>
        <v>0</v>
      </c>
      <c r="AE3" s="9">
        <f>Raw!AE4/Raw!$C4</f>
        <v>0</v>
      </c>
      <c r="AF3" s="9">
        <f>Raw!AF4/Raw!$C4</f>
        <v>0</v>
      </c>
      <c r="AG3" s="9">
        <f>Raw!AG4/Raw!$C4</f>
        <v>0</v>
      </c>
      <c r="AH3" s="9">
        <f>Raw!AH4/Raw!$C4</f>
        <v>0</v>
      </c>
      <c r="AI3" s="9">
        <f>Raw!AI4/Raw!$C4</f>
        <v>0</v>
      </c>
      <c r="AJ3" s="9">
        <f>Raw!AJ4/Raw!$C4</f>
        <v>0</v>
      </c>
      <c r="AK3" s="9">
        <f>Raw!AK4/Raw!$C4</f>
        <v>0</v>
      </c>
      <c r="AL3" s="9">
        <f>Raw!AL4/Raw!$C4</f>
        <v>0</v>
      </c>
      <c r="AM3" s="9">
        <f>Raw!AM4/Raw!$C4</f>
        <v>0</v>
      </c>
      <c r="AN3" s="9">
        <f>Raw!AN4/Raw!$C4</f>
        <v>0</v>
      </c>
      <c r="AO3" s="9">
        <f>Raw!AO4/Raw!$C4</f>
        <v>0</v>
      </c>
      <c r="AP3" s="9">
        <f>Raw!AP4/Raw!$C4</f>
        <v>0</v>
      </c>
      <c r="AQ3" s="9">
        <f>Raw!AQ4/Raw!$C4</f>
        <v>0</v>
      </c>
      <c r="AR3" s="9">
        <f>Raw!AR4/Raw!$C4</f>
        <v>0</v>
      </c>
      <c r="AS3" s="9">
        <f>Raw!AS4/Raw!$C4</f>
        <v>0</v>
      </c>
      <c r="AT3" s="9">
        <f>Raw!AT4/Raw!$C4</f>
        <v>0</v>
      </c>
      <c r="AU3" s="9">
        <f>Raw!AU4/Raw!$C4</f>
        <v>0</v>
      </c>
      <c r="AV3" s="9">
        <f>Raw!AV4/Raw!$C4</f>
        <v>0</v>
      </c>
      <c r="AW3" s="9">
        <f>Raw!AW4/Raw!$C4</f>
        <v>0</v>
      </c>
      <c r="AX3" s="9">
        <f>Raw!AX4/Raw!$C4</f>
        <v>0</v>
      </c>
      <c r="AY3" s="9">
        <f>Raw!AY4/Raw!$C4</f>
        <v>0</v>
      </c>
      <c r="AZ3" s="9">
        <f>Raw!AZ4/Raw!$C4</f>
        <v>0</v>
      </c>
      <c r="BA3" s="9">
        <f>Raw!BA4/Raw!$C4</f>
        <v>0</v>
      </c>
      <c r="BB3" s="9">
        <f>Raw!BB4/Raw!$C4</f>
        <v>0</v>
      </c>
      <c r="BC3" s="9">
        <f>Raw!BC4/Raw!$C4</f>
        <v>0</v>
      </c>
      <c r="BD3" s="9">
        <f>Raw!BD4/Raw!$C4</f>
        <v>0</v>
      </c>
      <c r="BE3" s="9">
        <f>Raw!BE4/Raw!$C4</f>
        <v>0</v>
      </c>
      <c r="BF3" s="9">
        <f>Raw!BF4/Raw!$C4</f>
        <v>0</v>
      </c>
      <c r="BG3" s="9">
        <f>Raw!BG4/Raw!$C4</f>
        <v>0</v>
      </c>
      <c r="BH3" s="9">
        <f>Raw!BH4/Raw!$C4</f>
        <v>0</v>
      </c>
      <c r="BI3" s="9">
        <f>Raw!BI4/Raw!$C4</f>
        <v>0</v>
      </c>
      <c r="BJ3" s="9">
        <f>Raw!BJ4/Raw!$C4</f>
        <v>0</v>
      </c>
      <c r="BK3" s="9">
        <f>Raw!BK4/Raw!$C4</f>
        <v>0</v>
      </c>
      <c r="BL3" s="9">
        <f>Raw!BL4/Raw!$C4</f>
        <v>0</v>
      </c>
      <c r="BM3" s="9">
        <f>Raw!BM4/Raw!$C4</f>
        <v>0</v>
      </c>
      <c r="BN3" s="9">
        <f>Raw!BN4/Raw!$C4</f>
        <v>0</v>
      </c>
      <c r="BO3" s="9">
        <f>Raw!BO4/Raw!$C4</f>
        <v>0</v>
      </c>
      <c r="BP3" s="9">
        <f>Raw!BP4/Raw!$C4</f>
        <v>0</v>
      </c>
      <c r="BQ3" s="9">
        <f>Raw!BQ4/Raw!$C4</f>
        <v>0</v>
      </c>
      <c r="BR3" s="9">
        <f>Raw!BR4/Raw!$C4</f>
        <v>0</v>
      </c>
      <c r="BS3" s="9">
        <f>Raw!BS4/Raw!$C4</f>
        <v>0</v>
      </c>
      <c r="BT3" s="9">
        <f>Raw!BT4/Raw!$C4</f>
        <v>0</v>
      </c>
      <c r="BU3" s="9">
        <f>Raw!BU4/Raw!$C4</f>
        <v>0</v>
      </c>
      <c r="BV3" s="9">
        <f>Raw!BV4/Raw!$C4</f>
        <v>0</v>
      </c>
      <c r="BW3" s="9">
        <f>Raw!BW4/Raw!$C4</f>
        <v>0</v>
      </c>
      <c r="BX3" s="9">
        <f>Raw!BX4/Raw!$C4</f>
        <v>0</v>
      </c>
      <c r="BY3" s="9">
        <f>Raw!BY4/Raw!$C4</f>
        <v>0</v>
      </c>
      <c r="BZ3" s="9">
        <f>Raw!BZ4/Raw!$C4</f>
        <v>0</v>
      </c>
      <c r="CA3" s="9">
        <f>Raw!CA4/Raw!$C4</f>
        <v>0</v>
      </c>
      <c r="CB3" s="9">
        <f>Raw!CB4/Raw!$C4</f>
        <v>0</v>
      </c>
      <c r="CC3" s="9">
        <f>Raw!CC4/Raw!$C4</f>
        <v>0</v>
      </c>
      <c r="CD3" s="9">
        <f>Raw!CD4/Raw!$C4</f>
        <v>0</v>
      </c>
      <c r="CE3" s="9">
        <f>Raw!CE4/Raw!$C4</f>
        <v>0</v>
      </c>
      <c r="CF3" s="9">
        <f>Raw!CF4/Raw!$C4</f>
        <v>0</v>
      </c>
      <c r="CG3" s="9">
        <f>Raw!CG4/Raw!$C4</f>
        <v>0</v>
      </c>
      <c r="CH3" s="9">
        <f>Raw!CH4/Raw!$C4</f>
        <v>0</v>
      </c>
      <c r="CI3" s="9">
        <f>Raw!CI4/Raw!$C4</f>
        <v>0</v>
      </c>
      <c r="CJ3" s="9">
        <f>Raw!CJ4/Raw!$C4</f>
        <v>0</v>
      </c>
      <c r="CK3" s="9">
        <f>Raw!CK4/Raw!$C4</f>
        <v>0</v>
      </c>
      <c r="CL3" s="9">
        <f>Raw!CL4/Raw!$C4</f>
        <v>0</v>
      </c>
      <c r="CM3" s="9">
        <f>Raw!CM4/Raw!$C4</f>
        <v>0</v>
      </c>
      <c r="CN3" s="9">
        <f>Raw!CN4/Raw!$C4</f>
        <v>0</v>
      </c>
      <c r="CO3" s="9">
        <f>Raw!CO4/Raw!$C4</f>
        <v>0</v>
      </c>
      <c r="CP3" s="9">
        <f>Raw!CP4/Raw!$C4</f>
        <v>0</v>
      </c>
      <c r="CQ3" s="9">
        <f>Raw!CQ4/Raw!$C4</f>
        <v>0</v>
      </c>
      <c r="CR3" s="2">
        <f>D3+F3+H3+J3+L3+N3+P3+R3+T3+V3+X3+Z3+AB3+AD3+AF3+AH3+AJ3+AL3+AN3+AP3+AR3+AT3+AV3+AX3+AZ3+AZ3+BB3+BD3+BF3+BH3+BJ3+BL3+BN3+BP3+BR3+BT3+BV3+BX3+BZ3+CB3+CD3+CF3+CH3+CJ3+CL3+CN3+CP3</f>
        <v>906.24999999999989</v>
      </c>
      <c r="CS3" s="2">
        <f>E3+G3+I3+K3+M3+O3+Q3+S3+U3+W3+Y3+AA3+AC3+AE3+AG3+AI3+AK3+AM3+AO3+AQ3+AS3+AU3+AW3+AY3+BA3+BA3+BC3+BE3+BG3+BI3+BK3+BM3+BO3+BQ3+BS3+BU3+BW3+BY3+CA3+CC3+CE3+CG3+CI3+CK3+CM3+CO3+CQ3</f>
        <v>352.43749999999994</v>
      </c>
      <c r="CT3" s="3">
        <f t="shared" ref="CT3" si="0">LOG10(CR3)</f>
        <v>2.9572480195790503</v>
      </c>
      <c r="CU3" s="3">
        <f t="shared" ref="CU3" si="1">LOG10(CS3)</f>
        <v>2.5470821119324283</v>
      </c>
      <c r="CV3" s="3">
        <f>Raw!CR4/Raw!$C4</f>
        <v>5068.7499999999991</v>
      </c>
      <c r="CW3" s="3">
        <f>Raw!CS4/Raw!$C4</f>
        <v>2133.9374999999995</v>
      </c>
      <c r="CX3" s="3">
        <f>LOG10(CV3)</f>
        <v>3.704900871555231</v>
      </c>
      <c r="CY3" s="3">
        <f>LOG10(CW3)</f>
        <v>3.3291816954058779</v>
      </c>
      <c r="CZ3" s="3">
        <f t="shared" ref="CZ3" si="2">LOG10(CR3+CV3)</f>
        <v>3.776337909620175</v>
      </c>
      <c r="DA3" s="3">
        <f t="shared" ref="DA3" si="3">LOG10(CS3+CW3)</f>
        <v>3.3955666303992018</v>
      </c>
      <c r="DB3" s="6">
        <f t="shared" ref="DB3" si="4">0.590307*(4.87-0.33*CT3-CU3)</f>
        <v>0.79515890154259938</v>
      </c>
      <c r="DC3" s="3">
        <v>3</v>
      </c>
      <c r="DD3" s="3">
        <f>DC3/Raw!C4</f>
        <v>18.749999999999996</v>
      </c>
      <c r="DE3" s="5">
        <f t="shared" ref="DE3" si="5">DC3/CR3</f>
        <v>3.3103448275862072E-3</v>
      </c>
      <c r="DF3">
        <f>LOG(DE3)</f>
        <v>-2.4801267648593877</v>
      </c>
      <c r="DH3" s="4">
        <f>-SUM('Shannon-Weiner'!B2:Z2)</f>
        <v>0.59644243586811541</v>
      </c>
      <c r="DI3" s="4">
        <f>SUM('p^2'!B2:Z2)</f>
        <v>0.64775267538644477</v>
      </c>
      <c r="DJ3" s="4">
        <f t="shared" ref="DJ3" si="6">1-DI3</f>
        <v>0.35224732461355523</v>
      </c>
      <c r="DK3">
        <f t="shared" ref="DK3" si="7">1/DI3</f>
        <v>1.543799104192672</v>
      </c>
      <c r="DL3" s="4">
        <f>SUM('Shannon-Weiner_B'!B2:Z2)</f>
        <v>-0.74190209388627137</v>
      </c>
      <c r="DM3" s="4">
        <f>SUM('p_B^2'!B2:Z2)</f>
        <v>0.49229017469192793</v>
      </c>
      <c r="DN3" s="4">
        <f>1-DM3</f>
        <v>0.50770982530807207</v>
      </c>
      <c r="DO3">
        <f>1/DM3</f>
        <v>2.0313222798439834</v>
      </c>
    </row>
    <row r="4" spans="1:119" x14ac:dyDescent="0.25">
      <c r="A4" s="1">
        <v>44201</v>
      </c>
      <c r="B4" t="str">
        <f>Raw!B5</f>
        <v>FA2</v>
      </c>
      <c r="C4">
        <v>1</v>
      </c>
      <c r="D4" s="9">
        <f>Raw!D5/Raw!$C5</f>
        <v>399.99999999999994</v>
      </c>
      <c r="E4" s="9">
        <f>Raw!E5/Raw!$C5</f>
        <v>93.249999999999986</v>
      </c>
      <c r="F4" s="9">
        <f>Raw!F5/Raw!$C5</f>
        <v>168.74999999999997</v>
      </c>
      <c r="G4" s="9">
        <f>Raw!G5/Raw!$C5</f>
        <v>295.87499999999994</v>
      </c>
      <c r="H4" s="9">
        <f>Raw!H5/Raw!$C5</f>
        <v>0</v>
      </c>
      <c r="I4" s="9">
        <f>Raw!I5/Raw!$C5</f>
        <v>0</v>
      </c>
      <c r="J4" s="9">
        <f>Raw!J5/Raw!$C5</f>
        <v>0</v>
      </c>
      <c r="K4" s="9">
        <f>Raw!K5/Raw!$C5</f>
        <v>0</v>
      </c>
      <c r="L4" s="9">
        <f>Raw!L5/Raw!$C5</f>
        <v>0</v>
      </c>
      <c r="M4" s="9">
        <f>Raw!M5/Raw!$C5</f>
        <v>0</v>
      </c>
      <c r="N4" s="9">
        <f>Raw!N5/Raw!$C5</f>
        <v>0</v>
      </c>
      <c r="O4" s="9">
        <f>Raw!O5/Raw!$C5</f>
        <v>0</v>
      </c>
      <c r="P4" s="9">
        <f>Raw!P5/Raw!$C5</f>
        <v>0</v>
      </c>
      <c r="Q4" s="9">
        <f>Raw!Q5/Raw!$C5</f>
        <v>0</v>
      </c>
      <c r="R4" s="9">
        <f>Raw!R5/Raw!$C5</f>
        <v>0</v>
      </c>
      <c r="S4" s="9">
        <f>Raw!S5/Raw!$C5</f>
        <v>0</v>
      </c>
      <c r="T4" s="9">
        <f>Raw!T5/Raw!$C5</f>
        <v>0</v>
      </c>
      <c r="U4" s="9">
        <f>Raw!U5/Raw!$C5</f>
        <v>0</v>
      </c>
      <c r="V4" s="9">
        <f>Raw!V5/Raw!$C5</f>
        <v>0</v>
      </c>
      <c r="W4" s="9">
        <f>Raw!W5/Raw!$C5</f>
        <v>0</v>
      </c>
      <c r="X4" s="9">
        <f>Raw!X5/Raw!$C5</f>
        <v>0</v>
      </c>
      <c r="Y4" s="9">
        <f>Raw!Y5/Raw!$C5</f>
        <v>0</v>
      </c>
      <c r="Z4" s="9">
        <f>Raw!Z5/Raw!$C5</f>
        <v>0</v>
      </c>
      <c r="AA4" s="9">
        <f>Raw!AA5/Raw!$C5</f>
        <v>0</v>
      </c>
      <c r="AB4" s="9">
        <f>Raw!AB5/Raw!$C5</f>
        <v>0</v>
      </c>
      <c r="AC4" s="9">
        <f>Raw!AC5/Raw!$C5</f>
        <v>0</v>
      </c>
      <c r="AD4" s="9">
        <f>Raw!AD5/Raw!$C5</f>
        <v>0</v>
      </c>
      <c r="AE4" s="9">
        <f>Raw!AE5/Raw!$C5</f>
        <v>0</v>
      </c>
      <c r="AF4" s="9">
        <f>Raw!AF5/Raw!$C5</f>
        <v>0</v>
      </c>
      <c r="AG4" s="9">
        <f>Raw!AG5/Raw!$C5</f>
        <v>0</v>
      </c>
      <c r="AH4" s="9">
        <f>Raw!AH5/Raw!$C5</f>
        <v>0</v>
      </c>
      <c r="AI4" s="9">
        <f>Raw!AI5/Raw!$C5</f>
        <v>0</v>
      </c>
      <c r="AJ4" s="9">
        <f>Raw!AJ5/Raw!$C5</f>
        <v>0</v>
      </c>
      <c r="AK4" s="9">
        <f>Raw!AK5/Raw!$C5</f>
        <v>0</v>
      </c>
      <c r="AL4" s="9">
        <f>Raw!AL5/Raw!$C5</f>
        <v>0</v>
      </c>
      <c r="AM4" s="9">
        <f>Raw!AM5/Raw!$C5</f>
        <v>0</v>
      </c>
      <c r="AN4" s="9">
        <f>Raw!AN5/Raw!$C5</f>
        <v>0</v>
      </c>
      <c r="AO4" s="9">
        <f>Raw!AO5/Raw!$C5</f>
        <v>0</v>
      </c>
      <c r="AP4" s="9">
        <f>Raw!AP5/Raw!$C5</f>
        <v>0</v>
      </c>
      <c r="AQ4" s="9">
        <f>Raw!AQ5/Raw!$C5</f>
        <v>0</v>
      </c>
      <c r="AR4" s="9">
        <f>Raw!AR5/Raw!$C5</f>
        <v>0</v>
      </c>
      <c r="AS4" s="9">
        <f>Raw!AS5/Raw!$C5</f>
        <v>0</v>
      </c>
      <c r="AT4" s="9">
        <f>Raw!AT5/Raw!$C5</f>
        <v>0</v>
      </c>
      <c r="AU4" s="9">
        <f>Raw!AU5/Raw!$C5</f>
        <v>0</v>
      </c>
      <c r="AV4" s="9">
        <f>Raw!AV5/Raw!$C5</f>
        <v>0</v>
      </c>
      <c r="AW4" s="9">
        <f>Raw!AW5/Raw!$C5</f>
        <v>0</v>
      </c>
      <c r="AX4" s="9">
        <f>Raw!AX5/Raw!$C5</f>
        <v>0</v>
      </c>
      <c r="AY4" s="9">
        <f>Raw!AY5/Raw!$C5</f>
        <v>0</v>
      </c>
      <c r="AZ4" s="9">
        <f>Raw!AZ5/Raw!$C5</f>
        <v>0</v>
      </c>
      <c r="BA4" s="9">
        <f>Raw!BA5/Raw!$C5</f>
        <v>0</v>
      </c>
      <c r="BB4" s="9">
        <f>Raw!BB5/Raw!$C5</f>
        <v>0</v>
      </c>
      <c r="BC4" s="9">
        <f>Raw!BC5/Raw!$C5</f>
        <v>0</v>
      </c>
      <c r="BD4" s="9">
        <f>Raw!BD5/Raw!$C5</f>
        <v>0</v>
      </c>
      <c r="BE4" s="9">
        <f>Raw!BE5/Raw!$C5</f>
        <v>0</v>
      </c>
      <c r="BF4" s="9">
        <f>Raw!BF5/Raw!$C5</f>
        <v>0</v>
      </c>
      <c r="BG4" s="9">
        <f>Raw!BG5/Raw!$C5</f>
        <v>0</v>
      </c>
      <c r="BH4" s="9">
        <f>Raw!BH5/Raw!$C5</f>
        <v>0</v>
      </c>
      <c r="BI4" s="9">
        <f>Raw!BI5/Raw!$C5</f>
        <v>0</v>
      </c>
      <c r="BJ4" s="9">
        <f>Raw!BJ5/Raw!$C5</f>
        <v>0</v>
      </c>
      <c r="BK4" s="9">
        <f>Raw!BK5/Raw!$C5</f>
        <v>0</v>
      </c>
      <c r="BL4" s="9">
        <f>Raw!BL5/Raw!$C5</f>
        <v>0</v>
      </c>
      <c r="BM4" s="9">
        <f>Raw!BM5/Raw!$C5</f>
        <v>0</v>
      </c>
      <c r="BN4" s="9">
        <f>Raw!BN5/Raw!$C5</f>
        <v>0</v>
      </c>
      <c r="BO4" s="9">
        <f>Raw!BO5/Raw!$C5</f>
        <v>0</v>
      </c>
      <c r="BP4" s="9">
        <f>Raw!BP5/Raw!$C5</f>
        <v>0</v>
      </c>
      <c r="BQ4" s="9">
        <f>Raw!BQ5/Raw!$C5</f>
        <v>0</v>
      </c>
      <c r="BR4" s="9">
        <f>Raw!BR5/Raw!$C5</f>
        <v>0</v>
      </c>
      <c r="BS4" s="9">
        <f>Raw!BS5/Raw!$C5</f>
        <v>0</v>
      </c>
      <c r="BT4" s="9">
        <f>Raw!BT5/Raw!$C5</f>
        <v>0</v>
      </c>
      <c r="BU4" s="9">
        <f>Raw!BU5/Raw!$C5</f>
        <v>0</v>
      </c>
      <c r="BV4" s="9">
        <f>Raw!BV5/Raw!$C5</f>
        <v>0</v>
      </c>
      <c r="BW4" s="9">
        <f>Raw!BW5/Raw!$C5</f>
        <v>0</v>
      </c>
      <c r="BX4" s="9">
        <f>Raw!BX5/Raw!$C5</f>
        <v>0</v>
      </c>
      <c r="BY4" s="9">
        <f>Raw!BY5/Raw!$C5</f>
        <v>0</v>
      </c>
      <c r="BZ4" s="9">
        <f>Raw!BZ5/Raw!$C5</f>
        <v>0</v>
      </c>
      <c r="CA4" s="9">
        <f>Raw!CA5/Raw!$C5</f>
        <v>0</v>
      </c>
      <c r="CB4" s="9">
        <f>Raw!CB5/Raw!$C5</f>
        <v>0</v>
      </c>
      <c r="CC4" s="9">
        <f>Raw!CC5/Raw!$C5</f>
        <v>0</v>
      </c>
      <c r="CD4" s="9">
        <f>Raw!CD5/Raw!$C5</f>
        <v>0</v>
      </c>
      <c r="CE4" s="9">
        <f>Raw!CE5/Raw!$C5</f>
        <v>0</v>
      </c>
      <c r="CF4" s="9">
        <f>Raw!CF5/Raw!$C5</f>
        <v>0</v>
      </c>
      <c r="CG4" s="9">
        <f>Raw!CG5/Raw!$C5</f>
        <v>0</v>
      </c>
      <c r="CH4" s="9">
        <f>Raw!CH5/Raw!$C5</f>
        <v>0</v>
      </c>
      <c r="CI4" s="9">
        <f>Raw!CI5/Raw!$C5</f>
        <v>0</v>
      </c>
      <c r="CJ4" s="9">
        <f>Raw!CJ5/Raw!$C5</f>
        <v>0</v>
      </c>
      <c r="CK4" s="9">
        <f>Raw!CK5/Raw!$C5</f>
        <v>0</v>
      </c>
      <c r="CL4" s="9">
        <f>Raw!CL5/Raw!$C5</f>
        <v>0</v>
      </c>
      <c r="CM4" s="9">
        <f>Raw!CM5/Raw!$C5</f>
        <v>0</v>
      </c>
      <c r="CN4" s="9">
        <f>Raw!CN5/Raw!$C5</f>
        <v>0</v>
      </c>
      <c r="CO4" s="9">
        <f>Raw!CO5/Raw!$C5</f>
        <v>0</v>
      </c>
      <c r="CP4" s="9">
        <f>Raw!CP5/Raw!$C5</f>
        <v>0</v>
      </c>
      <c r="CQ4" s="9">
        <f>Raw!CQ5/Raw!$C5</f>
        <v>0</v>
      </c>
      <c r="CR4" s="2">
        <f t="shared" ref="CR4:CR67" si="8">D4+F4+H4+J4+L4+N4+P4+R4+T4+V4+X4+Z4+AB4+AD4+AF4+AH4+AJ4+AL4+AN4+AP4+AR4+AT4+AV4+AX4+AZ4+AZ4+BB4+BD4+BF4+BH4+BJ4+BL4+BN4+BP4+BR4+BT4+BV4+BX4+BZ4+CB4+CD4+CF4+CH4+CJ4+CL4+CN4+CP4</f>
        <v>568.74999999999989</v>
      </c>
      <c r="CS4" s="2">
        <f t="shared" ref="CS4:CS67" si="9">E4+G4+I4+K4+M4+O4+Q4+S4+U4+W4+Y4+AA4+AC4+AE4+AG4+AI4+AK4+AM4+AO4+AQ4+AS4+AU4+AW4+AY4+BA4+BA4+BC4+BE4+BG4+BI4+BK4+BM4+BO4+BQ4+BS4+BU4+BW4+BY4+CA4+CC4+CE4+CG4+CI4+CK4+CM4+CO4+CQ4</f>
        <v>389.12499999999994</v>
      </c>
      <c r="CT4" s="3">
        <f t="shared" ref="CT4:CT52" si="10">LOG10(CR4)</f>
        <v>2.7549214096651689</v>
      </c>
      <c r="CU4" s="3">
        <f t="shared" ref="CU4:CU52" si="11">LOG10(CS4)</f>
        <v>2.5900891336905718</v>
      </c>
      <c r="CV4" s="3">
        <f>Raw!CR5/Raw!$C5</f>
        <v>5068.7499999999991</v>
      </c>
      <c r="CW4" s="3">
        <f>Raw!CS5/Raw!$C5</f>
        <v>2133.9374999999995</v>
      </c>
      <c r="CX4" s="3">
        <f t="shared" ref="CX4:CX52" si="12">LOG10(CV4)</f>
        <v>3.704900871555231</v>
      </c>
      <c r="CY4" s="3">
        <f t="shared" ref="CY4:CY52" si="13">LOG10(CW4)</f>
        <v>3.3291816954058779</v>
      </c>
      <c r="CZ4" s="3">
        <f t="shared" ref="CZ4:CZ52" si="14">LOG10(CR4+CV4)</f>
        <v>3.7510865548860171</v>
      </c>
      <c r="DA4" s="3">
        <f t="shared" ref="DA4:DA52" si="15">LOG10(CS4+CW4)</f>
        <v>3.4019280087692292</v>
      </c>
      <c r="DB4" s="6">
        <f t="shared" ref="DB4:DB52" si="16">0.590307*(4.87-0.33*CT4-CU4)</f>
        <v>0.80918504420869819</v>
      </c>
      <c r="DC4" s="3">
        <v>2</v>
      </c>
      <c r="DD4" s="3">
        <f>DC4/Raw!C5</f>
        <v>12.499999999999998</v>
      </c>
      <c r="DE4" s="5">
        <f t="shared" ref="DE4:DE70" si="17">DC4/CR4</f>
        <v>3.5164835164835173E-3</v>
      </c>
      <c r="DF4">
        <f t="shared" ref="DF4:DF70" si="18">LOG(DE4)</f>
        <v>-2.4538914140011876</v>
      </c>
      <c r="DH4" s="4">
        <f>-SUM('Shannon-Weiner'!B3:Z3)</f>
        <v>0.60804508105381838</v>
      </c>
      <c r="DI4" s="4">
        <f>SUM('p^2'!B3:Z3)</f>
        <v>0.58265909914261571</v>
      </c>
      <c r="DJ4" s="4">
        <f t="shared" ref="DJ4:DJ70" si="19">1-DI4</f>
        <v>0.41734090085738429</v>
      </c>
      <c r="DK4">
        <f t="shared" ref="DK4:DK70" si="20">1/DI4</f>
        <v>1.7162694300518133</v>
      </c>
      <c r="DL4" s="4">
        <f>SUM('Shannon-Weiner_B'!B3:Z3)</f>
        <v>-0.5506648602997497</v>
      </c>
      <c r="DM4" s="4">
        <f>SUM('p_B^2'!B3:Z3)</f>
        <v>0.63557443170918626</v>
      </c>
      <c r="DN4" s="4">
        <f t="shared" ref="DN4:DN70" si="21">1-DM4</f>
        <v>0.36442556829081374</v>
      </c>
      <c r="DO4">
        <f t="shared" ref="DO4:DO70" si="22">1/DM4</f>
        <v>1.5733798436648887</v>
      </c>
    </row>
    <row r="5" spans="1:119" x14ac:dyDescent="0.25">
      <c r="A5" s="1">
        <v>44201</v>
      </c>
      <c r="B5" t="str">
        <f>Raw!B6</f>
        <v>FA3</v>
      </c>
      <c r="C5">
        <v>1</v>
      </c>
      <c r="D5" s="9">
        <f>Raw!D6/Raw!$C6</f>
        <v>743.74999999999989</v>
      </c>
      <c r="E5" s="9">
        <f>Raw!E6/Raw!$C6</f>
        <v>118.74999999999997</v>
      </c>
      <c r="F5" s="9">
        <f>Raw!F6/Raw!$C6</f>
        <v>31.249999999999993</v>
      </c>
      <c r="G5" s="9">
        <f>Raw!G6/Raw!$C6</f>
        <v>88.187499999999986</v>
      </c>
      <c r="H5" s="9">
        <f>Raw!H6/Raw!$C6</f>
        <v>0</v>
      </c>
      <c r="I5" s="9">
        <f>Raw!I6/Raw!$C6</f>
        <v>0</v>
      </c>
      <c r="J5" s="9">
        <f>Raw!J6/Raw!$C6</f>
        <v>0</v>
      </c>
      <c r="K5" s="9">
        <f>Raw!K6/Raw!$C6</f>
        <v>0</v>
      </c>
      <c r="L5" s="9">
        <f>Raw!L6/Raw!$C6</f>
        <v>0</v>
      </c>
      <c r="M5" s="9">
        <f>Raw!M6/Raw!$C6</f>
        <v>0</v>
      </c>
      <c r="N5" s="9">
        <f>Raw!N6/Raw!$C6</f>
        <v>0</v>
      </c>
      <c r="O5" s="9">
        <f>Raw!O6/Raw!$C6</f>
        <v>0</v>
      </c>
      <c r="P5" s="9">
        <f>Raw!P6/Raw!$C6</f>
        <v>0</v>
      </c>
      <c r="Q5" s="9">
        <f>Raw!Q6/Raw!$C6</f>
        <v>0</v>
      </c>
      <c r="R5" s="9">
        <f>Raw!R6/Raw!$C6</f>
        <v>0</v>
      </c>
      <c r="S5" s="9">
        <f>Raw!S6/Raw!$C6</f>
        <v>0</v>
      </c>
      <c r="T5" s="9">
        <f>Raw!T6/Raw!$C6</f>
        <v>0</v>
      </c>
      <c r="U5" s="9">
        <f>Raw!U6/Raw!$C6</f>
        <v>0</v>
      </c>
      <c r="V5" s="9">
        <f>Raw!V6/Raw!$C6</f>
        <v>0</v>
      </c>
      <c r="W5" s="9">
        <f>Raw!W6/Raw!$C6</f>
        <v>0</v>
      </c>
      <c r="X5" s="9">
        <f>Raw!X6/Raw!$C6</f>
        <v>12.499999999999998</v>
      </c>
      <c r="Y5" s="9">
        <f>Raw!Y6/Raw!$C6</f>
        <v>0.62499999999999989</v>
      </c>
      <c r="Z5" s="9">
        <f>Raw!Z6/Raw!$C6</f>
        <v>0</v>
      </c>
      <c r="AA5" s="9">
        <f>Raw!AA6/Raw!$C6</f>
        <v>0</v>
      </c>
      <c r="AB5" s="9">
        <f>Raw!AB6/Raw!$C6</f>
        <v>0</v>
      </c>
      <c r="AC5" s="9">
        <f>Raw!AC6/Raw!$C6</f>
        <v>0</v>
      </c>
      <c r="AD5" s="9">
        <f>Raw!AD6/Raw!$C6</f>
        <v>0</v>
      </c>
      <c r="AE5" s="9">
        <f>Raw!AE6/Raw!$C6</f>
        <v>0</v>
      </c>
      <c r="AF5" s="9">
        <f>Raw!AF6/Raw!$C6</f>
        <v>0</v>
      </c>
      <c r="AG5" s="9">
        <f>Raw!AG6/Raw!$C6</f>
        <v>0</v>
      </c>
      <c r="AH5" s="9">
        <f>Raw!AH6/Raw!$C6</f>
        <v>0</v>
      </c>
      <c r="AI5" s="9">
        <f>Raw!AI6/Raw!$C6</f>
        <v>0</v>
      </c>
      <c r="AJ5" s="9">
        <f>Raw!AJ6/Raw!$C6</f>
        <v>0</v>
      </c>
      <c r="AK5" s="9">
        <f>Raw!AK6/Raw!$C6</f>
        <v>0</v>
      </c>
      <c r="AL5" s="9">
        <f>Raw!AL6/Raw!$C6</f>
        <v>0</v>
      </c>
      <c r="AM5" s="9">
        <f>Raw!AM6/Raw!$C6</f>
        <v>0</v>
      </c>
      <c r="AN5" s="9">
        <f>Raw!AN6/Raw!$C6</f>
        <v>0</v>
      </c>
      <c r="AO5" s="9">
        <f>Raw!AO6/Raw!$C6</f>
        <v>0</v>
      </c>
      <c r="AP5" s="9">
        <f>Raw!AP6/Raw!$C6</f>
        <v>0</v>
      </c>
      <c r="AQ5" s="9">
        <f>Raw!AQ6/Raw!$C6</f>
        <v>0</v>
      </c>
      <c r="AR5" s="9">
        <f>Raw!AR6/Raw!$C6</f>
        <v>0</v>
      </c>
      <c r="AS5" s="9">
        <f>Raw!AS6/Raw!$C6</f>
        <v>0</v>
      </c>
      <c r="AT5" s="9">
        <f>Raw!AT6/Raw!$C6</f>
        <v>0</v>
      </c>
      <c r="AU5" s="9">
        <f>Raw!AU6/Raw!$C6</f>
        <v>0</v>
      </c>
      <c r="AV5" s="9">
        <f>Raw!AV6/Raw!$C6</f>
        <v>0</v>
      </c>
      <c r="AW5" s="9">
        <f>Raw!AW6/Raw!$C6</f>
        <v>0</v>
      </c>
      <c r="AX5" s="9">
        <f>Raw!AX6/Raw!$C6</f>
        <v>0</v>
      </c>
      <c r="AY5" s="9">
        <f>Raw!AY6/Raw!$C6</f>
        <v>0</v>
      </c>
      <c r="AZ5" s="9">
        <f>Raw!AZ6/Raw!$C6</f>
        <v>0</v>
      </c>
      <c r="BA5" s="9">
        <f>Raw!BA6/Raw!$C6</f>
        <v>0</v>
      </c>
      <c r="BB5" s="9">
        <f>Raw!BB6/Raw!$C6</f>
        <v>0</v>
      </c>
      <c r="BC5" s="9">
        <f>Raw!BC6/Raw!$C6</f>
        <v>0</v>
      </c>
      <c r="BD5" s="9">
        <f>Raw!BD6/Raw!$C6</f>
        <v>0</v>
      </c>
      <c r="BE5" s="9">
        <f>Raw!BE6/Raw!$C6</f>
        <v>0</v>
      </c>
      <c r="BF5" s="9">
        <f>Raw!BF6/Raw!$C6</f>
        <v>0</v>
      </c>
      <c r="BG5" s="9">
        <f>Raw!BG6/Raw!$C6</f>
        <v>0</v>
      </c>
      <c r="BH5" s="9">
        <f>Raw!BH6/Raw!$C6</f>
        <v>0</v>
      </c>
      <c r="BI5" s="9">
        <f>Raw!BI6/Raw!$C6</f>
        <v>0</v>
      </c>
      <c r="BJ5" s="9">
        <f>Raw!BJ6/Raw!$C6</f>
        <v>0</v>
      </c>
      <c r="BK5" s="9">
        <f>Raw!BK6/Raw!$C6</f>
        <v>0</v>
      </c>
      <c r="BL5" s="9">
        <f>Raw!BL6/Raw!$C6</f>
        <v>0</v>
      </c>
      <c r="BM5" s="9">
        <f>Raw!BM6/Raw!$C6</f>
        <v>0</v>
      </c>
      <c r="BN5" s="9">
        <f>Raw!BN6/Raw!$C6</f>
        <v>0</v>
      </c>
      <c r="BO5" s="9">
        <f>Raw!BO6/Raw!$C6</f>
        <v>0</v>
      </c>
      <c r="BP5" s="9">
        <f>Raw!BP6/Raw!$C6</f>
        <v>0</v>
      </c>
      <c r="BQ5" s="9">
        <f>Raw!BQ6/Raw!$C6</f>
        <v>0</v>
      </c>
      <c r="BR5" s="9">
        <f>Raw!BR6/Raw!$C6</f>
        <v>0</v>
      </c>
      <c r="BS5" s="9">
        <f>Raw!BS6/Raw!$C6</f>
        <v>0</v>
      </c>
      <c r="BT5" s="9">
        <f>Raw!BT6/Raw!$C6</f>
        <v>0</v>
      </c>
      <c r="BU5" s="9">
        <f>Raw!BU6/Raw!$C6</f>
        <v>0</v>
      </c>
      <c r="BV5" s="9">
        <f>Raw!BV6/Raw!$C6</f>
        <v>0</v>
      </c>
      <c r="BW5" s="9">
        <f>Raw!BW6/Raw!$C6</f>
        <v>0</v>
      </c>
      <c r="BX5" s="9">
        <f>Raw!BX6/Raw!$C6</f>
        <v>0</v>
      </c>
      <c r="BY5" s="9">
        <f>Raw!BY6/Raw!$C6</f>
        <v>0</v>
      </c>
      <c r="BZ5" s="9">
        <f>Raw!BZ6/Raw!$C6</f>
        <v>0</v>
      </c>
      <c r="CA5" s="9">
        <f>Raw!CA6/Raw!$C6</f>
        <v>0</v>
      </c>
      <c r="CB5" s="9">
        <f>Raw!CB6/Raw!$C6</f>
        <v>0</v>
      </c>
      <c r="CC5" s="9">
        <f>Raw!CC6/Raw!$C6</f>
        <v>0</v>
      </c>
      <c r="CD5" s="9">
        <f>Raw!CD6/Raw!$C6</f>
        <v>0</v>
      </c>
      <c r="CE5" s="9">
        <f>Raw!CE6/Raw!$C6</f>
        <v>0</v>
      </c>
      <c r="CF5" s="9">
        <f>Raw!CF6/Raw!$C6</f>
        <v>0</v>
      </c>
      <c r="CG5" s="9">
        <f>Raw!CG6/Raw!$C6</f>
        <v>0</v>
      </c>
      <c r="CH5" s="9">
        <f>Raw!CH6/Raw!$C6</f>
        <v>0</v>
      </c>
      <c r="CI5" s="9">
        <f>Raw!CI6/Raw!$C6</f>
        <v>0</v>
      </c>
      <c r="CJ5" s="9">
        <f>Raw!CJ6/Raw!$C6</f>
        <v>0</v>
      </c>
      <c r="CK5" s="9">
        <f>Raw!CK6/Raw!$C6</f>
        <v>0</v>
      </c>
      <c r="CL5" s="9">
        <f>Raw!CL6/Raw!$C6</f>
        <v>0</v>
      </c>
      <c r="CM5" s="9">
        <f>Raw!CM6/Raw!$C6</f>
        <v>0</v>
      </c>
      <c r="CN5" s="9">
        <f>Raw!CN6/Raw!$C6</f>
        <v>0</v>
      </c>
      <c r="CO5" s="9">
        <f>Raw!CO6/Raw!$C6</f>
        <v>0</v>
      </c>
      <c r="CP5" s="9">
        <f>Raw!CP6/Raw!$C6</f>
        <v>0</v>
      </c>
      <c r="CQ5" s="9">
        <f>Raw!CQ6/Raw!$C6</f>
        <v>0</v>
      </c>
      <c r="CR5" s="2">
        <f t="shared" si="8"/>
        <v>787.49999999999989</v>
      </c>
      <c r="CS5" s="2">
        <f t="shared" si="9"/>
        <v>207.56249999999994</v>
      </c>
      <c r="CT5" s="3">
        <f t="shared" si="10"/>
        <v>2.8962505624616379</v>
      </c>
      <c r="CU5" s="3">
        <f t="shared" si="11"/>
        <v>2.3171488929424604</v>
      </c>
      <c r="CV5" s="3">
        <f>Raw!CR6/Raw!$C6</f>
        <v>5068.7499999999991</v>
      </c>
      <c r="CW5" s="3">
        <f>Raw!CS6/Raw!$C6</f>
        <v>2133.9374999999995</v>
      </c>
      <c r="CX5" s="3">
        <f t="shared" si="12"/>
        <v>3.704900871555231</v>
      </c>
      <c r="CY5" s="3">
        <f t="shared" si="13"/>
        <v>3.3291816954058779</v>
      </c>
      <c r="CZ5" s="3">
        <f t="shared" si="14"/>
        <v>3.7676196082318536</v>
      </c>
      <c r="DA5" s="3">
        <f t="shared" si="15"/>
        <v>3.3694941621180985</v>
      </c>
      <c r="DB5" s="6">
        <f t="shared" si="16"/>
        <v>0.94277247479805115</v>
      </c>
      <c r="DC5" s="3">
        <v>3</v>
      </c>
      <c r="DD5" s="3">
        <f>DC5/Raw!C6</f>
        <v>18.749999999999996</v>
      </c>
      <c r="DE5" s="5">
        <f t="shared" si="17"/>
        <v>3.80952380952381E-3</v>
      </c>
      <c r="DF5">
        <f t="shared" si="18"/>
        <v>-2.4191293077419758</v>
      </c>
      <c r="DH5" s="4">
        <f>-SUM('Shannon-Weiner'!B4:Z4)</f>
        <v>0.24779635454225268</v>
      </c>
      <c r="DI5" s="4">
        <f>SUM('p^2'!B4:Z4)</f>
        <v>0.89380196523053657</v>
      </c>
      <c r="DJ5" s="4">
        <f t="shared" si="19"/>
        <v>0.10619803476946343</v>
      </c>
      <c r="DK5">
        <f t="shared" si="20"/>
        <v>1.118816067653277</v>
      </c>
      <c r="DL5" s="4">
        <f>SUM('Shannon-Weiner_B'!B4:Z4)</f>
        <v>-0.70063447317202776</v>
      </c>
      <c r="DM5" s="4">
        <f>SUM('p_B^2'!B4:Z4)</f>
        <v>0.50784297564946945</v>
      </c>
      <c r="DN5" s="4">
        <f t="shared" si="21"/>
        <v>0.49215702435053055</v>
      </c>
      <c r="DO5">
        <f t="shared" si="22"/>
        <v>1.9691125957213871</v>
      </c>
    </row>
    <row r="6" spans="1:119" x14ac:dyDescent="0.25">
      <c r="A6" s="1">
        <v>44201</v>
      </c>
      <c r="B6" t="str">
        <f>Raw!B7</f>
        <v>FA4</v>
      </c>
      <c r="C6">
        <v>1</v>
      </c>
      <c r="D6" s="9">
        <f>Raw!D7/Raw!$C7</f>
        <v>856.24999999999989</v>
      </c>
      <c r="E6" s="9">
        <f>Raw!E7/Raw!$C7</f>
        <v>143.68749999999997</v>
      </c>
      <c r="F6" s="9">
        <f>Raw!F7/Raw!$C7</f>
        <v>24.999999999999996</v>
      </c>
      <c r="G6" s="9">
        <f>Raw!G7/Raw!$C7</f>
        <v>2.1249999999999996</v>
      </c>
      <c r="H6" s="9">
        <f>Raw!H7/Raw!$C7</f>
        <v>6.2499999999999991</v>
      </c>
      <c r="I6" s="9">
        <f>Raw!I7/Raw!$C7</f>
        <v>1.4374999999999998</v>
      </c>
      <c r="J6" s="9">
        <f>Raw!J7/Raw!$C7</f>
        <v>0</v>
      </c>
      <c r="K6" s="9">
        <f>Raw!K7/Raw!$C7</f>
        <v>0</v>
      </c>
      <c r="L6" s="9">
        <f>Raw!L7/Raw!$C7</f>
        <v>0</v>
      </c>
      <c r="M6" s="9">
        <f>Raw!M7/Raw!$C7</f>
        <v>0</v>
      </c>
      <c r="N6" s="9">
        <f>Raw!N7/Raw!$C7</f>
        <v>0</v>
      </c>
      <c r="O6" s="9">
        <f>Raw!O7/Raw!$C7</f>
        <v>0</v>
      </c>
      <c r="P6" s="9">
        <f>Raw!P7/Raw!$C7</f>
        <v>0</v>
      </c>
      <c r="Q6" s="9">
        <f>Raw!Q7/Raw!$C7</f>
        <v>0</v>
      </c>
      <c r="R6" s="9">
        <f>Raw!R7/Raw!$C7</f>
        <v>0</v>
      </c>
      <c r="S6" s="9">
        <f>Raw!S7/Raw!$C7</f>
        <v>0</v>
      </c>
      <c r="T6" s="9">
        <f>Raw!T7/Raw!$C7</f>
        <v>0</v>
      </c>
      <c r="U6" s="9">
        <f>Raw!U7/Raw!$C7</f>
        <v>0</v>
      </c>
      <c r="V6" s="9">
        <f>Raw!V7/Raw!$C7</f>
        <v>0</v>
      </c>
      <c r="W6" s="9">
        <f>Raw!W7/Raw!$C7</f>
        <v>0</v>
      </c>
      <c r="X6" s="9">
        <f>Raw!X7/Raw!$C7</f>
        <v>0</v>
      </c>
      <c r="Y6" s="9">
        <f>Raw!Y7/Raw!$C7</f>
        <v>0</v>
      </c>
      <c r="Z6" s="9">
        <f>Raw!Z7/Raw!$C7</f>
        <v>0</v>
      </c>
      <c r="AA6" s="9">
        <f>Raw!AA7/Raw!$C7</f>
        <v>0</v>
      </c>
      <c r="AB6" s="9">
        <f>Raw!AB7/Raw!$C7</f>
        <v>0</v>
      </c>
      <c r="AC6" s="9">
        <f>Raw!AC7/Raw!$C7</f>
        <v>0</v>
      </c>
      <c r="AD6" s="9">
        <f>Raw!AD7/Raw!$C7</f>
        <v>12.499999999999998</v>
      </c>
      <c r="AE6" s="9">
        <f>Raw!AE7/Raw!$C7</f>
        <v>11.687499999999998</v>
      </c>
      <c r="AF6" s="9">
        <f>Raw!AF7/Raw!$C7</f>
        <v>0</v>
      </c>
      <c r="AG6" s="9">
        <f>Raw!AG7/Raw!$C7</f>
        <v>0</v>
      </c>
      <c r="AH6" s="9">
        <f>Raw!AH7/Raw!$C7</f>
        <v>0</v>
      </c>
      <c r="AI6" s="9">
        <f>Raw!AI7/Raw!$C7</f>
        <v>0</v>
      </c>
      <c r="AJ6" s="9">
        <f>Raw!AJ7/Raw!$C7</f>
        <v>0</v>
      </c>
      <c r="AK6" s="9">
        <f>Raw!AK7/Raw!$C7</f>
        <v>0</v>
      </c>
      <c r="AL6" s="9">
        <f>Raw!AL7/Raw!$C7</f>
        <v>0</v>
      </c>
      <c r="AM6" s="9">
        <f>Raw!AM7/Raw!$C7</f>
        <v>0</v>
      </c>
      <c r="AN6" s="9">
        <f>Raw!AN7/Raw!$C7</f>
        <v>24.999999999999996</v>
      </c>
      <c r="AO6" s="9">
        <f>Raw!AO7/Raw!$C7</f>
        <v>0.12499999999999997</v>
      </c>
      <c r="AP6" s="9">
        <f>Raw!AP7/Raw!$C7</f>
        <v>0</v>
      </c>
      <c r="AQ6" s="9">
        <f>Raw!AQ7/Raw!$C7</f>
        <v>0</v>
      </c>
      <c r="AR6" s="9">
        <f>Raw!AR7/Raw!$C7</f>
        <v>0</v>
      </c>
      <c r="AS6" s="9">
        <f>Raw!AS7/Raw!$C7</f>
        <v>0</v>
      </c>
      <c r="AT6" s="9">
        <f>Raw!AT7/Raw!$C7</f>
        <v>0</v>
      </c>
      <c r="AU6" s="9">
        <f>Raw!AU7/Raw!$C7</f>
        <v>0</v>
      </c>
      <c r="AV6" s="9">
        <f>Raw!AV7/Raw!$C7</f>
        <v>0</v>
      </c>
      <c r="AW6" s="9">
        <f>Raw!AW7/Raw!$C7</f>
        <v>0</v>
      </c>
      <c r="AX6" s="9">
        <f>Raw!AX7/Raw!$C7</f>
        <v>0</v>
      </c>
      <c r="AY6" s="9">
        <f>Raw!AY7/Raw!$C7</f>
        <v>0</v>
      </c>
      <c r="AZ6" s="9">
        <f>Raw!AZ7/Raw!$C7</f>
        <v>0</v>
      </c>
      <c r="BA6" s="9">
        <f>Raw!BA7/Raw!$C7</f>
        <v>0</v>
      </c>
      <c r="BB6" s="9">
        <f>Raw!BB7/Raw!$C7</f>
        <v>0</v>
      </c>
      <c r="BC6" s="9">
        <f>Raw!BC7/Raw!$C7</f>
        <v>0</v>
      </c>
      <c r="BD6" s="9">
        <f>Raw!BD7/Raw!$C7</f>
        <v>0</v>
      </c>
      <c r="BE6" s="9">
        <f>Raw!BE7/Raw!$C7</f>
        <v>0</v>
      </c>
      <c r="BF6" s="9">
        <f>Raw!BF7/Raw!$C7</f>
        <v>0</v>
      </c>
      <c r="BG6" s="9">
        <f>Raw!BG7/Raw!$C7</f>
        <v>0</v>
      </c>
      <c r="BH6" s="9">
        <f>Raw!BH7/Raw!$C7</f>
        <v>0</v>
      </c>
      <c r="BI6" s="9">
        <f>Raw!BI7/Raw!$C7</f>
        <v>0</v>
      </c>
      <c r="BJ6" s="9">
        <f>Raw!BJ7/Raw!$C7</f>
        <v>0</v>
      </c>
      <c r="BK6" s="9">
        <f>Raw!BK7/Raw!$C7</f>
        <v>0</v>
      </c>
      <c r="BL6" s="9">
        <f>Raw!BL7/Raw!$C7</f>
        <v>0</v>
      </c>
      <c r="BM6" s="9">
        <f>Raw!BM7/Raw!$C7</f>
        <v>0</v>
      </c>
      <c r="BN6" s="9">
        <f>Raw!BN7/Raw!$C7</f>
        <v>0</v>
      </c>
      <c r="BO6" s="9">
        <f>Raw!BO7/Raw!$C7</f>
        <v>0</v>
      </c>
      <c r="BP6" s="9">
        <f>Raw!BP7/Raw!$C7</f>
        <v>0</v>
      </c>
      <c r="BQ6" s="9">
        <f>Raw!BQ7/Raw!$C7</f>
        <v>0</v>
      </c>
      <c r="BR6" s="9">
        <f>Raw!BR7/Raw!$C7</f>
        <v>0</v>
      </c>
      <c r="BS6" s="9">
        <f>Raw!BS7/Raw!$C7</f>
        <v>0</v>
      </c>
      <c r="BT6" s="9">
        <f>Raw!BT7/Raw!$C7</f>
        <v>0</v>
      </c>
      <c r="BU6" s="9">
        <f>Raw!BU7/Raw!$C7</f>
        <v>0</v>
      </c>
      <c r="BV6" s="9">
        <f>Raw!BV7/Raw!$C7</f>
        <v>0</v>
      </c>
      <c r="BW6" s="9">
        <f>Raw!BW7/Raw!$C7</f>
        <v>0</v>
      </c>
      <c r="BX6" s="9">
        <f>Raw!BX7/Raw!$C7</f>
        <v>0</v>
      </c>
      <c r="BY6" s="9">
        <f>Raw!BY7/Raw!$C7</f>
        <v>0</v>
      </c>
      <c r="BZ6" s="9">
        <f>Raw!BZ7/Raw!$C7</f>
        <v>0</v>
      </c>
      <c r="CA6" s="9">
        <f>Raw!CA7/Raw!$C7</f>
        <v>0</v>
      </c>
      <c r="CB6" s="9">
        <f>Raw!CB7/Raw!$C7</f>
        <v>0</v>
      </c>
      <c r="CC6" s="9">
        <f>Raw!CC7/Raw!$C7</f>
        <v>0</v>
      </c>
      <c r="CD6" s="9">
        <f>Raw!CD7/Raw!$C7</f>
        <v>0</v>
      </c>
      <c r="CE6" s="9">
        <f>Raw!CE7/Raw!$C7</f>
        <v>0</v>
      </c>
      <c r="CF6" s="9">
        <f>Raw!CF7/Raw!$C7</f>
        <v>0</v>
      </c>
      <c r="CG6" s="9">
        <f>Raw!CG7/Raw!$C7</f>
        <v>0</v>
      </c>
      <c r="CH6" s="9">
        <f>Raw!CH7/Raw!$C7</f>
        <v>0</v>
      </c>
      <c r="CI6" s="9">
        <f>Raw!CI7/Raw!$C7</f>
        <v>0</v>
      </c>
      <c r="CJ6" s="9">
        <f>Raw!CJ7/Raw!$C7</f>
        <v>0</v>
      </c>
      <c r="CK6" s="9">
        <f>Raw!CK7/Raw!$C7</f>
        <v>0</v>
      </c>
      <c r="CL6" s="9">
        <f>Raw!CL7/Raw!$C7</f>
        <v>0</v>
      </c>
      <c r="CM6" s="9">
        <f>Raw!CM7/Raw!$C7</f>
        <v>0</v>
      </c>
      <c r="CN6" s="9">
        <f>Raw!CN7/Raw!$C7</f>
        <v>0</v>
      </c>
      <c r="CO6" s="9">
        <f>Raw!CO7/Raw!$C7</f>
        <v>0</v>
      </c>
      <c r="CP6" s="9">
        <f>Raw!CP7/Raw!$C7</f>
        <v>0</v>
      </c>
      <c r="CQ6" s="9">
        <f>Raw!CQ7/Raw!$C7</f>
        <v>0</v>
      </c>
      <c r="CR6" s="2">
        <f t="shared" si="8"/>
        <v>924.99999999999989</v>
      </c>
      <c r="CS6" s="2">
        <f t="shared" si="9"/>
        <v>159.06249999999997</v>
      </c>
      <c r="CT6" s="3">
        <f t="shared" si="10"/>
        <v>2.9661417327390325</v>
      </c>
      <c r="CU6" s="3">
        <f t="shared" si="11"/>
        <v>2.2015678040168525</v>
      </c>
      <c r="CV6" s="3">
        <f>Raw!CR7/Raw!$C7</f>
        <v>5068.7499999999991</v>
      </c>
      <c r="CW6" s="3">
        <f>Raw!CS7/Raw!$C7</f>
        <v>2133.9374999999995</v>
      </c>
      <c r="CX6" s="3">
        <f t="shared" si="12"/>
        <v>3.704900871555231</v>
      </c>
      <c r="CY6" s="3">
        <f t="shared" si="13"/>
        <v>3.3291816954058779</v>
      </c>
      <c r="CZ6" s="3">
        <f t="shared" si="14"/>
        <v>3.7776986245147386</v>
      </c>
      <c r="DA6" s="3">
        <f t="shared" si="15"/>
        <v>3.3604040547299387</v>
      </c>
      <c r="DB6" s="6">
        <f t="shared" si="16"/>
        <v>0.99738590913099034</v>
      </c>
      <c r="DC6" s="3">
        <v>5</v>
      </c>
      <c r="DD6" s="3">
        <f>DC6/Raw!C7</f>
        <v>31.249999999999993</v>
      </c>
      <c r="DE6" s="5">
        <f t="shared" si="17"/>
        <v>5.4054054054054057E-3</v>
      </c>
      <c r="DF6">
        <f t="shared" si="18"/>
        <v>-2.2671717284030137</v>
      </c>
      <c r="DH6" s="4">
        <f>-SUM('Shannon-Weiner'!B5:Z5)</f>
        <v>0.35860392181457362</v>
      </c>
      <c r="DI6" s="4">
        <f>SUM('p^2'!B5:Z5)</f>
        <v>0.8585646457268078</v>
      </c>
      <c r="DJ6" s="4">
        <f t="shared" si="19"/>
        <v>0.1414353542731922</v>
      </c>
      <c r="DK6">
        <f t="shared" si="20"/>
        <v>1.1647346591513348</v>
      </c>
      <c r="DL6" s="4">
        <f>SUM('Shannon-Weiner_B'!B5:Z5)</f>
        <v>-0.38946789049864983</v>
      </c>
      <c r="DM6" s="4">
        <f>SUM('p_B^2'!B5:Z5)</f>
        <v>0.82168263979218858</v>
      </c>
      <c r="DN6" s="4">
        <f t="shared" si="21"/>
        <v>0.17831736020781142</v>
      </c>
      <c r="DO6">
        <f t="shared" si="22"/>
        <v>1.2170148808947814</v>
      </c>
    </row>
    <row r="7" spans="1:119" x14ac:dyDescent="0.25">
      <c r="A7" s="1">
        <v>44201</v>
      </c>
      <c r="B7" t="str">
        <f>Raw!B8</f>
        <v>FA5</v>
      </c>
      <c r="C7">
        <v>1</v>
      </c>
      <c r="D7" s="9">
        <f>Raw!D8/Raw!$C8</f>
        <v>1281.2499999999998</v>
      </c>
      <c r="E7" s="9">
        <f>Raw!E8/Raw!$C8</f>
        <v>200.74999999999994</v>
      </c>
      <c r="F7" s="9">
        <f>Raw!F8/Raw!$C8</f>
        <v>49.999999999999993</v>
      </c>
      <c r="G7" s="9">
        <f>Raw!G8/Raw!$C8</f>
        <v>0.9375</v>
      </c>
      <c r="H7" s="9">
        <f>Raw!H8/Raw!$C8</f>
        <v>0</v>
      </c>
      <c r="I7" s="9">
        <f>Raw!I8/Raw!$C8</f>
        <v>0</v>
      </c>
      <c r="J7" s="9">
        <f>Raw!J8/Raw!$C8</f>
        <v>0</v>
      </c>
      <c r="K7" s="9">
        <f>Raw!K8/Raw!$C8</f>
        <v>0</v>
      </c>
      <c r="L7" s="9">
        <f>Raw!L8/Raw!$C8</f>
        <v>0</v>
      </c>
      <c r="M7" s="9">
        <f>Raw!M8/Raw!$C8</f>
        <v>0</v>
      </c>
      <c r="N7" s="9">
        <f>Raw!N8/Raw!$C8</f>
        <v>0</v>
      </c>
      <c r="O7" s="9">
        <f>Raw!O8/Raw!$C8</f>
        <v>0</v>
      </c>
      <c r="P7" s="9">
        <f>Raw!P8/Raw!$C8</f>
        <v>0</v>
      </c>
      <c r="Q7" s="9">
        <f>Raw!Q8/Raw!$C8</f>
        <v>0</v>
      </c>
      <c r="R7" s="9">
        <f>Raw!R8/Raw!$C8</f>
        <v>0</v>
      </c>
      <c r="S7" s="9">
        <f>Raw!S8/Raw!$C8</f>
        <v>0</v>
      </c>
      <c r="T7" s="9">
        <f>Raw!T8/Raw!$C8</f>
        <v>0</v>
      </c>
      <c r="U7" s="9">
        <f>Raw!U8/Raw!$C8</f>
        <v>0</v>
      </c>
      <c r="V7" s="9">
        <f>Raw!V8/Raw!$C8</f>
        <v>0</v>
      </c>
      <c r="W7" s="9">
        <f>Raw!W8/Raw!$C8</f>
        <v>0</v>
      </c>
      <c r="X7" s="9">
        <f>Raw!X8/Raw!$C8</f>
        <v>0</v>
      </c>
      <c r="Y7" s="9">
        <f>Raw!Y8/Raw!$C8</f>
        <v>0</v>
      </c>
      <c r="Z7" s="9">
        <f>Raw!Z8/Raw!$C8</f>
        <v>0</v>
      </c>
      <c r="AA7" s="9">
        <f>Raw!AA8/Raw!$C8</f>
        <v>0</v>
      </c>
      <c r="AB7" s="9">
        <f>Raw!AB8/Raw!$C8</f>
        <v>0</v>
      </c>
      <c r="AC7" s="9">
        <f>Raw!AC8/Raw!$C8</f>
        <v>0</v>
      </c>
      <c r="AD7" s="9">
        <f>Raw!AD8/Raw!$C8</f>
        <v>0</v>
      </c>
      <c r="AE7" s="9">
        <f>Raw!AE8/Raw!$C8</f>
        <v>0</v>
      </c>
      <c r="AF7" s="9">
        <f>Raw!AF8/Raw!$C8</f>
        <v>0</v>
      </c>
      <c r="AG7" s="9">
        <f>Raw!AG8/Raw!$C8</f>
        <v>0</v>
      </c>
      <c r="AH7" s="9">
        <f>Raw!AH8/Raw!$C8</f>
        <v>0</v>
      </c>
      <c r="AI7" s="9">
        <f>Raw!AI8/Raw!$C8</f>
        <v>0</v>
      </c>
      <c r="AJ7" s="9">
        <f>Raw!AJ8/Raw!$C8</f>
        <v>0</v>
      </c>
      <c r="AK7" s="9">
        <f>Raw!AK8/Raw!$C8</f>
        <v>0</v>
      </c>
      <c r="AL7" s="9">
        <f>Raw!AL8/Raw!$C8</f>
        <v>0</v>
      </c>
      <c r="AM7" s="9">
        <f>Raw!AM8/Raw!$C8</f>
        <v>0</v>
      </c>
      <c r="AN7" s="9">
        <f>Raw!AN8/Raw!$C8</f>
        <v>0</v>
      </c>
      <c r="AO7" s="9">
        <f>Raw!AO8/Raw!$C8</f>
        <v>0</v>
      </c>
      <c r="AP7" s="9">
        <f>Raw!AP8/Raw!$C8</f>
        <v>0</v>
      </c>
      <c r="AQ7" s="9">
        <f>Raw!AQ8/Raw!$C8</f>
        <v>0</v>
      </c>
      <c r="AR7" s="9">
        <f>Raw!AR8/Raw!$C8</f>
        <v>0</v>
      </c>
      <c r="AS7" s="9">
        <f>Raw!AS8/Raw!$C8</f>
        <v>0</v>
      </c>
      <c r="AT7" s="9">
        <f>Raw!AT8/Raw!$C8</f>
        <v>0</v>
      </c>
      <c r="AU7" s="9">
        <f>Raw!AU8/Raw!$C8</f>
        <v>0</v>
      </c>
      <c r="AV7" s="9">
        <f>Raw!AV8/Raw!$C8</f>
        <v>0</v>
      </c>
      <c r="AW7" s="9">
        <f>Raw!AW8/Raw!$C8</f>
        <v>0</v>
      </c>
      <c r="AX7" s="9">
        <f>Raw!AX8/Raw!$C8</f>
        <v>0</v>
      </c>
      <c r="AY7" s="9">
        <f>Raw!AY8/Raw!$C8</f>
        <v>0</v>
      </c>
      <c r="AZ7" s="9">
        <f>Raw!AZ8/Raw!$C8</f>
        <v>0</v>
      </c>
      <c r="BA7" s="9">
        <f>Raw!BA8/Raw!$C8</f>
        <v>0</v>
      </c>
      <c r="BB7" s="9">
        <f>Raw!BB8/Raw!$C8</f>
        <v>0</v>
      </c>
      <c r="BC7" s="9">
        <f>Raw!BC8/Raw!$C8</f>
        <v>0</v>
      </c>
      <c r="BD7" s="9">
        <f>Raw!BD8/Raw!$C8</f>
        <v>0</v>
      </c>
      <c r="BE7" s="9">
        <f>Raw!BE8/Raw!$C8</f>
        <v>0</v>
      </c>
      <c r="BF7" s="9">
        <f>Raw!BF8/Raw!$C8</f>
        <v>0</v>
      </c>
      <c r="BG7" s="9">
        <f>Raw!BG8/Raw!$C8</f>
        <v>0</v>
      </c>
      <c r="BH7" s="9">
        <f>Raw!BH8/Raw!$C8</f>
        <v>0</v>
      </c>
      <c r="BI7" s="9">
        <f>Raw!BI8/Raw!$C8</f>
        <v>0</v>
      </c>
      <c r="BJ7" s="9">
        <f>Raw!BJ8/Raw!$C8</f>
        <v>0</v>
      </c>
      <c r="BK7" s="9">
        <f>Raw!BK8/Raw!$C8</f>
        <v>0</v>
      </c>
      <c r="BL7" s="9">
        <f>Raw!BL8/Raw!$C8</f>
        <v>0</v>
      </c>
      <c r="BM7" s="9">
        <f>Raw!BM8/Raw!$C8</f>
        <v>0</v>
      </c>
      <c r="BN7" s="9">
        <f>Raw!BN8/Raw!$C8</f>
        <v>0</v>
      </c>
      <c r="BO7" s="9">
        <f>Raw!BO8/Raw!$C8</f>
        <v>0</v>
      </c>
      <c r="BP7" s="9">
        <f>Raw!BP8/Raw!$C8</f>
        <v>0</v>
      </c>
      <c r="BQ7" s="9">
        <f>Raw!BQ8/Raw!$C8</f>
        <v>0</v>
      </c>
      <c r="BR7" s="9">
        <f>Raw!BR8/Raw!$C8</f>
        <v>0</v>
      </c>
      <c r="BS7" s="9">
        <f>Raw!BS8/Raw!$C8</f>
        <v>0</v>
      </c>
      <c r="BT7" s="9">
        <f>Raw!BT8/Raw!$C8</f>
        <v>0</v>
      </c>
      <c r="BU7" s="9">
        <f>Raw!BU8/Raw!$C8</f>
        <v>0</v>
      </c>
      <c r="BV7" s="9">
        <f>Raw!BV8/Raw!$C8</f>
        <v>0</v>
      </c>
      <c r="BW7" s="9">
        <f>Raw!BW8/Raw!$C8</f>
        <v>0</v>
      </c>
      <c r="BX7" s="9">
        <f>Raw!BX8/Raw!$C8</f>
        <v>0</v>
      </c>
      <c r="BY7" s="9">
        <f>Raw!BY8/Raw!$C8</f>
        <v>0</v>
      </c>
      <c r="BZ7" s="9">
        <f>Raw!BZ8/Raw!$C8</f>
        <v>0</v>
      </c>
      <c r="CA7" s="9">
        <f>Raw!CA8/Raw!$C8</f>
        <v>0</v>
      </c>
      <c r="CB7" s="9">
        <f>Raw!CB8/Raw!$C8</f>
        <v>0</v>
      </c>
      <c r="CC7" s="9">
        <f>Raw!CC8/Raw!$C8</f>
        <v>0</v>
      </c>
      <c r="CD7" s="9">
        <f>Raw!CD8/Raw!$C8</f>
        <v>0</v>
      </c>
      <c r="CE7" s="9">
        <f>Raw!CE8/Raw!$C8</f>
        <v>0</v>
      </c>
      <c r="CF7" s="9">
        <f>Raw!CF8/Raw!$C8</f>
        <v>0</v>
      </c>
      <c r="CG7" s="9">
        <f>Raw!CG8/Raw!$C8</f>
        <v>0</v>
      </c>
      <c r="CH7" s="9">
        <f>Raw!CH8/Raw!$C8</f>
        <v>0</v>
      </c>
      <c r="CI7" s="9">
        <f>Raw!CI8/Raw!$C8</f>
        <v>0</v>
      </c>
      <c r="CJ7" s="9">
        <f>Raw!CJ8/Raw!$C8</f>
        <v>0</v>
      </c>
      <c r="CK7" s="9">
        <f>Raw!CK8/Raw!$C8</f>
        <v>0</v>
      </c>
      <c r="CL7" s="9">
        <f>Raw!CL8/Raw!$C8</f>
        <v>0</v>
      </c>
      <c r="CM7" s="9">
        <f>Raw!CM8/Raw!$C8</f>
        <v>0</v>
      </c>
      <c r="CN7" s="9">
        <f>Raw!CN8/Raw!$C8</f>
        <v>0</v>
      </c>
      <c r="CO7" s="9">
        <f>Raw!CO8/Raw!$C8</f>
        <v>0</v>
      </c>
      <c r="CP7" s="9">
        <f>Raw!CP8/Raw!$C8</f>
        <v>0</v>
      </c>
      <c r="CQ7" s="9">
        <f>Raw!CQ8/Raw!$C8</f>
        <v>0</v>
      </c>
      <c r="CR7" s="2">
        <f t="shared" si="8"/>
        <v>1331.2499999999998</v>
      </c>
      <c r="CS7" s="2">
        <f t="shared" si="9"/>
        <v>201.68749999999994</v>
      </c>
      <c r="CT7" s="3">
        <f t="shared" si="10"/>
        <v>3.1242596207828131</v>
      </c>
      <c r="CU7" s="3">
        <f t="shared" si="11"/>
        <v>2.3046789827479799</v>
      </c>
      <c r="CV7" s="3">
        <f>Raw!CR8/Raw!$C8</f>
        <v>5068.7499999999991</v>
      </c>
      <c r="CW7" s="3">
        <f>Raw!CS8/Raw!$C8</f>
        <v>2133.9374999999995</v>
      </c>
      <c r="CX7" s="3">
        <f t="shared" si="12"/>
        <v>3.704900871555231</v>
      </c>
      <c r="CY7" s="3">
        <f t="shared" si="13"/>
        <v>3.3291816954058779</v>
      </c>
      <c r="CZ7" s="3">
        <f t="shared" si="14"/>
        <v>3.8061799739838871</v>
      </c>
      <c r="DA7" s="3">
        <f t="shared" si="15"/>
        <v>3.3684031151937126</v>
      </c>
      <c r="DB7" s="6">
        <f t="shared" si="16"/>
        <v>0.90571708682239316</v>
      </c>
      <c r="DC7" s="3">
        <v>2</v>
      </c>
      <c r="DD7" s="3">
        <f>DC7/Raw!C8</f>
        <v>12.499999999999998</v>
      </c>
      <c r="DE7" s="5">
        <f t="shared" si="17"/>
        <v>1.5023474178403758E-3</v>
      </c>
      <c r="DF7">
        <f t="shared" si="18"/>
        <v>-2.8232296251188318</v>
      </c>
      <c r="DH7" s="4">
        <f>-SUM('Shannon-Weiner'!B6:Z6)</f>
        <v>0.16010635323612762</v>
      </c>
      <c r="DI7" s="4">
        <f>SUM('p^2'!B6:Z6)</f>
        <v>0.92770393881284585</v>
      </c>
      <c r="DJ7" s="4">
        <f t="shared" si="19"/>
        <v>7.2296061187154148E-2</v>
      </c>
      <c r="DK7">
        <f t="shared" si="20"/>
        <v>1.0779301005013187</v>
      </c>
      <c r="DL7" s="4">
        <f>SUM('Shannon-Weiner_B'!B6:Z6)</f>
        <v>-2.9604571930914314E-2</v>
      </c>
      <c r="DM7" s="4">
        <f>SUM('p_B^2'!B6:Z6)</f>
        <v>0.99074665274375295</v>
      </c>
      <c r="DN7" s="4">
        <f t="shared" si="21"/>
        <v>9.2533472562470465E-3</v>
      </c>
      <c r="DO7">
        <f t="shared" si="22"/>
        <v>1.0093397714043455</v>
      </c>
    </row>
    <row r="8" spans="1:119" x14ac:dyDescent="0.25">
      <c r="A8" s="1">
        <v>44201</v>
      </c>
      <c r="B8" t="str">
        <f>Raw!B9</f>
        <v>FA6</v>
      </c>
      <c r="C8">
        <v>1</v>
      </c>
      <c r="D8" s="9">
        <f>Raw!D9/Raw!$C9</f>
        <v>1843.7499999999995</v>
      </c>
      <c r="E8" s="9">
        <f>Raw!E9/Raw!$C9</f>
        <v>139.62499999999997</v>
      </c>
      <c r="F8" s="9">
        <f>Raw!F9/Raw!$C9</f>
        <v>87.499999999999986</v>
      </c>
      <c r="G8" s="9">
        <f>Raw!G9/Raw!$C9</f>
        <v>178.93749999999997</v>
      </c>
      <c r="H8" s="9">
        <f>Raw!H9/Raw!$C9</f>
        <v>0</v>
      </c>
      <c r="I8" s="9">
        <f>Raw!I9/Raw!$C9</f>
        <v>0</v>
      </c>
      <c r="J8" s="9">
        <f>Raw!J9/Raw!$C9</f>
        <v>0</v>
      </c>
      <c r="K8" s="9">
        <f>Raw!K9/Raw!$C9</f>
        <v>0</v>
      </c>
      <c r="L8" s="9">
        <f>Raw!L9/Raw!$C9</f>
        <v>0</v>
      </c>
      <c r="M8" s="9">
        <f>Raw!M9/Raw!$C9</f>
        <v>0</v>
      </c>
      <c r="N8" s="9">
        <f>Raw!N9/Raw!$C9</f>
        <v>0</v>
      </c>
      <c r="O8" s="9">
        <f>Raw!O9/Raw!$C9</f>
        <v>0</v>
      </c>
      <c r="P8" s="9">
        <f>Raw!P9/Raw!$C9</f>
        <v>0</v>
      </c>
      <c r="Q8" s="9">
        <f>Raw!Q9/Raw!$C9</f>
        <v>0</v>
      </c>
      <c r="R8" s="9">
        <f>Raw!R9/Raw!$C9</f>
        <v>0</v>
      </c>
      <c r="S8" s="9">
        <f>Raw!S9/Raw!$C9</f>
        <v>0</v>
      </c>
      <c r="T8" s="9">
        <f>Raw!T9/Raw!$C9</f>
        <v>0</v>
      </c>
      <c r="U8" s="9">
        <f>Raw!U9/Raw!$C9</f>
        <v>0</v>
      </c>
      <c r="V8" s="9">
        <f>Raw!V9/Raw!$C9</f>
        <v>0</v>
      </c>
      <c r="W8" s="9">
        <f>Raw!W9/Raw!$C9</f>
        <v>0</v>
      </c>
      <c r="X8" s="9">
        <f>Raw!X9/Raw!$C9</f>
        <v>0</v>
      </c>
      <c r="Y8" s="9">
        <f>Raw!Y9/Raw!$C9</f>
        <v>0</v>
      </c>
      <c r="Z8" s="9">
        <f>Raw!Z9/Raw!$C9</f>
        <v>0</v>
      </c>
      <c r="AA8" s="9">
        <f>Raw!AA9/Raw!$C9</f>
        <v>0</v>
      </c>
      <c r="AB8" s="9">
        <f>Raw!AB9/Raw!$C9</f>
        <v>0</v>
      </c>
      <c r="AC8" s="9">
        <f>Raw!AC9/Raw!$C9</f>
        <v>0</v>
      </c>
      <c r="AD8" s="9">
        <f>Raw!AD9/Raw!$C9</f>
        <v>0</v>
      </c>
      <c r="AE8" s="9">
        <f>Raw!AE9/Raw!$C9</f>
        <v>0</v>
      </c>
      <c r="AF8" s="9">
        <f>Raw!AF9/Raw!$C9</f>
        <v>0</v>
      </c>
      <c r="AG8" s="9">
        <f>Raw!AG9/Raw!$C9</f>
        <v>0</v>
      </c>
      <c r="AH8" s="9">
        <f>Raw!AH9/Raw!$C9</f>
        <v>0</v>
      </c>
      <c r="AI8" s="9">
        <f>Raw!AI9/Raw!$C9</f>
        <v>0</v>
      </c>
      <c r="AJ8" s="9">
        <f>Raw!AJ9/Raw!$C9</f>
        <v>0</v>
      </c>
      <c r="AK8" s="9">
        <f>Raw!AK9/Raw!$C9</f>
        <v>0</v>
      </c>
      <c r="AL8" s="9">
        <f>Raw!AL9/Raw!$C9</f>
        <v>0</v>
      </c>
      <c r="AM8" s="9">
        <f>Raw!AM9/Raw!$C9</f>
        <v>0</v>
      </c>
      <c r="AN8" s="9">
        <f>Raw!AN9/Raw!$C9</f>
        <v>0</v>
      </c>
      <c r="AO8" s="9">
        <f>Raw!AO9/Raw!$C9</f>
        <v>0</v>
      </c>
      <c r="AP8" s="9">
        <f>Raw!AP9/Raw!$C9</f>
        <v>0</v>
      </c>
      <c r="AQ8" s="9">
        <f>Raw!AQ9/Raw!$C9</f>
        <v>0</v>
      </c>
      <c r="AR8" s="9">
        <f>Raw!AR9/Raw!$C9</f>
        <v>0</v>
      </c>
      <c r="AS8" s="9">
        <f>Raw!AS9/Raw!$C9</f>
        <v>0</v>
      </c>
      <c r="AT8" s="9">
        <f>Raw!AT9/Raw!$C9</f>
        <v>0</v>
      </c>
      <c r="AU8" s="9">
        <f>Raw!AU9/Raw!$C9</f>
        <v>0</v>
      </c>
      <c r="AV8" s="9">
        <f>Raw!AV9/Raw!$C9</f>
        <v>0</v>
      </c>
      <c r="AW8" s="9">
        <f>Raw!AW9/Raw!$C9</f>
        <v>0</v>
      </c>
      <c r="AX8" s="9">
        <f>Raw!AX9/Raw!$C9</f>
        <v>0</v>
      </c>
      <c r="AY8" s="9">
        <f>Raw!AY9/Raw!$C9</f>
        <v>0</v>
      </c>
      <c r="AZ8" s="9">
        <f>Raw!AZ9/Raw!$C9</f>
        <v>0</v>
      </c>
      <c r="BA8" s="9">
        <f>Raw!BA9/Raw!$C9</f>
        <v>0</v>
      </c>
      <c r="BB8" s="9">
        <f>Raw!BB9/Raw!$C9</f>
        <v>0</v>
      </c>
      <c r="BC8" s="9">
        <f>Raw!BC9/Raw!$C9</f>
        <v>0</v>
      </c>
      <c r="BD8" s="9">
        <f>Raw!BD9/Raw!$C9</f>
        <v>0</v>
      </c>
      <c r="BE8" s="9">
        <f>Raw!BE9/Raw!$C9</f>
        <v>0</v>
      </c>
      <c r="BF8" s="9">
        <f>Raw!BF9/Raw!$C9</f>
        <v>0</v>
      </c>
      <c r="BG8" s="9">
        <f>Raw!BG9/Raw!$C9</f>
        <v>0</v>
      </c>
      <c r="BH8" s="9">
        <f>Raw!BH9/Raw!$C9</f>
        <v>0</v>
      </c>
      <c r="BI8" s="9">
        <f>Raw!BI9/Raw!$C9</f>
        <v>0</v>
      </c>
      <c r="BJ8" s="9">
        <f>Raw!BJ9/Raw!$C9</f>
        <v>0</v>
      </c>
      <c r="BK8" s="9">
        <f>Raw!BK9/Raw!$C9</f>
        <v>0</v>
      </c>
      <c r="BL8" s="9">
        <f>Raw!BL9/Raw!$C9</f>
        <v>0</v>
      </c>
      <c r="BM8" s="9">
        <f>Raw!BM9/Raw!$C9</f>
        <v>0</v>
      </c>
      <c r="BN8" s="9">
        <f>Raw!BN9/Raw!$C9</f>
        <v>0</v>
      </c>
      <c r="BO8" s="9">
        <f>Raw!BO9/Raw!$C9</f>
        <v>0</v>
      </c>
      <c r="BP8" s="9">
        <f>Raw!BP9/Raw!$C9</f>
        <v>0</v>
      </c>
      <c r="BQ8" s="9">
        <f>Raw!BQ9/Raw!$C9</f>
        <v>0</v>
      </c>
      <c r="BR8" s="9">
        <f>Raw!BR9/Raw!$C9</f>
        <v>0</v>
      </c>
      <c r="BS8" s="9">
        <f>Raw!BS9/Raw!$C9</f>
        <v>0</v>
      </c>
      <c r="BT8" s="9">
        <f>Raw!BT9/Raw!$C9</f>
        <v>0</v>
      </c>
      <c r="BU8" s="9">
        <f>Raw!BU9/Raw!$C9</f>
        <v>0</v>
      </c>
      <c r="BV8" s="9">
        <f>Raw!BV9/Raw!$C9</f>
        <v>0</v>
      </c>
      <c r="BW8" s="9">
        <f>Raw!BW9/Raw!$C9</f>
        <v>0</v>
      </c>
      <c r="BX8" s="9">
        <f>Raw!BX9/Raw!$C9</f>
        <v>0</v>
      </c>
      <c r="BY8" s="9">
        <f>Raw!BY9/Raw!$C9</f>
        <v>0</v>
      </c>
      <c r="BZ8" s="9">
        <f>Raw!BZ9/Raw!$C9</f>
        <v>0</v>
      </c>
      <c r="CA8" s="9">
        <f>Raw!CA9/Raw!$C9</f>
        <v>0</v>
      </c>
      <c r="CB8" s="9">
        <f>Raw!CB9/Raw!$C9</f>
        <v>0</v>
      </c>
      <c r="CC8" s="9">
        <f>Raw!CC9/Raw!$C9</f>
        <v>0</v>
      </c>
      <c r="CD8" s="9">
        <f>Raw!CD9/Raw!$C9</f>
        <v>0</v>
      </c>
      <c r="CE8" s="9">
        <f>Raw!CE9/Raw!$C9</f>
        <v>0</v>
      </c>
      <c r="CF8" s="9">
        <f>Raw!CF9/Raw!$C9</f>
        <v>0</v>
      </c>
      <c r="CG8" s="9">
        <f>Raw!CG9/Raw!$C9</f>
        <v>0</v>
      </c>
      <c r="CH8" s="9">
        <f>Raw!CH9/Raw!$C9</f>
        <v>0</v>
      </c>
      <c r="CI8" s="9">
        <f>Raw!CI9/Raw!$C9</f>
        <v>0</v>
      </c>
      <c r="CJ8" s="9">
        <f>Raw!CJ9/Raw!$C9</f>
        <v>0</v>
      </c>
      <c r="CK8" s="9">
        <f>Raw!CK9/Raw!$C9</f>
        <v>0</v>
      </c>
      <c r="CL8" s="9">
        <f>Raw!CL9/Raw!$C9</f>
        <v>0</v>
      </c>
      <c r="CM8" s="9">
        <f>Raw!CM9/Raw!$C9</f>
        <v>0</v>
      </c>
      <c r="CN8" s="9">
        <f>Raw!CN9/Raw!$C9</f>
        <v>0</v>
      </c>
      <c r="CO8" s="9">
        <f>Raw!CO9/Raw!$C9</f>
        <v>0</v>
      </c>
      <c r="CP8" s="9">
        <f>Raw!CP9/Raw!$C9</f>
        <v>0</v>
      </c>
      <c r="CQ8" s="9">
        <f>Raw!CQ9/Raw!$C9</f>
        <v>0</v>
      </c>
      <c r="CR8" s="2">
        <f t="shared" si="8"/>
        <v>1931.2499999999995</v>
      </c>
      <c r="CS8" s="2">
        <f t="shared" si="9"/>
        <v>318.56249999999994</v>
      </c>
      <c r="CT8" s="3">
        <f t="shared" si="10"/>
        <v>3.2858384967689096</v>
      </c>
      <c r="CU8" s="3">
        <f t="shared" si="11"/>
        <v>2.5031946509327834</v>
      </c>
      <c r="CV8" s="3">
        <f>Raw!CR9/Raw!$C9</f>
        <v>5068.7499999999991</v>
      </c>
      <c r="CW8" s="3">
        <f>Raw!CS9/Raw!$C9</f>
        <v>2133.9374999999995</v>
      </c>
      <c r="CX8" s="3">
        <f t="shared" si="12"/>
        <v>3.704900871555231</v>
      </c>
      <c r="CY8" s="3">
        <f t="shared" si="13"/>
        <v>3.3291816954058779</v>
      </c>
      <c r="CZ8" s="3">
        <f t="shared" si="14"/>
        <v>3.8450980400142569</v>
      </c>
      <c r="DA8" s="3">
        <f t="shared" si="15"/>
        <v>3.3896090160519861</v>
      </c>
      <c r="DB8" s="6">
        <f t="shared" si="16"/>
        <v>0.75705612157280699</v>
      </c>
      <c r="DC8" s="3">
        <v>2</v>
      </c>
      <c r="DD8" s="3">
        <f>DC8/Raw!C9</f>
        <v>12.499999999999998</v>
      </c>
      <c r="DE8" s="5">
        <f t="shared" si="17"/>
        <v>1.0355987055016183E-3</v>
      </c>
      <c r="DF8">
        <f t="shared" si="18"/>
        <v>-2.9848085011049288</v>
      </c>
      <c r="DH8" s="4">
        <f>-SUM('Shannon-Weiner'!B7:Z7)</f>
        <v>0.18445929393703198</v>
      </c>
      <c r="DI8" s="4">
        <f>SUM('p^2'!B7:Z7)</f>
        <v>0.91349064211727993</v>
      </c>
      <c r="DJ8" s="4">
        <f t="shared" si="19"/>
        <v>8.6509357882720073E-2</v>
      </c>
      <c r="DK8">
        <f t="shared" si="20"/>
        <v>1.0947019639765652</v>
      </c>
      <c r="DL8" s="4">
        <f>SUM('Shannon-Weiner_B'!B7:Z7)</f>
        <v>-0.68551322376216928</v>
      </c>
      <c r="DM8" s="4">
        <f>SUM('p_B^2'!B7:Z7)</f>
        <v>0.50761451116921097</v>
      </c>
      <c r="DN8" s="4">
        <f t="shared" si="21"/>
        <v>0.49238548883078903</v>
      </c>
      <c r="DO8">
        <f t="shared" si="22"/>
        <v>1.9699988436040881</v>
      </c>
    </row>
    <row r="9" spans="1:119" x14ac:dyDescent="0.25">
      <c r="A9" s="1">
        <v>44201</v>
      </c>
      <c r="B9" t="str">
        <f>Raw!B10</f>
        <v>FA7</v>
      </c>
      <c r="C9">
        <v>1</v>
      </c>
      <c r="D9" s="9">
        <f>Raw!D10/Raw!$C10</f>
        <v>649.99999999999989</v>
      </c>
      <c r="E9" s="9">
        <f>Raw!E10/Raw!$C10</f>
        <v>102.18749999999999</v>
      </c>
      <c r="F9" s="9">
        <f>Raw!F10/Raw!$C10</f>
        <v>6.2499999999999991</v>
      </c>
      <c r="G9" s="9">
        <f>Raw!G10/Raw!$C10</f>
        <v>0.62499999999999989</v>
      </c>
      <c r="H9" s="9">
        <f>Raw!H10/Raw!$C10</f>
        <v>0</v>
      </c>
      <c r="I9" s="9">
        <f>Raw!I10/Raw!$C10</f>
        <v>0</v>
      </c>
      <c r="J9" s="9">
        <f>Raw!J10/Raw!$C10</f>
        <v>0</v>
      </c>
      <c r="K9" s="9">
        <f>Raw!K10/Raw!$C10</f>
        <v>0</v>
      </c>
      <c r="L9" s="9">
        <f>Raw!L10/Raw!$C10</f>
        <v>0</v>
      </c>
      <c r="M9" s="9">
        <f>Raw!M10/Raw!$C10</f>
        <v>0</v>
      </c>
      <c r="N9" s="9">
        <f>Raw!N10/Raw!$C10</f>
        <v>0</v>
      </c>
      <c r="O9" s="9">
        <f>Raw!O10/Raw!$C10</f>
        <v>0</v>
      </c>
      <c r="P9" s="9">
        <f>Raw!P10/Raw!$C10</f>
        <v>0</v>
      </c>
      <c r="Q9" s="9">
        <f>Raw!Q10/Raw!$C10</f>
        <v>0</v>
      </c>
      <c r="R9" s="9">
        <f>Raw!R10/Raw!$C10</f>
        <v>0</v>
      </c>
      <c r="S9" s="9">
        <f>Raw!S10/Raw!$C10</f>
        <v>0</v>
      </c>
      <c r="T9" s="9">
        <f>Raw!T10/Raw!$C10</f>
        <v>0</v>
      </c>
      <c r="U9" s="9">
        <f>Raw!U10/Raw!$C10</f>
        <v>0</v>
      </c>
      <c r="V9" s="9">
        <f>Raw!V10/Raw!$C10</f>
        <v>0</v>
      </c>
      <c r="W9" s="9">
        <f>Raw!W10/Raw!$C10</f>
        <v>0</v>
      </c>
      <c r="X9" s="9">
        <f>Raw!X10/Raw!$C10</f>
        <v>6.2499999999999991</v>
      </c>
      <c r="Y9" s="9">
        <f>Raw!Y10/Raw!$C10</f>
        <v>0.49999999999999989</v>
      </c>
      <c r="Z9" s="9">
        <f>Raw!Z10/Raw!$C10</f>
        <v>0</v>
      </c>
      <c r="AA9" s="9">
        <f>Raw!AA10/Raw!$C10</f>
        <v>0</v>
      </c>
      <c r="AB9" s="9">
        <f>Raw!AB10/Raw!$C10</f>
        <v>0</v>
      </c>
      <c r="AC9" s="9">
        <f>Raw!AC10/Raw!$C10</f>
        <v>0</v>
      </c>
      <c r="AD9" s="9">
        <f>Raw!AD10/Raw!$C10</f>
        <v>0</v>
      </c>
      <c r="AE9" s="9">
        <f>Raw!AE10/Raw!$C10</f>
        <v>0</v>
      </c>
      <c r="AF9" s="9">
        <f>Raw!AF10/Raw!$C10</f>
        <v>0</v>
      </c>
      <c r="AG9" s="9">
        <f>Raw!AG10/Raw!$C10</f>
        <v>0</v>
      </c>
      <c r="AH9" s="9">
        <f>Raw!AH10/Raw!$C10</f>
        <v>6.2499999999999991</v>
      </c>
      <c r="AI9" s="9">
        <f>Raw!AI10/Raw!$C10</f>
        <v>9.7499999999999982</v>
      </c>
      <c r="AJ9" s="9">
        <f>Raw!AJ10/Raw!$C10</f>
        <v>0</v>
      </c>
      <c r="AK9" s="9">
        <f>Raw!AK10/Raw!$C10</f>
        <v>0</v>
      </c>
      <c r="AL9" s="9">
        <f>Raw!AL10/Raw!$C10</f>
        <v>0</v>
      </c>
      <c r="AM9" s="9">
        <f>Raw!AM10/Raw!$C10</f>
        <v>0</v>
      </c>
      <c r="AN9" s="9">
        <f>Raw!AN10/Raw!$C10</f>
        <v>0</v>
      </c>
      <c r="AO9" s="9">
        <f>Raw!AO10/Raw!$C10</f>
        <v>0</v>
      </c>
      <c r="AP9" s="9">
        <f>Raw!AP10/Raw!$C10</f>
        <v>6.2499999999999991</v>
      </c>
      <c r="AQ9" s="9">
        <f>Raw!AQ10/Raw!$C10</f>
        <v>0.99999999999999978</v>
      </c>
      <c r="AR9" s="9">
        <f>Raw!AR10/Raw!$C10</f>
        <v>0</v>
      </c>
      <c r="AS9" s="9">
        <f>Raw!AS10/Raw!$C10</f>
        <v>0</v>
      </c>
      <c r="AT9" s="9">
        <f>Raw!AT10/Raw!$C10</f>
        <v>0</v>
      </c>
      <c r="AU9" s="9">
        <f>Raw!AU10/Raw!$C10</f>
        <v>0</v>
      </c>
      <c r="AV9" s="9">
        <f>Raw!AV10/Raw!$C10</f>
        <v>0</v>
      </c>
      <c r="AW9" s="9">
        <f>Raw!AW10/Raw!$C10</f>
        <v>0</v>
      </c>
      <c r="AX9" s="9">
        <f>Raw!AX10/Raw!$C10</f>
        <v>0</v>
      </c>
      <c r="AY9" s="9">
        <f>Raw!AY10/Raw!$C10</f>
        <v>0</v>
      </c>
      <c r="AZ9" s="9">
        <f>Raw!AZ10/Raw!$C10</f>
        <v>0</v>
      </c>
      <c r="BA9" s="9">
        <f>Raw!BA10/Raw!$C10</f>
        <v>0</v>
      </c>
      <c r="BB9" s="9">
        <f>Raw!BB10/Raw!$C10</f>
        <v>0</v>
      </c>
      <c r="BC9" s="9">
        <f>Raw!BC10/Raw!$C10</f>
        <v>0</v>
      </c>
      <c r="BD9" s="9">
        <f>Raw!BD10/Raw!$C10</f>
        <v>0</v>
      </c>
      <c r="BE9" s="9">
        <f>Raw!BE10/Raw!$C10</f>
        <v>0</v>
      </c>
      <c r="BF9" s="9">
        <f>Raw!BF10/Raw!$C10</f>
        <v>0</v>
      </c>
      <c r="BG9" s="9">
        <f>Raw!BG10/Raw!$C10</f>
        <v>0</v>
      </c>
      <c r="BH9" s="9">
        <f>Raw!BH10/Raw!$C10</f>
        <v>0</v>
      </c>
      <c r="BI9" s="9">
        <f>Raw!BI10/Raw!$C10</f>
        <v>0</v>
      </c>
      <c r="BJ9" s="9">
        <f>Raw!BJ10/Raw!$C10</f>
        <v>0</v>
      </c>
      <c r="BK9" s="9">
        <f>Raw!BK10/Raw!$C10</f>
        <v>0</v>
      </c>
      <c r="BL9" s="9">
        <f>Raw!BL10/Raw!$C10</f>
        <v>0</v>
      </c>
      <c r="BM9" s="9">
        <f>Raw!BM10/Raw!$C10</f>
        <v>0</v>
      </c>
      <c r="BN9" s="9">
        <f>Raw!BN10/Raw!$C10</f>
        <v>0</v>
      </c>
      <c r="BO9" s="9">
        <f>Raw!BO10/Raw!$C10</f>
        <v>0</v>
      </c>
      <c r="BP9" s="9">
        <f>Raw!BP10/Raw!$C10</f>
        <v>0</v>
      </c>
      <c r="BQ9" s="9">
        <f>Raw!BQ10/Raw!$C10</f>
        <v>0</v>
      </c>
      <c r="BR9" s="9">
        <f>Raw!BR10/Raw!$C10</f>
        <v>0</v>
      </c>
      <c r="BS9" s="9">
        <f>Raw!BS10/Raw!$C10</f>
        <v>0</v>
      </c>
      <c r="BT9" s="9">
        <f>Raw!BT10/Raw!$C10</f>
        <v>0</v>
      </c>
      <c r="BU9" s="9">
        <f>Raw!BU10/Raw!$C10</f>
        <v>0</v>
      </c>
      <c r="BV9" s="9">
        <f>Raw!BV10/Raw!$C10</f>
        <v>0</v>
      </c>
      <c r="BW9" s="9">
        <f>Raw!BW10/Raw!$C10</f>
        <v>0</v>
      </c>
      <c r="BX9" s="9">
        <f>Raw!BX10/Raw!$C10</f>
        <v>0</v>
      </c>
      <c r="BY9" s="9">
        <f>Raw!BY10/Raw!$C10</f>
        <v>0</v>
      </c>
      <c r="BZ9" s="9">
        <f>Raw!BZ10/Raw!$C10</f>
        <v>0</v>
      </c>
      <c r="CA9" s="9">
        <f>Raw!CA10/Raw!$C10</f>
        <v>0</v>
      </c>
      <c r="CB9" s="9">
        <f>Raw!CB10/Raw!$C10</f>
        <v>0</v>
      </c>
      <c r="CC9" s="9">
        <f>Raw!CC10/Raw!$C10</f>
        <v>0</v>
      </c>
      <c r="CD9" s="9">
        <f>Raw!CD10/Raw!$C10</f>
        <v>0</v>
      </c>
      <c r="CE9" s="9">
        <f>Raw!CE10/Raw!$C10</f>
        <v>0</v>
      </c>
      <c r="CF9" s="9">
        <f>Raw!CF10/Raw!$C10</f>
        <v>0</v>
      </c>
      <c r="CG9" s="9">
        <f>Raw!CG10/Raw!$C10</f>
        <v>0</v>
      </c>
      <c r="CH9" s="9">
        <f>Raw!CH10/Raw!$C10</f>
        <v>0</v>
      </c>
      <c r="CI9" s="9">
        <f>Raw!CI10/Raw!$C10</f>
        <v>0</v>
      </c>
      <c r="CJ9" s="9">
        <f>Raw!CJ10/Raw!$C10</f>
        <v>0</v>
      </c>
      <c r="CK9" s="9">
        <f>Raw!CK10/Raw!$C10</f>
        <v>0</v>
      </c>
      <c r="CL9" s="9">
        <f>Raw!CL10/Raw!$C10</f>
        <v>0</v>
      </c>
      <c r="CM9" s="9">
        <f>Raw!CM10/Raw!$C10</f>
        <v>0</v>
      </c>
      <c r="CN9" s="9">
        <f>Raw!CN10/Raw!$C10</f>
        <v>0</v>
      </c>
      <c r="CO9" s="9">
        <f>Raw!CO10/Raw!$C10</f>
        <v>0</v>
      </c>
      <c r="CP9" s="9">
        <f>Raw!CP10/Raw!$C10</f>
        <v>0</v>
      </c>
      <c r="CQ9" s="9">
        <f>Raw!CQ10/Raw!$C10</f>
        <v>0</v>
      </c>
      <c r="CR9" s="2">
        <f t="shared" si="8"/>
        <v>674.99999999999989</v>
      </c>
      <c r="CS9" s="2">
        <f t="shared" si="9"/>
        <v>114.06249999999999</v>
      </c>
      <c r="CT9" s="3">
        <f t="shared" si="10"/>
        <v>2.8293037728310249</v>
      </c>
      <c r="CU9" s="3">
        <f t="shared" si="11"/>
        <v>2.0571428861365688</v>
      </c>
      <c r="CV9" s="3">
        <f>Raw!CR10/Raw!$C10</f>
        <v>5068.7499999999991</v>
      </c>
      <c r="CW9" s="3">
        <f>Raw!CS10/Raw!$C10</f>
        <v>2133.9374999999995</v>
      </c>
      <c r="CX9" s="3">
        <f t="shared" si="12"/>
        <v>3.704900871555231</v>
      </c>
      <c r="CY9" s="3">
        <f t="shared" si="13"/>
        <v>3.3291816954058779</v>
      </c>
      <c r="CZ9" s="3">
        <f t="shared" si="14"/>
        <v>3.7591955287301864</v>
      </c>
      <c r="DA9" s="3">
        <f t="shared" si="15"/>
        <v>3.3517963068970236</v>
      </c>
      <c r="DB9" s="6">
        <f t="shared" si="16"/>
        <v>1.1092971629779544</v>
      </c>
      <c r="DC9" s="3">
        <v>5</v>
      </c>
      <c r="DD9" s="3">
        <f>DC9/Raw!C10</f>
        <v>31.249999999999993</v>
      </c>
      <c r="DE9" s="5">
        <f t="shared" si="17"/>
        <v>7.4074074074074086E-3</v>
      </c>
      <c r="DF9">
        <f t="shared" si="18"/>
        <v>-2.1303337684950061</v>
      </c>
      <c r="DH9" s="4">
        <f>-SUM('Shannon-Weiner'!B8:Z8)</f>
        <v>0.20975480572882385</v>
      </c>
      <c r="DI9" s="4">
        <f>SUM('p^2'!B8:Z8)</f>
        <v>0.92764060356652922</v>
      </c>
      <c r="DJ9" s="4">
        <f t="shared" si="19"/>
        <v>7.235939643347078E-2</v>
      </c>
      <c r="DK9">
        <f t="shared" si="20"/>
        <v>1.0780036968576714</v>
      </c>
      <c r="DL9" s="4">
        <f>SUM('Shannon-Weiner_B'!B8:Z8)</f>
        <v>-0.40258665988130043</v>
      </c>
      <c r="DM9" s="4">
        <f>SUM('p_B^2'!B8:Z8)</f>
        <v>0.81005246762994931</v>
      </c>
      <c r="DN9" s="4">
        <f t="shared" si="21"/>
        <v>0.18994753237005069</v>
      </c>
      <c r="DO9">
        <f t="shared" si="22"/>
        <v>1.2344879374613833</v>
      </c>
    </row>
    <row r="10" spans="1:119" x14ac:dyDescent="0.25">
      <c r="A10" s="1"/>
      <c r="B10" t="str">
        <f>Raw!B11</f>
        <v>FA8</v>
      </c>
      <c r="C10">
        <v>1</v>
      </c>
      <c r="D10" s="9">
        <f>Raw!D11/Raw!$C11</f>
        <v>499.99999999999989</v>
      </c>
      <c r="E10" s="9">
        <f>Raw!E11/Raw!$C11</f>
        <v>85.999999999999986</v>
      </c>
      <c r="F10" s="9">
        <f>Raw!F11/Raw!$C11</f>
        <v>68.749999999999986</v>
      </c>
      <c r="G10" s="9">
        <f>Raw!G11/Raw!$C11</f>
        <v>108.81249999999999</v>
      </c>
      <c r="H10" s="9">
        <f>Raw!H11/Raw!$C11</f>
        <v>0</v>
      </c>
      <c r="I10" s="9">
        <f>Raw!I11/Raw!$C11</f>
        <v>0</v>
      </c>
      <c r="J10" s="9">
        <f>Raw!J11/Raw!$C11</f>
        <v>0</v>
      </c>
      <c r="K10" s="9">
        <f>Raw!K11/Raw!$C11</f>
        <v>0</v>
      </c>
      <c r="L10" s="9">
        <f>Raw!L11/Raw!$C11</f>
        <v>0</v>
      </c>
      <c r="M10" s="9">
        <f>Raw!M11/Raw!$C11</f>
        <v>0</v>
      </c>
      <c r="N10" s="9">
        <f>Raw!N11/Raw!$C11</f>
        <v>0</v>
      </c>
      <c r="O10" s="9">
        <f>Raw!O11/Raw!$C11</f>
        <v>0</v>
      </c>
      <c r="P10" s="9">
        <f>Raw!P11/Raw!$C11</f>
        <v>0</v>
      </c>
      <c r="Q10" s="9">
        <f>Raw!Q11/Raw!$C11</f>
        <v>0</v>
      </c>
      <c r="R10" s="9">
        <f>Raw!R11/Raw!$C11</f>
        <v>0</v>
      </c>
      <c r="S10" s="9">
        <f>Raw!S11/Raw!$C11</f>
        <v>0</v>
      </c>
      <c r="T10" s="9">
        <f>Raw!T11/Raw!$C11</f>
        <v>0</v>
      </c>
      <c r="U10" s="9">
        <f>Raw!U11/Raw!$C11</f>
        <v>0</v>
      </c>
      <c r="V10" s="9">
        <f>Raw!V11/Raw!$C11</f>
        <v>0</v>
      </c>
      <c r="W10" s="9">
        <f>Raw!W11/Raw!$C11</f>
        <v>0</v>
      </c>
      <c r="X10" s="9">
        <f>Raw!X11/Raw!$C11</f>
        <v>0</v>
      </c>
      <c r="Y10" s="9">
        <f>Raw!Y11/Raw!$C11</f>
        <v>0</v>
      </c>
      <c r="Z10" s="9">
        <f>Raw!Z11/Raw!$C11</f>
        <v>0</v>
      </c>
      <c r="AA10" s="9">
        <f>Raw!AA11/Raw!$C11</f>
        <v>0</v>
      </c>
      <c r="AB10" s="9">
        <f>Raw!AB11/Raw!$C11</f>
        <v>0</v>
      </c>
      <c r="AC10" s="9">
        <f>Raw!AC11/Raw!$C11</f>
        <v>0</v>
      </c>
      <c r="AD10" s="9">
        <f>Raw!AD11/Raw!$C11</f>
        <v>0</v>
      </c>
      <c r="AE10" s="9">
        <f>Raw!AE11/Raw!$C11</f>
        <v>0</v>
      </c>
      <c r="AF10" s="9">
        <f>Raw!AF11/Raw!$C11</f>
        <v>0</v>
      </c>
      <c r="AG10" s="9">
        <f>Raw!AG11/Raw!$C11</f>
        <v>0</v>
      </c>
      <c r="AH10" s="9">
        <f>Raw!AH11/Raw!$C11</f>
        <v>0</v>
      </c>
      <c r="AI10" s="9">
        <f>Raw!AI11/Raw!$C11</f>
        <v>0</v>
      </c>
      <c r="AJ10" s="9">
        <f>Raw!AJ11/Raw!$C11</f>
        <v>0</v>
      </c>
      <c r="AK10" s="9">
        <f>Raw!AK11/Raw!$C11</f>
        <v>0</v>
      </c>
      <c r="AL10" s="9">
        <f>Raw!AL11/Raw!$C11</f>
        <v>0</v>
      </c>
      <c r="AM10" s="9">
        <f>Raw!AM11/Raw!$C11</f>
        <v>0</v>
      </c>
      <c r="AN10" s="9">
        <f>Raw!AN11/Raw!$C11</f>
        <v>0</v>
      </c>
      <c r="AO10" s="9">
        <f>Raw!AO11/Raw!$C11</f>
        <v>0</v>
      </c>
      <c r="AP10" s="9">
        <f>Raw!AP11/Raw!$C11</f>
        <v>0</v>
      </c>
      <c r="AQ10" s="9">
        <f>Raw!AQ11/Raw!$C11</f>
        <v>0</v>
      </c>
      <c r="AR10" s="9">
        <f>Raw!AR11/Raw!$C11</f>
        <v>0</v>
      </c>
      <c r="AS10" s="9">
        <f>Raw!AS11/Raw!$C11</f>
        <v>0</v>
      </c>
      <c r="AT10" s="9">
        <f>Raw!AT11/Raw!$C11</f>
        <v>0</v>
      </c>
      <c r="AU10" s="9">
        <f>Raw!AU11/Raw!$C11</f>
        <v>0</v>
      </c>
      <c r="AV10" s="9">
        <f>Raw!AV11/Raw!$C11</f>
        <v>18.749999999999996</v>
      </c>
      <c r="AW10" s="9">
        <f>Raw!AW11/Raw!$C11</f>
        <v>49.062499999999993</v>
      </c>
      <c r="AX10" s="9">
        <f>Raw!AX11/Raw!$C11</f>
        <v>6.2499999999999991</v>
      </c>
      <c r="AY10" s="9">
        <f>Raw!AY11/Raw!$C11</f>
        <v>1.6874999999999998</v>
      </c>
      <c r="AZ10" s="9">
        <f>Raw!AZ11/Raw!$C11</f>
        <v>0</v>
      </c>
      <c r="BA10" s="9">
        <f>Raw!BA11/Raw!$C11</f>
        <v>0</v>
      </c>
      <c r="BB10" s="9">
        <f>Raw!BB11/Raw!$C11</f>
        <v>0</v>
      </c>
      <c r="BC10" s="9">
        <f>Raw!BC11/Raw!$C11</f>
        <v>0</v>
      </c>
      <c r="BD10" s="9">
        <f>Raw!BD11/Raw!$C11</f>
        <v>0</v>
      </c>
      <c r="BE10" s="9">
        <f>Raw!BE11/Raw!$C11</f>
        <v>0</v>
      </c>
      <c r="BF10" s="9">
        <f>Raw!BF11/Raw!$C11</f>
        <v>0</v>
      </c>
      <c r="BG10" s="9">
        <f>Raw!BG11/Raw!$C11</f>
        <v>0</v>
      </c>
      <c r="BH10" s="9">
        <f>Raw!BH11/Raw!$C11</f>
        <v>0</v>
      </c>
      <c r="BI10" s="9">
        <f>Raw!BI11/Raw!$C11</f>
        <v>0</v>
      </c>
      <c r="BJ10" s="9">
        <f>Raw!BJ11/Raw!$C11</f>
        <v>0</v>
      </c>
      <c r="BK10" s="9">
        <f>Raw!BK11/Raw!$C11</f>
        <v>0</v>
      </c>
      <c r="BL10" s="9">
        <f>Raw!BL11/Raw!$C11</f>
        <v>0</v>
      </c>
      <c r="BM10" s="9">
        <f>Raw!BM11/Raw!$C11</f>
        <v>0</v>
      </c>
      <c r="BN10" s="9">
        <f>Raw!BN11/Raw!$C11</f>
        <v>0</v>
      </c>
      <c r="BO10" s="9">
        <f>Raw!BO11/Raw!$C11</f>
        <v>0</v>
      </c>
      <c r="BP10" s="9">
        <f>Raw!BP11/Raw!$C11</f>
        <v>0</v>
      </c>
      <c r="BQ10" s="9">
        <f>Raw!BQ11/Raw!$C11</f>
        <v>0</v>
      </c>
      <c r="BR10" s="9">
        <f>Raw!BR11/Raw!$C11</f>
        <v>0</v>
      </c>
      <c r="BS10" s="9">
        <f>Raw!BS11/Raw!$C11</f>
        <v>0</v>
      </c>
      <c r="BT10" s="9">
        <f>Raw!BT11/Raw!$C11</f>
        <v>0</v>
      </c>
      <c r="BU10" s="9">
        <f>Raw!BU11/Raw!$C11</f>
        <v>0</v>
      </c>
      <c r="BV10" s="9">
        <f>Raw!BV11/Raw!$C11</f>
        <v>0</v>
      </c>
      <c r="BW10" s="9">
        <f>Raw!BW11/Raw!$C11</f>
        <v>0</v>
      </c>
      <c r="BX10" s="9">
        <f>Raw!BX11/Raw!$C11</f>
        <v>0</v>
      </c>
      <c r="BY10" s="9">
        <f>Raw!BY11/Raw!$C11</f>
        <v>0</v>
      </c>
      <c r="BZ10" s="9">
        <f>Raw!BZ11/Raw!$C11</f>
        <v>0</v>
      </c>
      <c r="CA10" s="9">
        <f>Raw!CA11/Raw!$C11</f>
        <v>0</v>
      </c>
      <c r="CB10" s="9">
        <f>Raw!CB11/Raw!$C11</f>
        <v>0</v>
      </c>
      <c r="CC10" s="9">
        <f>Raw!CC11/Raw!$C11</f>
        <v>0</v>
      </c>
      <c r="CD10" s="9">
        <f>Raw!CD11/Raw!$C11</f>
        <v>0</v>
      </c>
      <c r="CE10" s="9">
        <f>Raw!CE11/Raw!$C11</f>
        <v>0</v>
      </c>
      <c r="CF10" s="9">
        <f>Raw!CF11/Raw!$C11</f>
        <v>0</v>
      </c>
      <c r="CG10" s="9">
        <f>Raw!CG11/Raw!$C11</f>
        <v>0</v>
      </c>
      <c r="CH10" s="9">
        <f>Raw!CH11/Raw!$C11</f>
        <v>0</v>
      </c>
      <c r="CI10" s="9">
        <f>Raw!CI11/Raw!$C11</f>
        <v>0</v>
      </c>
      <c r="CJ10" s="9">
        <f>Raw!CJ11/Raw!$C11</f>
        <v>0</v>
      </c>
      <c r="CK10" s="9">
        <f>Raw!CK11/Raw!$C11</f>
        <v>0</v>
      </c>
      <c r="CL10" s="9">
        <f>Raw!CL11/Raw!$C11</f>
        <v>0</v>
      </c>
      <c r="CM10" s="9">
        <f>Raw!CM11/Raw!$C11</f>
        <v>0</v>
      </c>
      <c r="CN10" s="9">
        <f>Raw!CN11/Raw!$C11</f>
        <v>0</v>
      </c>
      <c r="CO10" s="9">
        <f>Raw!CO11/Raw!$C11</f>
        <v>0</v>
      </c>
      <c r="CP10" s="9">
        <f>Raw!CP11/Raw!$C11</f>
        <v>0</v>
      </c>
      <c r="CQ10" s="9">
        <f>Raw!CQ11/Raw!$C11</f>
        <v>0</v>
      </c>
      <c r="CR10" s="2">
        <f t="shared" si="8"/>
        <v>593.74999999999989</v>
      </c>
      <c r="CS10" s="2">
        <f t="shared" si="9"/>
        <v>245.56249999999997</v>
      </c>
      <c r="CT10" s="3">
        <f t="shared" si="10"/>
        <v>2.773603622632923</v>
      </c>
      <c r="CU10" s="3">
        <f t="shared" si="11"/>
        <v>2.3901620461558815</v>
      </c>
      <c r="CV10" s="3">
        <f>Raw!CR11/Raw!$C11</f>
        <v>5068.7499999999991</v>
      </c>
      <c r="CW10" s="3">
        <f>Raw!CS11/Raw!$C11</f>
        <v>2133.9374999999995</v>
      </c>
      <c r="CX10" s="3">
        <f t="shared" si="12"/>
        <v>3.704900871555231</v>
      </c>
      <c r="CY10" s="3">
        <f t="shared" si="13"/>
        <v>3.3291816954058779</v>
      </c>
      <c r="CZ10" s="3">
        <f t="shared" si="14"/>
        <v>3.7530082150208881</v>
      </c>
      <c r="DA10" s="3">
        <f t="shared" si="15"/>
        <v>3.3764857091347764</v>
      </c>
      <c r="DB10" s="6">
        <f t="shared" si="16"/>
        <v>0.92356408391022105</v>
      </c>
      <c r="DC10" s="3">
        <v>4</v>
      </c>
      <c r="DD10" s="3">
        <f>DC10/Raw!C11</f>
        <v>24.999999999999996</v>
      </c>
      <c r="DE10" s="5">
        <f t="shared" si="17"/>
        <v>6.7368421052631591E-3</v>
      </c>
      <c r="DF10">
        <f t="shared" si="18"/>
        <v>-2.1715436313049605</v>
      </c>
      <c r="DH10" s="4">
        <f>-SUM('Shannon-Weiner'!B9:Z9)</f>
        <v>0.55140514801425744</v>
      </c>
      <c r="DI10" s="4">
        <f>SUM('p^2'!B9:Z9)</f>
        <v>0.72365650969529083</v>
      </c>
      <c r="DJ10" s="4">
        <f t="shared" si="19"/>
        <v>0.27634349030470917</v>
      </c>
      <c r="DK10">
        <f t="shared" si="20"/>
        <v>1.3818710764048385</v>
      </c>
      <c r="DL10" s="4">
        <f>SUM('Shannon-Weiner_B'!B9:Z9)</f>
        <v>-1.0840991186614146</v>
      </c>
      <c r="DM10" s="4">
        <f>SUM('p_B^2'!B9:Z9)</f>
        <v>0.35896847070627069</v>
      </c>
      <c r="DN10" s="4">
        <f t="shared" si="21"/>
        <v>0.64103152929372931</v>
      </c>
      <c r="DO10">
        <f t="shared" si="22"/>
        <v>2.7857599806258735</v>
      </c>
    </row>
    <row r="11" spans="1:119" x14ac:dyDescent="0.25">
      <c r="A11" s="1"/>
      <c r="B11" t="str">
        <f>Raw!B12</f>
        <v>FA9</v>
      </c>
      <c r="C11">
        <v>1</v>
      </c>
      <c r="D11" s="9">
        <f>Raw!D12/Raw!$C12</f>
        <v>644.44444444444434</v>
      </c>
      <c r="E11" s="9">
        <f>Raw!E12/Raw!$C12</f>
        <v>120.72222222222219</v>
      </c>
      <c r="F11" s="9">
        <f>Raw!F12/Raw!$C12</f>
        <v>77.777777777777771</v>
      </c>
      <c r="G11" s="9">
        <f>Raw!G12/Raw!$C12</f>
        <v>137.38888888888886</v>
      </c>
      <c r="H11" s="9">
        <f>Raw!H12/Raw!$C12</f>
        <v>0</v>
      </c>
      <c r="I11" s="9">
        <f>Raw!I12/Raw!$C12</f>
        <v>0</v>
      </c>
      <c r="J11" s="9">
        <f>Raw!J12/Raw!$C12</f>
        <v>0</v>
      </c>
      <c r="K11" s="9">
        <f>Raw!K12/Raw!$C12</f>
        <v>0</v>
      </c>
      <c r="L11" s="9">
        <f>Raw!L12/Raw!$C12</f>
        <v>0</v>
      </c>
      <c r="M11" s="9">
        <f>Raw!M12/Raw!$C12</f>
        <v>0</v>
      </c>
      <c r="N11" s="9">
        <f>Raw!N12/Raw!$C12</f>
        <v>0</v>
      </c>
      <c r="O11" s="9">
        <f>Raw!O12/Raw!$C12</f>
        <v>0</v>
      </c>
      <c r="P11" s="9">
        <f>Raw!P12/Raw!$C12</f>
        <v>0</v>
      </c>
      <c r="Q11" s="9">
        <f>Raw!Q12/Raw!$C12</f>
        <v>0</v>
      </c>
      <c r="R11" s="9">
        <f>Raw!R12/Raw!$C12</f>
        <v>0</v>
      </c>
      <c r="S11" s="9">
        <f>Raw!S12/Raw!$C12</f>
        <v>0</v>
      </c>
      <c r="T11" s="9">
        <f>Raw!T12/Raw!$C12</f>
        <v>0</v>
      </c>
      <c r="U11" s="9">
        <f>Raw!U12/Raw!$C12</f>
        <v>0</v>
      </c>
      <c r="V11" s="9">
        <f>Raw!V12/Raw!$C12</f>
        <v>0</v>
      </c>
      <c r="W11" s="9">
        <f>Raw!W12/Raw!$C12</f>
        <v>0</v>
      </c>
      <c r="X11" s="9">
        <f>Raw!X12/Raw!$C12</f>
        <v>5.5555555555555545</v>
      </c>
      <c r="Y11" s="9">
        <f>Raw!Y12/Raw!$C12</f>
        <v>1.8333333333333335</v>
      </c>
      <c r="Z11" s="9">
        <f>Raw!Z12/Raw!$C12</f>
        <v>0</v>
      </c>
      <c r="AA11" s="9">
        <f>Raw!AA12/Raw!$C12</f>
        <v>0</v>
      </c>
      <c r="AB11" s="9">
        <f>Raw!AB12/Raw!$C12</f>
        <v>0</v>
      </c>
      <c r="AC11" s="9">
        <f>Raw!AC12/Raw!$C12</f>
        <v>0</v>
      </c>
      <c r="AD11" s="9">
        <f>Raw!AD12/Raw!$C12</f>
        <v>0</v>
      </c>
      <c r="AE11" s="9">
        <f>Raw!AE12/Raw!$C12</f>
        <v>0</v>
      </c>
      <c r="AF11" s="9">
        <f>Raw!AF12/Raw!$C12</f>
        <v>0</v>
      </c>
      <c r="AG11" s="9">
        <f>Raw!AG12/Raw!$C12</f>
        <v>0</v>
      </c>
      <c r="AH11" s="9">
        <f>Raw!AH12/Raw!$C12</f>
        <v>5.5555555555555545</v>
      </c>
      <c r="AI11" s="9">
        <f>Raw!AI12/Raw!$C12</f>
        <v>117.94444444444441</v>
      </c>
      <c r="AJ11" s="9">
        <f>Raw!AJ12/Raw!$C12</f>
        <v>0</v>
      </c>
      <c r="AK11" s="9">
        <f>Raw!AK12/Raw!$C12</f>
        <v>0</v>
      </c>
      <c r="AL11" s="9">
        <f>Raw!AL12/Raw!$C12</f>
        <v>0</v>
      </c>
      <c r="AM11" s="9">
        <f>Raw!AM12/Raw!$C12</f>
        <v>0</v>
      </c>
      <c r="AN11" s="9">
        <f>Raw!AN12/Raw!$C12</f>
        <v>0</v>
      </c>
      <c r="AO11" s="9">
        <f>Raw!AO12/Raw!$C12</f>
        <v>0</v>
      </c>
      <c r="AP11" s="9">
        <f>Raw!AP12/Raw!$C12</f>
        <v>0</v>
      </c>
      <c r="AQ11" s="9">
        <f>Raw!AQ12/Raw!$C12</f>
        <v>0</v>
      </c>
      <c r="AR11" s="9">
        <f>Raw!AR12/Raw!$C12</f>
        <v>0</v>
      </c>
      <c r="AS11" s="9">
        <f>Raw!AS12/Raw!$C12</f>
        <v>0</v>
      </c>
      <c r="AT11" s="9">
        <f>Raw!AT12/Raw!$C12</f>
        <v>0</v>
      </c>
      <c r="AU11" s="9">
        <f>Raw!AU12/Raw!$C12</f>
        <v>0</v>
      </c>
      <c r="AV11" s="9">
        <f>Raw!AV12/Raw!$C12</f>
        <v>0</v>
      </c>
      <c r="AW11" s="9">
        <f>Raw!AW12/Raw!$C12</f>
        <v>0</v>
      </c>
      <c r="AX11" s="9">
        <f>Raw!AX12/Raw!$C12</f>
        <v>0</v>
      </c>
      <c r="AY11" s="9">
        <f>Raw!AY12/Raw!$C12</f>
        <v>0</v>
      </c>
      <c r="AZ11" s="9">
        <f>Raw!AZ12/Raw!$C12</f>
        <v>0</v>
      </c>
      <c r="BA11" s="9">
        <f>Raw!BA12/Raw!$C12</f>
        <v>0</v>
      </c>
      <c r="BB11" s="9">
        <f>Raw!BB12/Raw!$C12</f>
        <v>0</v>
      </c>
      <c r="BC11" s="9">
        <f>Raw!BC12/Raw!$C12</f>
        <v>0</v>
      </c>
      <c r="BD11" s="9">
        <f>Raw!BD12/Raw!$C12</f>
        <v>0</v>
      </c>
      <c r="BE11" s="9">
        <f>Raw!BE12/Raw!$C12</f>
        <v>0</v>
      </c>
      <c r="BF11" s="9">
        <f>Raw!BF12/Raw!$C12</f>
        <v>0</v>
      </c>
      <c r="BG11" s="9">
        <f>Raw!BG12/Raw!$C12</f>
        <v>0</v>
      </c>
      <c r="BH11" s="9">
        <f>Raw!BH12/Raw!$C12</f>
        <v>0</v>
      </c>
      <c r="BI11" s="9">
        <f>Raw!BI12/Raw!$C12</f>
        <v>0</v>
      </c>
      <c r="BJ11" s="9">
        <f>Raw!BJ12/Raw!$C12</f>
        <v>0</v>
      </c>
      <c r="BK11" s="9">
        <f>Raw!BK12/Raw!$C12</f>
        <v>0</v>
      </c>
      <c r="BL11" s="9">
        <f>Raw!BL12/Raw!$C12</f>
        <v>0</v>
      </c>
      <c r="BM11" s="9">
        <f>Raw!BM12/Raw!$C12</f>
        <v>0</v>
      </c>
      <c r="BN11" s="9">
        <f>Raw!BN12/Raw!$C12</f>
        <v>0</v>
      </c>
      <c r="BO11" s="9">
        <f>Raw!BO12/Raw!$C12</f>
        <v>0</v>
      </c>
      <c r="BP11" s="9">
        <f>Raw!BP12/Raw!$C12</f>
        <v>0</v>
      </c>
      <c r="BQ11" s="9">
        <f>Raw!BQ12/Raw!$C12</f>
        <v>0</v>
      </c>
      <c r="BR11" s="9">
        <f>Raw!BR12/Raw!$C12</f>
        <v>0</v>
      </c>
      <c r="BS11" s="9">
        <f>Raw!BS12/Raw!$C12</f>
        <v>0</v>
      </c>
      <c r="BT11" s="9">
        <f>Raw!BT12/Raw!$C12</f>
        <v>0</v>
      </c>
      <c r="BU11" s="9">
        <f>Raw!BU12/Raw!$C12</f>
        <v>0</v>
      </c>
      <c r="BV11" s="9">
        <f>Raw!BV12/Raw!$C12</f>
        <v>0</v>
      </c>
      <c r="BW11" s="9">
        <f>Raw!BW12/Raw!$C12</f>
        <v>0</v>
      </c>
      <c r="BX11" s="9">
        <f>Raw!BX12/Raw!$C12</f>
        <v>0</v>
      </c>
      <c r="BY11" s="9">
        <f>Raw!BY12/Raw!$C12</f>
        <v>0</v>
      </c>
      <c r="BZ11" s="9">
        <f>Raw!BZ12/Raw!$C12</f>
        <v>0</v>
      </c>
      <c r="CA11" s="9">
        <f>Raw!CA12/Raw!$C12</f>
        <v>0</v>
      </c>
      <c r="CB11" s="9">
        <f>Raw!CB12/Raw!$C12</f>
        <v>0</v>
      </c>
      <c r="CC11" s="9">
        <f>Raw!CC12/Raw!$C12</f>
        <v>0</v>
      </c>
      <c r="CD11" s="9">
        <f>Raw!CD12/Raw!$C12</f>
        <v>0</v>
      </c>
      <c r="CE11" s="9">
        <f>Raw!CE12/Raw!$C12</f>
        <v>0</v>
      </c>
      <c r="CF11" s="9">
        <f>Raw!CF12/Raw!$C12</f>
        <v>0</v>
      </c>
      <c r="CG11" s="9">
        <f>Raw!CG12/Raw!$C12</f>
        <v>0</v>
      </c>
      <c r="CH11" s="9">
        <f>Raw!CH12/Raw!$C12</f>
        <v>0</v>
      </c>
      <c r="CI11" s="9">
        <f>Raw!CI12/Raw!$C12</f>
        <v>0</v>
      </c>
      <c r="CJ11" s="9">
        <f>Raw!CJ12/Raw!$C12</f>
        <v>0</v>
      </c>
      <c r="CK11" s="9">
        <f>Raw!CK12/Raw!$C12</f>
        <v>0</v>
      </c>
      <c r="CL11" s="9">
        <f>Raw!CL12/Raw!$C12</f>
        <v>0</v>
      </c>
      <c r="CM11" s="9">
        <f>Raw!CM12/Raw!$C12</f>
        <v>0</v>
      </c>
      <c r="CN11" s="9">
        <f>Raw!CN12/Raw!$C12</f>
        <v>0</v>
      </c>
      <c r="CO11" s="9">
        <f>Raw!CO12/Raw!$C12</f>
        <v>0</v>
      </c>
      <c r="CP11" s="9">
        <f>Raw!CP12/Raw!$C12</f>
        <v>0</v>
      </c>
      <c r="CQ11" s="9">
        <f>Raw!CQ12/Raw!$C12</f>
        <v>0</v>
      </c>
      <c r="CR11" s="2">
        <f t="shared" si="8"/>
        <v>733.33333333333326</v>
      </c>
      <c r="CS11" s="2">
        <f t="shared" si="9"/>
        <v>377.88888888888874</v>
      </c>
      <c r="CT11" s="3">
        <f t="shared" si="10"/>
        <v>2.8653014261025436</v>
      </c>
      <c r="CU11" s="3">
        <f t="shared" si="11"/>
        <v>2.577364122493397</v>
      </c>
      <c r="CV11" s="3">
        <f>Raw!CR12/Raw!$C12</f>
        <v>4505.5555555555547</v>
      </c>
      <c r="CW11" s="3">
        <f>Raw!CS12/Raw!$C12</f>
        <v>1896.8333333333333</v>
      </c>
      <c r="CX11" s="3">
        <f t="shared" si="12"/>
        <v>3.65374834910785</v>
      </c>
      <c r="CY11" s="3">
        <f t="shared" si="13"/>
        <v>3.2780291729584965</v>
      </c>
      <c r="CZ11" s="3">
        <f t="shared" si="14"/>
        <v>3.7192391876340221</v>
      </c>
      <c r="DA11" s="3">
        <f t="shared" si="15"/>
        <v>3.3569283703462731</v>
      </c>
      <c r="DB11" s="6">
        <f t="shared" si="16"/>
        <v>0.79519453559364683</v>
      </c>
      <c r="DC11" s="3">
        <v>4</v>
      </c>
      <c r="DD11" s="3">
        <f>DC11/Raw!C12</f>
        <v>22.222222222222218</v>
      </c>
      <c r="DE11" s="5">
        <f t="shared" si="17"/>
        <v>5.454545454545455E-3</v>
      </c>
      <c r="DF11">
        <f t="shared" si="18"/>
        <v>-2.2632414347745815</v>
      </c>
      <c r="DH11" s="4">
        <f>-SUM('Shannon-Weiner'!B10:Z10)</f>
        <v>0.42550446210946236</v>
      </c>
      <c r="DI11" s="4">
        <f>SUM('p^2'!B10:Z10)</f>
        <v>0.78363177226813574</v>
      </c>
      <c r="DJ11" s="4">
        <f t="shared" si="19"/>
        <v>0.21636822773186426</v>
      </c>
      <c r="DK11">
        <f t="shared" si="20"/>
        <v>1.2761095649626486</v>
      </c>
      <c r="DL11" s="4">
        <f>SUM('Shannon-Weiner_B'!B10:Z10)</f>
        <v>-1.1216705503360191</v>
      </c>
      <c r="DM11" s="4">
        <f>SUM('p_B^2'!B10:Z10)</f>
        <v>0.33167934677876804</v>
      </c>
      <c r="DN11" s="4">
        <f t="shared" si="21"/>
        <v>0.66832065322123202</v>
      </c>
      <c r="DO11">
        <f t="shared" si="22"/>
        <v>3.0149601104557333</v>
      </c>
    </row>
    <row r="12" spans="1:119" x14ac:dyDescent="0.25">
      <c r="A12" s="1"/>
      <c r="B12" t="str">
        <f>Raw!B13</f>
        <v>FA10</v>
      </c>
      <c r="C12">
        <v>1</v>
      </c>
      <c r="D12" s="9">
        <f>Raw!D13/Raw!$C13</f>
        <v>631.24999999999989</v>
      </c>
      <c r="E12" s="9">
        <f>Raw!E13/Raw!$C13</f>
        <v>108.74999999999997</v>
      </c>
      <c r="F12" s="9">
        <f>Raw!F13/Raw!$C13</f>
        <v>56.249999999999986</v>
      </c>
      <c r="G12" s="9">
        <f>Raw!G13/Raw!$C13</f>
        <v>247.8125</v>
      </c>
      <c r="H12" s="9">
        <f>Raw!H13/Raw!$C13</f>
        <v>0</v>
      </c>
      <c r="I12" s="9">
        <f>Raw!I13/Raw!$C13</f>
        <v>0</v>
      </c>
      <c r="J12" s="9">
        <f>Raw!J13/Raw!$C13</f>
        <v>0</v>
      </c>
      <c r="K12" s="9">
        <f>Raw!K13/Raw!$C13</f>
        <v>0</v>
      </c>
      <c r="L12" s="9">
        <f>Raw!L13/Raw!$C13</f>
        <v>0</v>
      </c>
      <c r="M12" s="9">
        <f>Raw!M13/Raw!$C13</f>
        <v>0</v>
      </c>
      <c r="N12" s="9">
        <f>Raw!N13/Raw!$C13</f>
        <v>0</v>
      </c>
      <c r="O12" s="9">
        <f>Raw!O13/Raw!$C13</f>
        <v>0</v>
      </c>
      <c r="P12" s="9">
        <f>Raw!P13/Raw!$C13</f>
        <v>0</v>
      </c>
      <c r="Q12" s="9">
        <f>Raw!Q13/Raw!$C13</f>
        <v>0</v>
      </c>
      <c r="R12" s="9">
        <f>Raw!R13/Raw!$C13</f>
        <v>0</v>
      </c>
      <c r="S12" s="9">
        <f>Raw!S13/Raw!$C13</f>
        <v>0</v>
      </c>
      <c r="T12" s="9">
        <f>Raw!T13/Raw!$C13</f>
        <v>0</v>
      </c>
      <c r="U12" s="9">
        <f>Raw!U13/Raw!$C13</f>
        <v>0</v>
      </c>
      <c r="V12" s="9">
        <f>Raw!V13/Raw!$C13</f>
        <v>0</v>
      </c>
      <c r="W12" s="9">
        <f>Raw!W13/Raw!$C13</f>
        <v>0</v>
      </c>
      <c r="X12" s="9">
        <f>Raw!X13/Raw!$C13</f>
        <v>0</v>
      </c>
      <c r="Y12" s="9">
        <f>Raw!Y13/Raw!$C13</f>
        <v>0</v>
      </c>
      <c r="Z12" s="9">
        <f>Raw!Z13/Raw!$C13</f>
        <v>0</v>
      </c>
      <c r="AA12" s="9">
        <f>Raw!AA13/Raw!$C13</f>
        <v>0</v>
      </c>
      <c r="AB12" s="9">
        <f>Raw!AB13/Raw!$C13</f>
        <v>0</v>
      </c>
      <c r="AC12" s="9">
        <f>Raw!AC13/Raw!$C13</f>
        <v>0</v>
      </c>
      <c r="AD12" s="9">
        <f>Raw!AD13/Raw!$C13</f>
        <v>0</v>
      </c>
      <c r="AE12" s="9">
        <f>Raw!AE13/Raw!$C13</f>
        <v>0</v>
      </c>
      <c r="AF12" s="9">
        <f>Raw!AF13/Raw!$C13</f>
        <v>0</v>
      </c>
      <c r="AG12" s="9">
        <f>Raw!AG13/Raw!$C13</f>
        <v>0</v>
      </c>
      <c r="AH12" s="9">
        <f>Raw!AH13/Raw!$C13</f>
        <v>31.249999999999993</v>
      </c>
      <c r="AI12" s="9">
        <f>Raw!AI13/Raw!$C13</f>
        <v>104.43749999999999</v>
      </c>
      <c r="AJ12" s="9">
        <f>Raw!AJ13/Raw!$C13</f>
        <v>0</v>
      </c>
      <c r="AK12" s="9">
        <f>Raw!AK13/Raw!$C13</f>
        <v>0</v>
      </c>
      <c r="AL12" s="9">
        <f>Raw!AL13/Raw!$C13</f>
        <v>0</v>
      </c>
      <c r="AM12" s="9">
        <f>Raw!AM13/Raw!$C13</f>
        <v>0</v>
      </c>
      <c r="AN12" s="9">
        <f>Raw!AN13/Raw!$C13</f>
        <v>0</v>
      </c>
      <c r="AO12" s="9">
        <f>Raw!AO13/Raw!$C13</f>
        <v>0</v>
      </c>
      <c r="AP12" s="9">
        <f>Raw!AP13/Raw!$C13</f>
        <v>0</v>
      </c>
      <c r="AQ12" s="9">
        <f>Raw!AQ13/Raw!$C13</f>
        <v>0</v>
      </c>
      <c r="AR12" s="9">
        <f>Raw!AR13/Raw!$C13</f>
        <v>0</v>
      </c>
      <c r="AS12" s="9">
        <f>Raw!AS13/Raw!$C13</f>
        <v>0</v>
      </c>
      <c r="AT12" s="9">
        <f>Raw!AT13/Raw!$C13</f>
        <v>0</v>
      </c>
      <c r="AU12" s="9">
        <f>Raw!AU13/Raw!$C13</f>
        <v>0</v>
      </c>
      <c r="AV12" s="9">
        <f>Raw!AV13/Raw!$C13</f>
        <v>0</v>
      </c>
      <c r="AW12" s="9">
        <f>Raw!AW13/Raw!$C13</f>
        <v>0</v>
      </c>
      <c r="AX12" s="9">
        <f>Raw!AX13/Raw!$C13</f>
        <v>0</v>
      </c>
      <c r="AY12" s="9">
        <f>Raw!AY13/Raw!$C13</f>
        <v>0</v>
      </c>
      <c r="AZ12" s="9">
        <f>Raw!AZ13/Raw!$C13</f>
        <v>0</v>
      </c>
      <c r="BA12" s="9">
        <f>Raw!BA13/Raw!$C13</f>
        <v>0</v>
      </c>
      <c r="BB12" s="9">
        <f>Raw!BB13/Raw!$C13</f>
        <v>0</v>
      </c>
      <c r="BC12" s="9">
        <f>Raw!BC13/Raw!$C13</f>
        <v>0</v>
      </c>
      <c r="BD12" s="9">
        <f>Raw!BD13/Raw!$C13</f>
        <v>0</v>
      </c>
      <c r="BE12" s="9">
        <f>Raw!BE13/Raw!$C13</f>
        <v>0</v>
      </c>
      <c r="BF12" s="9">
        <f>Raw!BF13/Raw!$C13</f>
        <v>0</v>
      </c>
      <c r="BG12" s="9">
        <f>Raw!BG13/Raw!$C13</f>
        <v>0</v>
      </c>
      <c r="BH12" s="9">
        <f>Raw!BH13/Raw!$C13</f>
        <v>0</v>
      </c>
      <c r="BI12" s="9">
        <f>Raw!BI13/Raw!$C13</f>
        <v>0</v>
      </c>
      <c r="BJ12" s="9">
        <f>Raw!BJ13/Raw!$C13</f>
        <v>0</v>
      </c>
      <c r="BK12" s="9">
        <f>Raw!BK13/Raw!$C13</f>
        <v>0</v>
      </c>
      <c r="BL12" s="9">
        <f>Raw!BL13/Raw!$C13</f>
        <v>0</v>
      </c>
      <c r="BM12" s="9">
        <f>Raw!BM13/Raw!$C13</f>
        <v>0</v>
      </c>
      <c r="BN12" s="9">
        <f>Raw!BN13/Raw!$C13</f>
        <v>0</v>
      </c>
      <c r="BO12" s="9">
        <f>Raw!BO13/Raw!$C13</f>
        <v>0</v>
      </c>
      <c r="BP12" s="9">
        <f>Raw!BP13/Raw!$C13</f>
        <v>0</v>
      </c>
      <c r="BQ12" s="9">
        <f>Raw!BQ13/Raw!$C13</f>
        <v>0</v>
      </c>
      <c r="BR12" s="9">
        <f>Raw!BR13/Raw!$C13</f>
        <v>0</v>
      </c>
      <c r="BS12" s="9">
        <f>Raw!BS13/Raw!$C13</f>
        <v>0</v>
      </c>
      <c r="BT12" s="9">
        <f>Raw!BT13/Raw!$C13</f>
        <v>0</v>
      </c>
      <c r="BU12" s="9">
        <f>Raw!BU13/Raw!$C13</f>
        <v>0</v>
      </c>
      <c r="BV12" s="9">
        <f>Raw!BV13/Raw!$C13</f>
        <v>0</v>
      </c>
      <c r="BW12" s="9">
        <f>Raw!BW13/Raw!$C13</f>
        <v>0</v>
      </c>
      <c r="BX12" s="9">
        <f>Raw!BX13/Raw!$C13</f>
        <v>0</v>
      </c>
      <c r="BY12" s="9">
        <f>Raw!BY13/Raw!$C13</f>
        <v>0</v>
      </c>
      <c r="BZ12" s="9">
        <f>Raw!BZ13/Raw!$C13</f>
        <v>0</v>
      </c>
      <c r="CA12" s="9">
        <f>Raw!CA13/Raw!$C13</f>
        <v>0</v>
      </c>
      <c r="CB12" s="9">
        <f>Raw!CB13/Raw!$C13</f>
        <v>0</v>
      </c>
      <c r="CC12" s="9">
        <f>Raw!CC13/Raw!$C13</f>
        <v>0</v>
      </c>
      <c r="CD12" s="9">
        <f>Raw!CD13/Raw!$C13</f>
        <v>0</v>
      </c>
      <c r="CE12" s="9">
        <f>Raw!CE13/Raw!$C13</f>
        <v>0</v>
      </c>
      <c r="CF12" s="9">
        <f>Raw!CF13/Raw!$C13</f>
        <v>0</v>
      </c>
      <c r="CG12" s="9">
        <f>Raw!CG13/Raw!$C13</f>
        <v>0</v>
      </c>
      <c r="CH12" s="9">
        <f>Raw!CH13/Raw!$C13</f>
        <v>0</v>
      </c>
      <c r="CI12" s="9">
        <f>Raw!CI13/Raw!$C13</f>
        <v>0</v>
      </c>
      <c r="CJ12" s="9">
        <f>Raw!CJ13/Raw!$C13</f>
        <v>0</v>
      </c>
      <c r="CK12" s="9">
        <f>Raw!CK13/Raw!$C13</f>
        <v>0</v>
      </c>
      <c r="CL12" s="9">
        <f>Raw!CL13/Raw!$C13</f>
        <v>0</v>
      </c>
      <c r="CM12" s="9">
        <f>Raw!CM13/Raw!$C13</f>
        <v>0</v>
      </c>
      <c r="CN12" s="9">
        <f>Raw!CN13/Raw!$C13</f>
        <v>0</v>
      </c>
      <c r="CO12" s="9">
        <f>Raw!CO13/Raw!$C13</f>
        <v>0</v>
      </c>
      <c r="CP12" s="9">
        <f>Raw!CP13/Raw!$C13</f>
        <v>0</v>
      </c>
      <c r="CQ12" s="9">
        <f>Raw!CQ13/Raw!$C13</f>
        <v>0</v>
      </c>
      <c r="CR12" s="2">
        <f t="shared" si="8"/>
        <v>718.74999999999989</v>
      </c>
      <c r="CS12" s="2">
        <f t="shared" si="9"/>
        <v>461</v>
      </c>
      <c r="CT12" s="3">
        <f t="shared" si="10"/>
        <v>2.8565778576976868</v>
      </c>
      <c r="CU12" s="3">
        <f t="shared" si="11"/>
        <v>2.663700925389648</v>
      </c>
      <c r="CV12" s="3">
        <f>Raw!CR13/Raw!$C13</f>
        <v>5068.7499999999991</v>
      </c>
      <c r="CW12" s="3">
        <f>Raw!CS13/Raw!$C13</f>
        <v>2133.9374999999995</v>
      </c>
      <c r="CX12" s="3">
        <f t="shared" si="12"/>
        <v>3.704900871555231</v>
      </c>
      <c r="CY12" s="3">
        <f t="shared" si="13"/>
        <v>3.3291816954058779</v>
      </c>
      <c r="CZ12" s="3">
        <f t="shared" si="14"/>
        <v>3.7624910040260096</v>
      </c>
      <c r="DA12" s="3">
        <f t="shared" si="15"/>
        <v>3.4141269021721468</v>
      </c>
      <c r="DB12" s="6">
        <f t="shared" si="16"/>
        <v>0.74592867903951032</v>
      </c>
      <c r="DC12" s="3">
        <v>3</v>
      </c>
      <c r="DD12" s="3">
        <f>DC12/Raw!C13</f>
        <v>18.749999999999996</v>
      </c>
      <c r="DE12" s="5">
        <f t="shared" si="17"/>
        <v>4.1739130434782614E-3</v>
      </c>
      <c r="DF12">
        <f t="shared" si="18"/>
        <v>-2.3794566029780242</v>
      </c>
      <c r="DH12" s="4">
        <f>-SUM('Shannon-Weiner'!B11:Z11)</f>
        <v>0.44972010263139206</v>
      </c>
      <c r="DI12" s="4">
        <f>SUM('p^2'!B11:Z11)</f>
        <v>0.77935727788279763</v>
      </c>
      <c r="DJ12" s="4">
        <f t="shared" si="19"/>
        <v>0.22064272211720237</v>
      </c>
      <c r="DK12">
        <f t="shared" si="20"/>
        <v>1.2831085669933058</v>
      </c>
      <c r="DL12" s="4">
        <f>SUM('Shannon-Weiner_B'!B11:Z11)</f>
        <v>-1.0107722411977633</v>
      </c>
      <c r="DM12" s="4">
        <f>SUM('p_B^2'!B11:Z11)</f>
        <v>0.3959363501136357</v>
      </c>
      <c r="DN12" s="4">
        <f t="shared" si="21"/>
        <v>0.6040636498863643</v>
      </c>
      <c r="DO12">
        <f t="shared" si="22"/>
        <v>2.525658479482864</v>
      </c>
    </row>
    <row r="13" spans="1:119" x14ac:dyDescent="0.25">
      <c r="A13" s="1"/>
      <c r="B13" t="str">
        <f>Raw!B14</f>
        <v>FA11</v>
      </c>
      <c r="C13">
        <v>1</v>
      </c>
      <c r="D13" s="9">
        <f>Raw!D14/Raw!$C14</f>
        <v>806.24999999999989</v>
      </c>
      <c r="E13" s="9">
        <f>Raw!E14/Raw!$C14</f>
        <v>97.499999999999986</v>
      </c>
      <c r="F13" s="9">
        <f>Raw!F14/Raw!$C14</f>
        <v>181.24999999999997</v>
      </c>
      <c r="G13" s="9">
        <f>Raw!G14/Raw!$C14</f>
        <v>111.99999999999999</v>
      </c>
      <c r="H13" s="9">
        <f>Raw!H14/Raw!$C14</f>
        <v>0</v>
      </c>
      <c r="I13" s="9">
        <f>Raw!I14/Raw!$C14</f>
        <v>0</v>
      </c>
      <c r="J13" s="9">
        <f>Raw!J14/Raw!$C14</f>
        <v>0</v>
      </c>
      <c r="K13" s="9">
        <f>Raw!K14/Raw!$C14</f>
        <v>0</v>
      </c>
      <c r="L13" s="9">
        <f>Raw!L14/Raw!$C14</f>
        <v>0</v>
      </c>
      <c r="M13" s="9">
        <f>Raw!M14/Raw!$C14</f>
        <v>0</v>
      </c>
      <c r="N13" s="9">
        <f>Raw!N14/Raw!$C14</f>
        <v>0</v>
      </c>
      <c r="O13" s="9">
        <f>Raw!O14/Raw!$C14</f>
        <v>0</v>
      </c>
      <c r="P13" s="9">
        <f>Raw!P14/Raw!$C14</f>
        <v>0</v>
      </c>
      <c r="Q13" s="9">
        <f>Raw!Q14/Raw!$C14</f>
        <v>0</v>
      </c>
      <c r="R13" s="9">
        <f>Raw!R14/Raw!$C14</f>
        <v>0</v>
      </c>
      <c r="S13" s="9">
        <f>Raw!S14/Raw!$C14</f>
        <v>0</v>
      </c>
      <c r="T13" s="9">
        <f>Raw!T14/Raw!$C14</f>
        <v>0</v>
      </c>
      <c r="U13" s="9">
        <f>Raw!U14/Raw!$C14</f>
        <v>0</v>
      </c>
      <c r="V13" s="9">
        <f>Raw!V14/Raw!$C14</f>
        <v>0</v>
      </c>
      <c r="W13" s="9">
        <f>Raw!W14/Raw!$C14</f>
        <v>0</v>
      </c>
      <c r="X13" s="9">
        <f>Raw!X14/Raw!$C14</f>
        <v>0</v>
      </c>
      <c r="Y13" s="9">
        <f>Raw!Y14/Raw!$C14</f>
        <v>0</v>
      </c>
      <c r="Z13" s="9">
        <f>Raw!Z14/Raw!$C14</f>
        <v>0</v>
      </c>
      <c r="AA13" s="9">
        <f>Raw!AA14/Raw!$C14</f>
        <v>0</v>
      </c>
      <c r="AB13" s="9">
        <f>Raw!AB14/Raw!$C14</f>
        <v>0</v>
      </c>
      <c r="AC13" s="9">
        <f>Raw!AC14/Raw!$C14</f>
        <v>0</v>
      </c>
      <c r="AD13" s="9">
        <f>Raw!AD14/Raw!$C14</f>
        <v>0</v>
      </c>
      <c r="AE13" s="9">
        <f>Raw!AE14/Raw!$C14</f>
        <v>0</v>
      </c>
      <c r="AF13" s="9">
        <f>Raw!AF14/Raw!$C14</f>
        <v>0</v>
      </c>
      <c r="AG13" s="9">
        <f>Raw!AG14/Raw!$C14</f>
        <v>0</v>
      </c>
      <c r="AH13" s="9">
        <f>Raw!AH14/Raw!$C14</f>
        <v>0</v>
      </c>
      <c r="AI13" s="9">
        <f>Raw!AI14/Raw!$C14</f>
        <v>0</v>
      </c>
      <c r="AJ13" s="9">
        <f>Raw!AJ14/Raw!$C14</f>
        <v>0</v>
      </c>
      <c r="AK13" s="9">
        <f>Raw!AK14/Raw!$C14</f>
        <v>0</v>
      </c>
      <c r="AL13" s="9">
        <f>Raw!AL14/Raw!$C14</f>
        <v>6.2499999999999991</v>
      </c>
      <c r="AM13" s="9">
        <f>Raw!AM14/Raw!$C14</f>
        <v>213.74999999999997</v>
      </c>
      <c r="AN13" s="9">
        <f>Raw!AN14/Raw!$C14</f>
        <v>0</v>
      </c>
      <c r="AO13" s="9">
        <f>Raw!AO14/Raw!$C14</f>
        <v>0</v>
      </c>
      <c r="AP13" s="9">
        <f>Raw!AP14/Raw!$C14</f>
        <v>0</v>
      </c>
      <c r="AQ13" s="9">
        <f>Raw!AQ14/Raw!$C14</f>
        <v>0</v>
      </c>
      <c r="AR13" s="9">
        <f>Raw!AR14/Raw!$C14</f>
        <v>0</v>
      </c>
      <c r="AS13" s="9">
        <f>Raw!AS14/Raw!$C14</f>
        <v>0</v>
      </c>
      <c r="AT13" s="9">
        <f>Raw!AT14/Raw!$C14</f>
        <v>0</v>
      </c>
      <c r="AU13" s="9">
        <f>Raw!AU14/Raw!$C14</f>
        <v>0</v>
      </c>
      <c r="AV13" s="9">
        <f>Raw!AV14/Raw!$C14</f>
        <v>0</v>
      </c>
      <c r="AW13" s="9">
        <f>Raw!AW14/Raw!$C14</f>
        <v>0</v>
      </c>
      <c r="AX13" s="9">
        <f>Raw!AX14/Raw!$C14</f>
        <v>0</v>
      </c>
      <c r="AY13" s="9">
        <f>Raw!AY14/Raw!$C14</f>
        <v>0</v>
      </c>
      <c r="AZ13" s="9">
        <f>Raw!AZ14/Raw!$C14</f>
        <v>0</v>
      </c>
      <c r="BA13" s="9">
        <f>Raw!BA14/Raw!$C14</f>
        <v>0</v>
      </c>
      <c r="BB13" s="9">
        <f>Raw!BB14/Raw!$C14</f>
        <v>0</v>
      </c>
      <c r="BC13" s="9">
        <f>Raw!BC14/Raw!$C14</f>
        <v>0</v>
      </c>
      <c r="BD13" s="9">
        <f>Raw!BD14/Raw!$C14</f>
        <v>0</v>
      </c>
      <c r="BE13" s="9">
        <f>Raw!BE14/Raw!$C14</f>
        <v>0</v>
      </c>
      <c r="BF13" s="9">
        <f>Raw!BF14/Raw!$C14</f>
        <v>0</v>
      </c>
      <c r="BG13" s="9">
        <f>Raw!BG14/Raw!$C14</f>
        <v>0</v>
      </c>
      <c r="BH13" s="9">
        <f>Raw!BH14/Raw!$C14</f>
        <v>0</v>
      </c>
      <c r="BI13" s="9">
        <f>Raw!BI14/Raw!$C14</f>
        <v>0</v>
      </c>
      <c r="BJ13" s="9">
        <f>Raw!BJ14/Raw!$C14</f>
        <v>0</v>
      </c>
      <c r="BK13" s="9">
        <f>Raw!BK14/Raw!$C14</f>
        <v>0</v>
      </c>
      <c r="BL13" s="9">
        <f>Raw!BL14/Raw!$C14</f>
        <v>0</v>
      </c>
      <c r="BM13" s="9">
        <f>Raw!BM14/Raw!$C14</f>
        <v>0</v>
      </c>
      <c r="BN13" s="9">
        <f>Raw!BN14/Raw!$C14</f>
        <v>0</v>
      </c>
      <c r="BO13" s="9">
        <f>Raw!BO14/Raw!$C14</f>
        <v>0</v>
      </c>
      <c r="BP13" s="9">
        <f>Raw!BP14/Raw!$C14</f>
        <v>0</v>
      </c>
      <c r="BQ13" s="9">
        <f>Raw!BQ14/Raw!$C14</f>
        <v>0</v>
      </c>
      <c r="BR13" s="9">
        <f>Raw!BR14/Raw!$C14</f>
        <v>0</v>
      </c>
      <c r="BS13" s="9">
        <f>Raw!BS14/Raw!$C14</f>
        <v>0</v>
      </c>
      <c r="BT13" s="9">
        <f>Raw!BT14/Raw!$C14</f>
        <v>0</v>
      </c>
      <c r="BU13" s="9">
        <f>Raw!BU14/Raw!$C14</f>
        <v>0</v>
      </c>
      <c r="BV13" s="9">
        <f>Raw!BV14/Raw!$C14</f>
        <v>0</v>
      </c>
      <c r="BW13" s="9">
        <f>Raw!BW14/Raw!$C14</f>
        <v>0</v>
      </c>
      <c r="BX13" s="9">
        <f>Raw!BX14/Raw!$C14</f>
        <v>0</v>
      </c>
      <c r="BY13" s="9">
        <f>Raw!BY14/Raw!$C14</f>
        <v>0</v>
      </c>
      <c r="BZ13" s="9">
        <f>Raw!BZ14/Raw!$C14</f>
        <v>0</v>
      </c>
      <c r="CA13" s="9">
        <f>Raw!CA14/Raw!$C14</f>
        <v>0</v>
      </c>
      <c r="CB13" s="9">
        <f>Raw!CB14/Raw!$C14</f>
        <v>0</v>
      </c>
      <c r="CC13" s="9">
        <f>Raw!CC14/Raw!$C14</f>
        <v>0</v>
      </c>
      <c r="CD13" s="9">
        <f>Raw!CD14/Raw!$C14</f>
        <v>0</v>
      </c>
      <c r="CE13" s="9">
        <f>Raw!CE14/Raw!$C14</f>
        <v>0</v>
      </c>
      <c r="CF13" s="9">
        <f>Raw!CF14/Raw!$C14</f>
        <v>0</v>
      </c>
      <c r="CG13" s="9">
        <f>Raw!CG14/Raw!$C14</f>
        <v>0</v>
      </c>
      <c r="CH13" s="9">
        <f>Raw!CH14/Raw!$C14</f>
        <v>0</v>
      </c>
      <c r="CI13" s="9">
        <f>Raw!CI14/Raw!$C14</f>
        <v>0</v>
      </c>
      <c r="CJ13" s="9">
        <f>Raw!CJ14/Raw!$C14</f>
        <v>0</v>
      </c>
      <c r="CK13" s="9">
        <f>Raw!CK14/Raw!$C14</f>
        <v>0</v>
      </c>
      <c r="CL13" s="9">
        <f>Raw!CL14/Raw!$C14</f>
        <v>0</v>
      </c>
      <c r="CM13" s="9">
        <f>Raw!CM14/Raw!$C14</f>
        <v>0</v>
      </c>
      <c r="CN13" s="9">
        <f>Raw!CN14/Raw!$C14</f>
        <v>0</v>
      </c>
      <c r="CO13" s="9">
        <f>Raw!CO14/Raw!$C14</f>
        <v>0</v>
      </c>
      <c r="CP13" s="9">
        <f>Raw!CP14/Raw!$C14</f>
        <v>0</v>
      </c>
      <c r="CQ13" s="9">
        <f>Raw!CQ14/Raw!$C14</f>
        <v>0</v>
      </c>
      <c r="CR13" s="2">
        <f t="shared" si="8"/>
        <v>993.74999999999989</v>
      </c>
      <c r="CS13" s="2">
        <f t="shared" si="9"/>
        <v>423.24999999999994</v>
      </c>
      <c r="CT13" s="3">
        <f t="shared" si="10"/>
        <v>2.9972771416645267</v>
      </c>
      <c r="CU13" s="3">
        <f t="shared" si="11"/>
        <v>2.6265969667809728</v>
      </c>
      <c r="CV13" s="3">
        <f>Raw!CR14/Raw!$C14</f>
        <v>5068.7499999999991</v>
      </c>
      <c r="CW13" s="3">
        <f>Raw!CS14/Raw!$C14</f>
        <v>2133.9374999999995</v>
      </c>
      <c r="CX13" s="3">
        <f t="shared" si="12"/>
        <v>3.704900871555231</v>
      </c>
      <c r="CY13" s="3">
        <f t="shared" si="13"/>
        <v>3.3291816954058779</v>
      </c>
      <c r="CZ13" s="3">
        <f t="shared" si="14"/>
        <v>3.7826517516103202</v>
      </c>
      <c r="DA13" s="3">
        <f t="shared" si="15"/>
        <v>3.4077625728561909</v>
      </c>
      <c r="DB13" s="6">
        <f t="shared" si="16"/>
        <v>0.74042300070111911</v>
      </c>
      <c r="DC13" s="3">
        <v>3</v>
      </c>
      <c r="DD13" s="3">
        <f>DC13/Raw!C14</f>
        <v>18.749999999999996</v>
      </c>
      <c r="DE13" s="5">
        <f t="shared" si="17"/>
        <v>3.0188679245283022E-3</v>
      </c>
      <c r="DF13">
        <f t="shared" si="18"/>
        <v>-2.5201558869448641</v>
      </c>
      <c r="DH13" s="4">
        <f>-SUM('Shannon-Weiner'!B12:Z12)</f>
        <v>0.51187665987895192</v>
      </c>
      <c r="DI13" s="4">
        <f>SUM('p^2'!B12:Z12)</f>
        <v>0.6915470115897312</v>
      </c>
      <c r="DJ13" s="4">
        <f t="shared" si="19"/>
        <v>0.3084529884102688</v>
      </c>
      <c r="DK13">
        <f t="shared" si="20"/>
        <v>1.4460332894812107</v>
      </c>
      <c r="DL13" s="4">
        <f>SUM('Shannon-Weiner_B'!B12:Z12)</f>
        <v>-1.0350037776906762</v>
      </c>
      <c r="DM13" s="4">
        <f>SUM('p_B^2'!B12:Z12)</f>
        <v>0.37813497710771121</v>
      </c>
      <c r="DN13" s="4">
        <f t="shared" si="21"/>
        <v>0.62186502289228884</v>
      </c>
      <c r="DO13">
        <f t="shared" si="22"/>
        <v>2.6445583205468757</v>
      </c>
    </row>
    <row r="14" spans="1:119" x14ac:dyDescent="0.25">
      <c r="A14" s="1"/>
      <c r="B14" t="str">
        <f>Raw!B15</f>
        <v>FA12</v>
      </c>
      <c r="C14">
        <v>1</v>
      </c>
      <c r="D14" s="9">
        <f>Raw!D15/Raw!$C15</f>
        <v>624.99999999999989</v>
      </c>
      <c r="E14" s="9">
        <f>Raw!E15/Raw!$C15</f>
        <v>70.124999999999986</v>
      </c>
      <c r="F14" s="9">
        <f>Raw!F15/Raw!$C15</f>
        <v>37.499999999999993</v>
      </c>
      <c r="G14" s="9">
        <f>Raw!G15/Raw!$C15</f>
        <v>86.499999999999986</v>
      </c>
      <c r="H14" s="9">
        <f>Raw!H15/Raw!$C15</f>
        <v>0</v>
      </c>
      <c r="I14" s="9">
        <f>Raw!I15/Raw!$C15</f>
        <v>0</v>
      </c>
      <c r="J14" s="9">
        <f>Raw!J15/Raw!$C15</f>
        <v>0</v>
      </c>
      <c r="K14" s="9">
        <f>Raw!K15/Raw!$C15</f>
        <v>0</v>
      </c>
      <c r="L14" s="9">
        <f>Raw!L15/Raw!$C15</f>
        <v>0</v>
      </c>
      <c r="M14" s="9">
        <f>Raw!M15/Raw!$C15</f>
        <v>0</v>
      </c>
      <c r="N14" s="9">
        <f>Raw!N15/Raw!$C15</f>
        <v>0</v>
      </c>
      <c r="O14" s="9">
        <f>Raw!O15/Raw!$C15</f>
        <v>0</v>
      </c>
      <c r="P14" s="9">
        <f>Raw!P15/Raw!$C15</f>
        <v>0</v>
      </c>
      <c r="Q14" s="9">
        <f>Raw!Q15/Raw!$C15</f>
        <v>0</v>
      </c>
      <c r="R14" s="9">
        <f>Raw!R15/Raw!$C15</f>
        <v>0</v>
      </c>
      <c r="S14" s="9">
        <f>Raw!S15/Raw!$C15</f>
        <v>0</v>
      </c>
      <c r="T14" s="9">
        <f>Raw!T15/Raw!$C15</f>
        <v>0</v>
      </c>
      <c r="U14" s="9">
        <f>Raw!U15/Raw!$C15</f>
        <v>0</v>
      </c>
      <c r="V14" s="9">
        <f>Raw!V15/Raw!$C15</f>
        <v>0</v>
      </c>
      <c r="W14" s="9">
        <f>Raw!W15/Raw!$C15</f>
        <v>0</v>
      </c>
      <c r="X14" s="9">
        <f>Raw!X15/Raw!$C15</f>
        <v>0</v>
      </c>
      <c r="Y14" s="9">
        <f>Raw!Y15/Raw!$C15</f>
        <v>0</v>
      </c>
      <c r="Z14" s="9">
        <f>Raw!Z15/Raw!$C15</f>
        <v>0</v>
      </c>
      <c r="AA14" s="9">
        <f>Raw!AA15/Raw!$C15</f>
        <v>0</v>
      </c>
      <c r="AB14" s="9">
        <f>Raw!AB15/Raw!$C15</f>
        <v>0</v>
      </c>
      <c r="AC14" s="9">
        <f>Raw!AC15/Raw!$C15</f>
        <v>0</v>
      </c>
      <c r="AD14" s="9">
        <f>Raw!AD15/Raw!$C15</f>
        <v>0</v>
      </c>
      <c r="AE14" s="9">
        <f>Raw!AE15/Raw!$C15</f>
        <v>0</v>
      </c>
      <c r="AF14" s="9">
        <f>Raw!AF15/Raw!$C15</f>
        <v>0</v>
      </c>
      <c r="AG14" s="9">
        <f>Raw!AG15/Raw!$C15</f>
        <v>0</v>
      </c>
      <c r="AH14" s="9">
        <f>Raw!AH15/Raw!$C15</f>
        <v>0</v>
      </c>
      <c r="AI14" s="9">
        <f>Raw!AI15/Raw!$C15</f>
        <v>0</v>
      </c>
      <c r="AJ14" s="9">
        <f>Raw!AJ15/Raw!$C15</f>
        <v>0</v>
      </c>
      <c r="AK14" s="9">
        <f>Raw!AK15/Raw!$C15</f>
        <v>0</v>
      </c>
      <c r="AL14" s="9">
        <f>Raw!AL15/Raw!$C15</f>
        <v>6.2499999999999991</v>
      </c>
      <c r="AM14" s="9">
        <f>Raw!AM15/Raw!$C15</f>
        <v>28.624999999999996</v>
      </c>
      <c r="AN14" s="9">
        <f>Raw!AN15/Raw!$C15</f>
        <v>0</v>
      </c>
      <c r="AO14" s="9">
        <f>Raw!AO15/Raw!$C15</f>
        <v>0</v>
      </c>
      <c r="AP14" s="9">
        <f>Raw!AP15/Raw!$C15</f>
        <v>0</v>
      </c>
      <c r="AQ14" s="9">
        <f>Raw!AQ15/Raw!$C15</f>
        <v>0</v>
      </c>
      <c r="AR14" s="9">
        <f>Raw!AR15/Raw!$C15</f>
        <v>0</v>
      </c>
      <c r="AS14" s="9">
        <f>Raw!AS15/Raw!$C15</f>
        <v>0</v>
      </c>
      <c r="AT14" s="9">
        <f>Raw!AT15/Raw!$C15</f>
        <v>0</v>
      </c>
      <c r="AU14" s="9">
        <f>Raw!AU15/Raw!$C15</f>
        <v>0</v>
      </c>
      <c r="AV14" s="9">
        <f>Raw!AV15/Raw!$C15</f>
        <v>0</v>
      </c>
      <c r="AW14" s="9">
        <f>Raw!AW15/Raw!$C15</f>
        <v>0</v>
      </c>
      <c r="AX14" s="9">
        <f>Raw!AX15/Raw!$C15</f>
        <v>0</v>
      </c>
      <c r="AY14" s="9">
        <f>Raw!AY15/Raw!$C15</f>
        <v>0</v>
      </c>
      <c r="AZ14" s="9">
        <f>Raw!AZ15/Raw!$C15</f>
        <v>0</v>
      </c>
      <c r="BA14" s="9">
        <f>Raw!BA15/Raw!$C15</f>
        <v>0</v>
      </c>
      <c r="BB14" s="9">
        <f>Raw!BB15/Raw!$C15</f>
        <v>0</v>
      </c>
      <c r="BC14" s="9">
        <f>Raw!BC15/Raw!$C15</f>
        <v>0</v>
      </c>
      <c r="BD14" s="9">
        <f>Raw!BD15/Raw!$C15</f>
        <v>0</v>
      </c>
      <c r="BE14" s="9">
        <f>Raw!BE15/Raw!$C15</f>
        <v>0</v>
      </c>
      <c r="BF14" s="9">
        <f>Raw!BF15/Raw!$C15</f>
        <v>0</v>
      </c>
      <c r="BG14" s="9">
        <f>Raw!BG15/Raw!$C15</f>
        <v>0</v>
      </c>
      <c r="BH14" s="9">
        <f>Raw!BH15/Raw!$C15</f>
        <v>0</v>
      </c>
      <c r="BI14" s="9">
        <f>Raw!BI15/Raw!$C15</f>
        <v>0</v>
      </c>
      <c r="BJ14" s="9">
        <f>Raw!BJ15/Raw!$C15</f>
        <v>0</v>
      </c>
      <c r="BK14" s="9">
        <f>Raw!BK15/Raw!$C15</f>
        <v>0</v>
      </c>
      <c r="BL14" s="9">
        <f>Raw!BL15/Raw!$C15</f>
        <v>0</v>
      </c>
      <c r="BM14" s="9">
        <f>Raw!BM15/Raw!$C15</f>
        <v>0</v>
      </c>
      <c r="BN14" s="9">
        <f>Raw!BN15/Raw!$C15</f>
        <v>0</v>
      </c>
      <c r="BO14" s="9">
        <f>Raw!BO15/Raw!$C15</f>
        <v>0</v>
      </c>
      <c r="BP14" s="9">
        <f>Raw!BP15/Raw!$C15</f>
        <v>0</v>
      </c>
      <c r="BQ14" s="9">
        <f>Raw!BQ15/Raw!$C15</f>
        <v>0</v>
      </c>
      <c r="BR14" s="9">
        <f>Raw!BR15/Raw!$C15</f>
        <v>0</v>
      </c>
      <c r="BS14" s="9">
        <f>Raw!BS15/Raw!$C15</f>
        <v>0</v>
      </c>
      <c r="BT14" s="9">
        <f>Raw!BT15/Raw!$C15</f>
        <v>0</v>
      </c>
      <c r="BU14" s="9">
        <f>Raw!BU15/Raw!$C15</f>
        <v>0</v>
      </c>
      <c r="BV14" s="9">
        <f>Raw!BV15/Raw!$C15</f>
        <v>0</v>
      </c>
      <c r="BW14" s="9">
        <f>Raw!BW15/Raw!$C15</f>
        <v>0</v>
      </c>
      <c r="BX14" s="9">
        <f>Raw!BX15/Raw!$C15</f>
        <v>0</v>
      </c>
      <c r="BY14" s="9">
        <f>Raw!BY15/Raw!$C15</f>
        <v>0</v>
      </c>
      <c r="BZ14" s="9">
        <f>Raw!BZ15/Raw!$C15</f>
        <v>0</v>
      </c>
      <c r="CA14" s="9">
        <f>Raw!CA15/Raw!$C15</f>
        <v>0</v>
      </c>
      <c r="CB14" s="9">
        <f>Raw!CB15/Raw!$C15</f>
        <v>0</v>
      </c>
      <c r="CC14" s="9">
        <f>Raw!CC15/Raw!$C15</f>
        <v>0</v>
      </c>
      <c r="CD14" s="9">
        <f>Raw!CD15/Raw!$C15</f>
        <v>0</v>
      </c>
      <c r="CE14" s="9">
        <f>Raw!CE15/Raw!$C15</f>
        <v>0</v>
      </c>
      <c r="CF14" s="9">
        <f>Raw!CF15/Raw!$C15</f>
        <v>0</v>
      </c>
      <c r="CG14" s="9">
        <f>Raw!CG15/Raw!$C15</f>
        <v>0</v>
      </c>
      <c r="CH14" s="9">
        <f>Raw!CH15/Raw!$C15</f>
        <v>0</v>
      </c>
      <c r="CI14" s="9">
        <f>Raw!CI15/Raw!$C15</f>
        <v>0</v>
      </c>
      <c r="CJ14" s="9">
        <f>Raw!CJ15/Raw!$C15</f>
        <v>0</v>
      </c>
      <c r="CK14" s="9">
        <f>Raw!CK15/Raw!$C15</f>
        <v>0</v>
      </c>
      <c r="CL14" s="9">
        <f>Raw!CL15/Raw!$C15</f>
        <v>0</v>
      </c>
      <c r="CM14" s="9">
        <f>Raw!CM15/Raw!$C15</f>
        <v>0</v>
      </c>
      <c r="CN14" s="9">
        <f>Raw!CN15/Raw!$C15</f>
        <v>0</v>
      </c>
      <c r="CO14" s="9">
        <f>Raw!CO15/Raw!$C15</f>
        <v>0</v>
      </c>
      <c r="CP14" s="9">
        <f>Raw!CP15/Raw!$C15</f>
        <v>0</v>
      </c>
      <c r="CQ14" s="9">
        <f>Raw!CQ15/Raw!$C15</f>
        <v>0</v>
      </c>
      <c r="CR14" s="2">
        <f t="shared" si="8"/>
        <v>668.74999999999989</v>
      </c>
      <c r="CS14" s="2">
        <f t="shared" si="9"/>
        <v>185.24999999999997</v>
      </c>
      <c r="CT14" s="3">
        <f t="shared" si="10"/>
        <v>2.8252637950292847</v>
      </c>
      <c r="CU14" s="3">
        <f t="shared" si="11"/>
        <v>2.2677582166513659</v>
      </c>
      <c r="CV14" s="3">
        <f>Raw!CR15/Raw!$C15</f>
        <v>5068.7499999999991</v>
      </c>
      <c r="CW14" s="3">
        <f>Raw!CS15/Raw!$C15</f>
        <v>2133.9374999999995</v>
      </c>
      <c r="CX14" s="3">
        <f t="shared" si="12"/>
        <v>3.704900871555231</v>
      </c>
      <c r="CY14" s="3">
        <f t="shared" si="13"/>
        <v>3.3291816954058779</v>
      </c>
      <c r="CZ14" s="3">
        <f t="shared" si="14"/>
        <v>3.7587226985453177</v>
      </c>
      <c r="DA14" s="3">
        <f t="shared" si="15"/>
        <v>3.3653358615847586</v>
      </c>
      <c r="DB14" s="6">
        <f t="shared" si="16"/>
        <v>0.98575645203590601</v>
      </c>
      <c r="DC14" s="3">
        <v>3</v>
      </c>
      <c r="DD14" s="3">
        <f>DC14/Raw!C15</f>
        <v>18.749999999999996</v>
      </c>
      <c r="DE14" s="5">
        <f t="shared" si="17"/>
        <v>4.4859813084112158E-3</v>
      </c>
      <c r="DF14">
        <f t="shared" si="18"/>
        <v>-2.3481425403096226</v>
      </c>
      <c r="DH14" s="4">
        <f>-SUM('Shannon-Weiner'!B13:Z13)</f>
        <v>0.26845897077800462</v>
      </c>
      <c r="DI14" s="4">
        <f>SUM('p^2'!B13:Z13)</f>
        <v>0.87667045156782253</v>
      </c>
      <c r="DJ14" s="4">
        <f t="shared" si="19"/>
        <v>0.12332954843217747</v>
      </c>
      <c r="DK14">
        <f t="shared" si="20"/>
        <v>1.1406794859021621</v>
      </c>
      <c r="DL14" s="4">
        <f>SUM('Shannon-Weiner_B'!B13:Z13)</f>
        <v>-1.0118838057888386</v>
      </c>
      <c r="DM14" s="4">
        <f>SUM('p_B^2'!B13:Z13)</f>
        <v>0.38520090842698984</v>
      </c>
      <c r="DN14" s="4">
        <f t="shared" si="21"/>
        <v>0.61479909157301016</v>
      </c>
      <c r="DO14">
        <f t="shared" si="22"/>
        <v>2.5960478755972036</v>
      </c>
    </row>
    <row r="15" spans="1:119" x14ac:dyDescent="0.25">
      <c r="A15" s="1"/>
      <c r="B15" t="str">
        <f>Raw!B16</f>
        <v>FA13</v>
      </c>
      <c r="C15">
        <v>1</v>
      </c>
      <c r="D15" s="9">
        <f>Raw!D16/Raw!$C16</f>
        <v>681.24999999999989</v>
      </c>
      <c r="E15" s="9">
        <f>Raw!E16/Raw!$C16</f>
        <v>109.74999999999999</v>
      </c>
      <c r="F15" s="9">
        <f>Raw!F16/Raw!$C16</f>
        <v>56.249999999999986</v>
      </c>
      <c r="G15" s="9">
        <f>Raw!G16/Raw!$C16</f>
        <v>126.74999999999996</v>
      </c>
      <c r="H15" s="9">
        <f>Raw!H16/Raw!$C16</f>
        <v>0</v>
      </c>
      <c r="I15" s="9">
        <f>Raw!I16/Raw!$C16</f>
        <v>0</v>
      </c>
      <c r="J15" s="9">
        <f>Raw!J16/Raw!$C16</f>
        <v>0</v>
      </c>
      <c r="K15" s="9">
        <f>Raw!K16/Raw!$C16</f>
        <v>0</v>
      </c>
      <c r="L15" s="9">
        <f>Raw!L16/Raw!$C16</f>
        <v>0</v>
      </c>
      <c r="M15" s="9">
        <f>Raw!M16/Raw!$C16</f>
        <v>0</v>
      </c>
      <c r="N15" s="9">
        <f>Raw!N16/Raw!$C16</f>
        <v>0</v>
      </c>
      <c r="O15" s="9">
        <f>Raw!O16/Raw!$C16</f>
        <v>0</v>
      </c>
      <c r="P15" s="9">
        <f>Raw!P16/Raw!$C16</f>
        <v>0</v>
      </c>
      <c r="Q15" s="9">
        <f>Raw!Q16/Raw!$C16</f>
        <v>0</v>
      </c>
      <c r="R15" s="9">
        <f>Raw!R16/Raw!$C16</f>
        <v>0</v>
      </c>
      <c r="S15" s="9">
        <f>Raw!S16/Raw!$C16</f>
        <v>0</v>
      </c>
      <c r="T15" s="9">
        <f>Raw!T16/Raw!$C16</f>
        <v>0</v>
      </c>
      <c r="U15" s="9">
        <f>Raw!U16/Raw!$C16</f>
        <v>0</v>
      </c>
      <c r="V15" s="9">
        <f>Raw!V16/Raw!$C16</f>
        <v>0</v>
      </c>
      <c r="W15" s="9">
        <f>Raw!W16/Raw!$C16</f>
        <v>0</v>
      </c>
      <c r="X15" s="9">
        <f>Raw!X16/Raw!$C16</f>
        <v>0</v>
      </c>
      <c r="Y15" s="9">
        <f>Raw!Y16/Raw!$C16</f>
        <v>0</v>
      </c>
      <c r="Z15" s="9">
        <f>Raw!Z16/Raw!$C16</f>
        <v>0</v>
      </c>
      <c r="AA15" s="9">
        <f>Raw!AA16/Raw!$C16</f>
        <v>0</v>
      </c>
      <c r="AB15" s="9">
        <f>Raw!AB16/Raw!$C16</f>
        <v>0</v>
      </c>
      <c r="AC15" s="9">
        <f>Raw!AC16/Raw!$C16</f>
        <v>0</v>
      </c>
      <c r="AD15" s="9">
        <f>Raw!AD16/Raw!$C16</f>
        <v>0</v>
      </c>
      <c r="AE15" s="9">
        <f>Raw!AE16/Raw!$C16</f>
        <v>0</v>
      </c>
      <c r="AF15" s="9">
        <f>Raw!AF16/Raw!$C16</f>
        <v>0</v>
      </c>
      <c r="AG15" s="9">
        <f>Raw!AG16/Raw!$C16</f>
        <v>0</v>
      </c>
      <c r="AH15" s="9">
        <f>Raw!AH16/Raw!$C16</f>
        <v>0</v>
      </c>
      <c r="AI15" s="9">
        <f>Raw!AI16/Raw!$C16</f>
        <v>0</v>
      </c>
      <c r="AJ15" s="9">
        <f>Raw!AJ16/Raw!$C16</f>
        <v>0</v>
      </c>
      <c r="AK15" s="9">
        <f>Raw!AK16/Raw!$C16</f>
        <v>0</v>
      </c>
      <c r="AL15" s="9">
        <f>Raw!AL16/Raw!$C16</f>
        <v>0</v>
      </c>
      <c r="AM15" s="9">
        <f>Raw!AM16/Raw!$C16</f>
        <v>0</v>
      </c>
      <c r="AN15" s="9">
        <f>Raw!AN16/Raw!$C16</f>
        <v>0</v>
      </c>
      <c r="AO15" s="9">
        <f>Raw!AO16/Raw!$C16</f>
        <v>0</v>
      </c>
      <c r="AP15" s="9">
        <f>Raw!AP16/Raw!$C16</f>
        <v>0</v>
      </c>
      <c r="AQ15" s="9">
        <f>Raw!AQ16/Raw!$C16</f>
        <v>0</v>
      </c>
      <c r="AR15" s="9">
        <f>Raw!AR16/Raw!$C16</f>
        <v>0</v>
      </c>
      <c r="AS15" s="9">
        <f>Raw!AS16/Raw!$C16</f>
        <v>0</v>
      </c>
      <c r="AT15" s="9">
        <f>Raw!AT16/Raw!$C16</f>
        <v>0</v>
      </c>
      <c r="AU15" s="9">
        <f>Raw!AU16/Raw!$C16</f>
        <v>0</v>
      </c>
      <c r="AV15" s="9">
        <f>Raw!AV16/Raw!$C16</f>
        <v>0</v>
      </c>
      <c r="AW15" s="9">
        <f>Raw!AW16/Raw!$C16</f>
        <v>0</v>
      </c>
      <c r="AX15" s="9">
        <f>Raw!AX16/Raw!$C16</f>
        <v>0</v>
      </c>
      <c r="AY15" s="9">
        <f>Raw!AY16/Raw!$C16</f>
        <v>0</v>
      </c>
      <c r="AZ15" s="9">
        <f>Raw!AZ16/Raw!$C16</f>
        <v>0</v>
      </c>
      <c r="BA15" s="9">
        <f>Raw!BA16/Raw!$C16</f>
        <v>0</v>
      </c>
      <c r="BB15" s="9">
        <f>Raw!BB16/Raw!$C16</f>
        <v>0</v>
      </c>
      <c r="BC15" s="9">
        <f>Raw!BC16/Raw!$C16</f>
        <v>0</v>
      </c>
      <c r="BD15" s="9">
        <f>Raw!BD16/Raw!$C16</f>
        <v>0</v>
      </c>
      <c r="BE15" s="9">
        <f>Raw!BE16/Raw!$C16</f>
        <v>0</v>
      </c>
      <c r="BF15" s="9">
        <f>Raw!BF16/Raw!$C16</f>
        <v>0</v>
      </c>
      <c r="BG15" s="9">
        <f>Raw!BG16/Raw!$C16</f>
        <v>0</v>
      </c>
      <c r="BH15" s="9">
        <f>Raw!BH16/Raw!$C16</f>
        <v>0</v>
      </c>
      <c r="BI15" s="9">
        <f>Raw!BI16/Raw!$C16</f>
        <v>0</v>
      </c>
      <c r="BJ15" s="9">
        <f>Raw!BJ16/Raw!$C16</f>
        <v>0</v>
      </c>
      <c r="BK15" s="9">
        <f>Raw!BK16/Raw!$C16</f>
        <v>0</v>
      </c>
      <c r="BL15" s="9">
        <f>Raw!BL16/Raw!$C16</f>
        <v>0</v>
      </c>
      <c r="BM15" s="9">
        <f>Raw!BM16/Raw!$C16</f>
        <v>0</v>
      </c>
      <c r="BN15" s="9">
        <f>Raw!BN16/Raw!$C16</f>
        <v>0</v>
      </c>
      <c r="BO15" s="9">
        <f>Raw!BO16/Raw!$C16</f>
        <v>0</v>
      </c>
      <c r="BP15" s="9">
        <f>Raw!BP16/Raw!$C16</f>
        <v>0</v>
      </c>
      <c r="BQ15" s="9">
        <f>Raw!BQ16/Raw!$C16</f>
        <v>0</v>
      </c>
      <c r="BR15" s="9">
        <f>Raw!BR16/Raw!$C16</f>
        <v>0</v>
      </c>
      <c r="BS15" s="9">
        <f>Raw!BS16/Raw!$C16</f>
        <v>0</v>
      </c>
      <c r="BT15" s="9">
        <f>Raw!BT16/Raw!$C16</f>
        <v>0</v>
      </c>
      <c r="BU15" s="9">
        <f>Raw!BU16/Raw!$C16</f>
        <v>0</v>
      </c>
      <c r="BV15" s="9">
        <f>Raw!BV16/Raw!$C16</f>
        <v>0</v>
      </c>
      <c r="BW15" s="9">
        <f>Raw!BW16/Raw!$C16</f>
        <v>0</v>
      </c>
      <c r="BX15" s="9">
        <f>Raw!BX16/Raw!$C16</f>
        <v>0</v>
      </c>
      <c r="BY15" s="9">
        <f>Raw!BY16/Raw!$C16</f>
        <v>0</v>
      </c>
      <c r="BZ15" s="9">
        <f>Raw!BZ16/Raw!$C16</f>
        <v>0</v>
      </c>
      <c r="CA15" s="9">
        <f>Raw!CA16/Raw!$C16</f>
        <v>0</v>
      </c>
      <c r="CB15" s="9">
        <f>Raw!CB16/Raw!$C16</f>
        <v>0</v>
      </c>
      <c r="CC15" s="9">
        <f>Raw!CC16/Raw!$C16</f>
        <v>0</v>
      </c>
      <c r="CD15" s="9">
        <f>Raw!CD16/Raw!$C16</f>
        <v>0</v>
      </c>
      <c r="CE15" s="9">
        <f>Raw!CE16/Raw!$C16</f>
        <v>0</v>
      </c>
      <c r="CF15" s="9">
        <f>Raw!CF16/Raw!$C16</f>
        <v>0</v>
      </c>
      <c r="CG15" s="9">
        <f>Raw!CG16/Raw!$C16</f>
        <v>0</v>
      </c>
      <c r="CH15" s="9">
        <f>Raw!CH16/Raw!$C16</f>
        <v>0</v>
      </c>
      <c r="CI15" s="9">
        <f>Raw!CI16/Raw!$C16</f>
        <v>0</v>
      </c>
      <c r="CJ15" s="9">
        <f>Raw!CJ16/Raw!$C16</f>
        <v>0</v>
      </c>
      <c r="CK15" s="9">
        <f>Raw!CK16/Raw!$C16</f>
        <v>0</v>
      </c>
      <c r="CL15" s="9">
        <f>Raw!CL16/Raw!$C16</f>
        <v>0</v>
      </c>
      <c r="CM15" s="9">
        <f>Raw!CM16/Raw!$C16</f>
        <v>0</v>
      </c>
      <c r="CN15" s="9">
        <f>Raw!CN16/Raw!$C16</f>
        <v>0</v>
      </c>
      <c r="CO15" s="9">
        <f>Raw!CO16/Raw!$C16</f>
        <v>0</v>
      </c>
      <c r="CP15" s="9">
        <f>Raw!CP16/Raw!$C16</f>
        <v>0</v>
      </c>
      <c r="CQ15" s="9">
        <f>Raw!CQ16/Raw!$C16</f>
        <v>0</v>
      </c>
      <c r="CR15" s="2">
        <f t="shared" si="8"/>
        <v>737.49999999999989</v>
      </c>
      <c r="CS15" s="2">
        <f t="shared" si="9"/>
        <v>236.49999999999994</v>
      </c>
      <c r="CT15" s="3">
        <f t="shared" si="10"/>
        <v>2.8677620246502005</v>
      </c>
      <c r="CU15" s="3">
        <f t="shared" si="11"/>
        <v>2.3738311450738303</v>
      </c>
      <c r="CV15" s="3">
        <f>Raw!CR16/Raw!$C16</f>
        <v>5068.7499999999991</v>
      </c>
      <c r="CW15" s="3">
        <f>Raw!CS16/Raw!$C16</f>
        <v>2133.9374999999995</v>
      </c>
      <c r="CX15" s="3">
        <f t="shared" si="12"/>
        <v>3.704900871555231</v>
      </c>
      <c r="CY15" s="3">
        <f t="shared" si="13"/>
        <v>3.3291816954058779</v>
      </c>
      <c r="CZ15" s="3">
        <f t="shared" si="14"/>
        <v>3.7638957313377168</v>
      </c>
      <c r="DA15" s="3">
        <f t="shared" si="15"/>
        <v>3.3748285090061869</v>
      </c>
      <c r="DB15" s="6">
        <f t="shared" si="16"/>
        <v>0.91486214907479113</v>
      </c>
      <c r="DC15" s="3">
        <v>2</v>
      </c>
      <c r="DD15" s="3">
        <f>DC15/Raw!C16</f>
        <v>12.499999999999998</v>
      </c>
      <c r="DE15" s="5">
        <f t="shared" si="17"/>
        <v>2.7118644067796616E-3</v>
      </c>
      <c r="DF15">
        <f t="shared" si="18"/>
        <v>-2.5667320289862192</v>
      </c>
      <c r="DH15" s="4">
        <f>-SUM('Shannon-Weiner'!B14:Z14)</f>
        <v>0.26956648583004916</v>
      </c>
      <c r="DI15" s="4">
        <f>SUM('p^2'!B14:Z14)</f>
        <v>0.85909221488078136</v>
      </c>
      <c r="DJ15" s="4">
        <f t="shared" si="19"/>
        <v>0.14090778511921864</v>
      </c>
      <c r="DK15">
        <f t="shared" si="20"/>
        <v>1.1640193947500419</v>
      </c>
      <c r="DL15" s="4">
        <f>SUM('Shannon-Weiner_B'!B14:Z14)</f>
        <v>-0.69056146845914035</v>
      </c>
      <c r="DM15" s="4">
        <f>SUM('p_B^2'!B14:Z14)</f>
        <v>0.50258348269558262</v>
      </c>
      <c r="DN15" s="4">
        <f t="shared" si="21"/>
        <v>0.49741651730441738</v>
      </c>
      <c r="DO15">
        <f t="shared" si="22"/>
        <v>1.9897191898081241</v>
      </c>
    </row>
    <row r="16" spans="1:119" x14ac:dyDescent="0.25">
      <c r="A16" s="1"/>
      <c r="B16" t="str">
        <f>Raw!B17</f>
        <v>FA14</v>
      </c>
      <c r="C16">
        <v>1</v>
      </c>
      <c r="D16" s="9">
        <f>Raw!D17/Raw!$C17</f>
        <v>549.99999999999989</v>
      </c>
      <c r="E16" s="9">
        <f>Raw!E17/Raw!$C17</f>
        <v>84.875</v>
      </c>
      <c r="F16" s="9">
        <f>Raw!F17/Raw!$C17</f>
        <v>106.24999999999999</v>
      </c>
      <c r="G16" s="9">
        <f>Raw!G17/Raw!$C17</f>
        <v>215.49999999999997</v>
      </c>
      <c r="H16" s="9">
        <f>Raw!H17/Raw!$C17</f>
        <v>0</v>
      </c>
      <c r="I16" s="9">
        <f>Raw!I17/Raw!$C17</f>
        <v>0</v>
      </c>
      <c r="J16" s="9">
        <f>Raw!J17/Raw!$C17</f>
        <v>0</v>
      </c>
      <c r="K16" s="9">
        <f>Raw!K17/Raw!$C17</f>
        <v>0</v>
      </c>
      <c r="L16" s="9">
        <f>Raw!L17/Raw!$C17</f>
        <v>0</v>
      </c>
      <c r="M16" s="9">
        <f>Raw!M17/Raw!$C17</f>
        <v>0</v>
      </c>
      <c r="N16" s="9">
        <f>Raw!N17/Raw!$C17</f>
        <v>0</v>
      </c>
      <c r="O16" s="9">
        <f>Raw!O17/Raw!$C17</f>
        <v>0</v>
      </c>
      <c r="P16" s="9">
        <f>Raw!P17/Raw!$C17</f>
        <v>0</v>
      </c>
      <c r="Q16" s="9">
        <f>Raw!Q17/Raw!$C17</f>
        <v>0</v>
      </c>
      <c r="R16" s="9">
        <f>Raw!R17/Raw!$C17</f>
        <v>0</v>
      </c>
      <c r="S16" s="9">
        <f>Raw!S17/Raw!$C17</f>
        <v>0</v>
      </c>
      <c r="T16" s="9">
        <f>Raw!T17/Raw!$C17</f>
        <v>0</v>
      </c>
      <c r="U16" s="9">
        <f>Raw!U17/Raw!$C17</f>
        <v>0</v>
      </c>
      <c r="V16" s="9">
        <f>Raw!V17/Raw!$C17</f>
        <v>0</v>
      </c>
      <c r="W16" s="9">
        <f>Raw!W17/Raw!$C17</f>
        <v>0</v>
      </c>
      <c r="X16" s="9">
        <f>Raw!X17/Raw!$C17</f>
        <v>6.2499999999999991</v>
      </c>
      <c r="Y16" s="9">
        <f>Raw!Y17/Raw!$C17</f>
        <v>5.4375</v>
      </c>
      <c r="Z16" s="9">
        <f>Raw!Z17/Raw!$C17</f>
        <v>0</v>
      </c>
      <c r="AA16" s="9">
        <f>Raw!AA17/Raw!$C17</f>
        <v>0</v>
      </c>
      <c r="AB16" s="9">
        <f>Raw!AB17/Raw!$C17</f>
        <v>0</v>
      </c>
      <c r="AC16" s="9">
        <f>Raw!AC17/Raw!$C17</f>
        <v>0</v>
      </c>
      <c r="AD16" s="9">
        <f>Raw!AD17/Raw!$C17</f>
        <v>0</v>
      </c>
      <c r="AE16" s="9">
        <f>Raw!AE17/Raw!$C17</f>
        <v>0</v>
      </c>
      <c r="AF16" s="9">
        <f>Raw!AF17/Raw!$C17</f>
        <v>0</v>
      </c>
      <c r="AG16" s="9">
        <f>Raw!AG17/Raw!$C17</f>
        <v>0</v>
      </c>
      <c r="AH16" s="9">
        <f>Raw!AH17/Raw!$C17</f>
        <v>0</v>
      </c>
      <c r="AI16" s="9">
        <f>Raw!AI17/Raw!$C17</f>
        <v>0</v>
      </c>
      <c r="AJ16" s="9">
        <f>Raw!AJ17/Raw!$C17</f>
        <v>0</v>
      </c>
      <c r="AK16" s="9">
        <f>Raw!AK17/Raw!$C17</f>
        <v>0</v>
      </c>
      <c r="AL16" s="9">
        <f>Raw!AL17/Raw!$C17</f>
        <v>0</v>
      </c>
      <c r="AM16" s="9">
        <f>Raw!AM17/Raw!$C17</f>
        <v>0</v>
      </c>
      <c r="AN16" s="9">
        <f>Raw!AN17/Raw!$C17</f>
        <v>0</v>
      </c>
      <c r="AO16" s="9">
        <f>Raw!AO17/Raw!$C17</f>
        <v>0</v>
      </c>
      <c r="AP16" s="9">
        <f>Raw!AP17/Raw!$C17</f>
        <v>0</v>
      </c>
      <c r="AQ16" s="9">
        <f>Raw!AQ17/Raw!$C17</f>
        <v>0</v>
      </c>
      <c r="AR16" s="9">
        <f>Raw!AR17/Raw!$C17</f>
        <v>0</v>
      </c>
      <c r="AS16" s="9">
        <f>Raw!AS17/Raw!$C17</f>
        <v>0</v>
      </c>
      <c r="AT16" s="9">
        <f>Raw!AT17/Raw!$C17</f>
        <v>0</v>
      </c>
      <c r="AU16" s="9">
        <f>Raw!AU17/Raw!$C17</f>
        <v>0</v>
      </c>
      <c r="AV16" s="9">
        <f>Raw!AV17/Raw!$C17</f>
        <v>0</v>
      </c>
      <c r="AW16" s="9">
        <f>Raw!AW17/Raw!$C17</f>
        <v>0</v>
      </c>
      <c r="AX16" s="9">
        <f>Raw!AX17/Raw!$C17</f>
        <v>0</v>
      </c>
      <c r="AY16" s="9">
        <f>Raw!AY17/Raw!$C17</f>
        <v>0</v>
      </c>
      <c r="AZ16" s="9">
        <f>Raw!AZ17/Raw!$C17</f>
        <v>0</v>
      </c>
      <c r="BA16" s="9">
        <f>Raw!BA17/Raw!$C17</f>
        <v>0</v>
      </c>
      <c r="BB16" s="9">
        <f>Raw!BB17/Raw!$C17</f>
        <v>0</v>
      </c>
      <c r="BC16" s="9">
        <f>Raw!BC17/Raw!$C17</f>
        <v>0</v>
      </c>
      <c r="BD16" s="9">
        <f>Raw!BD17/Raw!$C17</f>
        <v>0</v>
      </c>
      <c r="BE16" s="9">
        <f>Raw!BE17/Raw!$C17</f>
        <v>0</v>
      </c>
      <c r="BF16" s="9">
        <f>Raw!BF17/Raw!$C17</f>
        <v>0</v>
      </c>
      <c r="BG16" s="9">
        <f>Raw!BG17/Raw!$C17</f>
        <v>0</v>
      </c>
      <c r="BH16" s="9">
        <f>Raw!BH17/Raw!$C17</f>
        <v>0</v>
      </c>
      <c r="BI16" s="9">
        <f>Raw!BI17/Raw!$C17</f>
        <v>0</v>
      </c>
      <c r="BJ16" s="9">
        <f>Raw!BJ17/Raw!$C17</f>
        <v>0</v>
      </c>
      <c r="BK16" s="9">
        <f>Raw!BK17/Raw!$C17</f>
        <v>0</v>
      </c>
      <c r="BL16" s="9">
        <f>Raw!BL17/Raw!$C17</f>
        <v>0</v>
      </c>
      <c r="BM16" s="9">
        <f>Raw!BM17/Raw!$C17</f>
        <v>0</v>
      </c>
      <c r="BN16" s="9">
        <f>Raw!BN17/Raw!$C17</f>
        <v>0</v>
      </c>
      <c r="BO16" s="9">
        <f>Raw!BO17/Raw!$C17</f>
        <v>0</v>
      </c>
      <c r="BP16" s="9">
        <f>Raw!BP17/Raw!$C17</f>
        <v>0</v>
      </c>
      <c r="BQ16" s="9">
        <f>Raw!BQ17/Raw!$C17</f>
        <v>0</v>
      </c>
      <c r="BR16" s="9">
        <f>Raw!BR17/Raw!$C17</f>
        <v>0</v>
      </c>
      <c r="BS16" s="9">
        <f>Raw!BS17/Raw!$C17</f>
        <v>0</v>
      </c>
      <c r="BT16" s="9">
        <f>Raw!BT17/Raw!$C17</f>
        <v>0</v>
      </c>
      <c r="BU16" s="9">
        <f>Raw!BU17/Raw!$C17</f>
        <v>0</v>
      </c>
      <c r="BV16" s="9">
        <f>Raw!BV17/Raw!$C17</f>
        <v>0</v>
      </c>
      <c r="BW16" s="9">
        <f>Raw!BW17/Raw!$C17</f>
        <v>0</v>
      </c>
      <c r="BX16" s="9">
        <f>Raw!BX17/Raw!$C17</f>
        <v>0</v>
      </c>
      <c r="BY16" s="9">
        <f>Raw!BY17/Raw!$C17</f>
        <v>0</v>
      </c>
      <c r="BZ16" s="9">
        <f>Raw!BZ17/Raw!$C17</f>
        <v>0</v>
      </c>
      <c r="CA16" s="9">
        <f>Raw!CA17/Raw!$C17</f>
        <v>0</v>
      </c>
      <c r="CB16" s="9">
        <f>Raw!CB17/Raw!$C17</f>
        <v>0</v>
      </c>
      <c r="CC16" s="9">
        <f>Raw!CC17/Raw!$C17</f>
        <v>0</v>
      </c>
      <c r="CD16" s="9">
        <f>Raw!CD17/Raw!$C17</f>
        <v>0</v>
      </c>
      <c r="CE16" s="9">
        <f>Raw!CE17/Raw!$C17</f>
        <v>0</v>
      </c>
      <c r="CF16" s="9">
        <f>Raw!CF17/Raw!$C17</f>
        <v>0</v>
      </c>
      <c r="CG16" s="9">
        <f>Raw!CG17/Raw!$C17</f>
        <v>0</v>
      </c>
      <c r="CH16" s="9">
        <f>Raw!CH17/Raw!$C17</f>
        <v>0</v>
      </c>
      <c r="CI16" s="9">
        <f>Raw!CI17/Raw!$C17</f>
        <v>0</v>
      </c>
      <c r="CJ16" s="9">
        <f>Raw!CJ17/Raw!$C17</f>
        <v>0</v>
      </c>
      <c r="CK16" s="9">
        <f>Raw!CK17/Raw!$C17</f>
        <v>0</v>
      </c>
      <c r="CL16" s="9">
        <f>Raw!CL17/Raw!$C17</f>
        <v>0</v>
      </c>
      <c r="CM16" s="9">
        <f>Raw!CM17/Raw!$C17</f>
        <v>0</v>
      </c>
      <c r="CN16" s="9">
        <f>Raw!CN17/Raw!$C17</f>
        <v>0</v>
      </c>
      <c r="CO16" s="9">
        <f>Raw!CO17/Raw!$C17</f>
        <v>0</v>
      </c>
      <c r="CP16" s="9">
        <f>Raw!CP17/Raw!$C17</f>
        <v>0</v>
      </c>
      <c r="CQ16" s="9">
        <f>Raw!CQ17/Raw!$C17</f>
        <v>0</v>
      </c>
      <c r="CR16" s="2">
        <f t="shared" si="8"/>
        <v>662.49999999999989</v>
      </c>
      <c r="CS16" s="2">
        <f t="shared" si="9"/>
        <v>305.8125</v>
      </c>
      <c r="CT16" s="3">
        <f t="shared" si="10"/>
        <v>2.8211858826088454</v>
      </c>
      <c r="CU16" s="3">
        <f t="shared" si="11"/>
        <v>2.4854552331040134</v>
      </c>
      <c r="CV16" s="3">
        <f>Raw!CR17/Raw!$C17</f>
        <v>5068.7499999999991</v>
      </c>
      <c r="CW16" s="3">
        <f>Raw!CS17/Raw!$C17</f>
        <v>2133.9374999999995</v>
      </c>
      <c r="CX16" s="3">
        <f t="shared" si="12"/>
        <v>3.704900871555231</v>
      </c>
      <c r="CY16" s="3">
        <f t="shared" si="13"/>
        <v>3.3291816954058779</v>
      </c>
      <c r="CZ16" s="3">
        <f t="shared" si="14"/>
        <v>3.7582493530140964</v>
      </c>
      <c r="DA16" s="3">
        <f t="shared" si="15"/>
        <v>3.3873453266735534</v>
      </c>
      <c r="DB16" s="6">
        <f t="shared" si="16"/>
        <v>0.8580427620263601</v>
      </c>
      <c r="DC16" s="3">
        <v>3</v>
      </c>
      <c r="DD16" s="3">
        <f>DC16/Raw!C17</f>
        <v>18.749999999999996</v>
      </c>
      <c r="DE16" s="5">
        <f t="shared" si="17"/>
        <v>4.5283018867924539E-3</v>
      </c>
      <c r="DF16">
        <f t="shared" si="18"/>
        <v>-2.3440646278891828</v>
      </c>
      <c r="DH16" s="4">
        <f>-SUM('Shannon-Weiner'!B15:Z15)</f>
        <v>0.49202148540416302</v>
      </c>
      <c r="DI16" s="4">
        <f>SUM('p^2'!B15:Z15)</f>
        <v>0.71502313990744026</v>
      </c>
      <c r="DJ16" s="4">
        <f t="shared" si="19"/>
        <v>0.28497686009255974</v>
      </c>
      <c r="DK16">
        <f t="shared" si="20"/>
        <v>1.3985561364202144</v>
      </c>
      <c r="DL16" s="4">
        <f>SUM('Shannon-Weiner_B'!B15:Z15)</f>
        <v>-0.6740431109625632</v>
      </c>
      <c r="DM16" s="4">
        <f>SUM('p_B^2'!B15:Z15)</f>
        <v>0.57391835389746026</v>
      </c>
      <c r="DN16" s="4">
        <f t="shared" si="21"/>
        <v>0.42608164610253974</v>
      </c>
      <c r="DO16">
        <f t="shared" si="22"/>
        <v>1.7424081199164194</v>
      </c>
    </row>
    <row r="17" spans="1:119" x14ac:dyDescent="0.25">
      <c r="A17" s="1"/>
      <c r="B17" t="str">
        <f>Raw!B18</f>
        <v>FA15</v>
      </c>
      <c r="C17">
        <v>1</v>
      </c>
      <c r="D17" s="9">
        <f>Raw!D18/Raw!$C18</f>
        <v>506.24999999999989</v>
      </c>
      <c r="E17" s="9">
        <f>Raw!E18/Raw!$C18</f>
        <v>59.062499999999993</v>
      </c>
      <c r="F17" s="9">
        <f>Raw!F18/Raw!$C18</f>
        <v>0</v>
      </c>
      <c r="G17" s="9">
        <f>Raw!G18/Raw!$C18</f>
        <v>0</v>
      </c>
      <c r="H17" s="9">
        <f>Raw!H18/Raw!$C18</f>
        <v>0</v>
      </c>
      <c r="I17" s="9">
        <f>Raw!I18/Raw!$C18</f>
        <v>0</v>
      </c>
      <c r="J17" s="9">
        <f>Raw!J18/Raw!$C18</f>
        <v>0</v>
      </c>
      <c r="K17" s="9">
        <f>Raw!K18/Raw!$C18</f>
        <v>0</v>
      </c>
      <c r="L17" s="9">
        <f>Raw!L18/Raw!$C18</f>
        <v>0</v>
      </c>
      <c r="M17" s="9">
        <f>Raw!M18/Raw!$C18</f>
        <v>0</v>
      </c>
      <c r="N17" s="9">
        <f>Raw!N18/Raw!$C18</f>
        <v>0</v>
      </c>
      <c r="O17" s="9">
        <f>Raw!O18/Raw!$C18</f>
        <v>0</v>
      </c>
      <c r="P17" s="9">
        <f>Raw!P18/Raw!$C18</f>
        <v>0</v>
      </c>
      <c r="Q17" s="9">
        <f>Raw!Q18/Raw!$C18</f>
        <v>0</v>
      </c>
      <c r="R17" s="9">
        <f>Raw!R18/Raw!$C18</f>
        <v>0</v>
      </c>
      <c r="S17" s="9">
        <f>Raw!S18/Raw!$C18</f>
        <v>0</v>
      </c>
      <c r="T17" s="9">
        <f>Raw!T18/Raw!$C18</f>
        <v>0</v>
      </c>
      <c r="U17" s="9">
        <f>Raw!U18/Raw!$C18</f>
        <v>0</v>
      </c>
      <c r="V17" s="9">
        <f>Raw!V18/Raw!$C18</f>
        <v>0</v>
      </c>
      <c r="W17" s="9">
        <f>Raw!W18/Raw!$C18</f>
        <v>0</v>
      </c>
      <c r="X17" s="9">
        <f>Raw!X18/Raw!$C18</f>
        <v>6.2499999999999991</v>
      </c>
      <c r="Y17" s="9">
        <f>Raw!Y18/Raw!$C18</f>
        <v>0</v>
      </c>
      <c r="Z17" s="9">
        <f>Raw!Z18/Raw!$C18</f>
        <v>0</v>
      </c>
      <c r="AA17" s="9">
        <f>Raw!AA18/Raw!$C18</f>
        <v>0</v>
      </c>
      <c r="AB17" s="9">
        <f>Raw!AB18/Raw!$C18</f>
        <v>0</v>
      </c>
      <c r="AC17" s="9">
        <f>Raw!AC18/Raw!$C18</f>
        <v>0</v>
      </c>
      <c r="AD17" s="9">
        <f>Raw!AD18/Raw!$C18</f>
        <v>0</v>
      </c>
      <c r="AE17" s="9">
        <f>Raw!AE18/Raw!$C18</f>
        <v>0</v>
      </c>
      <c r="AF17" s="9">
        <f>Raw!AF18/Raw!$C18</f>
        <v>0</v>
      </c>
      <c r="AG17" s="9">
        <f>Raw!AG18/Raw!$C18</f>
        <v>0</v>
      </c>
      <c r="AH17" s="9">
        <f>Raw!AH18/Raw!$C18</f>
        <v>0</v>
      </c>
      <c r="AI17" s="9">
        <f>Raw!AI18/Raw!$C18</f>
        <v>0</v>
      </c>
      <c r="AJ17" s="9">
        <f>Raw!AJ18/Raw!$C18</f>
        <v>0</v>
      </c>
      <c r="AK17" s="9">
        <f>Raw!AK18/Raw!$C18</f>
        <v>0</v>
      </c>
      <c r="AL17" s="9">
        <f>Raw!AL18/Raw!$C18</f>
        <v>12.499999999999998</v>
      </c>
      <c r="AM17" s="9">
        <f>Raw!AM18/Raw!$C18</f>
        <v>196.49999999999997</v>
      </c>
      <c r="AN17" s="9">
        <f>Raw!AN18/Raw!$C18</f>
        <v>0</v>
      </c>
      <c r="AO17" s="9">
        <f>Raw!AO18/Raw!$C18</f>
        <v>0</v>
      </c>
      <c r="AP17" s="9">
        <f>Raw!AP18/Raw!$C18</f>
        <v>0</v>
      </c>
      <c r="AQ17" s="9">
        <f>Raw!AQ18/Raw!$C18</f>
        <v>0</v>
      </c>
      <c r="AR17" s="9">
        <f>Raw!AR18/Raw!$C18</f>
        <v>0</v>
      </c>
      <c r="AS17" s="9">
        <f>Raw!AS18/Raw!$C18</f>
        <v>0</v>
      </c>
      <c r="AT17" s="9">
        <f>Raw!AT18/Raw!$C18</f>
        <v>0</v>
      </c>
      <c r="AU17" s="9">
        <f>Raw!AU18/Raw!$C18</f>
        <v>0</v>
      </c>
      <c r="AV17" s="9">
        <f>Raw!AV18/Raw!$C18</f>
        <v>0</v>
      </c>
      <c r="AW17" s="9">
        <f>Raw!AW18/Raw!$C18</f>
        <v>0</v>
      </c>
      <c r="AX17" s="9">
        <f>Raw!AX18/Raw!$C18</f>
        <v>0</v>
      </c>
      <c r="AY17" s="9">
        <f>Raw!AY18/Raw!$C18</f>
        <v>0</v>
      </c>
      <c r="AZ17" s="9">
        <f>Raw!AZ18/Raw!$C18</f>
        <v>0</v>
      </c>
      <c r="BA17" s="9">
        <f>Raw!BA18/Raw!$C18</f>
        <v>0</v>
      </c>
      <c r="BB17" s="9">
        <f>Raw!BB18/Raw!$C18</f>
        <v>0</v>
      </c>
      <c r="BC17" s="9">
        <f>Raw!BC18/Raw!$C18</f>
        <v>0</v>
      </c>
      <c r="BD17" s="9">
        <f>Raw!BD18/Raw!$C18</f>
        <v>0</v>
      </c>
      <c r="BE17" s="9">
        <f>Raw!BE18/Raw!$C18</f>
        <v>0</v>
      </c>
      <c r="BF17" s="9">
        <f>Raw!BF18/Raw!$C18</f>
        <v>0</v>
      </c>
      <c r="BG17" s="9">
        <f>Raw!BG18/Raw!$C18</f>
        <v>0</v>
      </c>
      <c r="BH17" s="9">
        <f>Raw!BH18/Raw!$C18</f>
        <v>0</v>
      </c>
      <c r="BI17" s="9">
        <f>Raw!BI18/Raw!$C18</f>
        <v>0</v>
      </c>
      <c r="BJ17" s="9">
        <f>Raw!BJ18/Raw!$C18</f>
        <v>0</v>
      </c>
      <c r="BK17" s="9">
        <f>Raw!BK18/Raw!$C18</f>
        <v>0</v>
      </c>
      <c r="BL17" s="9">
        <f>Raw!BL18/Raw!$C18</f>
        <v>0</v>
      </c>
      <c r="BM17" s="9">
        <f>Raw!BM18/Raw!$C18</f>
        <v>0</v>
      </c>
      <c r="BN17" s="9">
        <f>Raw!BN18/Raw!$C18</f>
        <v>0</v>
      </c>
      <c r="BO17" s="9">
        <f>Raw!BO18/Raw!$C18</f>
        <v>0</v>
      </c>
      <c r="BP17" s="9">
        <f>Raw!BP18/Raw!$C18</f>
        <v>0</v>
      </c>
      <c r="BQ17" s="9">
        <f>Raw!BQ18/Raw!$C18</f>
        <v>0</v>
      </c>
      <c r="BR17" s="9">
        <f>Raw!BR18/Raw!$C18</f>
        <v>0</v>
      </c>
      <c r="BS17" s="9">
        <f>Raw!BS18/Raw!$C18</f>
        <v>0</v>
      </c>
      <c r="BT17" s="9">
        <f>Raw!BT18/Raw!$C18</f>
        <v>0</v>
      </c>
      <c r="BU17" s="9">
        <f>Raw!BU18/Raw!$C18</f>
        <v>0</v>
      </c>
      <c r="BV17" s="9">
        <f>Raw!BV18/Raw!$C18</f>
        <v>0</v>
      </c>
      <c r="BW17" s="9">
        <f>Raw!BW18/Raw!$C18</f>
        <v>0</v>
      </c>
      <c r="BX17" s="9">
        <f>Raw!BX18/Raw!$C18</f>
        <v>0</v>
      </c>
      <c r="BY17" s="9">
        <f>Raw!BY18/Raw!$C18</f>
        <v>0</v>
      </c>
      <c r="BZ17" s="9">
        <f>Raw!BZ18/Raw!$C18</f>
        <v>0</v>
      </c>
      <c r="CA17" s="9">
        <f>Raw!CA18/Raw!$C18</f>
        <v>0</v>
      </c>
      <c r="CB17" s="9">
        <f>Raw!CB18/Raw!$C18</f>
        <v>0</v>
      </c>
      <c r="CC17" s="9">
        <f>Raw!CC18/Raw!$C18</f>
        <v>0</v>
      </c>
      <c r="CD17" s="9">
        <f>Raw!CD18/Raw!$C18</f>
        <v>0</v>
      </c>
      <c r="CE17" s="9">
        <f>Raw!CE18/Raw!$C18</f>
        <v>0</v>
      </c>
      <c r="CF17" s="9">
        <f>Raw!CF18/Raw!$C18</f>
        <v>0</v>
      </c>
      <c r="CG17" s="9">
        <f>Raw!CG18/Raw!$C18</f>
        <v>0</v>
      </c>
      <c r="CH17" s="9">
        <f>Raw!CH18/Raw!$C18</f>
        <v>0</v>
      </c>
      <c r="CI17" s="9">
        <f>Raw!CI18/Raw!$C18</f>
        <v>0</v>
      </c>
      <c r="CJ17" s="9">
        <f>Raw!CJ18/Raw!$C18</f>
        <v>0</v>
      </c>
      <c r="CK17" s="9">
        <f>Raw!CK18/Raw!$C18</f>
        <v>0</v>
      </c>
      <c r="CL17" s="9">
        <f>Raw!CL18/Raw!$C18</f>
        <v>0</v>
      </c>
      <c r="CM17" s="9">
        <f>Raw!CM18/Raw!$C18</f>
        <v>0</v>
      </c>
      <c r="CN17" s="9">
        <f>Raw!CN18/Raw!$C18</f>
        <v>0</v>
      </c>
      <c r="CO17" s="9">
        <f>Raw!CO18/Raw!$C18</f>
        <v>0</v>
      </c>
      <c r="CP17" s="9">
        <f>Raw!CP18/Raw!$C18</f>
        <v>0</v>
      </c>
      <c r="CQ17" s="9">
        <f>Raw!CQ18/Raw!$C18</f>
        <v>0</v>
      </c>
      <c r="CR17" s="2">
        <f t="shared" si="8"/>
        <v>524.99999999999989</v>
      </c>
      <c r="CS17" s="2">
        <f t="shared" si="9"/>
        <v>255.56249999999997</v>
      </c>
      <c r="CT17" s="3">
        <f t="shared" si="10"/>
        <v>2.7201593034059566</v>
      </c>
      <c r="CU17" s="3">
        <f t="shared" si="11"/>
        <v>2.4074971278984112</v>
      </c>
      <c r="CV17" s="3">
        <f>Raw!CR18/Raw!$C18</f>
        <v>5068.7499999999991</v>
      </c>
      <c r="CW17" s="3">
        <f>Raw!CS18/Raw!$C18</f>
        <v>2133.9374999999995</v>
      </c>
      <c r="CX17" s="3">
        <f t="shared" si="12"/>
        <v>3.704900871555231</v>
      </c>
      <c r="CY17" s="3">
        <f t="shared" si="13"/>
        <v>3.3291816954058779</v>
      </c>
      <c r="CZ17" s="3">
        <f t="shared" si="14"/>
        <v>3.747703052659987</v>
      </c>
      <c r="DA17" s="3">
        <f t="shared" si="15"/>
        <v>3.3783070348568125</v>
      </c>
      <c r="DB17" s="6">
        <f t="shared" si="16"/>
        <v>0.9237420872095049</v>
      </c>
      <c r="DC17" s="3">
        <v>3</v>
      </c>
      <c r="DD17" s="3">
        <f>DC17/Raw!C18</f>
        <v>18.749999999999996</v>
      </c>
      <c r="DE17" s="5">
        <f t="shared" si="17"/>
        <v>5.7142857142857151E-3</v>
      </c>
      <c r="DF17">
        <f t="shared" si="18"/>
        <v>-2.2430380486862944</v>
      </c>
      <c r="DH17" s="4">
        <f>-SUM('Shannon-Weiner'!B16:Z16)</f>
        <v>0.17680875253870135</v>
      </c>
      <c r="DI17" s="4">
        <f>SUM('p^2'!B16:Z16)</f>
        <v>0.93055555555555558</v>
      </c>
      <c r="DJ17" s="4">
        <f t="shared" si="19"/>
        <v>6.944444444444442E-2</v>
      </c>
      <c r="DK17">
        <f t="shared" si="20"/>
        <v>1.0746268656716418</v>
      </c>
      <c r="DL17" s="4">
        <f>SUM('Shannon-Weiner_B'!B16:Z16)</f>
        <v>-0.5406115082736791</v>
      </c>
      <c r="DM17" s="4">
        <f>SUM('p_B^2'!B16:Z16)</f>
        <v>0.64460597630814154</v>
      </c>
      <c r="DN17" s="4">
        <f t="shared" si="21"/>
        <v>0.35539402369185846</v>
      </c>
      <c r="DO17">
        <f t="shared" si="22"/>
        <v>1.5513352912539073</v>
      </c>
    </row>
    <row r="18" spans="1:119" x14ac:dyDescent="0.25">
      <c r="A18" s="1"/>
      <c r="B18" t="str">
        <f>Raw!B19</f>
        <v>FA16</v>
      </c>
      <c r="C18">
        <v>1</v>
      </c>
      <c r="D18" s="9">
        <f>Raw!D19/Raw!$C19</f>
        <v>243.74999999999994</v>
      </c>
      <c r="E18" s="9">
        <f>Raw!E19/Raw!$C19</f>
        <v>25.249999999999996</v>
      </c>
      <c r="F18" s="9">
        <f>Raw!F19/Raw!$C19</f>
        <v>43.749999999999993</v>
      </c>
      <c r="G18" s="9">
        <f>Raw!G19/Raw!$C19</f>
        <v>12.875</v>
      </c>
      <c r="H18" s="9">
        <f>Raw!H19/Raw!$C19</f>
        <v>0</v>
      </c>
      <c r="I18" s="9">
        <f>Raw!I19/Raw!$C19</f>
        <v>0</v>
      </c>
      <c r="J18" s="9">
        <f>Raw!J19/Raw!$C19</f>
        <v>0</v>
      </c>
      <c r="K18" s="9">
        <f>Raw!K19/Raw!$C19</f>
        <v>0</v>
      </c>
      <c r="L18" s="9">
        <f>Raw!L19/Raw!$C19</f>
        <v>0</v>
      </c>
      <c r="M18" s="9">
        <f>Raw!M19/Raw!$C19</f>
        <v>0</v>
      </c>
      <c r="N18" s="9">
        <f>Raw!N19/Raw!$C19</f>
        <v>0</v>
      </c>
      <c r="O18" s="9">
        <f>Raw!O19/Raw!$C19</f>
        <v>0</v>
      </c>
      <c r="P18" s="9">
        <f>Raw!P19/Raw!$C19</f>
        <v>6.2499999999999991</v>
      </c>
      <c r="Q18" s="9">
        <f>Raw!Q19/Raw!$C19</f>
        <v>1.0624999999999993</v>
      </c>
      <c r="R18" s="9">
        <f>Raw!R19/Raw!$C19</f>
        <v>0</v>
      </c>
      <c r="S18" s="9">
        <f>Raw!S19/Raw!$C19</f>
        <v>0</v>
      </c>
      <c r="T18" s="9">
        <f>Raw!T19/Raw!$C19</f>
        <v>0</v>
      </c>
      <c r="U18" s="9">
        <f>Raw!U19/Raw!$C19</f>
        <v>0</v>
      </c>
      <c r="V18" s="9">
        <f>Raw!V19/Raw!$C19</f>
        <v>0</v>
      </c>
      <c r="W18" s="9">
        <f>Raw!W19/Raw!$C19</f>
        <v>0</v>
      </c>
      <c r="X18" s="9">
        <f>Raw!X19/Raw!$C19</f>
        <v>31.249999999999993</v>
      </c>
      <c r="Y18" s="9">
        <f>Raw!Y19/Raw!$C19</f>
        <v>7.0624999999999982</v>
      </c>
      <c r="Z18" s="9">
        <f>Raw!Z19/Raw!$C19</f>
        <v>0</v>
      </c>
      <c r="AA18" s="9">
        <f>Raw!AA19/Raw!$C19</f>
        <v>0</v>
      </c>
      <c r="AB18" s="9">
        <f>Raw!AB19/Raw!$C19</f>
        <v>0</v>
      </c>
      <c r="AC18" s="9">
        <f>Raw!AC19/Raw!$C19</f>
        <v>0</v>
      </c>
      <c r="AD18" s="9">
        <f>Raw!AD19/Raw!$C19</f>
        <v>12.499999999999998</v>
      </c>
      <c r="AE18" s="9">
        <f>Raw!AE19/Raw!$C19</f>
        <v>10.187499999999998</v>
      </c>
      <c r="AF18" s="9">
        <f>Raw!AF19/Raw!$C19</f>
        <v>0</v>
      </c>
      <c r="AG18" s="9">
        <f>Raw!AG19/Raw!$C19</f>
        <v>0</v>
      </c>
      <c r="AH18" s="9">
        <f>Raw!AH19/Raw!$C19</f>
        <v>18.749999999999996</v>
      </c>
      <c r="AI18" s="9">
        <f>Raw!AI19/Raw!$C19</f>
        <v>152.62499999999997</v>
      </c>
      <c r="AJ18" s="9">
        <f>Raw!AJ19/Raw!$C19</f>
        <v>0</v>
      </c>
      <c r="AK18" s="9">
        <f>Raw!AK19/Raw!$C19</f>
        <v>0</v>
      </c>
      <c r="AL18" s="9">
        <f>Raw!AL19/Raw!$C19</f>
        <v>0</v>
      </c>
      <c r="AM18" s="9">
        <f>Raw!AM19/Raw!$C19</f>
        <v>0</v>
      </c>
      <c r="AN18" s="9">
        <f>Raw!AN19/Raw!$C19</f>
        <v>0</v>
      </c>
      <c r="AO18" s="9">
        <f>Raw!AO19/Raw!$C19</f>
        <v>0</v>
      </c>
      <c r="AP18" s="9">
        <f>Raw!AP19/Raw!$C19</f>
        <v>0</v>
      </c>
      <c r="AQ18" s="9">
        <f>Raw!AQ19/Raw!$C19</f>
        <v>0</v>
      </c>
      <c r="AR18" s="9">
        <f>Raw!AR19/Raw!$C19</f>
        <v>0</v>
      </c>
      <c r="AS18" s="9">
        <f>Raw!AS19/Raw!$C19</f>
        <v>0</v>
      </c>
      <c r="AT18" s="9">
        <f>Raw!AT19/Raw!$C19</f>
        <v>0</v>
      </c>
      <c r="AU18" s="9">
        <f>Raw!AU19/Raw!$C19</f>
        <v>0</v>
      </c>
      <c r="AV18" s="9">
        <f>Raw!AV19/Raw!$C19</f>
        <v>0</v>
      </c>
      <c r="AW18" s="9">
        <f>Raw!AW19/Raw!$C19</f>
        <v>0</v>
      </c>
      <c r="AX18" s="9">
        <f>Raw!AX19/Raw!$C19</f>
        <v>0</v>
      </c>
      <c r="AY18" s="9">
        <f>Raw!AY19/Raw!$C19</f>
        <v>0</v>
      </c>
      <c r="AZ18" s="9">
        <f>Raw!AZ19/Raw!$C19</f>
        <v>6.2499999999999991</v>
      </c>
      <c r="BA18" s="9">
        <f>Raw!BA19/Raw!$C19</f>
        <v>226.31249999999997</v>
      </c>
      <c r="BB18" s="9">
        <f>Raw!BB19/Raw!$C19</f>
        <v>12.499999999999998</v>
      </c>
      <c r="BC18" s="9">
        <f>Raw!BC19/Raw!$C19</f>
        <v>10.187499999999998</v>
      </c>
      <c r="BD18" s="9">
        <f>Raw!BD19/Raw!$C19</f>
        <v>0</v>
      </c>
      <c r="BE18" s="9">
        <f>Raw!BE19/Raw!$C19</f>
        <v>0</v>
      </c>
      <c r="BF18" s="9">
        <f>Raw!BF19/Raw!$C19</f>
        <v>0</v>
      </c>
      <c r="BG18" s="9">
        <f>Raw!BG19/Raw!$C19</f>
        <v>0</v>
      </c>
      <c r="BH18" s="9">
        <f>Raw!BH19/Raw!$C19</f>
        <v>0</v>
      </c>
      <c r="BI18" s="9">
        <f>Raw!BI19/Raw!$C19</f>
        <v>0</v>
      </c>
      <c r="BJ18" s="9">
        <f>Raw!BJ19/Raw!$C19</f>
        <v>0</v>
      </c>
      <c r="BK18" s="9">
        <f>Raw!BK19/Raw!$C19</f>
        <v>0</v>
      </c>
      <c r="BL18" s="9">
        <f>Raw!BL19/Raw!$C19</f>
        <v>0</v>
      </c>
      <c r="BM18" s="9">
        <f>Raw!BM19/Raw!$C19</f>
        <v>0</v>
      </c>
      <c r="BN18" s="9">
        <f>Raw!BN19/Raw!$C19</f>
        <v>0</v>
      </c>
      <c r="BO18" s="9">
        <f>Raw!BO19/Raw!$C19</f>
        <v>0</v>
      </c>
      <c r="BP18" s="9">
        <f>Raw!BP19/Raw!$C19</f>
        <v>0</v>
      </c>
      <c r="BQ18" s="9">
        <f>Raw!BQ19/Raw!$C19</f>
        <v>0</v>
      </c>
      <c r="BR18" s="9">
        <f>Raw!BR19/Raw!$C19</f>
        <v>0</v>
      </c>
      <c r="BS18" s="9">
        <f>Raw!BS19/Raw!$C19</f>
        <v>0</v>
      </c>
      <c r="BT18" s="9">
        <f>Raw!BT19/Raw!$C19</f>
        <v>0</v>
      </c>
      <c r="BU18" s="9">
        <f>Raw!BU19/Raw!$C19</f>
        <v>0</v>
      </c>
      <c r="BV18" s="9">
        <f>Raw!BV19/Raw!$C19</f>
        <v>0</v>
      </c>
      <c r="BW18" s="9">
        <f>Raw!BW19/Raw!$C19</f>
        <v>0</v>
      </c>
      <c r="BX18" s="9">
        <f>Raw!BX19/Raw!$C19</f>
        <v>0</v>
      </c>
      <c r="BY18" s="9">
        <f>Raw!BY19/Raw!$C19</f>
        <v>0</v>
      </c>
      <c r="BZ18" s="9">
        <f>Raw!BZ19/Raw!$C19</f>
        <v>0</v>
      </c>
      <c r="CA18" s="9">
        <f>Raw!CA19/Raw!$C19</f>
        <v>0</v>
      </c>
      <c r="CB18" s="9">
        <f>Raw!CB19/Raw!$C19</f>
        <v>0</v>
      </c>
      <c r="CC18" s="9">
        <f>Raw!CC19/Raw!$C19</f>
        <v>0</v>
      </c>
      <c r="CD18" s="9">
        <f>Raw!CD19/Raw!$C19</f>
        <v>0</v>
      </c>
      <c r="CE18" s="9">
        <f>Raw!CE19/Raw!$C19</f>
        <v>0</v>
      </c>
      <c r="CF18" s="9">
        <f>Raw!CF19/Raw!$C19</f>
        <v>0</v>
      </c>
      <c r="CG18" s="9">
        <f>Raw!CG19/Raw!$C19</f>
        <v>0</v>
      </c>
      <c r="CH18" s="9">
        <f>Raw!CH19/Raw!$C19</f>
        <v>0</v>
      </c>
      <c r="CI18" s="9">
        <f>Raw!CI19/Raw!$C19</f>
        <v>0</v>
      </c>
      <c r="CJ18" s="9">
        <f>Raw!CJ19/Raw!$C19</f>
        <v>0</v>
      </c>
      <c r="CK18" s="9">
        <f>Raw!CK19/Raw!$C19</f>
        <v>0</v>
      </c>
      <c r="CL18" s="9">
        <f>Raw!CL19/Raw!$C19</f>
        <v>0</v>
      </c>
      <c r="CM18" s="9">
        <f>Raw!CM19/Raw!$C19</f>
        <v>0</v>
      </c>
      <c r="CN18" s="9">
        <f>Raw!CN19/Raw!$C19</f>
        <v>0</v>
      </c>
      <c r="CO18" s="9">
        <f>Raw!CO19/Raw!$C19</f>
        <v>0</v>
      </c>
      <c r="CP18" s="9">
        <f>Raw!CP19/Raw!$C19</f>
        <v>0</v>
      </c>
      <c r="CQ18" s="9">
        <f>Raw!CQ19/Raw!$C19</f>
        <v>0</v>
      </c>
      <c r="CR18" s="2">
        <f t="shared" si="8"/>
        <v>381.24999999999994</v>
      </c>
      <c r="CS18" s="2">
        <f t="shared" si="9"/>
        <v>671.87499999999989</v>
      </c>
      <c r="CT18" s="3">
        <f t="shared" si="10"/>
        <v>2.5812098523548421</v>
      </c>
      <c r="CU18" s="3">
        <f t="shared" si="11"/>
        <v>2.8272884815956991</v>
      </c>
      <c r="CV18" s="3">
        <f>Raw!CR19/Raw!$C19</f>
        <v>5068.7499999999991</v>
      </c>
      <c r="CW18" s="3">
        <f>Raw!CS19/Raw!$C19</f>
        <v>2133.9374999999995</v>
      </c>
      <c r="CX18" s="3">
        <f t="shared" si="12"/>
        <v>3.704900871555231</v>
      </c>
      <c r="CY18" s="3">
        <f t="shared" si="13"/>
        <v>3.3291816954058779</v>
      </c>
      <c r="CZ18" s="3">
        <f t="shared" si="14"/>
        <v>3.7363965022766426</v>
      </c>
      <c r="DA18" s="3">
        <f t="shared" si="15"/>
        <v>3.4480586456887394</v>
      </c>
      <c r="DB18" s="6">
        <f t="shared" si="16"/>
        <v>0.70300384767105806</v>
      </c>
      <c r="DC18" s="3">
        <v>7</v>
      </c>
      <c r="DD18" s="3">
        <f>DC18/Raw!C19</f>
        <v>43.749999999999993</v>
      </c>
      <c r="DE18" s="5">
        <f t="shared" si="17"/>
        <v>1.8360655737704921E-2</v>
      </c>
      <c r="DF18">
        <f t="shared" si="18"/>
        <v>-1.7361118123405854</v>
      </c>
      <c r="DH18" s="4">
        <f>-SUM('Shannon-Weiner'!B17:Z17)</f>
        <v>1.2465006796318141</v>
      </c>
      <c r="DI18" s="4">
        <f>SUM('p^2'!B17:Z17)</f>
        <v>0.43375436710561666</v>
      </c>
      <c r="DJ18" s="4">
        <f t="shared" si="19"/>
        <v>0.56624563289438334</v>
      </c>
      <c r="DK18">
        <f t="shared" si="20"/>
        <v>2.3054522924411405</v>
      </c>
      <c r="DL18" s="4">
        <f>SUM('Shannon-Weiner_B'!B17:Z17)</f>
        <v>-1.087418745800822</v>
      </c>
      <c r="DM18" s="4">
        <f>SUM('p_B^2'!B17:Z17)</f>
        <v>0.16741462844780963</v>
      </c>
      <c r="DN18" s="4">
        <f t="shared" si="21"/>
        <v>0.83258537155219037</v>
      </c>
      <c r="DO18">
        <f t="shared" si="22"/>
        <v>5.9731936765116265</v>
      </c>
    </row>
    <row r="19" spans="1:119" x14ac:dyDescent="0.25">
      <c r="A19" s="1"/>
      <c r="B19" t="str">
        <f>Raw!B20</f>
        <v>FA17</v>
      </c>
      <c r="C19">
        <v>1</v>
      </c>
      <c r="D19" s="9">
        <f>Raw!D20/Raw!$C20</f>
        <v>718.74999999999989</v>
      </c>
      <c r="E19" s="9">
        <f>Raw!E20/Raw!$C20</f>
        <v>109.56249999999999</v>
      </c>
      <c r="F19" s="9">
        <f>Raw!F20/Raw!$C20</f>
        <v>56.249999999999986</v>
      </c>
      <c r="G19" s="9">
        <f>Raw!G20/Raw!$C20</f>
        <v>1.9999999999999987</v>
      </c>
      <c r="H19" s="9">
        <f>Raw!H20/Raw!$C20</f>
        <v>0</v>
      </c>
      <c r="I19" s="9">
        <f>Raw!I20/Raw!$C20</f>
        <v>0</v>
      </c>
      <c r="J19" s="9">
        <f>Raw!J20/Raw!$C20</f>
        <v>0</v>
      </c>
      <c r="K19" s="9">
        <f>Raw!K20/Raw!$C20</f>
        <v>0</v>
      </c>
      <c r="L19" s="9">
        <f>Raw!L20/Raw!$C20</f>
        <v>0</v>
      </c>
      <c r="M19" s="9">
        <f>Raw!M20/Raw!$C20</f>
        <v>0</v>
      </c>
      <c r="N19" s="9">
        <f>Raw!N20/Raw!$C20</f>
        <v>0</v>
      </c>
      <c r="O19" s="9">
        <f>Raw!O20/Raw!$C20</f>
        <v>0</v>
      </c>
      <c r="P19" s="9">
        <f>Raw!P20/Raw!$C20</f>
        <v>12.499999999999998</v>
      </c>
      <c r="Q19" s="9">
        <f>Raw!Q20/Raw!$C20</f>
        <v>66.999999999999986</v>
      </c>
      <c r="R19" s="9">
        <f>Raw!R20/Raw!$C20</f>
        <v>0</v>
      </c>
      <c r="S19" s="9">
        <f>Raw!S20/Raw!$C20</f>
        <v>0</v>
      </c>
      <c r="T19" s="9">
        <f>Raw!T20/Raw!$C20</f>
        <v>0</v>
      </c>
      <c r="U19" s="9">
        <f>Raw!U20/Raw!$C20</f>
        <v>0</v>
      </c>
      <c r="V19" s="9">
        <f>Raw!V20/Raw!$C20</f>
        <v>0</v>
      </c>
      <c r="W19" s="9">
        <f>Raw!W20/Raw!$C20</f>
        <v>0</v>
      </c>
      <c r="X19" s="9">
        <f>Raw!X20/Raw!$C20</f>
        <v>37.499999999999993</v>
      </c>
      <c r="Y19" s="9">
        <f>Raw!Y20/Raw!$C20</f>
        <v>12.249999999999998</v>
      </c>
      <c r="Z19" s="9">
        <f>Raw!Z20/Raw!$C20</f>
        <v>0</v>
      </c>
      <c r="AA19" s="9">
        <f>Raw!AA20/Raw!$C20</f>
        <v>0</v>
      </c>
      <c r="AB19" s="9">
        <f>Raw!AB20/Raw!$C20</f>
        <v>0</v>
      </c>
      <c r="AC19" s="9">
        <f>Raw!AC20/Raw!$C20</f>
        <v>0</v>
      </c>
      <c r="AD19" s="9">
        <f>Raw!AD20/Raw!$C20</f>
        <v>0</v>
      </c>
      <c r="AE19" s="9">
        <f>Raw!AE20/Raw!$C20</f>
        <v>0</v>
      </c>
      <c r="AF19" s="9">
        <f>Raw!AF20/Raw!$C20</f>
        <v>0</v>
      </c>
      <c r="AG19" s="9">
        <f>Raw!AG20/Raw!$C20</f>
        <v>0</v>
      </c>
      <c r="AH19" s="9">
        <f>Raw!AH20/Raw!$C20</f>
        <v>0</v>
      </c>
      <c r="AI19" s="9">
        <f>Raw!AI20/Raw!$C20</f>
        <v>0</v>
      </c>
      <c r="AJ19" s="9">
        <f>Raw!AJ20/Raw!$C20</f>
        <v>0</v>
      </c>
      <c r="AK19" s="9">
        <f>Raw!AK20/Raw!$C20</f>
        <v>0</v>
      </c>
      <c r="AL19" s="9">
        <f>Raw!AL20/Raw!$C20</f>
        <v>6.2499999999999991</v>
      </c>
      <c r="AM19" s="9">
        <f>Raw!AM20/Raw!$C20</f>
        <v>20.562499999999989</v>
      </c>
      <c r="AN19" s="9">
        <f>Raw!AN20/Raw!$C20</f>
        <v>0</v>
      </c>
      <c r="AO19" s="9">
        <f>Raw!AO20/Raw!$C20</f>
        <v>0</v>
      </c>
      <c r="AP19" s="9">
        <f>Raw!AP20/Raw!$C20</f>
        <v>0</v>
      </c>
      <c r="AQ19" s="9">
        <f>Raw!AQ20/Raw!$C20</f>
        <v>0</v>
      </c>
      <c r="AR19" s="9">
        <f>Raw!AR20/Raw!$C20</f>
        <v>0</v>
      </c>
      <c r="AS19" s="9">
        <f>Raw!AS20/Raw!$C20</f>
        <v>0</v>
      </c>
      <c r="AT19" s="9">
        <f>Raw!AT20/Raw!$C20</f>
        <v>0</v>
      </c>
      <c r="AU19" s="9">
        <f>Raw!AU20/Raw!$C20</f>
        <v>0</v>
      </c>
      <c r="AV19" s="9">
        <f>Raw!AV20/Raw!$C20</f>
        <v>0</v>
      </c>
      <c r="AW19" s="9">
        <f>Raw!AW20/Raw!$C20</f>
        <v>0</v>
      </c>
      <c r="AX19" s="9">
        <f>Raw!AX20/Raw!$C20</f>
        <v>0</v>
      </c>
      <c r="AY19" s="9">
        <f>Raw!AY20/Raw!$C20</f>
        <v>0</v>
      </c>
      <c r="AZ19" s="9">
        <f>Raw!AZ20/Raw!$C20</f>
        <v>0</v>
      </c>
      <c r="BA19" s="9">
        <f>Raw!BA20/Raw!$C20</f>
        <v>0</v>
      </c>
      <c r="BB19" s="9">
        <f>Raw!BB20/Raw!$C20</f>
        <v>0</v>
      </c>
      <c r="BC19" s="9">
        <f>Raw!BC20/Raw!$C20</f>
        <v>0</v>
      </c>
      <c r="BD19" s="9">
        <f>Raw!BD20/Raw!$C20</f>
        <v>0</v>
      </c>
      <c r="BE19" s="9">
        <f>Raw!BE20/Raw!$C20</f>
        <v>0</v>
      </c>
      <c r="BF19" s="9">
        <f>Raw!BF20/Raw!$C20</f>
        <v>0</v>
      </c>
      <c r="BG19" s="9">
        <f>Raw!BG20/Raw!$C20</f>
        <v>0</v>
      </c>
      <c r="BH19" s="9">
        <f>Raw!BH20/Raw!$C20</f>
        <v>0</v>
      </c>
      <c r="BI19" s="9">
        <f>Raw!BI20/Raw!$C20</f>
        <v>0</v>
      </c>
      <c r="BJ19" s="9">
        <f>Raw!BJ20/Raw!$C20</f>
        <v>0</v>
      </c>
      <c r="BK19" s="9">
        <f>Raw!BK20/Raw!$C20</f>
        <v>0</v>
      </c>
      <c r="BL19" s="9">
        <f>Raw!BL20/Raw!$C20</f>
        <v>0</v>
      </c>
      <c r="BM19" s="9">
        <f>Raw!BM20/Raw!$C20</f>
        <v>0</v>
      </c>
      <c r="BN19" s="9">
        <f>Raw!BN20/Raw!$C20</f>
        <v>0</v>
      </c>
      <c r="BO19" s="9">
        <f>Raw!BO20/Raw!$C20</f>
        <v>0</v>
      </c>
      <c r="BP19" s="9">
        <f>Raw!BP20/Raw!$C20</f>
        <v>0</v>
      </c>
      <c r="BQ19" s="9">
        <f>Raw!BQ20/Raw!$C20</f>
        <v>0</v>
      </c>
      <c r="BR19" s="9">
        <f>Raw!BR20/Raw!$C20</f>
        <v>0</v>
      </c>
      <c r="BS19" s="9">
        <f>Raw!BS20/Raw!$C20</f>
        <v>0</v>
      </c>
      <c r="BT19" s="9">
        <f>Raw!BT20/Raw!$C20</f>
        <v>0</v>
      </c>
      <c r="BU19" s="9">
        <f>Raw!BU20/Raw!$C20</f>
        <v>0</v>
      </c>
      <c r="BV19" s="9">
        <f>Raw!BV20/Raw!$C20</f>
        <v>0</v>
      </c>
      <c r="BW19" s="9">
        <f>Raw!BW20/Raw!$C20</f>
        <v>0</v>
      </c>
      <c r="BX19" s="9">
        <f>Raw!BX20/Raw!$C20</f>
        <v>0</v>
      </c>
      <c r="BY19" s="9">
        <f>Raw!BY20/Raw!$C20</f>
        <v>0</v>
      </c>
      <c r="BZ19" s="9">
        <f>Raw!BZ20/Raw!$C20</f>
        <v>0</v>
      </c>
      <c r="CA19" s="9">
        <f>Raw!CA20/Raw!$C20</f>
        <v>0</v>
      </c>
      <c r="CB19" s="9">
        <f>Raw!CB20/Raw!$C20</f>
        <v>0</v>
      </c>
      <c r="CC19" s="9">
        <f>Raw!CC20/Raw!$C20</f>
        <v>0</v>
      </c>
      <c r="CD19" s="9">
        <f>Raw!CD20/Raw!$C20</f>
        <v>0</v>
      </c>
      <c r="CE19" s="9">
        <f>Raw!CE20/Raw!$C20</f>
        <v>0</v>
      </c>
      <c r="CF19" s="9">
        <f>Raw!CF20/Raw!$C20</f>
        <v>0</v>
      </c>
      <c r="CG19" s="9">
        <f>Raw!CG20/Raw!$C20</f>
        <v>0</v>
      </c>
      <c r="CH19" s="9">
        <f>Raw!CH20/Raw!$C20</f>
        <v>0</v>
      </c>
      <c r="CI19" s="9">
        <f>Raw!CI20/Raw!$C20</f>
        <v>0</v>
      </c>
      <c r="CJ19" s="9">
        <f>Raw!CJ20/Raw!$C20</f>
        <v>0</v>
      </c>
      <c r="CK19" s="9">
        <f>Raw!CK20/Raw!$C20</f>
        <v>0</v>
      </c>
      <c r="CL19" s="9">
        <f>Raw!CL20/Raw!$C20</f>
        <v>0</v>
      </c>
      <c r="CM19" s="9">
        <f>Raw!CM20/Raw!$C20</f>
        <v>0</v>
      </c>
      <c r="CN19" s="9">
        <f>Raw!CN20/Raw!$C20</f>
        <v>0</v>
      </c>
      <c r="CO19" s="9">
        <f>Raw!CO20/Raw!$C20</f>
        <v>0</v>
      </c>
      <c r="CP19" s="9">
        <f>Raw!CP20/Raw!$C20</f>
        <v>0</v>
      </c>
      <c r="CQ19" s="9">
        <f>Raw!CQ20/Raw!$C20</f>
        <v>0</v>
      </c>
      <c r="CR19" s="2">
        <f t="shared" si="8"/>
        <v>831.24999999999989</v>
      </c>
      <c r="CS19" s="2">
        <f t="shared" si="9"/>
        <v>211.37499999999997</v>
      </c>
      <c r="CT19" s="3">
        <f t="shared" si="10"/>
        <v>2.9197316583111608</v>
      </c>
      <c r="CU19" s="3">
        <f t="shared" si="11"/>
        <v>2.3250536206057979</v>
      </c>
      <c r="CV19" s="3">
        <f>Raw!CR20/Raw!$C20</f>
        <v>5068.7499999999991</v>
      </c>
      <c r="CW19" s="3">
        <f>Raw!CS20/Raw!$C20</f>
        <v>2133.9374999999995</v>
      </c>
      <c r="CX19" s="3">
        <f t="shared" si="12"/>
        <v>3.704900871555231</v>
      </c>
      <c r="CY19" s="3">
        <f t="shared" si="13"/>
        <v>3.3291816954058779</v>
      </c>
      <c r="CZ19" s="3">
        <f t="shared" si="14"/>
        <v>3.7708520116421442</v>
      </c>
      <c r="DA19" s="3">
        <f t="shared" si="15"/>
        <v>3.3702007182593832</v>
      </c>
      <c r="DB19" s="6">
        <f t="shared" si="16"/>
        <v>0.93353211049356666</v>
      </c>
      <c r="DC19" s="3">
        <v>5</v>
      </c>
      <c r="DD19" s="3">
        <f>DC19/Raw!C20</f>
        <v>31.249999999999993</v>
      </c>
      <c r="DE19" s="5">
        <f t="shared" si="17"/>
        <v>6.0150375939849636E-3</v>
      </c>
      <c r="DF19">
        <f t="shared" si="18"/>
        <v>-2.220761653975142</v>
      </c>
      <c r="DH19" s="4">
        <f>-SUM('Shannon-Weiner'!B18:Z18)</f>
        <v>0.54764937533237068</v>
      </c>
      <c r="DI19" s="4">
        <f>SUM('p^2'!B18:Z18)</f>
        <v>0.75453671773418507</v>
      </c>
      <c r="DJ19" s="4">
        <f t="shared" si="19"/>
        <v>0.24546328226581493</v>
      </c>
      <c r="DK19">
        <f t="shared" si="20"/>
        <v>1.325316550535701</v>
      </c>
      <c r="DL19" s="4">
        <f>SUM('Shannon-Weiner_B'!B18:Z18)</f>
        <v>-1.1406321478512915</v>
      </c>
      <c r="DM19" s="4">
        <f>SUM('p_B^2'!B18:Z18)</f>
        <v>0.38205132329957769</v>
      </c>
      <c r="DN19" s="4">
        <f t="shared" si="21"/>
        <v>0.61794867670042231</v>
      </c>
      <c r="DO19">
        <f t="shared" si="22"/>
        <v>2.6174493818357241</v>
      </c>
    </row>
    <row r="20" spans="1:119" x14ac:dyDescent="0.25">
      <c r="A20" s="1"/>
      <c r="B20" t="str">
        <f>Raw!B21</f>
        <v>FA18</v>
      </c>
      <c r="C20">
        <v>1</v>
      </c>
      <c r="D20" s="9">
        <f>Raw!D21/Raw!$C21</f>
        <v>737.49999999999989</v>
      </c>
      <c r="E20" s="9">
        <f>Raw!E21/Raw!$C21</f>
        <v>92.937499999999986</v>
      </c>
      <c r="F20" s="9">
        <f>Raw!F21/Raw!$C21</f>
        <v>0</v>
      </c>
      <c r="G20" s="9">
        <f>Raw!G21/Raw!$C21</f>
        <v>0</v>
      </c>
      <c r="H20" s="9">
        <f>Raw!H21/Raw!$C21</f>
        <v>0</v>
      </c>
      <c r="I20" s="9">
        <f>Raw!I21/Raw!$C21</f>
        <v>0</v>
      </c>
      <c r="J20" s="9">
        <f>Raw!J21/Raw!$C21</f>
        <v>0</v>
      </c>
      <c r="K20" s="9">
        <f>Raw!K21/Raw!$C21</f>
        <v>0</v>
      </c>
      <c r="L20" s="9">
        <f>Raw!L21/Raw!$C21</f>
        <v>0</v>
      </c>
      <c r="M20" s="9">
        <f>Raw!M21/Raw!$C21</f>
        <v>0</v>
      </c>
      <c r="N20" s="9">
        <f>Raw!N21/Raw!$C21</f>
        <v>0</v>
      </c>
      <c r="O20" s="9">
        <f>Raw!O21/Raw!$C21</f>
        <v>0</v>
      </c>
      <c r="P20" s="9">
        <f>Raw!P21/Raw!$C21</f>
        <v>0</v>
      </c>
      <c r="Q20" s="9">
        <f>Raw!Q21/Raw!$C21</f>
        <v>0</v>
      </c>
      <c r="R20" s="9">
        <f>Raw!R21/Raw!$C21</f>
        <v>0</v>
      </c>
      <c r="S20" s="9">
        <f>Raw!S21/Raw!$C21</f>
        <v>0</v>
      </c>
      <c r="T20" s="9">
        <f>Raw!T21/Raw!$C21</f>
        <v>0</v>
      </c>
      <c r="U20" s="9">
        <f>Raw!U21/Raw!$C21</f>
        <v>0</v>
      </c>
      <c r="V20" s="9">
        <f>Raw!V21/Raw!$C21</f>
        <v>0</v>
      </c>
      <c r="W20" s="9">
        <f>Raw!W21/Raw!$C21</f>
        <v>0</v>
      </c>
      <c r="X20" s="9">
        <f>Raw!X21/Raw!$C21</f>
        <v>6.2499999999999991</v>
      </c>
      <c r="Y20" s="9">
        <f>Raw!Y21/Raw!$C21</f>
        <v>3.6249999999999996</v>
      </c>
      <c r="Z20" s="9">
        <f>Raw!Z21/Raw!$C21</f>
        <v>0</v>
      </c>
      <c r="AA20" s="9">
        <f>Raw!AA21/Raw!$C21</f>
        <v>0</v>
      </c>
      <c r="AB20" s="9">
        <f>Raw!AB21/Raw!$C21</f>
        <v>0</v>
      </c>
      <c r="AC20" s="9">
        <f>Raw!AC21/Raw!$C21</f>
        <v>0</v>
      </c>
      <c r="AD20" s="9">
        <f>Raw!AD21/Raw!$C21</f>
        <v>0</v>
      </c>
      <c r="AE20" s="9">
        <f>Raw!AE21/Raw!$C21</f>
        <v>0</v>
      </c>
      <c r="AF20" s="9">
        <f>Raw!AF21/Raw!$C21</f>
        <v>0</v>
      </c>
      <c r="AG20" s="9">
        <f>Raw!AG21/Raw!$C21</f>
        <v>0</v>
      </c>
      <c r="AH20" s="9">
        <f>Raw!AH21/Raw!$C21</f>
        <v>6.2499999999999991</v>
      </c>
      <c r="AI20" s="9">
        <f>Raw!AI21/Raw!$C21</f>
        <v>28.874999999999989</v>
      </c>
      <c r="AJ20" s="9">
        <f>Raw!AJ21/Raw!$C21</f>
        <v>0</v>
      </c>
      <c r="AK20" s="9">
        <f>Raw!AK21/Raw!$C21</f>
        <v>0</v>
      </c>
      <c r="AL20" s="9">
        <f>Raw!AL21/Raw!$C21</f>
        <v>0</v>
      </c>
      <c r="AM20" s="9">
        <f>Raw!AM21/Raw!$C21</f>
        <v>0</v>
      </c>
      <c r="AN20" s="9">
        <f>Raw!AN21/Raw!$C21</f>
        <v>0</v>
      </c>
      <c r="AO20" s="9">
        <f>Raw!AO21/Raw!$C21</f>
        <v>0</v>
      </c>
      <c r="AP20" s="9">
        <f>Raw!AP21/Raw!$C21</f>
        <v>0</v>
      </c>
      <c r="AQ20" s="9">
        <f>Raw!AQ21/Raw!$C21</f>
        <v>0</v>
      </c>
      <c r="AR20" s="9">
        <f>Raw!AR21/Raw!$C21</f>
        <v>0</v>
      </c>
      <c r="AS20" s="9">
        <f>Raw!AS21/Raw!$C21</f>
        <v>0</v>
      </c>
      <c r="AT20" s="9">
        <f>Raw!AT21/Raw!$C21</f>
        <v>0</v>
      </c>
      <c r="AU20" s="9">
        <f>Raw!AU21/Raw!$C21</f>
        <v>0</v>
      </c>
      <c r="AV20" s="9">
        <f>Raw!AV21/Raw!$C21</f>
        <v>0</v>
      </c>
      <c r="AW20" s="9">
        <f>Raw!AW21/Raw!$C21</f>
        <v>0</v>
      </c>
      <c r="AX20" s="9">
        <f>Raw!AX21/Raw!$C21</f>
        <v>0</v>
      </c>
      <c r="AY20" s="9">
        <f>Raw!AY21/Raw!$C21</f>
        <v>0</v>
      </c>
      <c r="AZ20" s="9">
        <f>Raw!AZ21/Raw!$C21</f>
        <v>0</v>
      </c>
      <c r="BA20" s="9">
        <f>Raw!BA21/Raw!$C21</f>
        <v>0</v>
      </c>
      <c r="BB20" s="9">
        <f>Raw!BB21/Raw!$C21</f>
        <v>0</v>
      </c>
      <c r="BC20" s="9">
        <f>Raw!BC21/Raw!$C21</f>
        <v>0</v>
      </c>
      <c r="BD20" s="9">
        <f>Raw!BD21/Raw!$C21</f>
        <v>0</v>
      </c>
      <c r="BE20" s="9">
        <f>Raw!BE21/Raw!$C21</f>
        <v>0</v>
      </c>
      <c r="BF20" s="9">
        <f>Raw!BF21/Raw!$C21</f>
        <v>0</v>
      </c>
      <c r="BG20" s="9">
        <f>Raw!BG21/Raw!$C21</f>
        <v>0</v>
      </c>
      <c r="BH20" s="9">
        <f>Raw!BH21/Raw!$C21</f>
        <v>0</v>
      </c>
      <c r="BI20" s="9">
        <f>Raw!BI21/Raw!$C21</f>
        <v>0</v>
      </c>
      <c r="BJ20" s="9">
        <f>Raw!BJ21/Raw!$C21</f>
        <v>0</v>
      </c>
      <c r="BK20" s="9">
        <f>Raw!BK21/Raw!$C21</f>
        <v>0</v>
      </c>
      <c r="BL20" s="9">
        <f>Raw!BL21/Raw!$C21</f>
        <v>0</v>
      </c>
      <c r="BM20" s="9">
        <f>Raw!BM21/Raw!$C21</f>
        <v>0</v>
      </c>
      <c r="BN20" s="9">
        <f>Raw!BN21/Raw!$C21</f>
        <v>0</v>
      </c>
      <c r="BO20" s="9">
        <f>Raw!BO21/Raw!$C21</f>
        <v>0</v>
      </c>
      <c r="BP20" s="9">
        <f>Raw!BP21/Raw!$C21</f>
        <v>0</v>
      </c>
      <c r="BQ20" s="9">
        <f>Raw!BQ21/Raw!$C21</f>
        <v>0</v>
      </c>
      <c r="BR20" s="9">
        <f>Raw!BR21/Raw!$C21</f>
        <v>0</v>
      </c>
      <c r="BS20" s="9">
        <f>Raw!BS21/Raw!$C21</f>
        <v>0</v>
      </c>
      <c r="BT20" s="9">
        <f>Raw!BT21/Raw!$C21</f>
        <v>0</v>
      </c>
      <c r="BU20" s="9">
        <f>Raw!BU21/Raw!$C21</f>
        <v>0</v>
      </c>
      <c r="BV20" s="9">
        <f>Raw!BV21/Raw!$C21</f>
        <v>0</v>
      </c>
      <c r="BW20" s="9">
        <f>Raw!BW21/Raw!$C21</f>
        <v>0</v>
      </c>
      <c r="BX20" s="9">
        <f>Raw!BX21/Raw!$C21</f>
        <v>0</v>
      </c>
      <c r="BY20" s="9">
        <f>Raw!BY21/Raw!$C21</f>
        <v>0</v>
      </c>
      <c r="BZ20" s="9">
        <f>Raw!BZ21/Raw!$C21</f>
        <v>0</v>
      </c>
      <c r="CA20" s="9">
        <f>Raw!CA21/Raw!$C21</f>
        <v>0</v>
      </c>
      <c r="CB20" s="9">
        <f>Raw!CB21/Raw!$C21</f>
        <v>0</v>
      </c>
      <c r="CC20" s="9">
        <f>Raw!CC21/Raw!$C21</f>
        <v>0</v>
      </c>
      <c r="CD20" s="9">
        <f>Raw!CD21/Raw!$C21</f>
        <v>0</v>
      </c>
      <c r="CE20" s="9">
        <f>Raw!CE21/Raw!$C21</f>
        <v>0</v>
      </c>
      <c r="CF20" s="9">
        <f>Raw!CF21/Raw!$C21</f>
        <v>0</v>
      </c>
      <c r="CG20" s="9">
        <f>Raw!CG21/Raw!$C21</f>
        <v>0</v>
      </c>
      <c r="CH20" s="9">
        <f>Raw!CH21/Raw!$C21</f>
        <v>0</v>
      </c>
      <c r="CI20" s="9">
        <f>Raw!CI21/Raw!$C21</f>
        <v>0</v>
      </c>
      <c r="CJ20" s="9">
        <f>Raw!CJ21/Raw!$C21</f>
        <v>0</v>
      </c>
      <c r="CK20" s="9">
        <f>Raw!CK21/Raw!$C21</f>
        <v>0</v>
      </c>
      <c r="CL20" s="9">
        <f>Raw!CL21/Raw!$C21</f>
        <v>0</v>
      </c>
      <c r="CM20" s="9">
        <f>Raw!CM21/Raw!$C21</f>
        <v>0</v>
      </c>
      <c r="CN20" s="9">
        <f>Raw!CN21/Raw!$C21</f>
        <v>0</v>
      </c>
      <c r="CO20" s="9">
        <f>Raw!CO21/Raw!$C21</f>
        <v>0</v>
      </c>
      <c r="CP20" s="9">
        <f>Raw!CP21/Raw!$C21</f>
        <v>0</v>
      </c>
      <c r="CQ20" s="9">
        <f>Raw!CQ21/Raw!$C21</f>
        <v>0</v>
      </c>
      <c r="CR20" s="2">
        <f t="shared" si="8"/>
        <v>749.99999999999989</v>
      </c>
      <c r="CS20" s="2">
        <f t="shared" si="9"/>
        <v>125.43749999999997</v>
      </c>
      <c r="CT20" s="3">
        <f t="shared" si="10"/>
        <v>2.8750612633917001</v>
      </c>
      <c r="CU20" s="3">
        <f t="shared" si="11"/>
        <v>2.0984273898315609</v>
      </c>
      <c r="CV20" s="3">
        <f>Raw!CR21/Raw!$C21</f>
        <v>5068.7499999999991</v>
      </c>
      <c r="CW20" s="3">
        <f>Raw!CS21/Raw!$C21</f>
        <v>2133.9374999999995</v>
      </c>
      <c r="CX20" s="3">
        <f t="shared" si="12"/>
        <v>3.704900871555231</v>
      </c>
      <c r="CY20" s="3">
        <f t="shared" si="13"/>
        <v>3.3291816954058779</v>
      </c>
      <c r="CZ20" s="3">
        <f t="shared" si="14"/>
        <v>3.7648296983254177</v>
      </c>
      <c r="DA20" s="3">
        <f t="shared" si="15"/>
        <v>3.3539883189746247</v>
      </c>
      <c r="DB20" s="6">
        <f t="shared" si="16"/>
        <v>1.0760130123517428</v>
      </c>
      <c r="DC20" s="3">
        <v>3</v>
      </c>
      <c r="DD20" s="3">
        <f>DC20/Raw!C21</f>
        <v>18.749999999999996</v>
      </c>
      <c r="DE20" s="5">
        <f t="shared" si="17"/>
        <v>4.000000000000001E-3</v>
      </c>
      <c r="DF20">
        <f t="shared" si="18"/>
        <v>-2.3979400086720375</v>
      </c>
      <c r="DH20" s="4">
        <f>-SUM('Shannon-Weiner'!B19:Z19)</f>
        <v>9.6318528724142358E-2</v>
      </c>
      <c r="DI20" s="4">
        <f>SUM('p^2'!B19:Z19)</f>
        <v>0.96708333333333329</v>
      </c>
      <c r="DJ20" s="4">
        <f t="shared" si="19"/>
        <v>3.2916666666666705E-2</v>
      </c>
      <c r="DK20">
        <f t="shared" si="20"/>
        <v>1.034037052994399</v>
      </c>
      <c r="DL20" s="4">
        <f>SUM('Shannon-Weiner_B'!B19:Z19)</f>
        <v>-0.66271628567839769</v>
      </c>
      <c r="DM20" s="4">
        <f>SUM('p_B^2'!B19:Z19)</f>
        <v>0.60276749364270399</v>
      </c>
      <c r="DN20" s="4">
        <f t="shared" si="21"/>
        <v>0.39723250635729601</v>
      </c>
      <c r="DO20">
        <f t="shared" si="22"/>
        <v>1.6590144799559468</v>
      </c>
    </row>
    <row r="21" spans="1:119" x14ac:dyDescent="0.25">
      <c r="A21" s="1"/>
      <c r="B21" t="str">
        <f>Raw!B22</f>
        <v>FA19</v>
      </c>
      <c r="C21">
        <v>1</v>
      </c>
      <c r="D21" s="9">
        <f>Raw!D22/Raw!$C22</f>
        <v>549.99999999999989</v>
      </c>
      <c r="E21" s="9">
        <f>Raw!E22/Raw!$C22</f>
        <v>107.31249999999999</v>
      </c>
      <c r="F21" s="9">
        <f>Raw!F22/Raw!$C22</f>
        <v>0</v>
      </c>
      <c r="G21" s="9">
        <f>Raw!G22/Raw!$C22</f>
        <v>0</v>
      </c>
      <c r="H21" s="9">
        <f>Raw!H22/Raw!$C22</f>
        <v>0</v>
      </c>
      <c r="I21" s="9">
        <f>Raw!I22/Raw!$C22</f>
        <v>0</v>
      </c>
      <c r="J21" s="9">
        <f>Raw!J22/Raw!$C22</f>
        <v>0</v>
      </c>
      <c r="K21" s="9">
        <f>Raw!K22/Raw!$C22</f>
        <v>0</v>
      </c>
      <c r="L21" s="9">
        <f>Raw!L22/Raw!$C22</f>
        <v>0</v>
      </c>
      <c r="M21" s="9">
        <f>Raw!M22/Raw!$C22</f>
        <v>0</v>
      </c>
      <c r="N21" s="9">
        <f>Raw!N22/Raw!$C22</f>
        <v>0</v>
      </c>
      <c r="O21" s="9">
        <f>Raw!O22/Raw!$C22</f>
        <v>0</v>
      </c>
      <c r="P21" s="9">
        <f>Raw!P22/Raw!$C22</f>
        <v>0</v>
      </c>
      <c r="Q21" s="9">
        <f>Raw!Q22/Raw!$C22</f>
        <v>0</v>
      </c>
      <c r="R21" s="9">
        <f>Raw!R22/Raw!$C22</f>
        <v>0</v>
      </c>
      <c r="S21" s="9">
        <f>Raw!S22/Raw!$C22</f>
        <v>0</v>
      </c>
      <c r="T21" s="9">
        <f>Raw!T22/Raw!$C22</f>
        <v>0</v>
      </c>
      <c r="U21" s="9">
        <f>Raw!U22/Raw!$C22</f>
        <v>0</v>
      </c>
      <c r="V21" s="9">
        <f>Raw!V22/Raw!$C22</f>
        <v>0</v>
      </c>
      <c r="W21" s="9">
        <f>Raw!W22/Raw!$C22</f>
        <v>0</v>
      </c>
      <c r="X21" s="9">
        <f>Raw!X22/Raw!$C22</f>
        <v>12.499999999999998</v>
      </c>
      <c r="Y21" s="9">
        <f>Raw!Y22/Raw!$C22</f>
        <v>9.6874999999999964</v>
      </c>
      <c r="Z21" s="9">
        <f>Raw!Z22/Raw!$C22</f>
        <v>0</v>
      </c>
      <c r="AA21" s="9">
        <f>Raw!AA22/Raw!$C22</f>
        <v>0</v>
      </c>
      <c r="AB21" s="9">
        <f>Raw!AB22/Raw!$C22</f>
        <v>0</v>
      </c>
      <c r="AC21" s="9">
        <f>Raw!AC22/Raw!$C22</f>
        <v>0</v>
      </c>
      <c r="AD21" s="9">
        <f>Raw!AD22/Raw!$C22</f>
        <v>0</v>
      </c>
      <c r="AE21" s="9">
        <f>Raw!AE22/Raw!$C22</f>
        <v>0</v>
      </c>
      <c r="AF21" s="9">
        <f>Raw!AF22/Raw!$C22</f>
        <v>0</v>
      </c>
      <c r="AG21" s="9">
        <f>Raw!AG22/Raw!$C22</f>
        <v>0</v>
      </c>
      <c r="AH21" s="9">
        <f>Raw!AH22/Raw!$C22</f>
        <v>0</v>
      </c>
      <c r="AI21" s="9">
        <f>Raw!AI22/Raw!$C22</f>
        <v>0</v>
      </c>
      <c r="AJ21" s="9">
        <f>Raw!AJ22/Raw!$C22</f>
        <v>0</v>
      </c>
      <c r="AK21" s="9">
        <f>Raw!AK22/Raw!$C22</f>
        <v>0</v>
      </c>
      <c r="AL21" s="9">
        <f>Raw!AL22/Raw!$C22</f>
        <v>6.2499999999999991</v>
      </c>
      <c r="AM21" s="9">
        <f>Raw!AM22/Raw!$C22</f>
        <v>233.18749999999997</v>
      </c>
      <c r="AN21" s="9">
        <f>Raw!AN22/Raw!$C22</f>
        <v>0</v>
      </c>
      <c r="AO21" s="9">
        <f>Raw!AO22/Raw!$C22</f>
        <v>0</v>
      </c>
      <c r="AP21" s="9">
        <f>Raw!AP22/Raw!$C22</f>
        <v>0</v>
      </c>
      <c r="AQ21" s="9">
        <f>Raw!AQ22/Raw!$C22</f>
        <v>0</v>
      </c>
      <c r="AR21" s="9">
        <f>Raw!AR22/Raw!$C22</f>
        <v>0</v>
      </c>
      <c r="AS21" s="9">
        <f>Raw!AS22/Raw!$C22</f>
        <v>0</v>
      </c>
      <c r="AT21" s="9">
        <f>Raw!AT22/Raw!$C22</f>
        <v>0</v>
      </c>
      <c r="AU21" s="9">
        <f>Raw!AU22/Raw!$C22</f>
        <v>0</v>
      </c>
      <c r="AV21" s="9">
        <f>Raw!AV22/Raw!$C22</f>
        <v>0</v>
      </c>
      <c r="AW21" s="9">
        <f>Raw!AW22/Raw!$C22</f>
        <v>0</v>
      </c>
      <c r="AX21" s="9">
        <f>Raw!AX22/Raw!$C22</f>
        <v>0</v>
      </c>
      <c r="AY21" s="9">
        <f>Raw!AY22/Raw!$C22</f>
        <v>0</v>
      </c>
      <c r="AZ21" s="9">
        <f>Raw!AZ22/Raw!$C22</f>
        <v>0</v>
      </c>
      <c r="BA21" s="9">
        <f>Raw!BA22/Raw!$C22</f>
        <v>0</v>
      </c>
      <c r="BB21" s="9">
        <f>Raw!BB22/Raw!$C22</f>
        <v>0</v>
      </c>
      <c r="BC21" s="9">
        <f>Raw!BC22/Raw!$C22</f>
        <v>0</v>
      </c>
      <c r="BD21" s="9">
        <f>Raw!BD22/Raw!$C22</f>
        <v>0</v>
      </c>
      <c r="BE21" s="9">
        <f>Raw!BE22/Raw!$C22</f>
        <v>0</v>
      </c>
      <c r="BF21" s="9">
        <f>Raw!BF22/Raw!$C22</f>
        <v>0</v>
      </c>
      <c r="BG21" s="9">
        <f>Raw!BG22/Raw!$C22</f>
        <v>0</v>
      </c>
      <c r="BH21" s="9">
        <f>Raw!BH22/Raw!$C22</f>
        <v>0</v>
      </c>
      <c r="BI21" s="9">
        <f>Raw!BI22/Raw!$C22</f>
        <v>0</v>
      </c>
      <c r="BJ21" s="9">
        <f>Raw!BJ22/Raw!$C22</f>
        <v>0</v>
      </c>
      <c r="BK21" s="9">
        <f>Raw!BK22/Raw!$C22</f>
        <v>0</v>
      </c>
      <c r="BL21" s="9">
        <f>Raw!BL22/Raw!$C22</f>
        <v>0</v>
      </c>
      <c r="BM21" s="9">
        <f>Raw!BM22/Raw!$C22</f>
        <v>0</v>
      </c>
      <c r="BN21" s="9">
        <f>Raw!BN22/Raw!$C22</f>
        <v>0</v>
      </c>
      <c r="BO21" s="9">
        <f>Raw!BO22/Raw!$C22</f>
        <v>0</v>
      </c>
      <c r="BP21" s="9">
        <f>Raw!BP22/Raw!$C22</f>
        <v>0</v>
      </c>
      <c r="BQ21" s="9">
        <f>Raw!BQ22/Raw!$C22</f>
        <v>0</v>
      </c>
      <c r="BR21" s="9">
        <f>Raw!BR22/Raw!$C22</f>
        <v>0</v>
      </c>
      <c r="BS21" s="9">
        <f>Raw!BS22/Raw!$C22</f>
        <v>0</v>
      </c>
      <c r="BT21" s="9">
        <f>Raw!BT22/Raw!$C22</f>
        <v>0</v>
      </c>
      <c r="BU21" s="9">
        <f>Raw!BU22/Raw!$C22</f>
        <v>0</v>
      </c>
      <c r="BV21" s="9">
        <f>Raw!BV22/Raw!$C22</f>
        <v>0</v>
      </c>
      <c r="BW21" s="9">
        <f>Raw!BW22/Raw!$C22</f>
        <v>0</v>
      </c>
      <c r="BX21" s="9">
        <f>Raw!BX22/Raw!$C22</f>
        <v>0</v>
      </c>
      <c r="BY21" s="9">
        <f>Raw!BY22/Raw!$C22</f>
        <v>0</v>
      </c>
      <c r="BZ21" s="9">
        <f>Raw!BZ22/Raw!$C22</f>
        <v>0</v>
      </c>
      <c r="CA21" s="9">
        <f>Raw!CA22/Raw!$C22</f>
        <v>0</v>
      </c>
      <c r="CB21" s="9">
        <f>Raw!CB22/Raw!$C22</f>
        <v>0</v>
      </c>
      <c r="CC21" s="9">
        <f>Raw!CC22/Raw!$C22</f>
        <v>0</v>
      </c>
      <c r="CD21" s="9">
        <f>Raw!CD22/Raw!$C22</f>
        <v>0</v>
      </c>
      <c r="CE21" s="9">
        <f>Raw!CE22/Raw!$C22</f>
        <v>0</v>
      </c>
      <c r="CF21" s="9">
        <f>Raw!CF22/Raw!$C22</f>
        <v>0</v>
      </c>
      <c r="CG21" s="9">
        <f>Raw!CG22/Raw!$C22</f>
        <v>0</v>
      </c>
      <c r="CH21" s="9">
        <f>Raw!CH22/Raw!$C22</f>
        <v>0</v>
      </c>
      <c r="CI21" s="9">
        <f>Raw!CI22/Raw!$C22</f>
        <v>0</v>
      </c>
      <c r="CJ21" s="9">
        <f>Raw!CJ22/Raw!$C22</f>
        <v>0</v>
      </c>
      <c r="CK21" s="9">
        <f>Raw!CK22/Raw!$C22</f>
        <v>0</v>
      </c>
      <c r="CL21" s="9">
        <f>Raw!CL22/Raw!$C22</f>
        <v>0</v>
      </c>
      <c r="CM21" s="9">
        <f>Raw!CM22/Raw!$C22</f>
        <v>0</v>
      </c>
      <c r="CN21" s="9">
        <f>Raw!CN22/Raw!$C22</f>
        <v>0</v>
      </c>
      <c r="CO21" s="9">
        <f>Raw!CO22/Raw!$C22</f>
        <v>0</v>
      </c>
      <c r="CP21" s="9">
        <f>Raw!CP22/Raw!$C22</f>
        <v>0</v>
      </c>
      <c r="CQ21" s="9">
        <f>Raw!CQ22/Raw!$C22</f>
        <v>0</v>
      </c>
      <c r="CR21" s="2">
        <f t="shared" si="8"/>
        <v>568.74999999999989</v>
      </c>
      <c r="CS21" s="2">
        <f t="shared" si="9"/>
        <v>350.18749999999994</v>
      </c>
      <c r="CT21" s="3">
        <f t="shared" si="10"/>
        <v>2.7549214096651689</v>
      </c>
      <c r="CU21" s="3">
        <f t="shared" si="11"/>
        <v>2.5443006398116434</v>
      </c>
      <c r="CV21" s="3">
        <f>Raw!CR22/Raw!$C22</f>
        <v>5068.7499999999991</v>
      </c>
      <c r="CW21" s="3">
        <f>Raw!CS22/Raw!$C22</f>
        <v>2133.9374999999995</v>
      </c>
      <c r="CX21" s="3">
        <f t="shared" si="12"/>
        <v>3.704900871555231</v>
      </c>
      <c r="CY21" s="3">
        <f t="shared" si="13"/>
        <v>3.3291816954058779</v>
      </c>
      <c r="CZ21" s="3">
        <f t="shared" si="14"/>
        <v>3.7510865548860171</v>
      </c>
      <c r="DA21" s="3">
        <f t="shared" si="15"/>
        <v>3.3951734455481706</v>
      </c>
      <c r="DB21" s="6">
        <f t="shared" si="16"/>
        <v>0.83621431266488677</v>
      </c>
      <c r="DC21" s="3">
        <v>3</v>
      </c>
      <c r="DD21" s="3">
        <f>DC21/Raw!C22</f>
        <v>18.749999999999996</v>
      </c>
      <c r="DE21" s="5">
        <f t="shared" si="17"/>
        <v>5.2747252747252756E-3</v>
      </c>
      <c r="DF21">
        <f t="shared" si="18"/>
        <v>-2.2778001549455063</v>
      </c>
      <c r="DH21" s="4">
        <f>-SUM('Shannon-Weiner'!B20:Z20)</f>
        <v>0.16589319843770653</v>
      </c>
      <c r="DI21" s="4">
        <f>SUM('p^2'!B20:Z20)</f>
        <v>0.93575655114116651</v>
      </c>
      <c r="DJ21" s="4">
        <f t="shared" si="19"/>
        <v>6.4243448858833485E-2</v>
      </c>
      <c r="DK21">
        <f t="shared" si="20"/>
        <v>1.0686540198735321</v>
      </c>
      <c r="DL21" s="4">
        <f>SUM('Shannon-Weiner_B'!B20:Z20)</f>
        <v>-0.73245414005652343</v>
      </c>
      <c r="DM21" s="4">
        <f>SUM('p_B^2'!B20:Z20)</f>
        <v>0.5380864302667463</v>
      </c>
      <c r="DN21" s="4">
        <f t="shared" si="21"/>
        <v>0.4619135697332537</v>
      </c>
      <c r="DO21">
        <f t="shared" si="22"/>
        <v>1.8584374995375161</v>
      </c>
    </row>
    <row r="22" spans="1:119" x14ac:dyDescent="0.25">
      <c r="A22" s="1">
        <v>44201</v>
      </c>
      <c r="B22" t="str">
        <f>Raw!B23</f>
        <v>FB1</v>
      </c>
      <c r="C22">
        <v>1</v>
      </c>
      <c r="D22" s="9">
        <f>Raw!D23/Raw!$C23</f>
        <v>1318.7499999999998</v>
      </c>
      <c r="E22" s="9">
        <f>Raw!E23/Raw!$C23</f>
        <v>146.62499999999997</v>
      </c>
      <c r="F22" s="9">
        <f>Raw!F23/Raw!$C23</f>
        <v>74.999999999999986</v>
      </c>
      <c r="G22" s="9">
        <f>Raw!G23/Raw!$C23</f>
        <v>0.62499999999999989</v>
      </c>
      <c r="H22" s="9">
        <f>Raw!H23/Raw!$C23</f>
        <v>0</v>
      </c>
      <c r="I22" s="9">
        <f>Raw!I23/Raw!$C23</f>
        <v>0</v>
      </c>
      <c r="J22" s="9">
        <f>Raw!J23/Raw!$C23</f>
        <v>74.999999999999986</v>
      </c>
      <c r="K22" s="9">
        <f>Raw!K23/Raw!$C23</f>
        <v>3.4374999999999996</v>
      </c>
      <c r="L22" s="9">
        <f>Raw!L23/Raw!$C23</f>
        <v>0</v>
      </c>
      <c r="M22" s="9">
        <f>Raw!M23/Raw!$C23</f>
        <v>0</v>
      </c>
      <c r="N22" s="9">
        <f>Raw!N23/Raw!$C23</f>
        <v>0</v>
      </c>
      <c r="O22" s="9">
        <f>Raw!O23/Raw!$C23</f>
        <v>0</v>
      </c>
      <c r="P22" s="9">
        <f>Raw!P23/Raw!$C23</f>
        <v>0</v>
      </c>
      <c r="Q22" s="9">
        <f>Raw!Q23/Raw!$C23</f>
        <v>0</v>
      </c>
      <c r="R22" s="9">
        <f>Raw!R23/Raw!$C23</f>
        <v>0</v>
      </c>
      <c r="S22" s="9">
        <f>Raw!S23/Raw!$C23</f>
        <v>0</v>
      </c>
      <c r="T22" s="9">
        <f>Raw!T23/Raw!$C23</f>
        <v>0</v>
      </c>
      <c r="U22" s="9">
        <f>Raw!U23/Raw!$C23</f>
        <v>0</v>
      </c>
      <c r="V22" s="9">
        <f>Raw!V23/Raw!$C23</f>
        <v>0</v>
      </c>
      <c r="W22" s="9">
        <f>Raw!W23/Raw!$C23</f>
        <v>0</v>
      </c>
      <c r="X22" s="9">
        <f>Raw!X23/Raw!$C23</f>
        <v>0</v>
      </c>
      <c r="Y22" s="9">
        <f>Raw!Y23/Raw!$C23</f>
        <v>0</v>
      </c>
      <c r="Z22" s="9">
        <f>Raw!Z23/Raw!$C23</f>
        <v>0</v>
      </c>
      <c r="AA22" s="9">
        <f>Raw!AA23/Raw!$C23</f>
        <v>0</v>
      </c>
      <c r="AB22" s="9">
        <f>Raw!AB23/Raw!$C23</f>
        <v>0</v>
      </c>
      <c r="AC22" s="9">
        <f>Raw!AC23/Raw!$C23</f>
        <v>0</v>
      </c>
      <c r="AD22" s="9">
        <f>Raw!AD23/Raw!$C23</f>
        <v>0</v>
      </c>
      <c r="AE22" s="9">
        <f>Raw!AE23/Raw!$C23</f>
        <v>0</v>
      </c>
      <c r="AF22" s="9">
        <f>Raw!AF23/Raw!$C23</f>
        <v>0</v>
      </c>
      <c r="AG22" s="9">
        <f>Raw!AG23/Raw!$C23</f>
        <v>0</v>
      </c>
      <c r="AH22" s="9">
        <f>Raw!AH23/Raw!$C23</f>
        <v>0</v>
      </c>
      <c r="AI22" s="9">
        <f>Raw!AI23/Raw!$C23</f>
        <v>0</v>
      </c>
      <c r="AJ22" s="9">
        <f>Raw!AJ23/Raw!$C23</f>
        <v>0</v>
      </c>
      <c r="AK22" s="9">
        <f>Raw!AK23/Raw!$C23</f>
        <v>0</v>
      </c>
      <c r="AL22" s="9">
        <f>Raw!AL23/Raw!$C23</f>
        <v>0</v>
      </c>
      <c r="AM22" s="9">
        <f>Raw!AM23/Raw!$C23</f>
        <v>0</v>
      </c>
      <c r="AN22" s="9">
        <f>Raw!AN23/Raw!$C23</f>
        <v>0</v>
      </c>
      <c r="AO22" s="9">
        <f>Raw!AO23/Raw!$C23</f>
        <v>0</v>
      </c>
      <c r="AP22" s="9">
        <f>Raw!AP23/Raw!$C23</f>
        <v>0</v>
      </c>
      <c r="AQ22" s="9">
        <f>Raw!AQ23/Raw!$C23</f>
        <v>0</v>
      </c>
      <c r="AR22" s="9">
        <f>Raw!AR23/Raw!$C23</f>
        <v>0</v>
      </c>
      <c r="AS22" s="9">
        <f>Raw!AS23/Raw!$C23</f>
        <v>0</v>
      </c>
      <c r="AT22" s="9">
        <f>Raw!AT23/Raw!$C23</f>
        <v>0</v>
      </c>
      <c r="AU22" s="9">
        <f>Raw!AU23/Raw!$C23</f>
        <v>0</v>
      </c>
      <c r="AV22" s="9">
        <f>Raw!AV23/Raw!$C23</f>
        <v>0</v>
      </c>
      <c r="AW22" s="9">
        <f>Raw!AW23/Raw!$C23</f>
        <v>0</v>
      </c>
      <c r="AX22" s="9">
        <f>Raw!AX23/Raw!$C23</f>
        <v>0</v>
      </c>
      <c r="AY22" s="9">
        <f>Raw!AY23/Raw!$C23</f>
        <v>0</v>
      </c>
      <c r="AZ22" s="9">
        <f>Raw!AZ23/Raw!$C23</f>
        <v>0</v>
      </c>
      <c r="BA22" s="9">
        <f>Raw!BA23/Raw!$C23</f>
        <v>0</v>
      </c>
      <c r="BB22" s="9">
        <f>Raw!BB23/Raw!$C23</f>
        <v>0</v>
      </c>
      <c r="BC22" s="9">
        <f>Raw!BC23/Raw!$C23</f>
        <v>0</v>
      </c>
      <c r="BD22" s="9">
        <f>Raw!BD23/Raw!$C23</f>
        <v>0</v>
      </c>
      <c r="BE22" s="9">
        <f>Raw!BE23/Raw!$C23</f>
        <v>0</v>
      </c>
      <c r="BF22" s="9">
        <f>Raw!BF23/Raw!$C23</f>
        <v>0</v>
      </c>
      <c r="BG22" s="9">
        <f>Raw!BG23/Raw!$C23</f>
        <v>0</v>
      </c>
      <c r="BH22" s="9">
        <f>Raw!BH23/Raw!$C23</f>
        <v>0</v>
      </c>
      <c r="BI22" s="9">
        <f>Raw!BI23/Raw!$C23</f>
        <v>0</v>
      </c>
      <c r="BJ22" s="9">
        <f>Raw!BJ23/Raw!$C23</f>
        <v>0</v>
      </c>
      <c r="BK22" s="9">
        <f>Raw!BK23/Raw!$C23</f>
        <v>0</v>
      </c>
      <c r="BL22" s="9">
        <f>Raw!BL23/Raw!$C23</f>
        <v>0</v>
      </c>
      <c r="BM22" s="9">
        <f>Raw!BM23/Raw!$C23</f>
        <v>0</v>
      </c>
      <c r="BN22" s="9">
        <f>Raw!BN23/Raw!$C23</f>
        <v>0</v>
      </c>
      <c r="BO22" s="9">
        <f>Raw!BO23/Raw!$C23</f>
        <v>0</v>
      </c>
      <c r="BP22" s="9">
        <f>Raw!BP23/Raw!$C23</f>
        <v>0</v>
      </c>
      <c r="BQ22" s="9">
        <f>Raw!BQ23/Raw!$C23</f>
        <v>0</v>
      </c>
      <c r="BR22" s="9">
        <f>Raw!BR23/Raw!$C23</f>
        <v>0</v>
      </c>
      <c r="BS22" s="9">
        <f>Raw!BS23/Raw!$C23</f>
        <v>0</v>
      </c>
      <c r="BT22" s="9">
        <f>Raw!BT23/Raw!$C23</f>
        <v>0</v>
      </c>
      <c r="BU22" s="9">
        <f>Raw!BU23/Raw!$C23</f>
        <v>0</v>
      </c>
      <c r="BV22" s="9">
        <f>Raw!BV23/Raw!$C23</f>
        <v>0</v>
      </c>
      <c r="BW22" s="9">
        <f>Raw!BW23/Raw!$C23</f>
        <v>0</v>
      </c>
      <c r="BX22" s="9">
        <f>Raw!BX23/Raw!$C23</f>
        <v>0</v>
      </c>
      <c r="BY22" s="9">
        <f>Raw!BY23/Raw!$C23</f>
        <v>0</v>
      </c>
      <c r="BZ22" s="9">
        <f>Raw!BZ23/Raw!$C23</f>
        <v>0</v>
      </c>
      <c r="CA22" s="9">
        <f>Raw!CA23/Raw!$C23</f>
        <v>0</v>
      </c>
      <c r="CB22" s="9">
        <f>Raw!CB23/Raw!$C23</f>
        <v>0</v>
      </c>
      <c r="CC22" s="9">
        <f>Raw!CC23/Raw!$C23</f>
        <v>0</v>
      </c>
      <c r="CD22" s="9">
        <f>Raw!CD23/Raw!$C23</f>
        <v>0</v>
      </c>
      <c r="CE22" s="9">
        <f>Raw!CE23/Raw!$C23</f>
        <v>0</v>
      </c>
      <c r="CF22" s="9">
        <f>Raw!CF23/Raw!$C23</f>
        <v>0</v>
      </c>
      <c r="CG22" s="9">
        <f>Raw!CG23/Raw!$C23</f>
        <v>0</v>
      </c>
      <c r="CH22" s="9">
        <f>Raw!CH23/Raw!$C23</f>
        <v>0</v>
      </c>
      <c r="CI22" s="9">
        <f>Raw!CI23/Raw!$C23</f>
        <v>0</v>
      </c>
      <c r="CJ22" s="9">
        <f>Raw!CJ23/Raw!$C23</f>
        <v>0</v>
      </c>
      <c r="CK22" s="9">
        <f>Raw!CK23/Raw!$C23</f>
        <v>0</v>
      </c>
      <c r="CL22" s="9">
        <f>Raw!CL23/Raw!$C23</f>
        <v>0</v>
      </c>
      <c r="CM22" s="9">
        <f>Raw!CM23/Raw!$C23</f>
        <v>0</v>
      </c>
      <c r="CN22" s="9">
        <f>Raw!CN23/Raw!$C23</f>
        <v>0</v>
      </c>
      <c r="CO22" s="9">
        <f>Raw!CO23/Raw!$C23</f>
        <v>0</v>
      </c>
      <c r="CP22" s="9">
        <f>Raw!CP23/Raw!$C23</f>
        <v>0</v>
      </c>
      <c r="CQ22" s="9">
        <f>Raw!CQ23/Raw!$C23</f>
        <v>0</v>
      </c>
      <c r="CR22" s="2">
        <f t="shared" si="8"/>
        <v>1468.7499999999998</v>
      </c>
      <c r="CS22" s="2">
        <f t="shared" si="9"/>
        <v>150.68749999999997</v>
      </c>
      <c r="CT22" s="3">
        <f t="shared" si="10"/>
        <v>3.1669478796158113</v>
      </c>
      <c r="CU22" s="3">
        <f t="shared" si="11"/>
        <v>2.1780772277215288</v>
      </c>
      <c r="CV22" s="3">
        <f>Raw!CR23/Raw!$C23</f>
        <v>3618.7499999999991</v>
      </c>
      <c r="CW22" s="3">
        <f>Raw!CS23/Raw!$C23</f>
        <v>2259.9999999999995</v>
      </c>
      <c r="CX22" s="3">
        <f t="shared" si="12"/>
        <v>3.5585585810715115</v>
      </c>
      <c r="CY22" s="3">
        <f t="shared" si="13"/>
        <v>3.3541084391474008</v>
      </c>
      <c r="CZ22" s="3">
        <f t="shared" si="14"/>
        <v>3.7065044222332766</v>
      </c>
      <c r="DA22" s="3">
        <f t="shared" si="15"/>
        <v>3.3821409159677538</v>
      </c>
      <c r="DB22" s="6">
        <f t="shared" si="16"/>
        <v>0.97213526028450525</v>
      </c>
      <c r="DC22" s="3">
        <v>3</v>
      </c>
      <c r="DD22" s="3">
        <f>DC22/Raw!C23</f>
        <v>18.749999999999996</v>
      </c>
      <c r="DE22" s="5">
        <f t="shared" si="17"/>
        <v>2.042553191489362E-3</v>
      </c>
      <c r="DF22">
        <f t="shared" si="18"/>
        <v>-2.6898266248961491</v>
      </c>
      <c r="DH22" s="4">
        <f>-SUM('Shannon-Weiner'!B21:Z21)</f>
        <v>0.40052242581070346</v>
      </c>
      <c r="DI22" s="4">
        <f>SUM('p^2'!B21:Z21)</f>
        <v>0.81138976912630145</v>
      </c>
      <c r="DJ22" s="4">
        <f t="shared" si="19"/>
        <v>0.18861023087369855</v>
      </c>
      <c r="DK22">
        <f t="shared" si="20"/>
        <v>1.2324533017920507</v>
      </c>
      <c r="DL22" s="4">
        <f>SUM('Shannon-Weiner_B'!B21:Z21)</f>
        <v>-0.13558417529754957</v>
      </c>
      <c r="DM22" s="4">
        <f>SUM('p_B^2'!B21:Z21)</f>
        <v>0.9473448890841627</v>
      </c>
      <c r="DN22" s="4">
        <f t="shared" si="21"/>
        <v>5.26551109158373E-2</v>
      </c>
      <c r="DO22">
        <f t="shared" si="22"/>
        <v>1.0555817754680041</v>
      </c>
    </row>
    <row r="23" spans="1:119" x14ac:dyDescent="0.25">
      <c r="A23" s="1">
        <v>44201</v>
      </c>
      <c r="B23" t="str">
        <f>Raw!B24</f>
        <v>FB2</v>
      </c>
      <c r="C23">
        <v>1</v>
      </c>
      <c r="D23" s="9">
        <f>Raw!D24/Raw!$C24</f>
        <v>593.74999999999989</v>
      </c>
      <c r="E23" s="9">
        <f>Raw!E24/Raw!$C24</f>
        <v>191.37499999999997</v>
      </c>
      <c r="F23" s="9">
        <f>Raw!F24/Raw!$C24</f>
        <v>237.49999999999994</v>
      </c>
      <c r="G23" s="9">
        <f>Raw!G24/Raw!$C24</f>
        <v>1.8749999999999996</v>
      </c>
      <c r="H23" s="9">
        <f>Raw!H24/Raw!$C24</f>
        <v>0</v>
      </c>
      <c r="I23" s="9">
        <f>Raw!I24/Raw!$C24</f>
        <v>0</v>
      </c>
      <c r="J23" s="9">
        <f>Raw!J24/Raw!$C24</f>
        <v>0</v>
      </c>
      <c r="K23" s="9">
        <f>Raw!K24/Raw!$C24</f>
        <v>0</v>
      </c>
      <c r="L23" s="9">
        <f>Raw!L24/Raw!$C24</f>
        <v>0</v>
      </c>
      <c r="M23" s="9">
        <f>Raw!M24/Raw!$C24</f>
        <v>0</v>
      </c>
      <c r="N23" s="9">
        <f>Raw!N24/Raw!$C24</f>
        <v>0</v>
      </c>
      <c r="O23" s="9">
        <f>Raw!O24/Raw!$C24</f>
        <v>0</v>
      </c>
      <c r="P23" s="9">
        <f>Raw!P24/Raw!$C24</f>
        <v>56.249999999999986</v>
      </c>
      <c r="Q23" s="9">
        <f>Raw!Q24/Raw!$C24</f>
        <v>1.1874999999999998</v>
      </c>
      <c r="R23" s="9">
        <f>Raw!R24/Raw!$C24</f>
        <v>0</v>
      </c>
      <c r="S23" s="9">
        <f>Raw!S24/Raw!$C24</f>
        <v>0</v>
      </c>
      <c r="T23" s="9">
        <f>Raw!T24/Raw!$C24</f>
        <v>0</v>
      </c>
      <c r="U23" s="9">
        <f>Raw!U24/Raw!$C24</f>
        <v>0</v>
      </c>
      <c r="V23" s="9">
        <f>Raw!V24/Raw!$C24</f>
        <v>0</v>
      </c>
      <c r="W23" s="9">
        <f>Raw!W24/Raw!$C24</f>
        <v>0</v>
      </c>
      <c r="X23" s="9">
        <f>Raw!X24/Raw!$C24</f>
        <v>0</v>
      </c>
      <c r="Y23" s="9">
        <f>Raw!Y24/Raw!$C24</f>
        <v>0</v>
      </c>
      <c r="Z23" s="9">
        <f>Raw!Z24/Raw!$C24</f>
        <v>0</v>
      </c>
      <c r="AA23" s="9">
        <f>Raw!AA24/Raw!$C24</f>
        <v>0</v>
      </c>
      <c r="AB23" s="9">
        <f>Raw!AB24/Raw!$C24</f>
        <v>0</v>
      </c>
      <c r="AC23" s="9">
        <f>Raw!AC24/Raw!$C24</f>
        <v>0</v>
      </c>
      <c r="AD23" s="9">
        <f>Raw!AD24/Raw!$C24</f>
        <v>0</v>
      </c>
      <c r="AE23" s="9">
        <f>Raw!AE24/Raw!$C24</f>
        <v>0</v>
      </c>
      <c r="AF23" s="9">
        <f>Raw!AF24/Raw!$C24</f>
        <v>0</v>
      </c>
      <c r="AG23" s="9">
        <f>Raw!AG24/Raw!$C24</f>
        <v>0</v>
      </c>
      <c r="AH23" s="9">
        <f>Raw!AH24/Raw!$C24</f>
        <v>0</v>
      </c>
      <c r="AI23" s="9">
        <f>Raw!AI24/Raw!$C24</f>
        <v>0</v>
      </c>
      <c r="AJ23" s="9">
        <f>Raw!AJ24/Raw!$C24</f>
        <v>0</v>
      </c>
      <c r="AK23" s="9">
        <f>Raw!AK24/Raw!$C24</f>
        <v>0</v>
      </c>
      <c r="AL23" s="9">
        <f>Raw!AL24/Raw!$C24</f>
        <v>6.2499999999999991</v>
      </c>
      <c r="AM23" s="9">
        <f>Raw!AM24/Raw!$C24</f>
        <v>6.2499999999999986E-2</v>
      </c>
      <c r="AN23" s="9">
        <f>Raw!AN24/Raw!$C24</f>
        <v>0</v>
      </c>
      <c r="AO23" s="9">
        <f>Raw!AO24/Raw!$C24</f>
        <v>0</v>
      </c>
      <c r="AP23" s="9">
        <f>Raw!AP24/Raw!$C24</f>
        <v>0</v>
      </c>
      <c r="AQ23" s="9">
        <f>Raw!AQ24/Raw!$C24</f>
        <v>0</v>
      </c>
      <c r="AR23" s="9">
        <f>Raw!AR24/Raw!$C24</f>
        <v>0</v>
      </c>
      <c r="AS23" s="9">
        <f>Raw!AS24/Raw!$C24</f>
        <v>0</v>
      </c>
      <c r="AT23" s="9">
        <f>Raw!AT24/Raw!$C24</f>
        <v>0</v>
      </c>
      <c r="AU23" s="9">
        <f>Raw!AU24/Raw!$C24</f>
        <v>0</v>
      </c>
      <c r="AV23" s="9">
        <f>Raw!AV24/Raw!$C24</f>
        <v>0</v>
      </c>
      <c r="AW23" s="9">
        <f>Raw!AW24/Raw!$C24</f>
        <v>0</v>
      </c>
      <c r="AX23" s="9">
        <f>Raw!AX24/Raw!$C24</f>
        <v>0</v>
      </c>
      <c r="AY23" s="9">
        <f>Raw!AY24/Raw!$C24</f>
        <v>0</v>
      </c>
      <c r="AZ23" s="9">
        <f>Raw!AZ24/Raw!$C24</f>
        <v>0</v>
      </c>
      <c r="BA23" s="9">
        <f>Raw!BA24/Raw!$C24</f>
        <v>0</v>
      </c>
      <c r="BB23" s="9">
        <f>Raw!BB24/Raw!$C24</f>
        <v>0</v>
      </c>
      <c r="BC23" s="9">
        <f>Raw!BC24/Raw!$C24</f>
        <v>0</v>
      </c>
      <c r="BD23" s="9">
        <f>Raw!BD24/Raw!$C24</f>
        <v>0</v>
      </c>
      <c r="BE23" s="9">
        <f>Raw!BE24/Raw!$C24</f>
        <v>0</v>
      </c>
      <c r="BF23" s="9">
        <f>Raw!BF24/Raw!$C24</f>
        <v>0</v>
      </c>
      <c r="BG23" s="9">
        <f>Raw!BG24/Raw!$C24</f>
        <v>0</v>
      </c>
      <c r="BH23" s="9">
        <f>Raw!BH24/Raw!$C24</f>
        <v>0</v>
      </c>
      <c r="BI23" s="9">
        <f>Raw!BI24/Raw!$C24</f>
        <v>0</v>
      </c>
      <c r="BJ23" s="9">
        <f>Raw!BJ24/Raw!$C24</f>
        <v>0</v>
      </c>
      <c r="BK23" s="9">
        <f>Raw!BK24/Raw!$C24</f>
        <v>0</v>
      </c>
      <c r="BL23" s="9">
        <f>Raw!BL24/Raw!$C24</f>
        <v>0</v>
      </c>
      <c r="BM23" s="9">
        <f>Raw!BM24/Raw!$C24</f>
        <v>0</v>
      </c>
      <c r="BN23" s="9">
        <f>Raw!BN24/Raw!$C24</f>
        <v>0</v>
      </c>
      <c r="BO23" s="9">
        <f>Raw!BO24/Raw!$C24</f>
        <v>0</v>
      </c>
      <c r="BP23" s="9">
        <f>Raw!BP24/Raw!$C24</f>
        <v>0</v>
      </c>
      <c r="BQ23" s="9">
        <f>Raw!BQ24/Raw!$C24</f>
        <v>0</v>
      </c>
      <c r="BR23" s="9">
        <f>Raw!BR24/Raw!$C24</f>
        <v>0</v>
      </c>
      <c r="BS23" s="9">
        <f>Raw!BS24/Raw!$C24</f>
        <v>0</v>
      </c>
      <c r="BT23" s="9">
        <f>Raw!BT24/Raw!$C24</f>
        <v>0</v>
      </c>
      <c r="BU23" s="9">
        <f>Raw!BU24/Raw!$C24</f>
        <v>0</v>
      </c>
      <c r="BV23" s="9">
        <f>Raw!BV24/Raw!$C24</f>
        <v>0</v>
      </c>
      <c r="BW23" s="9">
        <f>Raw!BW24/Raw!$C24</f>
        <v>0</v>
      </c>
      <c r="BX23" s="9">
        <f>Raw!BX24/Raw!$C24</f>
        <v>0</v>
      </c>
      <c r="BY23" s="9">
        <f>Raw!BY24/Raw!$C24</f>
        <v>0</v>
      </c>
      <c r="BZ23" s="9">
        <f>Raw!BZ24/Raw!$C24</f>
        <v>0</v>
      </c>
      <c r="CA23" s="9">
        <f>Raw!CA24/Raw!$C24</f>
        <v>0</v>
      </c>
      <c r="CB23" s="9">
        <f>Raw!CB24/Raw!$C24</f>
        <v>0</v>
      </c>
      <c r="CC23" s="9">
        <f>Raw!CC24/Raw!$C24</f>
        <v>0</v>
      </c>
      <c r="CD23" s="9">
        <f>Raw!CD24/Raw!$C24</f>
        <v>0</v>
      </c>
      <c r="CE23" s="9">
        <f>Raw!CE24/Raw!$C24</f>
        <v>0</v>
      </c>
      <c r="CF23" s="9">
        <f>Raw!CF24/Raw!$C24</f>
        <v>0</v>
      </c>
      <c r="CG23" s="9">
        <f>Raw!CG24/Raw!$C24</f>
        <v>0</v>
      </c>
      <c r="CH23" s="9">
        <f>Raw!CH24/Raw!$C24</f>
        <v>0</v>
      </c>
      <c r="CI23" s="9">
        <f>Raw!CI24/Raw!$C24</f>
        <v>0</v>
      </c>
      <c r="CJ23" s="9">
        <f>Raw!CJ24/Raw!$C24</f>
        <v>0</v>
      </c>
      <c r="CK23" s="9">
        <f>Raw!CK24/Raw!$C24</f>
        <v>0</v>
      </c>
      <c r="CL23" s="9">
        <f>Raw!CL24/Raw!$C24</f>
        <v>0</v>
      </c>
      <c r="CM23" s="9">
        <f>Raw!CM24/Raw!$C24</f>
        <v>0</v>
      </c>
      <c r="CN23" s="9">
        <f>Raw!CN24/Raw!$C24</f>
        <v>0</v>
      </c>
      <c r="CO23" s="9">
        <f>Raw!CO24/Raw!$C24</f>
        <v>0</v>
      </c>
      <c r="CP23" s="9">
        <f>Raw!CP24/Raw!$C24</f>
        <v>0</v>
      </c>
      <c r="CQ23" s="9">
        <f>Raw!CQ24/Raw!$C24</f>
        <v>0</v>
      </c>
      <c r="CR23" s="2">
        <f t="shared" si="8"/>
        <v>893.74999999999977</v>
      </c>
      <c r="CS23" s="2">
        <f t="shared" si="9"/>
        <v>194.49999999999997</v>
      </c>
      <c r="CT23" s="3">
        <f t="shared" si="10"/>
        <v>2.9512160548091368</v>
      </c>
      <c r="CU23" s="3">
        <f t="shared" si="11"/>
        <v>2.2889196056617265</v>
      </c>
      <c r="CV23" s="3">
        <f>Raw!CR24/Raw!$C24</f>
        <v>3618.7499999999991</v>
      </c>
      <c r="CW23" s="3">
        <f>Raw!CS24/Raw!$C24</f>
        <v>2259.9999999999995</v>
      </c>
      <c r="CX23" s="3">
        <f t="shared" si="12"/>
        <v>3.5585585810715115</v>
      </c>
      <c r="CY23" s="3">
        <f t="shared" si="13"/>
        <v>3.3541084391474008</v>
      </c>
      <c r="CZ23" s="3">
        <f t="shared" si="14"/>
        <v>3.6544172149137144</v>
      </c>
      <c r="DA23" s="3">
        <f t="shared" si="15"/>
        <v>3.3899630364358884</v>
      </c>
      <c r="DB23" s="6">
        <f t="shared" si="16"/>
        <v>0.9487290707707916</v>
      </c>
      <c r="DC23" s="3">
        <v>4</v>
      </c>
      <c r="DD23" s="3">
        <f>DC23/Raw!C24</f>
        <v>24.999999999999996</v>
      </c>
      <c r="DE23" s="5">
        <f t="shared" si="17"/>
        <v>4.4755244755244764E-3</v>
      </c>
      <c r="DF23">
        <f t="shared" si="18"/>
        <v>-2.3491560634811743</v>
      </c>
      <c r="DH23" s="4">
        <f>-SUM('Shannon-Weiner'!B22:Z22)</f>
        <v>0.8326236514649421</v>
      </c>
      <c r="DI23" s="4">
        <f>SUM('p^2'!B22:Z22)</f>
        <v>0.51596655093158594</v>
      </c>
      <c r="DJ23" s="4">
        <f t="shared" si="19"/>
        <v>0.48403344906841406</v>
      </c>
      <c r="DK23">
        <f t="shared" si="20"/>
        <v>1.9381101317410669</v>
      </c>
      <c r="DL23" s="4">
        <f>SUM('Shannon-Weiner_B'!B22:Z22)</f>
        <v>-9.439811780714881E-2</v>
      </c>
      <c r="DM23" s="4">
        <f>SUM('p_B^2'!B22:Z22)</f>
        <v>0.96825477792242975</v>
      </c>
      <c r="DN23" s="4">
        <f t="shared" si="21"/>
        <v>3.1745222077570245E-2</v>
      </c>
      <c r="DO23">
        <f t="shared" si="22"/>
        <v>1.0327860216147711</v>
      </c>
    </row>
    <row r="24" spans="1:119" x14ac:dyDescent="0.25">
      <c r="A24" s="1">
        <v>44201</v>
      </c>
      <c r="B24" t="str">
        <f>Raw!B25</f>
        <v>FB3</v>
      </c>
      <c r="C24">
        <v>1</v>
      </c>
      <c r="D24" s="9">
        <f>Raw!D25/Raw!$C25</f>
        <v>443.74999999999989</v>
      </c>
      <c r="E24" s="9">
        <f>Raw!E25/Raw!$C25</f>
        <v>91.374999999999972</v>
      </c>
      <c r="F24" s="9">
        <f>Raw!F25/Raw!$C25</f>
        <v>331.24999999999994</v>
      </c>
      <c r="G24" s="9">
        <f>Raw!G25/Raw!$C25</f>
        <v>2.3124999999999996</v>
      </c>
      <c r="H24" s="9">
        <f>Raw!H25/Raw!$C25</f>
        <v>0</v>
      </c>
      <c r="I24" s="9">
        <f>Raw!I25/Raw!$C25</f>
        <v>0</v>
      </c>
      <c r="J24" s="9">
        <f>Raw!J25/Raw!$C25</f>
        <v>6.2499999999999991</v>
      </c>
      <c r="K24" s="9">
        <f>Raw!K25/Raw!$C25</f>
        <v>0.24999999999999994</v>
      </c>
      <c r="L24" s="9">
        <f>Raw!L25/Raw!$C25</f>
        <v>0</v>
      </c>
      <c r="M24" s="9">
        <f>Raw!M25/Raw!$C25</f>
        <v>0</v>
      </c>
      <c r="N24" s="9">
        <f>Raw!N25/Raw!$C25</f>
        <v>0</v>
      </c>
      <c r="O24" s="9">
        <f>Raw!O25/Raw!$C25</f>
        <v>0</v>
      </c>
      <c r="P24" s="9">
        <f>Raw!P25/Raw!$C25</f>
        <v>49.999999999999993</v>
      </c>
      <c r="Q24" s="9">
        <f>Raw!Q25/Raw!$C25</f>
        <v>6.9999999999999991</v>
      </c>
      <c r="R24" s="9">
        <f>Raw!R25/Raw!$C25</f>
        <v>0</v>
      </c>
      <c r="S24" s="9">
        <f>Raw!S25/Raw!$C25</f>
        <v>0</v>
      </c>
      <c r="T24" s="9">
        <f>Raw!T25/Raw!$C25</f>
        <v>0</v>
      </c>
      <c r="U24" s="9">
        <f>Raw!U25/Raw!$C25</f>
        <v>0</v>
      </c>
      <c r="V24" s="9">
        <f>Raw!V25/Raw!$C25</f>
        <v>0</v>
      </c>
      <c r="W24" s="9">
        <f>Raw!W25/Raw!$C25</f>
        <v>0</v>
      </c>
      <c r="X24" s="9">
        <f>Raw!X25/Raw!$C25</f>
        <v>6.2499999999999991</v>
      </c>
      <c r="Y24" s="9">
        <f>Raw!Y25/Raw!$C25</f>
        <v>1.8124999999999996</v>
      </c>
      <c r="Z24" s="9">
        <f>Raw!Z25/Raw!$C25</f>
        <v>0</v>
      </c>
      <c r="AA24" s="9">
        <f>Raw!AA25/Raw!$C25</f>
        <v>0</v>
      </c>
      <c r="AB24" s="9">
        <f>Raw!AB25/Raw!$C25</f>
        <v>0</v>
      </c>
      <c r="AC24" s="9">
        <f>Raw!AC25/Raw!$C25</f>
        <v>0</v>
      </c>
      <c r="AD24" s="9">
        <f>Raw!AD25/Raw!$C25</f>
        <v>0</v>
      </c>
      <c r="AE24" s="9">
        <f>Raw!AE25/Raw!$C25</f>
        <v>0</v>
      </c>
      <c r="AF24" s="9">
        <f>Raw!AF25/Raw!$C25</f>
        <v>0</v>
      </c>
      <c r="AG24" s="9">
        <f>Raw!AG25/Raw!$C25</f>
        <v>0</v>
      </c>
      <c r="AH24" s="9">
        <f>Raw!AH25/Raw!$C25</f>
        <v>6.2499999999999991</v>
      </c>
      <c r="AI24" s="9">
        <f>Raw!AI25/Raw!$C25</f>
        <v>9.2499999999999982</v>
      </c>
      <c r="AJ24" s="9">
        <f>Raw!AJ25/Raw!$C25</f>
        <v>0</v>
      </c>
      <c r="AK24" s="9">
        <f>Raw!AK25/Raw!$C25</f>
        <v>0</v>
      </c>
      <c r="AL24" s="9">
        <f>Raw!AL25/Raw!$C25</f>
        <v>0</v>
      </c>
      <c r="AM24" s="9">
        <f>Raw!AM25/Raw!$C25</f>
        <v>0</v>
      </c>
      <c r="AN24" s="9">
        <f>Raw!AN25/Raw!$C25</f>
        <v>0</v>
      </c>
      <c r="AO24" s="9">
        <f>Raw!AO25/Raw!$C25</f>
        <v>0</v>
      </c>
      <c r="AP24" s="9">
        <f>Raw!AP25/Raw!$C25</f>
        <v>0</v>
      </c>
      <c r="AQ24" s="9">
        <f>Raw!AQ25/Raw!$C25</f>
        <v>0</v>
      </c>
      <c r="AR24" s="9">
        <f>Raw!AR25/Raw!$C25</f>
        <v>0</v>
      </c>
      <c r="AS24" s="9">
        <f>Raw!AS25/Raw!$C25</f>
        <v>0</v>
      </c>
      <c r="AT24" s="9">
        <f>Raw!AT25/Raw!$C25</f>
        <v>0</v>
      </c>
      <c r="AU24" s="9">
        <f>Raw!AU25/Raw!$C25</f>
        <v>0</v>
      </c>
      <c r="AV24" s="9">
        <f>Raw!AV25/Raw!$C25</f>
        <v>0</v>
      </c>
      <c r="AW24" s="9">
        <f>Raw!AW25/Raw!$C25</f>
        <v>0</v>
      </c>
      <c r="AX24" s="9">
        <f>Raw!AX25/Raw!$C25</f>
        <v>0</v>
      </c>
      <c r="AY24" s="9">
        <f>Raw!AY25/Raw!$C25</f>
        <v>0</v>
      </c>
      <c r="AZ24" s="9">
        <f>Raw!AZ25/Raw!$C25</f>
        <v>0</v>
      </c>
      <c r="BA24" s="9">
        <f>Raw!BA25/Raw!$C25</f>
        <v>0</v>
      </c>
      <c r="BB24" s="9">
        <f>Raw!BB25/Raw!$C25</f>
        <v>0</v>
      </c>
      <c r="BC24" s="9">
        <f>Raw!BC25/Raw!$C25</f>
        <v>0</v>
      </c>
      <c r="BD24" s="9">
        <f>Raw!BD25/Raw!$C25</f>
        <v>0</v>
      </c>
      <c r="BE24" s="9">
        <f>Raw!BE25/Raw!$C25</f>
        <v>0</v>
      </c>
      <c r="BF24" s="9">
        <f>Raw!BF25/Raw!$C25</f>
        <v>0</v>
      </c>
      <c r="BG24" s="9">
        <f>Raw!BG25/Raw!$C25</f>
        <v>0</v>
      </c>
      <c r="BH24" s="9">
        <f>Raw!BH25/Raw!$C25</f>
        <v>0</v>
      </c>
      <c r="BI24" s="9">
        <f>Raw!BI25/Raw!$C25</f>
        <v>0</v>
      </c>
      <c r="BJ24" s="9">
        <f>Raw!BJ25/Raw!$C25</f>
        <v>0</v>
      </c>
      <c r="BK24" s="9">
        <f>Raw!BK25/Raw!$C25</f>
        <v>0</v>
      </c>
      <c r="BL24" s="9">
        <f>Raw!BL25/Raw!$C25</f>
        <v>0</v>
      </c>
      <c r="BM24" s="9">
        <f>Raw!BM25/Raw!$C25</f>
        <v>0</v>
      </c>
      <c r="BN24" s="9">
        <f>Raw!BN25/Raw!$C25</f>
        <v>0</v>
      </c>
      <c r="BO24" s="9">
        <f>Raw!BO25/Raw!$C25</f>
        <v>0</v>
      </c>
      <c r="BP24" s="9">
        <f>Raw!BP25/Raw!$C25</f>
        <v>0</v>
      </c>
      <c r="BQ24" s="9">
        <f>Raw!BQ25/Raw!$C25</f>
        <v>0</v>
      </c>
      <c r="BR24" s="9">
        <f>Raw!BR25/Raw!$C25</f>
        <v>0</v>
      </c>
      <c r="BS24" s="9">
        <f>Raw!BS25/Raw!$C25</f>
        <v>0</v>
      </c>
      <c r="BT24" s="9">
        <f>Raw!BT25/Raw!$C25</f>
        <v>0</v>
      </c>
      <c r="BU24" s="9">
        <f>Raw!BU25/Raw!$C25</f>
        <v>0</v>
      </c>
      <c r="BV24" s="9">
        <f>Raw!BV25/Raw!$C25</f>
        <v>0</v>
      </c>
      <c r="BW24" s="9">
        <f>Raw!BW25/Raw!$C25</f>
        <v>0</v>
      </c>
      <c r="BX24" s="9">
        <f>Raw!BX25/Raw!$C25</f>
        <v>0</v>
      </c>
      <c r="BY24" s="9">
        <f>Raw!BY25/Raw!$C25</f>
        <v>0</v>
      </c>
      <c r="BZ24" s="9">
        <f>Raw!BZ25/Raw!$C25</f>
        <v>0</v>
      </c>
      <c r="CA24" s="9">
        <f>Raw!CA25/Raw!$C25</f>
        <v>0</v>
      </c>
      <c r="CB24" s="9">
        <f>Raw!CB25/Raw!$C25</f>
        <v>0</v>
      </c>
      <c r="CC24" s="9">
        <f>Raw!CC25/Raw!$C25</f>
        <v>0</v>
      </c>
      <c r="CD24" s="9">
        <f>Raw!CD25/Raw!$C25</f>
        <v>0</v>
      </c>
      <c r="CE24" s="9">
        <f>Raw!CE25/Raw!$C25</f>
        <v>0</v>
      </c>
      <c r="CF24" s="9">
        <f>Raw!CF25/Raw!$C25</f>
        <v>0</v>
      </c>
      <c r="CG24" s="9">
        <f>Raw!CG25/Raw!$C25</f>
        <v>0</v>
      </c>
      <c r="CH24" s="9">
        <f>Raw!CH25/Raw!$C25</f>
        <v>0</v>
      </c>
      <c r="CI24" s="9">
        <f>Raw!CI25/Raw!$C25</f>
        <v>0</v>
      </c>
      <c r="CJ24" s="9">
        <f>Raw!CJ25/Raw!$C25</f>
        <v>0</v>
      </c>
      <c r="CK24" s="9">
        <f>Raw!CK25/Raw!$C25</f>
        <v>0</v>
      </c>
      <c r="CL24" s="9">
        <f>Raw!CL25/Raw!$C25</f>
        <v>0</v>
      </c>
      <c r="CM24" s="9">
        <f>Raw!CM25/Raw!$C25</f>
        <v>0</v>
      </c>
      <c r="CN24" s="9">
        <f>Raw!CN25/Raw!$C25</f>
        <v>0</v>
      </c>
      <c r="CO24" s="9">
        <f>Raw!CO25/Raw!$C25</f>
        <v>0</v>
      </c>
      <c r="CP24" s="9">
        <f>Raw!CP25/Raw!$C25</f>
        <v>0</v>
      </c>
      <c r="CQ24" s="9">
        <f>Raw!CQ25/Raw!$C25</f>
        <v>0</v>
      </c>
      <c r="CR24" s="2">
        <f t="shared" si="8"/>
        <v>843.74999999999977</v>
      </c>
      <c r="CS24" s="2">
        <f t="shared" si="9"/>
        <v>111.99999999999997</v>
      </c>
      <c r="CT24" s="3">
        <f t="shared" si="10"/>
        <v>2.9262137858390811</v>
      </c>
      <c r="CU24" s="3">
        <f t="shared" si="11"/>
        <v>2.0492180226701815</v>
      </c>
      <c r="CV24" s="3">
        <f>Raw!CR25/Raw!$C25</f>
        <v>3618.7499999999991</v>
      </c>
      <c r="CW24" s="3">
        <f>Raw!CS25/Raw!$C25</f>
        <v>2259.9999999999995</v>
      </c>
      <c r="CX24" s="3">
        <f t="shared" si="12"/>
        <v>3.5585585810715115</v>
      </c>
      <c r="CY24" s="3">
        <f t="shared" si="13"/>
        <v>3.3541084391474008</v>
      </c>
      <c r="CZ24" s="3">
        <f t="shared" si="14"/>
        <v>3.6495782291202494</v>
      </c>
      <c r="DA24" s="3">
        <f t="shared" si="15"/>
        <v>3.3751146846922251</v>
      </c>
      <c r="DB24" s="6">
        <f t="shared" si="16"/>
        <v>1.0950970678701206</v>
      </c>
      <c r="DC24" s="3">
        <v>6</v>
      </c>
      <c r="DD24" s="3">
        <f>DC24/Raw!C25</f>
        <v>37.499999999999993</v>
      </c>
      <c r="DE24" s="5">
        <f t="shared" si="17"/>
        <v>7.1111111111111132E-3</v>
      </c>
      <c r="DF24">
        <f t="shared" si="18"/>
        <v>-2.1480625354554377</v>
      </c>
      <c r="DH24" s="4">
        <f>-SUM('Shannon-Weiner'!B23:Z23)</f>
        <v>0.98148755605595139</v>
      </c>
      <c r="DI24" s="4">
        <f>SUM('p^2'!B23:Z23)</f>
        <v>0.43440329218106988</v>
      </c>
      <c r="DJ24" s="4">
        <f t="shared" si="19"/>
        <v>0.56559670781893012</v>
      </c>
      <c r="DK24">
        <f t="shared" si="20"/>
        <v>2.3020083364910957</v>
      </c>
      <c r="DL24" s="4">
        <f>SUM('Shannon-Weiner_B'!B23:Z23)</f>
        <v>-0.70577862840268879</v>
      </c>
      <c r="DM24" s="4">
        <f>SUM('p_B^2'!B23:Z23)</f>
        <v>0.67702873385682394</v>
      </c>
      <c r="DN24" s="4">
        <f t="shared" si="21"/>
        <v>0.32297126614317606</v>
      </c>
      <c r="DO24">
        <f t="shared" si="22"/>
        <v>1.477042184462849</v>
      </c>
    </row>
    <row r="25" spans="1:119" x14ac:dyDescent="0.25">
      <c r="A25" s="1">
        <v>44201</v>
      </c>
      <c r="B25" t="str">
        <f>Raw!B26</f>
        <v>FB4</v>
      </c>
      <c r="C25">
        <v>1</v>
      </c>
      <c r="D25" s="9">
        <f>Raw!D26/Raw!$C26</f>
        <v>262.49999999999994</v>
      </c>
      <c r="E25" s="9">
        <f>Raw!E26/Raw!$C26</f>
        <v>332.81249999999994</v>
      </c>
      <c r="F25" s="9">
        <f>Raw!F26/Raw!$C26</f>
        <v>199.99999999999997</v>
      </c>
      <c r="G25" s="9">
        <f>Raw!G26/Raw!$C26</f>
        <v>1.7499999999999998</v>
      </c>
      <c r="H25" s="9">
        <f>Raw!H26/Raw!$C26</f>
        <v>6.2499999999999991</v>
      </c>
      <c r="I25" s="9">
        <f>Raw!I26/Raw!$C26</f>
        <v>3.6249999999999991</v>
      </c>
      <c r="J25" s="9">
        <f>Raw!J26/Raw!$C26</f>
        <v>0</v>
      </c>
      <c r="K25" s="9">
        <f>Raw!K26/Raw!$C26</f>
        <v>0</v>
      </c>
      <c r="L25" s="9">
        <f>Raw!L26/Raw!$C26</f>
        <v>0</v>
      </c>
      <c r="M25" s="9">
        <f>Raw!M26/Raw!$C26</f>
        <v>0</v>
      </c>
      <c r="N25" s="9">
        <f>Raw!N26/Raw!$C26</f>
        <v>0</v>
      </c>
      <c r="O25" s="9">
        <f>Raw!O26/Raw!$C26</f>
        <v>0</v>
      </c>
      <c r="P25" s="9">
        <f>Raw!P26/Raw!$C26</f>
        <v>112.49999999999997</v>
      </c>
      <c r="Q25" s="9">
        <f>Raw!Q26/Raw!$C26</f>
        <v>21.624999999999996</v>
      </c>
      <c r="R25" s="9">
        <f>Raw!R26/Raw!$C26</f>
        <v>0</v>
      </c>
      <c r="S25" s="9">
        <f>Raw!S26/Raw!$C26</f>
        <v>0</v>
      </c>
      <c r="T25" s="9">
        <f>Raw!T26/Raw!$C26</f>
        <v>0</v>
      </c>
      <c r="U25" s="9">
        <f>Raw!U26/Raw!$C26</f>
        <v>0</v>
      </c>
      <c r="V25" s="9">
        <f>Raw!V26/Raw!$C26</f>
        <v>0</v>
      </c>
      <c r="W25" s="9">
        <f>Raw!W26/Raw!$C26</f>
        <v>0</v>
      </c>
      <c r="X25" s="9">
        <f>Raw!X26/Raw!$C26</f>
        <v>0</v>
      </c>
      <c r="Y25" s="9">
        <f>Raw!Y26/Raw!$C26</f>
        <v>0</v>
      </c>
      <c r="Z25" s="9">
        <f>Raw!Z26/Raw!$C26</f>
        <v>0</v>
      </c>
      <c r="AA25" s="9">
        <f>Raw!AA26/Raw!$C26</f>
        <v>0</v>
      </c>
      <c r="AB25" s="9">
        <f>Raw!AB26/Raw!$C26</f>
        <v>0</v>
      </c>
      <c r="AC25" s="9">
        <f>Raw!AC26/Raw!$C26</f>
        <v>0</v>
      </c>
      <c r="AD25" s="9">
        <f>Raw!AD26/Raw!$C26</f>
        <v>0</v>
      </c>
      <c r="AE25" s="9">
        <f>Raw!AE26/Raw!$C26</f>
        <v>0</v>
      </c>
      <c r="AF25" s="9">
        <f>Raw!AF26/Raw!$C26</f>
        <v>6.2499999999999991</v>
      </c>
      <c r="AG25" s="9">
        <f>Raw!AG26/Raw!$C26</f>
        <v>0.24999999999999994</v>
      </c>
      <c r="AH25" s="9">
        <f>Raw!AH26/Raw!$C26</f>
        <v>0</v>
      </c>
      <c r="AI25" s="9">
        <f>Raw!AI26/Raw!$C26</f>
        <v>0</v>
      </c>
      <c r="AJ25" s="9">
        <f>Raw!AJ26/Raw!$C26</f>
        <v>6.2499999999999991</v>
      </c>
      <c r="AK25" s="9">
        <f>Raw!AK26/Raw!$C26</f>
        <v>6.2499999999999986E-2</v>
      </c>
      <c r="AL25" s="9">
        <f>Raw!AL26/Raw!$C26</f>
        <v>0</v>
      </c>
      <c r="AM25" s="9">
        <f>Raw!AM26/Raw!$C26</f>
        <v>0</v>
      </c>
      <c r="AN25" s="9">
        <f>Raw!AN26/Raw!$C26</f>
        <v>0</v>
      </c>
      <c r="AO25" s="9">
        <f>Raw!AO26/Raw!$C26</f>
        <v>0</v>
      </c>
      <c r="AP25" s="9">
        <f>Raw!AP26/Raw!$C26</f>
        <v>0</v>
      </c>
      <c r="AQ25" s="9">
        <f>Raw!AQ26/Raw!$C26</f>
        <v>0</v>
      </c>
      <c r="AR25" s="9">
        <f>Raw!AR26/Raw!$C26</f>
        <v>0</v>
      </c>
      <c r="AS25" s="9">
        <f>Raw!AS26/Raw!$C26</f>
        <v>0</v>
      </c>
      <c r="AT25" s="9">
        <f>Raw!AT26/Raw!$C26</f>
        <v>0</v>
      </c>
      <c r="AU25" s="9">
        <f>Raw!AU26/Raw!$C26</f>
        <v>0</v>
      </c>
      <c r="AV25" s="9">
        <f>Raw!AV26/Raw!$C26</f>
        <v>0</v>
      </c>
      <c r="AW25" s="9">
        <f>Raw!AW26/Raw!$C26</f>
        <v>0</v>
      </c>
      <c r="AX25" s="9">
        <f>Raw!AX26/Raw!$C26</f>
        <v>0</v>
      </c>
      <c r="AY25" s="9">
        <f>Raw!AY26/Raw!$C26</f>
        <v>0</v>
      </c>
      <c r="AZ25" s="9">
        <f>Raw!AZ26/Raw!$C26</f>
        <v>0</v>
      </c>
      <c r="BA25" s="9">
        <f>Raw!BA26/Raw!$C26</f>
        <v>0</v>
      </c>
      <c r="BB25" s="9">
        <f>Raw!BB26/Raw!$C26</f>
        <v>0</v>
      </c>
      <c r="BC25" s="9">
        <f>Raw!BC26/Raw!$C26</f>
        <v>0</v>
      </c>
      <c r="BD25" s="9">
        <f>Raw!BD26/Raw!$C26</f>
        <v>0</v>
      </c>
      <c r="BE25" s="9">
        <f>Raw!BE26/Raw!$C26</f>
        <v>0</v>
      </c>
      <c r="BF25" s="9">
        <f>Raw!BF26/Raw!$C26</f>
        <v>0</v>
      </c>
      <c r="BG25" s="9">
        <f>Raw!BG26/Raw!$C26</f>
        <v>0</v>
      </c>
      <c r="BH25" s="9">
        <f>Raw!BH26/Raw!$C26</f>
        <v>0</v>
      </c>
      <c r="BI25" s="9">
        <f>Raw!BI26/Raw!$C26</f>
        <v>0</v>
      </c>
      <c r="BJ25" s="9">
        <f>Raw!BJ26/Raw!$C26</f>
        <v>0</v>
      </c>
      <c r="BK25" s="9">
        <f>Raw!BK26/Raw!$C26</f>
        <v>0</v>
      </c>
      <c r="BL25" s="9">
        <f>Raw!BL26/Raw!$C26</f>
        <v>0</v>
      </c>
      <c r="BM25" s="9">
        <f>Raw!BM26/Raw!$C26</f>
        <v>0</v>
      </c>
      <c r="BN25" s="9">
        <f>Raw!BN26/Raw!$C26</f>
        <v>0</v>
      </c>
      <c r="BO25" s="9">
        <f>Raw!BO26/Raw!$C26</f>
        <v>0</v>
      </c>
      <c r="BP25" s="9">
        <f>Raw!BP26/Raw!$C26</f>
        <v>0</v>
      </c>
      <c r="BQ25" s="9">
        <f>Raw!BQ26/Raw!$C26</f>
        <v>0</v>
      </c>
      <c r="BR25" s="9">
        <f>Raw!BR26/Raw!$C26</f>
        <v>0</v>
      </c>
      <c r="BS25" s="9">
        <f>Raw!BS26/Raw!$C26</f>
        <v>0</v>
      </c>
      <c r="BT25" s="9">
        <f>Raw!BT26/Raw!$C26</f>
        <v>0</v>
      </c>
      <c r="BU25" s="9">
        <f>Raw!BU26/Raw!$C26</f>
        <v>0</v>
      </c>
      <c r="BV25" s="9">
        <f>Raw!BV26/Raw!$C26</f>
        <v>0</v>
      </c>
      <c r="BW25" s="9">
        <f>Raw!BW26/Raw!$C26</f>
        <v>0</v>
      </c>
      <c r="BX25" s="9">
        <f>Raw!BX26/Raw!$C26</f>
        <v>0</v>
      </c>
      <c r="BY25" s="9">
        <f>Raw!BY26/Raw!$C26</f>
        <v>0</v>
      </c>
      <c r="BZ25" s="9">
        <f>Raw!BZ26/Raw!$C26</f>
        <v>0</v>
      </c>
      <c r="CA25" s="9">
        <f>Raw!CA26/Raw!$C26</f>
        <v>0</v>
      </c>
      <c r="CB25" s="9">
        <f>Raw!CB26/Raw!$C26</f>
        <v>0</v>
      </c>
      <c r="CC25" s="9">
        <f>Raw!CC26/Raw!$C26</f>
        <v>0</v>
      </c>
      <c r="CD25" s="9">
        <f>Raw!CD26/Raw!$C26</f>
        <v>0</v>
      </c>
      <c r="CE25" s="9">
        <f>Raw!CE26/Raw!$C26</f>
        <v>0</v>
      </c>
      <c r="CF25" s="9">
        <f>Raw!CF26/Raw!$C26</f>
        <v>0</v>
      </c>
      <c r="CG25" s="9">
        <f>Raw!CG26/Raw!$C26</f>
        <v>0</v>
      </c>
      <c r="CH25" s="9">
        <f>Raw!CH26/Raw!$C26</f>
        <v>0</v>
      </c>
      <c r="CI25" s="9">
        <f>Raw!CI26/Raw!$C26</f>
        <v>0</v>
      </c>
      <c r="CJ25" s="9">
        <f>Raw!CJ26/Raw!$C26</f>
        <v>0</v>
      </c>
      <c r="CK25" s="9">
        <f>Raw!CK26/Raw!$C26</f>
        <v>0</v>
      </c>
      <c r="CL25" s="9">
        <f>Raw!CL26/Raw!$C26</f>
        <v>0</v>
      </c>
      <c r="CM25" s="9">
        <f>Raw!CM26/Raw!$C26</f>
        <v>0</v>
      </c>
      <c r="CN25" s="9">
        <f>Raw!CN26/Raw!$C26</f>
        <v>0</v>
      </c>
      <c r="CO25" s="9">
        <f>Raw!CO26/Raw!$C26</f>
        <v>0</v>
      </c>
      <c r="CP25" s="9">
        <f>Raw!CP26/Raw!$C26</f>
        <v>0</v>
      </c>
      <c r="CQ25" s="9">
        <f>Raw!CQ26/Raw!$C26</f>
        <v>0</v>
      </c>
      <c r="CR25" s="2">
        <f t="shared" si="8"/>
        <v>593.74999999999989</v>
      </c>
      <c r="CS25" s="2">
        <f t="shared" si="9"/>
        <v>360.12499999999994</v>
      </c>
      <c r="CT25" s="3">
        <f t="shared" si="10"/>
        <v>2.773603622632923</v>
      </c>
      <c r="CU25" s="3">
        <f t="shared" si="11"/>
        <v>2.5564532712884693</v>
      </c>
      <c r="CV25" s="3">
        <f>Raw!CR26/Raw!$C26</f>
        <v>3618.7499999999991</v>
      </c>
      <c r="CW25" s="3">
        <f>Raw!CS26/Raw!$C26</f>
        <v>2259.9999999999995</v>
      </c>
      <c r="CX25" s="3">
        <f t="shared" si="12"/>
        <v>3.5585585810715115</v>
      </c>
      <c r="CY25" s="3">
        <f t="shared" si="13"/>
        <v>3.3541084391474008</v>
      </c>
      <c r="CZ25" s="3">
        <f t="shared" si="14"/>
        <v>3.6245399138793948</v>
      </c>
      <c r="DA25" s="3">
        <f t="shared" si="15"/>
        <v>3.4183220109820618</v>
      </c>
      <c r="DB25" s="6">
        <f t="shared" si="16"/>
        <v>0.82540120967587849</v>
      </c>
      <c r="DC25" s="3">
        <v>6</v>
      </c>
      <c r="DD25" s="3">
        <f>DC25/Raw!C26</f>
        <v>37.499999999999993</v>
      </c>
      <c r="DE25" s="5">
        <f t="shared" si="17"/>
        <v>1.0105263157894739E-2</v>
      </c>
      <c r="DF25">
        <f t="shared" si="18"/>
        <v>-1.9954523722492792</v>
      </c>
      <c r="DH25" s="4">
        <f>-SUM('Shannon-Weiner'!B24:Z24)</f>
        <v>1.1863783179202914</v>
      </c>
      <c r="DI25" s="4">
        <f>SUM('p^2'!B24:Z24)</f>
        <v>0.34515235457063714</v>
      </c>
      <c r="DJ25" s="4">
        <f t="shared" si="19"/>
        <v>0.6548476454293628</v>
      </c>
      <c r="DK25">
        <f t="shared" si="20"/>
        <v>2.8972712680577848</v>
      </c>
      <c r="DL25" s="4">
        <f>SUM('Shannon-Weiner_B'!B24:Z24)</f>
        <v>-0.32050902978246265</v>
      </c>
      <c r="DM25" s="4">
        <f>SUM('p_B^2'!B24:Z24)</f>
        <v>0.85779980653387333</v>
      </c>
      <c r="DN25" s="4">
        <f t="shared" si="21"/>
        <v>0.14220019346612667</v>
      </c>
      <c r="DO25">
        <f t="shared" si="22"/>
        <v>1.1657731703632779</v>
      </c>
    </row>
    <row r="26" spans="1:119" x14ac:dyDescent="0.25">
      <c r="A26" s="1">
        <v>44201</v>
      </c>
      <c r="B26" t="str">
        <f>Raw!B27</f>
        <v>FB5</v>
      </c>
      <c r="C26">
        <v>1</v>
      </c>
      <c r="D26" s="9">
        <f>Raw!D27/Raw!$C27</f>
        <v>306.24999999999994</v>
      </c>
      <c r="E26" s="9">
        <f>Raw!E27/Raw!$C27</f>
        <v>236.37499999999994</v>
      </c>
      <c r="F26" s="9">
        <f>Raw!F27/Raw!$C27</f>
        <v>6.2499999999999991</v>
      </c>
      <c r="G26" s="9">
        <f>Raw!G27/Raw!$C27</f>
        <v>0.81249999999999989</v>
      </c>
      <c r="H26" s="9">
        <f>Raw!H27/Raw!$C27</f>
        <v>0</v>
      </c>
      <c r="I26" s="9">
        <f>Raw!I27/Raw!$C27</f>
        <v>0</v>
      </c>
      <c r="J26" s="9">
        <f>Raw!J27/Raw!$C27</f>
        <v>0</v>
      </c>
      <c r="K26" s="9">
        <f>Raw!K27/Raw!$C27</f>
        <v>0</v>
      </c>
      <c r="L26" s="9">
        <f>Raw!L27/Raw!$C27</f>
        <v>0</v>
      </c>
      <c r="M26" s="9">
        <f>Raw!M27/Raw!$C27</f>
        <v>0</v>
      </c>
      <c r="N26" s="9">
        <f>Raw!N27/Raw!$C27</f>
        <v>0</v>
      </c>
      <c r="O26" s="9">
        <f>Raw!O27/Raw!$C27</f>
        <v>0</v>
      </c>
      <c r="P26" s="9">
        <f>Raw!P27/Raw!$C27</f>
        <v>293.74999999999994</v>
      </c>
      <c r="Q26" s="9">
        <f>Raw!Q27/Raw!$C27</f>
        <v>56.562499999999993</v>
      </c>
      <c r="R26" s="9">
        <f>Raw!R27/Raw!$C27</f>
        <v>0</v>
      </c>
      <c r="S26" s="9">
        <f>Raw!S27/Raw!$C27</f>
        <v>0</v>
      </c>
      <c r="T26" s="9">
        <f>Raw!T27/Raw!$C27</f>
        <v>0</v>
      </c>
      <c r="U26" s="9">
        <f>Raw!U27/Raw!$C27</f>
        <v>0</v>
      </c>
      <c r="V26" s="9">
        <f>Raw!V27/Raw!$C27</f>
        <v>0</v>
      </c>
      <c r="W26" s="9">
        <f>Raw!W27/Raw!$C27</f>
        <v>0</v>
      </c>
      <c r="X26" s="9">
        <f>Raw!X27/Raw!$C27</f>
        <v>49.999999999999993</v>
      </c>
      <c r="Y26" s="9">
        <f>Raw!Y27/Raw!$C27</f>
        <v>7.8124999999999982</v>
      </c>
      <c r="Z26" s="9">
        <f>Raw!Z27/Raw!$C27</f>
        <v>0</v>
      </c>
      <c r="AA26" s="9">
        <f>Raw!AA27/Raw!$C27</f>
        <v>0</v>
      </c>
      <c r="AB26" s="9">
        <f>Raw!AB27/Raw!$C27</f>
        <v>0</v>
      </c>
      <c r="AC26" s="9">
        <f>Raw!AC27/Raw!$C27</f>
        <v>0</v>
      </c>
      <c r="AD26" s="9">
        <f>Raw!AD27/Raw!$C27</f>
        <v>0</v>
      </c>
      <c r="AE26" s="9">
        <f>Raw!AE27/Raw!$C27</f>
        <v>0</v>
      </c>
      <c r="AF26" s="9">
        <f>Raw!AF27/Raw!$C27</f>
        <v>0</v>
      </c>
      <c r="AG26" s="9">
        <f>Raw!AG27/Raw!$C27</f>
        <v>0</v>
      </c>
      <c r="AH26" s="9">
        <f>Raw!AH27/Raw!$C27</f>
        <v>0</v>
      </c>
      <c r="AI26" s="9">
        <f>Raw!AI27/Raw!$C27</f>
        <v>0</v>
      </c>
      <c r="AJ26" s="9">
        <f>Raw!AJ27/Raw!$C27</f>
        <v>0</v>
      </c>
      <c r="AK26" s="9">
        <f>Raw!AK27/Raw!$C27</f>
        <v>0</v>
      </c>
      <c r="AL26" s="9">
        <f>Raw!AL27/Raw!$C27</f>
        <v>6.2499999999999991</v>
      </c>
      <c r="AM26" s="9">
        <f>Raw!AM27/Raw!$C27</f>
        <v>1.7499999999999998</v>
      </c>
      <c r="AN26" s="9">
        <f>Raw!AN27/Raw!$C27</f>
        <v>0</v>
      </c>
      <c r="AO26" s="9">
        <f>Raw!AO27/Raw!$C27</f>
        <v>0</v>
      </c>
      <c r="AP26" s="9">
        <f>Raw!AP27/Raw!$C27</f>
        <v>0</v>
      </c>
      <c r="AQ26" s="9">
        <f>Raw!AQ27/Raw!$C27</f>
        <v>0</v>
      </c>
      <c r="AR26" s="9">
        <f>Raw!AR27/Raw!$C27</f>
        <v>0</v>
      </c>
      <c r="AS26" s="9">
        <f>Raw!AS27/Raw!$C27</f>
        <v>0</v>
      </c>
      <c r="AT26" s="9">
        <f>Raw!AT27/Raw!$C27</f>
        <v>0</v>
      </c>
      <c r="AU26" s="9">
        <f>Raw!AU27/Raw!$C27</f>
        <v>0</v>
      </c>
      <c r="AV26" s="9">
        <f>Raw!AV27/Raw!$C27</f>
        <v>0</v>
      </c>
      <c r="AW26" s="9">
        <f>Raw!AW27/Raw!$C27</f>
        <v>0</v>
      </c>
      <c r="AX26" s="9">
        <f>Raw!AX27/Raw!$C27</f>
        <v>0</v>
      </c>
      <c r="AY26" s="9">
        <f>Raw!AY27/Raw!$C27</f>
        <v>0</v>
      </c>
      <c r="AZ26" s="9">
        <f>Raw!AZ27/Raw!$C27</f>
        <v>0</v>
      </c>
      <c r="BA26" s="9">
        <f>Raw!BA27/Raw!$C27</f>
        <v>0</v>
      </c>
      <c r="BB26" s="9">
        <f>Raw!BB27/Raw!$C27</f>
        <v>0</v>
      </c>
      <c r="BC26" s="9">
        <f>Raw!BC27/Raw!$C27</f>
        <v>0</v>
      </c>
      <c r="BD26" s="9">
        <f>Raw!BD27/Raw!$C27</f>
        <v>0</v>
      </c>
      <c r="BE26" s="9">
        <f>Raw!BE27/Raw!$C27</f>
        <v>0</v>
      </c>
      <c r="BF26" s="9">
        <f>Raw!BF27/Raw!$C27</f>
        <v>0</v>
      </c>
      <c r="BG26" s="9">
        <f>Raw!BG27/Raw!$C27</f>
        <v>0</v>
      </c>
      <c r="BH26" s="9">
        <f>Raw!BH27/Raw!$C27</f>
        <v>0</v>
      </c>
      <c r="BI26" s="9">
        <f>Raw!BI27/Raw!$C27</f>
        <v>0</v>
      </c>
      <c r="BJ26" s="9">
        <f>Raw!BJ27/Raw!$C27</f>
        <v>0</v>
      </c>
      <c r="BK26" s="9">
        <f>Raw!BK27/Raw!$C27</f>
        <v>0</v>
      </c>
      <c r="BL26" s="9">
        <f>Raw!BL27/Raw!$C27</f>
        <v>0</v>
      </c>
      <c r="BM26" s="9">
        <f>Raw!BM27/Raw!$C27</f>
        <v>0</v>
      </c>
      <c r="BN26" s="9">
        <f>Raw!BN27/Raw!$C27</f>
        <v>0</v>
      </c>
      <c r="BO26" s="9">
        <f>Raw!BO27/Raw!$C27</f>
        <v>0</v>
      </c>
      <c r="BP26" s="9">
        <f>Raw!BP27/Raw!$C27</f>
        <v>0</v>
      </c>
      <c r="BQ26" s="9">
        <f>Raw!BQ27/Raw!$C27</f>
        <v>0</v>
      </c>
      <c r="BR26" s="9">
        <f>Raw!BR27/Raw!$C27</f>
        <v>0</v>
      </c>
      <c r="BS26" s="9">
        <f>Raw!BS27/Raw!$C27</f>
        <v>0</v>
      </c>
      <c r="BT26" s="9">
        <f>Raw!BT27/Raw!$C27</f>
        <v>0</v>
      </c>
      <c r="BU26" s="9">
        <f>Raw!BU27/Raw!$C27</f>
        <v>0</v>
      </c>
      <c r="BV26" s="9">
        <f>Raw!BV27/Raw!$C27</f>
        <v>0</v>
      </c>
      <c r="BW26" s="9">
        <f>Raw!BW27/Raw!$C27</f>
        <v>0</v>
      </c>
      <c r="BX26" s="9">
        <f>Raw!BX27/Raw!$C27</f>
        <v>0</v>
      </c>
      <c r="BY26" s="9">
        <f>Raw!BY27/Raw!$C27</f>
        <v>0</v>
      </c>
      <c r="BZ26" s="9">
        <f>Raw!BZ27/Raw!$C27</f>
        <v>0</v>
      </c>
      <c r="CA26" s="9">
        <f>Raw!CA27/Raw!$C27</f>
        <v>0</v>
      </c>
      <c r="CB26" s="9">
        <f>Raw!CB27/Raw!$C27</f>
        <v>0</v>
      </c>
      <c r="CC26" s="9">
        <f>Raw!CC27/Raw!$C27</f>
        <v>0</v>
      </c>
      <c r="CD26" s="9">
        <f>Raw!CD27/Raw!$C27</f>
        <v>0</v>
      </c>
      <c r="CE26" s="9">
        <f>Raw!CE27/Raw!$C27</f>
        <v>0</v>
      </c>
      <c r="CF26" s="9">
        <f>Raw!CF27/Raw!$C27</f>
        <v>0</v>
      </c>
      <c r="CG26" s="9">
        <f>Raw!CG27/Raw!$C27</f>
        <v>0</v>
      </c>
      <c r="CH26" s="9">
        <f>Raw!CH27/Raw!$C27</f>
        <v>0</v>
      </c>
      <c r="CI26" s="9">
        <f>Raw!CI27/Raw!$C27</f>
        <v>0</v>
      </c>
      <c r="CJ26" s="9">
        <f>Raw!CJ27/Raw!$C27</f>
        <v>0</v>
      </c>
      <c r="CK26" s="9">
        <f>Raw!CK27/Raw!$C27</f>
        <v>0</v>
      </c>
      <c r="CL26" s="9">
        <f>Raw!CL27/Raw!$C27</f>
        <v>0</v>
      </c>
      <c r="CM26" s="9">
        <f>Raw!CM27/Raw!$C27</f>
        <v>0</v>
      </c>
      <c r="CN26" s="9">
        <f>Raw!CN27/Raw!$C27</f>
        <v>0</v>
      </c>
      <c r="CO26" s="9">
        <f>Raw!CO27/Raw!$C27</f>
        <v>0</v>
      </c>
      <c r="CP26" s="9">
        <f>Raw!CP27/Raw!$C27</f>
        <v>0</v>
      </c>
      <c r="CQ26" s="9">
        <f>Raw!CQ27/Raw!$C27</f>
        <v>0</v>
      </c>
      <c r="CR26" s="2">
        <f t="shared" si="8"/>
        <v>662.49999999999989</v>
      </c>
      <c r="CS26" s="2">
        <f t="shared" si="9"/>
        <v>303.31249999999994</v>
      </c>
      <c r="CT26" s="3">
        <f t="shared" si="10"/>
        <v>2.8211858826088454</v>
      </c>
      <c r="CU26" s="3">
        <f t="shared" si="11"/>
        <v>2.4818903086593607</v>
      </c>
      <c r="CV26" s="3">
        <f>Raw!CR27/Raw!$C27</f>
        <v>3618.7499999999991</v>
      </c>
      <c r="CW26" s="3">
        <f>Raw!CS27/Raw!$C27</f>
        <v>2259.9999999999995</v>
      </c>
      <c r="CX26" s="3">
        <f t="shared" si="12"/>
        <v>3.5585585810715115</v>
      </c>
      <c r="CY26" s="3">
        <f t="shared" si="13"/>
        <v>3.3541084391474008</v>
      </c>
      <c r="CZ26" s="3">
        <f t="shared" si="14"/>
        <v>3.6315705888365009</v>
      </c>
      <c r="DA26" s="3">
        <f t="shared" si="15"/>
        <v>3.4088015553658488</v>
      </c>
      <c r="DB26" s="6">
        <f t="shared" si="16"/>
        <v>0.86014716188050977</v>
      </c>
      <c r="DC26" s="3">
        <v>5</v>
      </c>
      <c r="DD26" s="3">
        <f>DC26/Raw!C27</f>
        <v>31.249999999999993</v>
      </c>
      <c r="DE26" s="5">
        <f t="shared" si="17"/>
        <v>7.5471698113207556E-3</v>
      </c>
      <c r="DF26">
        <f t="shared" si="18"/>
        <v>-2.1222158782728267</v>
      </c>
      <c r="DH26" s="4">
        <f>-SUM('Shannon-Weiner'!B25:Z25)</f>
        <v>1.000310186364594</v>
      </c>
      <c r="DI26" s="4">
        <f>SUM('p^2'!B25:Z25)</f>
        <v>0.41616233535065861</v>
      </c>
      <c r="DJ26" s="4">
        <f t="shared" si="19"/>
        <v>0.58383766464934139</v>
      </c>
      <c r="DK26">
        <f t="shared" si="20"/>
        <v>2.4029084687767321</v>
      </c>
      <c r="DL26" s="4">
        <f>SUM('Shannon-Weiner_B'!B25:Z25)</f>
        <v>-0.64735366659311533</v>
      </c>
      <c r="DM26" s="4">
        <f>SUM('p_B^2'!B25:Z25)</f>
        <v>0.64280648511105964</v>
      </c>
      <c r="DN26" s="4">
        <f t="shared" si="21"/>
        <v>0.35719351488894036</v>
      </c>
      <c r="DO26">
        <f t="shared" si="22"/>
        <v>1.5556781444531116</v>
      </c>
    </row>
    <row r="27" spans="1:119" x14ac:dyDescent="0.25">
      <c r="A27" s="1">
        <v>44201</v>
      </c>
      <c r="B27" t="str">
        <f>Raw!B28</f>
        <v>FB6</v>
      </c>
      <c r="C27">
        <v>1</v>
      </c>
      <c r="D27" s="9">
        <f>Raw!D28/Raw!$C28</f>
        <v>118.74999999999997</v>
      </c>
      <c r="E27" s="9">
        <f>Raw!E28/Raw!$C28</f>
        <v>16.312499999999996</v>
      </c>
      <c r="F27" s="9">
        <f>Raw!F28/Raw!$C28</f>
        <v>62.499999999999986</v>
      </c>
      <c r="G27" s="9">
        <f>Raw!G28/Raw!$C28</f>
        <v>0.49999999999999989</v>
      </c>
      <c r="H27" s="9">
        <f>Raw!H28/Raw!$C28</f>
        <v>0</v>
      </c>
      <c r="I27" s="9">
        <f>Raw!I28/Raw!$C28</f>
        <v>0</v>
      </c>
      <c r="J27" s="9">
        <f>Raw!J28/Raw!$C28</f>
        <v>0</v>
      </c>
      <c r="K27" s="9">
        <f>Raw!K28/Raw!$C28</f>
        <v>0</v>
      </c>
      <c r="L27" s="9">
        <f>Raw!L28/Raw!$C28</f>
        <v>0</v>
      </c>
      <c r="M27" s="9">
        <f>Raw!M28/Raw!$C28</f>
        <v>0</v>
      </c>
      <c r="N27" s="9">
        <f>Raw!N28/Raw!$C28</f>
        <v>0</v>
      </c>
      <c r="O27" s="9">
        <f>Raw!O28/Raw!$C28</f>
        <v>0</v>
      </c>
      <c r="P27" s="9">
        <f>Raw!P28/Raw!$C28</f>
        <v>806.24999999999989</v>
      </c>
      <c r="Q27" s="9">
        <f>Raw!Q28/Raw!$C28</f>
        <v>83.062499999999972</v>
      </c>
      <c r="R27" s="9">
        <f>Raw!R28/Raw!$C28</f>
        <v>0</v>
      </c>
      <c r="S27" s="9">
        <f>Raw!S28/Raw!$C28</f>
        <v>0</v>
      </c>
      <c r="T27" s="9">
        <f>Raw!T28/Raw!$C28</f>
        <v>0</v>
      </c>
      <c r="U27" s="9">
        <f>Raw!U28/Raw!$C28</f>
        <v>0</v>
      </c>
      <c r="V27" s="9">
        <f>Raw!V28/Raw!$C28</f>
        <v>0</v>
      </c>
      <c r="W27" s="9">
        <f>Raw!W28/Raw!$C28</f>
        <v>0</v>
      </c>
      <c r="X27" s="9">
        <f>Raw!X28/Raw!$C28</f>
        <v>243.74999999999994</v>
      </c>
      <c r="Y27" s="9">
        <f>Raw!Y28/Raw!$C28</f>
        <v>31.624999999999996</v>
      </c>
      <c r="Z27" s="9">
        <f>Raw!Z28/Raw!$C28</f>
        <v>0</v>
      </c>
      <c r="AA27" s="9">
        <f>Raw!AA28/Raw!$C28</f>
        <v>0</v>
      </c>
      <c r="AB27" s="9">
        <f>Raw!AB28/Raw!$C28</f>
        <v>0</v>
      </c>
      <c r="AC27" s="9">
        <f>Raw!AC28/Raw!$C28</f>
        <v>0</v>
      </c>
      <c r="AD27" s="9">
        <f>Raw!AD28/Raw!$C28</f>
        <v>0</v>
      </c>
      <c r="AE27" s="9">
        <f>Raw!AE28/Raw!$C28</f>
        <v>0</v>
      </c>
      <c r="AF27" s="9">
        <f>Raw!AF28/Raw!$C28</f>
        <v>6.2499999999999991</v>
      </c>
      <c r="AG27" s="9">
        <f>Raw!AG28/Raw!$C28</f>
        <v>6.2499999999999986E-2</v>
      </c>
      <c r="AH27" s="9">
        <f>Raw!AH28/Raw!$C28</f>
        <v>12.499999999999998</v>
      </c>
      <c r="AI27" s="9">
        <f>Raw!AI28/Raw!$C28</f>
        <v>2.1249999999999996</v>
      </c>
      <c r="AJ27" s="9">
        <f>Raw!AJ28/Raw!$C28</f>
        <v>0</v>
      </c>
      <c r="AK27" s="9">
        <f>Raw!AK28/Raw!$C28</f>
        <v>0</v>
      </c>
      <c r="AL27" s="9">
        <f>Raw!AL28/Raw!$C28</f>
        <v>0</v>
      </c>
      <c r="AM27" s="9">
        <f>Raw!AM28/Raw!$C28</f>
        <v>0</v>
      </c>
      <c r="AN27" s="9">
        <f>Raw!AN28/Raw!$C28</f>
        <v>0</v>
      </c>
      <c r="AO27" s="9">
        <f>Raw!AO28/Raw!$C28</f>
        <v>0</v>
      </c>
      <c r="AP27" s="9">
        <f>Raw!AP28/Raw!$C28</f>
        <v>0</v>
      </c>
      <c r="AQ27" s="9">
        <f>Raw!AQ28/Raw!$C28</f>
        <v>0</v>
      </c>
      <c r="AR27" s="9">
        <f>Raw!AR28/Raw!$C28</f>
        <v>0</v>
      </c>
      <c r="AS27" s="9">
        <f>Raw!AS28/Raw!$C28</f>
        <v>0</v>
      </c>
      <c r="AT27" s="9">
        <f>Raw!AT28/Raw!$C28</f>
        <v>0</v>
      </c>
      <c r="AU27" s="9">
        <f>Raw!AU28/Raw!$C28</f>
        <v>0</v>
      </c>
      <c r="AV27" s="9">
        <f>Raw!AV28/Raw!$C28</f>
        <v>0</v>
      </c>
      <c r="AW27" s="9">
        <f>Raw!AW28/Raw!$C28</f>
        <v>0</v>
      </c>
      <c r="AX27" s="9">
        <f>Raw!AX28/Raw!$C28</f>
        <v>0</v>
      </c>
      <c r="AY27" s="9">
        <f>Raw!AY28/Raw!$C28</f>
        <v>0</v>
      </c>
      <c r="AZ27" s="9">
        <f>Raw!AZ28/Raw!$C28</f>
        <v>0</v>
      </c>
      <c r="BA27" s="9">
        <f>Raw!BA28/Raw!$C28</f>
        <v>0</v>
      </c>
      <c r="BB27" s="9">
        <f>Raw!BB28/Raw!$C28</f>
        <v>0</v>
      </c>
      <c r="BC27" s="9">
        <f>Raw!BC28/Raw!$C28</f>
        <v>0</v>
      </c>
      <c r="BD27" s="9">
        <f>Raw!BD28/Raw!$C28</f>
        <v>0</v>
      </c>
      <c r="BE27" s="9">
        <f>Raw!BE28/Raw!$C28</f>
        <v>0</v>
      </c>
      <c r="BF27" s="9">
        <f>Raw!BF28/Raw!$C28</f>
        <v>0</v>
      </c>
      <c r="BG27" s="9">
        <f>Raw!BG28/Raw!$C28</f>
        <v>0</v>
      </c>
      <c r="BH27" s="9">
        <f>Raw!BH28/Raw!$C28</f>
        <v>0</v>
      </c>
      <c r="BI27" s="9">
        <f>Raw!BI28/Raw!$C28</f>
        <v>0</v>
      </c>
      <c r="BJ27" s="9">
        <f>Raw!BJ28/Raw!$C28</f>
        <v>0</v>
      </c>
      <c r="BK27" s="9">
        <f>Raw!BK28/Raw!$C28</f>
        <v>0</v>
      </c>
      <c r="BL27" s="9">
        <f>Raw!BL28/Raw!$C28</f>
        <v>0</v>
      </c>
      <c r="BM27" s="9">
        <f>Raw!BM28/Raw!$C28</f>
        <v>0</v>
      </c>
      <c r="BN27" s="9">
        <f>Raw!BN28/Raw!$C28</f>
        <v>0</v>
      </c>
      <c r="BO27" s="9">
        <f>Raw!BO28/Raw!$C28</f>
        <v>0</v>
      </c>
      <c r="BP27" s="9">
        <f>Raw!BP28/Raw!$C28</f>
        <v>0</v>
      </c>
      <c r="BQ27" s="9">
        <f>Raw!BQ28/Raw!$C28</f>
        <v>0</v>
      </c>
      <c r="BR27" s="9">
        <f>Raw!BR28/Raw!$C28</f>
        <v>0</v>
      </c>
      <c r="BS27" s="9">
        <f>Raw!BS28/Raw!$C28</f>
        <v>0</v>
      </c>
      <c r="BT27" s="9">
        <f>Raw!BT28/Raw!$C28</f>
        <v>0</v>
      </c>
      <c r="BU27" s="9">
        <f>Raw!BU28/Raw!$C28</f>
        <v>0</v>
      </c>
      <c r="BV27" s="9">
        <f>Raw!BV28/Raw!$C28</f>
        <v>0</v>
      </c>
      <c r="BW27" s="9">
        <f>Raw!BW28/Raw!$C28</f>
        <v>0</v>
      </c>
      <c r="BX27" s="9">
        <f>Raw!BX28/Raw!$C28</f>
        <v>0</v>
      </c>
      <c r="BY27" s="9">
        <f>Raw!BY28/Raw!$C28</f>
        <v>0</v>
      </c>
      <c r="BZ27" s="9">
        <f>Raw!BZ28/Raw!$C28</f>
        <v>0</v>
      </c>
      <c r="CA27" s="9">
        <f>Raw!CA28/Raw!$C28</f>
        <v>0</v>
      </c>
      <c r="CB27" s="9">
        <f>Raw!CB28/Raw!$C28</f>
        <v>0</v>
      </c>
      <c r="CC27" s="9">
        <f>Raw!CC28/Raw!$C28</f>
        <v>0</v>
      </c>
      <c r="CD27" s="9">
        <f>Raw!CD28/Raw!$C28</f>
        <v>0</v>
      </c>
      <c r="CE27" s="9">
        <f>Raw!CE28/Raw!$C28</f>
        <v>0</v>
      </c>
      <c r="CF27" s="9">
        <f>Raw!CF28/Raw!$C28</f>
        <v>0</v>
      </c>
      <c r="CG27" s="9">
        <f>Raw!CG28/Raw!$C28</f>
        <v>0</v>
      </c>
      <c r="CH27" s="9">
        <f>Raw!CH28/Raw!$C28</f>
        <v>0</v>
      </c>
      <c r="CI27" s="9">
        <f>Raw!CI28/Raw!$C28</f>
        <v>0</v>
      </c>
      <c r="CJ27" s="9">
        <f>Raw!CJ28/Raw!$C28</f>
        <v>0</v>
      </c>
      <c r="CK27" s="9">
        <f>Raw!CK28/Raw!$C28</f>
        <v>0</v>
      </c>
      <c r="CL27" s="9">
        <f>Raw!CL28/Raw!$C28</f>
        <v>0</v>
      </c>
      <c r="CM27" s="9">
        <f>Raw!CM28/Raw!$C28</f>
        <v>0</v>
      </c>
      <c r="CN27" s="9">
        <f>Raw!CN28/Raw!$C28</f>
        <v>0</v>
      </c>
      <c r="CO27" s="9">
        <f>Raw!CO28/Raw!$C28</f>
        <v>0</v>
      </c>
      <c r="CP27" s="9">
        <f>Raw!CP28/Raw!$C28</f>
        <v>0</v>
      </c>
      <c r="CQ27" s="9">
        <f>Raw!CQ28/Raw!$C28</f>
        <v>0</v>
      </c>
      <c r="CR27" s="2">
        <f t="shared" si="8"/>
        <v>1249.9999999999998</v>
      </c>
      <c r="CS27" s="2">
        <f t="shared" si="9"/>
        <v>133.68749999999997</v>
      </c>
      <c r="CT27" s="3">
        <f t="shared" si="10"/>
        <v>3.0969100130080562</v>
      </c>
      <c r="CU27" s="3">
        <f t="shared" si="11"/>
        <v>2.1260908019156033</v>
      </c>
      <c r="CV27" s="3">
        <f>Raw!CR28/Raw!$C28</f>
        <v>3618.7499999999991</v>
      </c>
      <c r="CW27" s="3">
        <f>Raw!CS28/Raw!$C28</f>
        <v>2259.9999999999995</v>
      </c>
      <c r="CX27" s="3">
        <f t="shared" si="12"/>
        <v>3.5585585810715115</v>
      </c>
      <c r="CY27" s="3">
        <f t="shared" si="13"/>
        <v>3.3541084391474008</v>
      </c>
      <c r="CZ27" s="3">
        <f t="shared" si="14"/>
        <v>3.6874174750166397</v>
      </c>
      <c r="DA27" s="3">
        <f t="shared" si="15"/>
        <v>3.3790674518831509</v>
      </c>
      <c r="DB27" s="6">
        <f t="shared" si="16"/>
        <v>1.0164666795075197</v>
      </c>
      <c r="DC27" s="3">
        <v>6</v>
      </c>
      <c r="DD27" s="3">
        <f>DC27/Raw!C28</f>
        <v>37.499999999999993</v>
      </c>
      <c r="DE27" s="5">
        <f t="shared" si="17"/>
        <v>4.8000000000000004E-3</v>
      </c>
      <c r="DF27">
        <f t="shared" si="18"/>
        <v>-2.3187587626244128</v>
      </c>
      <c r="DH27" s="4">
        <f>-SUM('Shannon-Weiner'!B26:Z26)</f>
        <v>1.0475614152633634</v>
      </c>
      <c r="DI27" s="4">
        <f>SUM('p^2'!B26:Z26)</f>
        <v>0.4657</v>
      </c>
      <c r="DJ27" s="4">
        <f t="shared" si="19"/>
        <v>0.5343</v>
      </c>
      <c r="DK27">
        <f t="shared" si="20"/>
        <v>2.1473051320592655</v>
      </c>
      <c r="DL27" s="4">
        <f>SUM('Shannon-Weiner_B'!B26:Z26)</f>
        <v>-0.98370421531383545</v>
      </c>
      <c r="DM27" s="4">
        <f>SUM('p_B^2'!B26:Z26)</f>
        <v>0.45715240526293122</v>
      </c>
      <c r="DN27" s="4">
        <f t="shared" si="21"/>
        <v>0.54284759473706878</v>
      </c>
      <c r="DO27">
        <f t="shared" si="22"/>
        <v>2.1874543117078207</v>
      </c>
    </row>
    <row r="28" spans="1:119" x14ac:dyDescent="0.25">
      <c r="A28" s="1">
        <v>44201</v>
      </c>
      <c r="B28" t="str">
        <f>Raw!B29</f>
        <v>FB7</v>
      </c>
      <c r="C28">
        <v>1</v>
      </c>
      <c r="D28" s="9">
        <f>Raw!D29/Raw!$C29</f>
        <v>1131.2499999999998</v>
      </c>
      <c r="E28" s="9">
        <f>Raw!E29/Raw!$C29</f>
        <v>192.18749999999997</v>
      </c>
      <c r="F28" s="9">
        <f>Raw!F29/Raw!$C29</f>
        <v>87.499999999999986</v>
      </c>
      <c r="G28" s="9">
        <f>Raw!G29/Raw!$C29</f>
        <v>2.7499999999999996</v>
      </c>
      <c r="H28" s="9">
        <f>Raw!H29/Raw!$C29</f>
        <v>0</v>
      </c>
      <c r="I28" s="9">
        <f>Raw!I29/Raw!$C29</f>
        <v>0</v>
      </c>
      <c r="J28" s="9">
        <f>Raw!J29/Raw!$C29</f>
        <v>0</v>
      </c>
      <c r="K28" s="9">
        <f>Raw!K29/Raw!$C29</f>
        <v>0</v>
      </c>
      <c r="L28" s="9">
        <f>Raw!L29/Raw!$C29</f>
        <v>0</v>
      </c>
      <c r="M28" s="9">
        <f>Raw!M29/Raw!$C29</f>
        <v>0</v>
      </c>
      <c r="N28" s="9">
        <f>Raw!N29/Raw!$C29</f>
        <v>0</v>
      </c>
      <c r="O28" s="9">
        <f>Raw!O29/Raw!$C29</f>
        <v>0</v>
      </c>
      <c r="P28" s="9">
        <f>Raw!P29/Raw!$C29</f>
        <v>356.24999999999994</v>
      </c>
      <c r="Q28" s="9">
        <f>Raw!Q29/Raw!$C29</f>
        <v>22.812499999999996</v>
      </c>
      <c r="R28" s="9">
        <f>Raw!R29/Raw!$C29</f>
        <v>0</v>
      </c>
      <c r="S28" s="9">
        <f>Raw!S29/Raw!$C29</f>
        <v>0</v>
      </c>
      <c r="T28" s="9">
        <f>Raw!T29/Raw!$C29</f>
        <v>0</v>
      </c>
      <c r="U28" s="9">
        <f>Raw!U29/Raw!$C29</f>
        <v>0</v>
      </c>
      <c r="V28" s="9">
        <f>Raw!V29/Raw!$C29</f>
        <v>0</v>
      </c>
      <c r="W28" s="9">
        <f>Raw!W29/Raw!$C29</f>
        <v>0</v>
      </c>
      <c r="X28" s="9">
        <f>Raw!X29/Raw!$C29</f>
        <v>87.499999999999986</v>
      </c>
      <c r="Y28" s="9">
        <f>Raw!Y29/Raw!$C29</f>
        <v>5.4374999999999991</v>
      </c>
      <c r="Z28" s="9">
        <f>Raw!Z29/Raw!$C29</f>
        <v>0</v>
      </c>
      <c r="AA28" s="9">
        <f>Raw!AA29/Raw!$C29</f>
        <v>0</v>
      </c>
      <c r="AB28" s="9">
        <f>Raw!AB29/Raw!$C29</f>
        <v>0</v>
      </c>
      <c r="AC28" s="9">
        <f>Raw!AC29/Raw!$C29</f>
        <v>0</v>
      </c>
      <c r="AD28" s="9">
        <f>Raw!AD29/Raw!$C29</f>
        <v>0</v>
      </c>
      <c r="AE28" s="9">
        <f>Raw!AE29/Raw!$C29</f>
        <v>0</v>
      </c>
      <c r="AF28" s="9">
        <f>Raw!AF29/Raw!$C29</f>
        <v>0</v>
      </c>
      <c r="AG28" s="9">
        <f>Raw!AG29/Raw!$C29</f>
        <v>0</v>
      </c>
      <c r="AH28" s="9">
        <f>Raw!AH29/Raw!$C29</f>
        <v>18.749999999999996</v>
      </c>
      <c r="AI28" s="9">
        <f>Raw!AI29/Raw!$C29</f>
        <v>11.249999999999998</v>
      </c>
      <c r="AJ28" s="9">
        <f>Raw!AJ29/Raw!$C29</f>
        <v>0</v>
      </c>
      <c r="AK28" s="9">
        <f>Raw!AK29/Raw!$C29</f>
        <v>0</v>
      </c>
      <c r="AL28" s="9">
        <f>Raw!AL29/Raw!$C29</f>
        <v>6.2499999999999991</v>
      </c>
      <c r="AM28" s="9">
        <f>Raw!AM29/Raw!$C29</f>
        <v>11.812499999999996</v>
      </c>
      <c r="AN28" s="9">
        <f>Raw!AN29/Raw!$C29</f>
        <v>0</v>
      </c>
      <c r="AO28" s="9">
        <f>Raw!AO29/Raw!$C29</f>
        <v>0</v>
      </c>
      <c r="AP28" s="9">
        <f>Raw!AP29/Raw!$C29</f>
        <v>0</v>
      </c>
      <c r="AQ28" s="9">
        <f>Raw!AQ29/Raw!$C29</f>
        <v>0</v>
      </c>
      <c r="AR28" s="9">
        <f>Raw!AR29/Raw!$C29</f>
        <v>0</v>
      </c>
      <c r="AS28" s="9">
        <f>Raw!AS29/Raw!$C29</f>
        <v>0</v>
      </c>
      <c r="AT28" s="9">
        <f>Raw!AT29/Raw!$C29</f>
        <v>0</v>
      </c>
      <c r="AU28" s="9">
        <f>Raw!AU29/Raw!$C29</f>
        <v>0</v>
      </c>
      <c r="AV28" s="9">
        <f>Raw!AV29/Raw!$C29</f>
        <v>0</v>
      </c>
      <c r="AW28" s="9">
        <f>Raw!AW29/Raw!$C29</f>
        <v>0</v>
      </c>
      <c r="AX28" s="9">
        <f>Raw!AX29/Raw!$C29</f>
        <v>0</v>
      </c>
      <c r="AY28" s="9">
        <f>Raw!AY29/Raw!$C29</f>
        <v>0</v>
      </c>
      <c r="AZ28" s="9">
        <f>Raw!AZ29/Raw!$C29</f>
        <v>0</v>
      </c>
      <c r="BA28" s="9">
        <f>Raw!BA29/Raw!$C29</f>
        <v>0</v>
      </c>
      <c r="BB28" s="9">
        <f>Raw!BB29/Raw!$C29</f>
        <v>0</v>
      </c>
      <c r="BC28" s="9">
        <f>Raw!BC29/Raw!$C29</f>
        <v>0</v>
      </c>
      <c r="BD28" s="9">
        <f>Raw!BD29/Raw!$C29</f>
        <v>0</v>
      </c>
      <c r="BE28" s="9">
        <f>Raw!BE29/Raw!$C29</f>
        <v>0</v>
      </c>
      <c r="BF28" s="9">
        <f>Raw!BF29/Raw!$C29</f>
        <v>0</v>
      </c>
      <c r="BG28" s="9">
        <f>Raw!BG29/Raw!$C29</f>
        <v>0</v>
      </c>
      <c r="BH28" s="9">
        <f>Raw!BH29/Raw!$C29</f>
        <v>0</v>
      </c>
      <c r="BI28" s="9">
        <f>Raw!BI29/Raw!$C29</f>
        <v>0</v>
      </c>
      <c r="BJ28" s="9">
        <f>Raw!BJ29/Raw!$C29</f>
        <v>0</v>
      </c>
      <c r="BK28" s="9">
        <f>Raw!BK29/Raw!$C29</f>
        <v>0</v>
      </c>
      <c r="BL28" s="9">
        <f>Raw!BL29/Raw!$C29</f>
        <v>0</v>
      </c>
      <c r="BM28" s="9">
        <f>Raw!BM29/Raw!$C29</f>
        <v>0</v>
      </c>
      <c r="BN28" s="9">
        <f>Raw!BN29/Raw!$C29</f>
        <v>0</v>
      </c>
      <c r="BO28" s="9">
        <f>Raw!BO29/Raw!$C29</f>
        <v>0</v>
      </c>
      <c r="BP28" s="9">
        <f>Raw!BP29/Raw!$C29</f>
        <v>0</v>
      </c>
      <c r="BQ28" s="9">
        <f>Raw!BQ29/Raw!$C29</f>
        <v>0</v>
      </c>
      <c r="BR28" s="9">
        <f>Raw!BR29/Raw!$C29</f>
        <v>0</v>
      </c>
      <c r="BS28" s="9">
        <f>Raw!BS29/Raw!$C29</f>
        <v>0</v>
      </c>
      <c r="BT28" s="9">
        <f>Raw!BT29/Raw!$C29</f>
        <v>0</v>
      </c>
      <c r="BU28" s="9">
        <f>Raw!BU29/Raw!$C29</f>
        <v>0</v>
      </c>
      <c r="BV28" s="9">
        <f>Raw!BV29/Raw!$C29</f>
        <v>0</v>
      </c>
      <c r="BW28" s="9">
        <f>Raw!BW29/Raw!$C29</f>
        <v>0</v>
      </c>
      <c r="BX28" s="9">
        <f>Raw!BX29/Raw!$C29</f>
        <v>0</v>
      </c>
      <c r="BY28" s="9">
        <f>Raw!BY29/Raw!$C29</f>
        <v>0</v>
      </c>
      <c r="BZ28" s="9">
        <f>Raw!BZ29/Raw!$C29</f>
        <v>0</v>
      </c>
      <c r="CA28" s="9">
        <f>Raw!CA29/Raw!$C29</f>
        <v>0</v>
      </c>
      <c r="CB28" s="9">
        <f>Raw!CB29/Raw!$C29</f>
        <v>0</v>
      </c>
      <c r="CC28" s="9">
        <f>Raw!CC29/Raw!$C29</f>
        <v>0</v>
      </c>
      <c r="CD28" s="9">
        <f>Raw!CD29/Raw!$C29</f>
        <v>0</v>
      </c>
      <c r="CE28" s="9">
        <f>Raw!CE29/Raw!$C29</f>
        <v>0</v>
      </c>
      <c r="CF28" s="9">
        <f>Raw!CF29/Raw!$C29</f>
        <v>0</v>
      </c>
      <c r="CG28" s="9">
        <f>Raw!CG29/Raw!$C29</f>
        <v>0</v>
      </c>
      <c r="CH28" s="9">
        <f>Raw!CH29/Raw!$C29</f>
        <v>0</v>
      </c>
      <c r="CI28" s="9">
        <f>Raw!CI29/Raw!$C29</f>
        <v>0</v>
      </c>
      <c r="CJ28" s="9">
        <f>Raw!CJ29/Raw!$C29</f>
        <v>0</v>
      </c>
      <c r="CK28" s="9">
        <f>Raw!CK29/Raw!$C29</f>
        <v>0</v>
      </c>
      <c r="CL28" s="9">
        <f>Raw!CL29/Raw!$C29</f>
        <v>0</v>
      </c>
      <c r="CM28" s="9">
        <f>Raw!CM29/Raw!$C29</f>
        <v>0</v>
      </c>
      <c r="CN28" s="9">
        <f>Raw!CN29/Raw!$C29</f>
        <v>0</v>
      </c>
      <c r="CO28" s="9">
        <f>Raw!CO29/Raw!$C29</f>
        <v>0</v>
      </c>
      <c r="CP28" s="9">
        <f>Raw!CP29/Raw!$C29</f>
        <v>0</v>
      </c>
      <c r="CQ28" s="9">
        <f>Raw!CQ29/Raw!$C29</f>
        <v>0</v>
      </c>
      <c r="CR28" s="2">
        <f t="shared" si="8"/>
        <v>1687.4999999999998</v>
      </c>
      <c r="CS28" s="2">
        <f t="shared" si="9"/>
        <v>246.24999999999997</v>
      </c>
      <c r="CT28" s="3">
        <f t="shared" si="10"/>
        <v>3.2272437815030623</v>
      </c>
      <c r="CU28" s="3">
        <f t="shared" si="11"/>
        <v>2.3913762391696491</v>
      </c>
      <c r="CV28" s="3">
        <f>Raw!CR29/Raw!$C29</f>
        <v>3618.7499999999991</v>
      </c>
      <c r="CW28" s="3">
        <f>Raw!CS29/Raw!$C29</f>
        <v>2259.9999999999995</v>
      </c>
      <c r="CX28" s="3">
        <f t="shared" si="12"/>
        <v>3.5585585810715115</v>
      </c>
      <c r="CY28" s="3">
        <f t="shared" si="13"/>
        <v>3.3541084391474008</v>
      </c>
      <c r="CZ28" s="3">
        <f t="shared" si="14"/>
        <v>3.7247877075880278</v>
      </c>
      <c r="DA28" s="3">
        <f t="shared" si="15"/>
        <v>3.3990243899642576</v>
      </c>
      <c r="DB28" s="6">
        <f t="shared" si="16"/>
        <v>0.83447764005833158</v>
      </c>
      <c r="DC28" s="3">
        <v>6</v>
      </c>
      <c r="DD28" s="3">
        <f>DC28/Raw!C29</f>
        <v>37.499999999999993</v>
      </c>
      <c r="DE28" s="5">
        <f t="shared" si="17"/>
        <v>3.5555555555555562E-3</v>
      </c>
      <c r="DF28">
        <f t="shared" si="18"/>
        <v>-2.4490925311194189</v>
      </c>
      <c r="DH28" s="4">
        <f>-SUM('Shannon-Weiner'!B27:Z27)</f>
        <v>0.97408371077276223</v>
      </c>
      <c r="DI28" s="4">
        <f>SUM('p^2'!B27:Z27)</f>
        <v>0.49947873799725634</v>
      </c>
      <c r="DJ28" s="4">
        <f t="shared" si="19"/>
        <v>0.50052126200274372</v>
      </c>
      <c r="DK28">
        <f t="shared" si="20"/>
        <v>2.002087223992091</v>
      </c>
      <c r="DL28" s="4">
        <f>SUM('Shannon-Weiner_B'!B27:Z27)</f>
        <v>-0.83491738363224011</v>
      </c>
      <c r="DM28" s="4">
        <f>SUM('p_B^2'!B27:Z27)</f>
        <v>0.62269550877373814</v>
      </c>
      <c r="DN28" s="4">
        <f t="shared" si="21"/>
        <v>0.37730449122626186</v>
      </c>
      <c r="DO28">
        <f t="shared" si="22"/>
        <v>1.6059213305862445</v>
      </c>
    </row>
    <row r="29" spans="1:119" x14ac:dyDescent="0.25">
      <c r="A29" s="1"/>
      <c r="B29" t="str">
        <f>Raw!B30</f>
        <v>FB8</v>
      </c>
      <c r="C29">
        <v>1</v>
      </c>
      <c r="D29" s="9">
        <f>Raw!D30/Raw!$C30</f>
        <v>143.74999999999997</v>
      </c>
      <c r="E29" s="9">
        <f>Raw!E30/Raw!$C30</f>
        <v>93</v>
      </c>
      <c r="F29" s="9">
        <f>Raw!F30/Raw!$C30</f>
        <v>0</v>
      </c>
      <c r="G29" s="9">
        <f>Raw!G30/Raw!$C30</f>
        <v>0</v>
      </c>
      <c r="H29" s="9">
        <f>Raw!H30/Raw!$C30</f>
        <v>0</v>
      </c>
      <c r="I29" s="9">
        <f>Raw!I30/Raw!$C30</f>
        <v>0</v>
      </c>
      <c r="J29" s="9">
        <f>Raw!J30/Raw!$C30</f>
        <v>0</v>
      </c>
      <c r="K29" s="9">
        <f>Raw!K30/Raw!$C30</f>
        <v>0</v>
      </c>
      <c r="L29" s="9">
        <f>Raw!L30/Raw!$C30</f>
        <v>0</v>
      </c>
      <c r="M29" s="9">
        <f>Raw!M30/Raw!$C30</f>
        <v>0</v>
      </c>
      <c r="N29" s="9">
        <f>Raw!N30/Raw!$C30</f>
        <v>0</v>
      </c>
      <c r="O29" s="9">
        <f>Raw!O30/Raw!$C30</f>
        <v>0</v>
      </c>
      <c r="P29" s="9">
        <f>Raw!P30/Raw!$C30</f>
        <v>37.499999999999993</v>
      </c>
      <c r="Q29" s="9">
        <f>Raw!Q30/Raw!$C30</f>
        <v>2.4374999999999973</v>
      </c>
      <c r="R29" s="9">
        <f>Raw!R30/Raw!$C30</f>
        <v>0</v>
      </c>
      <c r="S29" s="9">
        <f>Raw!S30/Raw!$C30</f>
        <v>0</v>
      </c>
      <c r="T29" s="9">
        <f>Raw!T30/Raw!$C30</f>
        <v>0</v>
      </c>
      <c r="U29" s="9">
        <f>Raw!U30/Raw!$C30</f>
        <v>0</v>
      </c>
      <c r="V29" s="9">
        <f>Raw!V30/Raw!$C30</f>
        <v>0</v>
      </c>
      <c r="W29" s="9">
        <f>Raw!W30/Raw!$C30</f>
        <v>0</v>
      </c>
      <c r="X29" s="9">
        <f>Raw!X30/Raw!$C30</f>
        <v>0</v>
      </c>
      <c r="Y29" s="9">
        <f>Raw!Y30/Raw!$C30</f>
        <v>0</v>
      </c>
      <c r="Z29" s="9">
        <f>Raw!Z30/Raw!$C30</f>
        <v>0</v>
      </c>
      <c r="AA29" s="9">
        <f>Raw!AA30/Raw!$C30</f>
        <v>0</v>
      </c>
      <c r="AB29" s="9">
        <f>Raw!AB30/Raw!$C30</f>
        <v>0</v>
      </c>
      <c r="AC29" s="9">
        <f>Raw!AC30/Raw!$C30</f>
        <v>0</v>
      </c>
      <c r="AD29" s="9">
        <f>Raw!AD30/Raw!$C30</f>
        <v>0</v>
      </c>
      <c r="AE29" s="9">
        <f>Raw!AE30/Raw!$C30</f>
        <v>0</v>
      </c>
      <c r="AF29" s="9">
        <f>Raw!AF30/Raw!$C30</f>
        <v>0</v>
      </c>
      <c r="AG29" s="9">
        <f>Raw!AG30/Raw!$C30</f>
        <v>0</v>
      </c>
      <c r="AH29" s="9">
        <f>Raw!AH30/Raw!$C30</f>
        <v>37.499999999999993</v>
      </c>
      <c r="AI29" s="9">
        <f>Raw!AI30/Raw!$C30</f>
        <v>1107.0624999999998</v>
      </c>
      <c r="AJ29" s="9">
        <f>Raw!AJ30/Raw!$C30</f>
        <v>0</v>
      </c>
      <c r="AK29" s="9">
        <f>Raw!AK30/Raw!$C30</f>
        <v>0</v>
      </c>
      <c r="AL29" s="9">
        <f>Raw!AL30/Raw!$C30</f>
        <v>0</v>
      </c>
      <c r="AM29" s="9">
        <f>Raw!AM30/Raw!$C30</f>
        <v>0</v>
      </c>
      <c r="AN29" s="9">
        <f>Raw!AN30/Raw!$C30</f>
        <v>0</v>
      </c>
      <c r="AO29" s="9">
        <f>Raw!AO30/Raw!$C30</f>
        <v>0</v>
      </c>
      <c r="AP29" s="9">
        <f>Raw!AP30/Raw!$C30</f>
        <v>0</v>
      </c>
      <c r="AQ29" s="9">
        <f>Raw!AQ30/Raw!$C30</f>
        <v>0</v>
      </c>
      <c r="AR29" s="9">
        <f>Raw!AR30/Raw!$C30</f>
        <v>0</v>
      </c>
      <c r="AS29" s="9">
        <f>Raw!AS30/Raw!$C30</f>
        <v>0</v>
      </c>
      <c r="AT29" s="9">
        <f>Raw!AT30/Raw!$C30</f>
        <v>0</v>
      </c>
      <c r="AU29" s="9">
        <f>Raw!AU30/Raw!$C30</f>
        <v>0</v>
      </c>
      <c r="AV29" s="9">
        <f>Raw!AV30/Raw!$C30</f>
        <v>0</v>
      </c>
      <c r="AW29" s="9">
        <f>Raw!AW30/Raw!$C30</f>
        <v>0</v>
      </c>
      <c r="AX29" s="9">
        <f>Raw!AX30/Raw!$C30</f>
        <v>0</v>
      </c>
      <c r="AY29" s="9">
        <f>Raw!AY30/Raw!$C30</f>
        <v>0</v>
      </c>
      <c r="AZ29" s="9">
        <f>Raw!AZ30/Raw!$C30</f>
        <v>0</v>
      </c>
      <c r="BA29" s="9">
        <f>Raw!BA30/Raw!$C30</f>
        <v>0</v>
      </c>
      <c r="BB29" s="9">
        <f>Raw!BB30/Raw!$C30</f>
        <v>0</v>
      </c>
      <c r="BC29" s="9">
        <f>Raw!BC30/Raw!$C30</f>
        <v>0</v>
      </c>
      <c r="BD29" s="9">
        <f>Raw!BD30/Raw!$C30</f>
        <v>0</v>
      </c>
      <c r="BE29" s="9">
        <f>Raw!BE30/Raw!$C30</f>
        <v>0</v>
      </c>
      <c r="BF29" s="9">
        <f>Raw!BF30/Raw!$C30</f>
        <v>0</v>
      </c>
      <c r="BG29" s="9">
        <f>Raw!BG30/Raw!$C30</f>
        <v>0</v>
      </c>
      <c r="BH29" s="9">
        <f>Raw!BH30/Raw!$C30</f>
        <v>0</v>
      </c>
      <c r="BI29" s="9">
        <f>Raw!BI30/Raw!$C30</f>
        <v>0</v>
      </c>
      <c r="BJ29" s="9">
        <f>Raw!BJ30/Raw!$C30</f>
        <v>0</v>
      </c>
      <c r="BK29" s="9">
        <f>Raw!BK30/Raw!$C30</f>
        <v>0</v>
      </c>
      <c r="BL29" s="9">
        <f>Raw!BL30/Raw!$C30</f>
        <v>0</v>
      </c>
      <c r="BM29" s="9">
        <f>Raw!BM30/Raw!$C30</f>
        <v>0</v>
      </c>
      <c r="BN29" s="9">
        <f>Raw!BN30/Raw!$C30</f>
        <v>0</v>
      </c>
      <c r="BO29" s="9">
        <f>Raw!BO30/Raw!$C30</f>
        <v>0</v>
      </c>
      <c r="BP29" s="9">
        <f>Raw!BP30/Raw!$C30</f>
        <v>0</v>
      </c>
      <c r="BQ29" s="9">
        <f>Raw!BQ30/Raw!$C30</f>
        <v>0</v>
      </c>
      <c r="BR29" s="9">
        <f>Raw!BR30/Raw!$C30</f>
        <v>0</v>
      </c>
      <c r="BS29" s="9">
        <f>Raw!BS30/Raw!$C30</f>
        <v>0</v>
      </c>
      <c r="BT29" s="9">
        <f>Raw!BT30/Raw!$C30</f>
        <v>0</v>
      </c>
      <c r="BU29" s="9">
        <f>Raw!BU30/Raw!$C30</f>
        <v>0</v>
      </c>
      <c r="BV29" s="9">
        <f>Raw!BV30/Raw!$C30</f>
        <v>0</v>
      </c>
      <c r="BW29" s="9">
        <f>Raw!BW30/Raw!$C30</f>
        <v>0</v>
      </c>
      <c r="BX29" s="9">
        <f>Raw!BX30/Raw!$C30</f>
        <v>0</v>
      </c>
      <c r="BY29" s="9">
        <f>Raw!BY30/Raw!$C30</f>
        <v>0</v>
      </c>
      <c r="BZ29" s="9">
        <f>Raw!BZ30/Raw!$C30</f>
        <v>0</v>
      </c>
      <c r="CA29" s="9">
        <f>Raw!CA30/Raw!$C30</f>
        <v>0</v>
      </c>
      <c r="CB29" s="9">
        <f>Raw!CB30/Raw!$C30</f>
        <v>0</v>
      </c>
      <c r="CC29" s="9">
        <f>Raw!CC30/Raw!$C30</f>
        <v>0</v>
      </c>
      <c r="CD29" s="9">
        <f>Raw!CD30/Raw!$C30</f>
        <v>0</v>
      </c>
      <c r="CE29" s="9">
        <f>Raw!CE30/Raw!$C30</f>
        <v>0</v>
      </c>
      <c r="CF29" s="9">
        <f>Raw!CF30/Raw!$C30</f>
        <v>0</v>
      </c>
      <c r="CG29" s="9">
        <f>Raw!CG30/Raw!$C30</f>
        <v>0</v>
      </c>
      <c r="CH29" s="9">
        <f>Raw!CH30/Raw!$C30</f>
        <v>0</v>
      </c>
      <c r="CI29" s="9">
        <f>Raw!CI30/Raw!$C30</f>
        <v>0</v>
      </c>
      <c r="CJ29" s="9">
        <f>Raw!CJ30/Raw!$C30</f>
        <v>0</v>
      </c>
      <c r="CK29" s="9">
        <f>Raw!CK30/Raw!$C30</f>
        <v>0</v>
      </c>
      <c r="CL29" s="9">
        <f>Raw!CL30/Raw!$C30</f>
        <v>0</v>
      </c>
      <c r="CM29" s="9">
        <f>Raw!CM30/Raw!$C30</f>
        <v>0</v>
      </c>
      <c r="CN29" s="9">
        <f>Raw!CN30/Raw!$C30</f>
        <v>0</v>
      </c>
      <c r="CO29" s="9">
        <f>Raw!CO30/Raw!$C30</f>
        <v>0</v>
      </c>
      <c r="CP29" s="9">
        <f>Raw!CP30/Raw!$C30</f>
        <v>0</v>
      </c>
      <c r="CQ29" s="9">
        <f>Raw!CQ30/Raw!$C30</f>
        <v>0</v>
      </c>
      <c r="CR29" s="2">
        <f t="shared" si="8"/>
        <v>218.74999999999997</v>
      </c>
      <c r="CS29" s="2">
        <f t="shared" si="9"/>
        <v>1202.4999999999998</v>
      </c>
      <c r="CT29" s="3">
        <f t="shared" si="10"/>
        <v>2.3399480616943507</v>
      </c>
      <c r="CU29" s="3">
        <f t="shared" si="11"/>
        <v>3.0800850850458694</v>
      </c>
      <c r="CV29" s="3">
        <f>Raw!CR30/Raw!$C30</f>
        <v>3618.7499999999991</v>
      </c>
      <c r="CW29" s="3">
        <f>Raw!CS30/Raw!$C30</f>
        <v>2259.9999999999995</v>
      </c>
      <c r="CX29" s="3">
        <f t="shared" si="12"/>
        <v>3.5585585810715115</v>
      </c>
      <c r="CY29" s="3">
        <f t="shared" si="13"/>
        <v>3.3541084391474008</v>
      </c>
      <c r="CZ29" s="3">
        <f t="shared" si="14"/>
        <v>3.5840483884852428</v>
      </c>
      <c r="DA29" s="3">
        <f t="shared" si="15"/>
        <v>3.5393897820725049</v>
      </c>
      <c r="DB29" s="6">
        <f t="shared" si="16"/>
        <v>0.60077435595180761</v>
      </c>
      <c r="DC29" s="3">
        <v>3</v>
      </c>
      <c r="DD29" s="3">
        <f>DC29/Raw!C30</f>
        <v>18.749999999999996</v>
      </c>
      <c r="DE29" s="5">
        <f t="shared" si="17"/>
        <v>1.3714285714285715E-2</v>
      </c>
      <c r="DF29">
        <f t="shared" si="18"/>
        <v>-1.8628268069746883</v>
      </c>
      <c r="DH29" s="4">
        <f>-SUM('Shannon-Weiner'!B28:Z28)</f>
        <v>0.88056290157206785</v>
      </c>
      <c r="DI29" s="4">
        <f>SUM('p^2'!B28:Z28)</f>
        <v>0.49061224489795924</v>
      </c>
      <c r="DJ29" s="4">
        <f t="shared" si="19"/>
        <v>0.50938775510204071</v>
      </c>
      <c r="DK29">
        <f t="shared" si="20"/>
        <v>2.038269550748752</v>
      </c>
      <c r="DL29" s="4">
        <f>SUM('Shannon-Weiner_B'!B28:Z28)</f>
        <v>-0.28665298934266309</v>
      </c>
      <c r="DM29" s="4">
        <f>SUM('p_B^2'!B28:Z28)</f>
        <v>0.85355254883061527</v>
      </c>
      <c r="DN29" s="4">
        <f t="shared" si="21"/>
        <v>0.14644745116938473</v>
      </c>
      <c r="DO29">
        <f t="shared" si="22"/>
        <v>1.1715740306440661</v>
      </c>
    </row>
    <row r="30" spans="1:119" x14ac:dyDescent="0.25">
      <c r="A30" s="1"/>
      <c r="B30" t="str">
        <f>Raw!B31</f>
        <v>FB9</v>
      </c>
      <c r="C30">
        <v>1</v>
      </c>
      <c r="D30" s="9">
        <f>Raw!D31/Raw!$C31</f>
        <v>168.74999999999997</v>
      </c>
      <c r="E30" s="9">
        <f>Raw!E31/Raw!$C31</f>
        <v>117.87499999999997</v>
      </c>
      <c r="F30" s="9">
        <f>Raw!F31/Raw!$C31</f>
        <v>0</v>
      </c>
      <c r="G30" s="9">
        <f>Raw!G31/Raw!$C31</f>
        <v>0</v>
      </c>
      <c r="H30" s="9">
        <f>Raw!H31/Raw!$C31</f>
        <v>0</v>
      </c>
      <c r="I30" s="9">
        <f>Raw!I31/Raw!$C31</f>
        <v>0</v>
      </c>
      <c r="J30" s="9">
        <f>Raw!J31/Raw!$C31</f>
        <v>0</v>
      </c>
      <c r="K30" s="9">
        <f>Raw!K31/Raw!$C31</f>
        <v>0</v>
      </c>
      <c r="L30" s="9">
        <f>Raw!L31/Raw!$C31</f>
        <v>0</v>
      </c>
      <c r="M30" s="9">
        <f>Raw!M31/Raw!$C31</f>
        <v>0</v>
      </c>
      <c r="N30" s="9">
        <f>Raw!N31/Raw!$C31</f>
        <v>0</v>
      </c>
      <c r="O30" s="9">
        <f>Raw!O31/Raw!$C31</f>
        <v>0</v>
      </c>
      <c r="P30" s="9">
        <f>Raw!P31/Raw!$C31</f>
        <v>74.999999999999986</v>
      </c>
      <c r="Q30" s="9">
        <f>Raw!Q31/Raw!$C31</f>
        <v>5.4375</v>
      </c>
      <c r="R30" s="9">
        <f>Raw!R31/Raw!$C31</f>
        <v>0</v>
      </c>
      <c r="S30" s="9">
        <f>Raw!S31/Raw!$C31</f>
        <v>0</v>
      </c>
      <c r="T30" s="9">
        <f>Raw!T31/Raw!$C31</f>
        <v>0</v>
      </c>
      <c r="U30" s="9">
        <f>Raw!U31/Raw!$C31</f>
        <v>0</v>
      </c>
      <c r="V30" s="9">
        <f>Raw!V31/Raw!$C31</f>
        <v>0</v>
      </c>
      <c r="W30" s="9">
        <f>Raw!W31/Raw!$C31</f>
        <v>0</v>
      </c>
      <c r="X30" s="9">
        <f>Raw!X31/Raw!$C31</f>
        <v>37.499999999999993</v>
      </c>
      <c r="Y30" s="9">
        <f>Raw!Y31/Raw!$C31</f>
        <v>0.31249999999999883</v>
      </c>
      <c r="Z30" s="9">
        <f>Raw!Z31/Raw!$C31</f>
        <v>0</v>
      </c>
      <c r="AA30" s="9">
        <f>Raw!AA31/Raw!$C31</f>
        <v>0</v>
      </c>
      <c r="AB30" s="9">
        <f>Raw!AB31/Raw!$C31</f>
        <v>0</v>
      </c>
      <c r="AC30" s="9">
        <f>Raw!AC31/Raw!$C31</f>
        <v>0</v>
      </c>
      <c r="AD30" s="9">
        <f>Raw!AD31/Raw!$C31</f>
        <v>0</v>
      </c>
      <c r="AE30" s="9">
        <f>Raw!AE31/Raw!$C31</f>
        <v>0</v>
      </c>
      <c r="AF30" s="9">
        <f>Raw!AF31/Raw!$C31</f>
        <v>0</v>
      </c>
      <c r="AG30" s="9">
        <f>Raw!AG31/Raw!$C31</f>
        <v>0</v>
      </c>
      <c r="AH30" s="9">
        <f>Raw!AH31/Raw!$C31</f>
        <v>0</v>
      </c>
      <c r="AI30" s="9">
        <f>Raw!AI31/Raw!$C31</f>
        <v>0</v>
      </c>
      <c r="AJ30" s="9">
        <f>Raw!AJ31/Raw!$C31</f>
        <v>0</v>
      </c>
      <c r="AK30" s="9">
        <f>Raw!AK31/Raw!$C31</f>
        <v>0</v>
      </c>
      <c r="AL30" s="9">
        <f>Raw!AL31/Raw!$C31</f>
        <v>0</v>
      </c>
      <c r="AM30" s="9">
        <f>Raw!AM31/Raw!$C31</f>
        <v>0</v>
      </c>
      <c r="AN30" s="9">
        <f>Raw!AN31/Raw!$C31</f>
        <v>0</v>
      </c>
      <c r="AO30" s="9">
        <f>Raw!AO31/Raw!$C31</f>
        <v>0</v>
      </c>
      <c r="AP30" s="9">
        <f>Raw!AP31/Raw!$C31</f>
        <v>0</v>
      </c>
      <c r="AQ30" s="9">
        <f>Raw!AQ31/Raw!$C31</f>
        <v>0</v>
      </c>
      <c r="AR30" s="9">
        <f>Raw!AR31/Raw!$C31</f>
        <v>0</v>
      </c>
      <c r="AS30" s="9">
        <f>Raw!AS31/Raw!$C31</f>
        <v>0</v>
      </c>
      <c r="AT30" s="9">
        <f>Raw!AT31/Raw!$C31</f>
        <v>0</v>
      </c>
      <c r="AU30" s="9">
        <f>Raw!AU31/Raw!$C31</f>
        <v>0</v>
      </c>
      <c r="AV30" s="9">
        <f>Raw!AV31/Raw!$C31</f>
        <v>0</v>
      </c>
      <c r="AW30" s="9">
        <f>Raw!AW31/Raw!$C31</f>
        <v>0</v>
      </c>
      <c r="AX30" s="9">
        <f>Raw!AX31/Raw!$C31</f>
        <v>0</v>
      </c>
      <c r="AY30" s="9">
        <f>Raw!AY31/Raw!$C31</f>
        <v>0</v>
      </c>
      <c r="AZ30" s="9">
        <f>Raw!AZ31/Raw!$C31</f>
        <v>0</v>
      </c>
      <c r="BA30" s="9">
        <f>Raw!BA31/Raw!$C31</f>
        <v>0</v>
      </c>
      <c r="BB30" s="9">
        <f>Raw!BB31/Raw!$C31</f>
        <v>0</v>
      </c>
      <c r="BC30" s="9">
        <f>Raw!BC31/Raw!$C31</f>
        <v>0</v>
      </c>
      <c r="BD30" s="9">
        <f>Raw!BD31/Raw!$C31</f>
        <v>0</v>
      </c>
      <c r="BE30" s="9">
        <f>Raw!BE31/Raw!$C31</f>
        <v>0</v>
      </c>
      <c r="BF30" s="9">
        <f>Raw!BF31/Raw!$C31</f>
        <v>0</v>
      </c>
      <c r="BG30" s="9">
        <f>Raw!BG31/Raw!$C31</f>
        <v>0</v>
      </c>
      <c r="BH30" s="9">
        <f>Raw!BH31/Raw!$C31</f>
        <v>0</v>
      </c>
      <c r="BI30" s="9">
        <f>Raw!BI31/Raw!$C31</f>
        <v>0</v>
      </c>
      <c r="BJ30" s="9">
        <f>Raw!BJ31/Raw!$C31</f>
        <v>0</v>
      </c>
      <c r="BK30" s="9">
        <f>Raw!BK31/Raw!$C31</f>
        <v>0</v>
      </c>
      <c r="BL30" s="9">
        <f>Raw!BL31/Raw!$C31</f>
        <v>0</v>
      </c>
      <c r="BM30" s="9">
        <f>Raw!BM31/Raw!$C31</f>
        <v>0</v>
      </c>
      <c r="BN30" s="9">
        <f>Raw!BN31/Raw!$C31</f>
        <v>0</v>
      </c>
      <c r="BO30" s="9">
        <f>Raw!BO31/Raw!$C31</f>
        <v>0</v>
      </c>
      <c r="BP30" s="9">
        <f>Raw!BP31/Raw!$C31</f>
        <v>0</v>
      </c>
      <c r="BQ30" s="9">
        <f>Raw!BQ31/Raw!$C31</f>
        <v>0</v>
      </c>
      <c r="BR30" s="9">
        <f>Raw!BR31/Raw!$C31</f>
        <v>0</v>
      </c>
      <c r="BS30" s="9">
        <f>Raw!BS31/Raw!$C31</f>
        <v>0</v>
      </c>
      <c r="BT30" s="9">
        <f>Raw!BT31/Raw!$C31</f>
        <v>0</v>
      </c>
      <c r="BU30" s="9">
        <f>Raw!BU31/Raw!$C31</f>
        <v>0</v>
      </c>
      <c r="BV30" s="9">
        <f>Raw!BV31/Raw!$C31</f>
        <v>0</v>
      </c>
      <c r="BW30" s="9">
        <f>Raw!BW31/Raw!$C31</f>
        <v>0</v>
      </c>
      <c r="BX30" s="9">
        <f>Raw!BX31/Raw!$C31</f>
        <v>0</v>
      </c>
      <c r="BY30" s="9">
        <f>Raw!BY31/Raw!$C31</f>
        <v>0</v>
      </c>
      <c r="BZ30" s="9">
        <f>Raw!BZ31/Raw!$C31</f>
        <v>0</v>
      </c>
      <c r="CA30" s="9">
        <f>Raw!CA31/Raw!$C31</f>
        <v>0</v>
      </c>
      <c r="CB30" s="9">
        <f>Raw!CB31/Raw!$C31</f>
        <v>0</v>
      </c>
      <c r="CC30" s="9">
        <f>Raw!CC31/Raw!$C31</f>
        <v>0</v>
      </c>
      <c r="CD30" s="9">
        <f>Raw!CD31/Raw!$C31</f>
        <v>0</v>
      </c>
      <c r="CE30" s="9">
        <f>Raw!CE31/Raw!$C31</f>
        <v>0</v>
      </c>
      <c r="CF30" s="9">
        <f>Raw!CF31/Raw!$C31</f>
        <v>0</v>
      </c>
      <c r="CG30" s="9">
        <f>Raw!CG31/Raw!$C31</f>
        <v>0</v>
      </c>
      <c r="CH30" s="9">
        <f>Raw!CH31/Raw!$C31</f>
        <v>0</v>
      </c>
      <c r="CI30" s="9">
        <f>Raw!CI31/Raw!$C31</f>
        <v>0</v>
      </c>
      <c r="CJ30" s="9">
        <f>Raw!CJ31/Raw!$C31</f>
        <v>0</v>
      </c>
      <c r="CK30" s="9">
        <f>Raw!CK31/Raw!$C31</f>
        <v>0</v>
      </c>
      <c r="CL30" s="9">
        <f>Raw!CL31/Raw!$C31</f>
        <v>0</v>
      </c>
      <c r="CM30" s="9">
        <f>Raw!CM31/Raw!$C31</f>
        <v>0</v>
      </c>
      <c r="CN30" s="9">
        <f>Raw!CN31/Raw!$C31</f>
        <v>0</v>
      </c>
      <c r="CO30" s="9">
        <f>Raw!CO31/Raw!$C31</f>
        <v>0</v>
      </c>
      <c r="CP30" s="9">
        <f>Raw!CP31/Raw!$C31</f>
        <v>0</v>
      </c>
      <c r="CQ30" s="9">
        <f>Raw!CQ31/Raw!$C31</f>
        <v>0</v>
      </c>
      <c r="CR30" s="2">
        <f t="shared" si="8"/>
        <v>281.24999999999994</v>
      </c>
      <c r="CS30" s="2">
        <f t="shared" si="9"/>
        <v>123.62499999999997</v>
      </c>
      <c r="CT30" s="3">
        <f t="shared" si="10"/>
        <v>2.4490925311194189</v>
      </c>
      <c r="CU30" s="3">
        <f t="shared" si="11"/>
        <v>2.0921063046052355</v>
      </c>
      <c r="CV30" s="3">
        <f>Raw!CR31/Raw!$C31</f>
        <v>3618.7499999999991</v>
      </c>
      <c r="CW30" s="3">
        <f>Raw!CS31/Raw!$C31</f>
        <v>2259.9999999999995</v>
      </c>
      <c r="CX30" s="3">
        <f t="shared" si="12"/>
        <v>3.5585585810715115</v>
      </c>
      <c r="CY30" s="3">
        <f t="shared" si="13"/>
        <v>3.3541084391474008</v>
      </c>
      <c r="CZ30" s="3">
        <f t="shared" si="14"/>
        <v>3.5910646070264991</v>
      </c>
      <c r="DA30" s="3">
        <f t="shared" si="15"/>
        <v>3.3772379317557322</v>
      </c>
      <c r="DB30" s="6">
        <f t="shared" si="16"/>
        <v>1.1627236602741187</v>
      </c>
      <c r="DC30" s="3">
        <v>3</v>
      </c>
      <c r="DD30" s="3">
        <f>DC30/Raw!C31</f>
        <v>18.749999999999996</v>
      </c>
      <c r="DE30" s="5">
        <f t="shared" si="17"/>
        <v>1.0666666666666668E-2</v>
      </c>
      <c r="DF30">
        <f t="shared" si="18"/>
        <v>-1.9719712763997563</v>
      </c>
      <c r="DH30" s="4">
        <f>-SUM('Shannon-Weiner'!B29:Z29)</f>
        <v>0.92761733432718163</v>
      </c>
      <c r="DI30" s="4">
        <f>SUM('p^2'!B29:Z29)</f>
        <v>0.44888888888888889</v>
      </c>
      <c r="DJ30" s="4">
        <f t="shared" si="19"/>
        <v>0.55111111111111111</v>
      </c>
      <c r="DK30">
        <f t="shared" si="20"/>
        <v>2.2277227722772279</v>
      </c>
      <c r="DL30" s="4">
        <f>SUM('Shannon-Weiner_B'!B29:Z29)</f>
        <v>-0.19793262064176909</v>
      </c>
      <c r="DM30" s="4">
        <f>SUM('p_B^2'!B29:Z29)</f>
        <v>0.91108104212055574</v>
      </c>
      <c r="DN30" s="4">
        <f t="shared" si="21"/>
        <v>8.891895787944426E-2</v>
      </c>
      <c r="DO30">
        <f t="shared" si="22"/>
        <v>1.0975971991168689</v>
      </c>
    </row>
    <row r="31" spans="1:119" x14ac:dyDescent="0.25">
      <c r="A31" s="1"/>
      <c r="B31" t="str">
        <f>Raw!B32</f>
        <v>FB10</v>
      </c>
      <c r="C31">
        <v>1</v>
      </c>
      <c r="D31" s="9">
        <f>Raw!D32/Raw!$C32</f>
        <v>143.74999999999997</v>
      </c>
      <c r="E31" s="9">
        <f>Raw!E32/Raw!$C32</f>
        <v>81.437499999999986</v>
      </c>
      <c r="F31" s="9">
        <f>Raw!F32/Raw!$C32</f>
        <v>99.999999999999986</v>
      </c>
      <c r="G31" s="9">
        <f>Raw!G32/Raw!$C32</f>
        <v>0.25000000000000017</v>
      </c>
      <c r="H31" s="9">
        <f>Raw!H32/Raw!$C32</f>
        <v>0</v>
      </c>
      <c r="I31" s="9">
        <f>Raw!I32/Raw!$C32</f>
        <v>0</v>
      </c>
      <c r="J31" s="9">
        <f>Raw!J32/Raw!$C32</f>
        <v>0</v>
      </c>
      <c r="K31" s="9">
        <f>Raw!K32/Raw!$C32</f>
        <v>0</v>
      </c>
      <c r="L31" s="9">
        <f>Raw!L32/Raw!$C32</f>
        <v>0</v>
      </c>
      <c r="M31" s="9">
        <f>Raw!M32/Raw!$C32</f>
        <v>0</v>
      </c>
      <c r="N31" s="9">
        <f>Raw!N32/Raw!$C32</f>
        <v>0</v>
      </c>
      <c r="O31" s="9">
        <f>Raw!O32/Raw!$C32</f>
        <v>0</v>
      </c>
      <c r="P31" s="9">
        <f>Raw!P32/Raw!$C32</f>
        <v>124.99999999999997</v>
      </c>
      <c r="Q31" s="9">
        <f>Raw!Q32/Raw!$C32</f>
        <v>33.562499999999986</v>
      </c>
      <c r="R31" s="9">
        <f>Raw!R32/Raw!$C32</f>
        <v>0</v>
      </c>
      <c r="S31" s="9">
        <f>Raw!S32/Raw!$C32</f>
        <v>0</v>
      </c>
      <c r="T31" s="9">
        <f>Raw!T32/Raw!$C32</f>
        <v>0</v>
      </c>
      <c r="U31" s="9">
        <f>Raw!U32/Raw!$C32</f>
        <v>0</v>
      </c>
      <c r="V31" s="9">
        <f>Raw!V32/Raw!$C32</f>
        <v>0</v>
      </c>
      <c r="W31" s="9">
        <f>Raw!W32/Raw!$C32</f>
        <v>0</v>
      </c>
      <c r="X31" s="9">
        <f>Raw!X32/Raw!$C32</f>
        <v>174.99999999999997</v>
      </c>
      <c r="Y31" s="9">
        <f>Raw!Y32/Raw!$C32</f>
        <v>12.437499999999998</v>
      </c>
      <c r="Z31" s="9">
        <f>Raw!Z32/Raw!$C32</f>
        <v>0</v>
      </c>
      <c r="AA31" s="9">
        <f>Raw!AA32/Raw!$C32</f>
        <v>0</v>
      </c>
      <c r="AB31" s="9">
        <f>Raw!AB32/Raw!$C32</f>
        <v>0</v>
      </c>
      <c r="AC31" s="9">
        <f>Raw!AC32/Raw!$C32</f>
        <v>0</v>
      </c>
      <c r="AD31" s="9">
        <f>Raw!AD32/Raw!$C32</f>
        <v>0</v>
      </c>
      <c r="AE31" s="9">
        <f>Raw!AE32/Raw!$C32</f>
        <v>0</v>
      </c>
      <c r="AF31" s="9">
        <f>Raw!AF32/Raw!$C32</f>
        <v>12.499999999999998</v>
      </c>
      <c r="AG31" s="9">
        <f>Raw!AG32/Raw!$C32</f>
        <v>22.124999999999996</v>
      </c>
      <c r="AH31" s="9">
        <f>Raw!AH32/Raw!$C32</f>
        <v>0</v>
      </c>
      <c r="AI31" s="9">
        <f>Raw!AI32/Raw!$C32</f>
        <v>0</v>
      </c>
      <c r="AJ31" s="9">
        <f>Raw!AJ32/Raw!$C32</f>
        <v>0</v>
      </c>
      <c r="AK31" s="9">
        <f>Raw!AK32/Raw!$C32</f>
        <v>0</v>
      </c>
      <c r="AL31" s="9">
        <f>Raw!AL32/Raw!$C32</f>
        <v>0</v>
      </c>
      <c r="AM31" s="9">
        <f>Raw!AM32/Raw!$C32</f>
        <v>0</v>
      </c>
      <c r="AN31" s="9">
        <f>Raw!AN32/Raw!$C32</f>
        <v>0</v>
      </c>
      <c r="AO31" s="9">
        <f>Raw!AO32/Raw!$C32</f>
        <v>0</v>
      </c>
      <c r="AP31" s="9">
        <f>Raw!AP32/Raw!$C32</f>
        <v>0</v>
      </c>
      <c r="AQ31" s="9">
        <f>Raw!AQ32/Raw!$C32</f>
        <v>0</v>
      </c>
      <c r="AR31" s="9">
        <f>Raw!AR32/Raw!$C32</f>
        <v>0</v>
      </c>
      <c r="AS31" s="9">
        <f>Raw!AS32/Raw!$C32</f>
        <v>0</v>
      </c>
      <c r="AT31" s="9">
        <f>Raw!AT32/Raw!$C32</f>
        <v>0</v>
      </c>
      <c r="AU31" s="9">
        <f>Raw!AU32/Raw!$C32</f>
        <v>0</v>
      </c>
      <c r="AV31" s="9">
        <f>Raw!AV32/Raw!$C32</f>
        <v>0</v>
      </c>
      <c r="AW31" s="9">
        <f>Raw!AW32/Raw!$C32</f>
        <v>0</v>
      </c>
      <c r="AX31" s="9">
        <f>Raw!AX32/Raw!$C32</f>
        <v>0</v>
      </c>
      <c r="AY31" s="9">
        <f>Raw!AY32/Raw!$C32</f>
        <v>0</v>
      </c>
      <c r="AZ31" s="9">
        <f>Raw!AZ32/Raw!$C32</f>
        <v>0</v>
      </c>
      <c r="BA31" s="9">
        <f>Raw!BA32/Raw!$C32</f>
        <v>0</v>
      </c>
      <c r="BB31" s="9">
        <f>Raw!BB32/Raw!$C32</f>
        <v>0</v>
      </c>
      <c r="BC31" s="9">
        <f>Raw!BC32/Raw!$C32</f>
        <v>0</v>
      </c>
      <c r="BD31" s="9">
        <f>Raw!BD32/Raw!$C32</f>
        <v>0</v>
      </c>
      <c r="BE31" s="9">
        <f>Raw!BE32/Raw!$C32</f>
        <v>0</v>
      </c>
      <c r="BF31" s="9">
        <f>Raw!BF32/Raw!$C32</f>
        <v>0</v>
      </c>
      <c r="BG31" s="9">
        <f>Raw!BG32/Raw!$C32</f>
        <v>0</v>
      </c>
      <c r="BH31" s="9">
        <f>Raw!BH32/Raw!$C32</f>
        <v>0</v>
      </c>
      <c r="BI31" s="9">
        <f>Raw!BI32/Raw!$C32</f>
        <v>0</v>
      </c>
      <c r="BJ31" s="9">
        <f>Raw!BJ32/Raw!$C32</f>
        <v>0</v>
      </c>
      <c r="BK31" s="9">
        <f>Raw!BK32/Raw!$C32</f>
        <v>0</v>
      </c>
      <c r="BL31" s="9">
        <f>Raw!BL32/Raw!$C32</f>
        <v>0</v>
      </c>
      <c r="BM31" s="9">
        <f>Raw!BM32/Raw!$C32</f>
        <v>0</v>
      </c>
      <c r="BN31" s="9">
        <f>Raw!BN32/Raw!$C32</f>
        <v>0</v>
      </c>
      <c r="BO31" s="9">
        <f>Raw!BO32/Raw!$C32</f>
        <v>0</v>
      </c>
      <c r="BP31" s="9">
        <f>Raw!BP32/Raw!$C32</f>
        <v>0</v>
      </c>
      <c r="BQ31" s="9">
        <f>Raw!BQ32/Raw!$C32</f>
        <v>0</v>
      </c>
      <c r="BR31" s="9">
        <f>Raw!BR32/Raw!$C32</f>
        <v>0</v>
      </c>
      <c r="BS31" s="9">
        <f>Raw!BS32/Raw!$C32</f>
        <v>0</v>
      </c>
      <c r="BT31" s="9">
        <f>Raw!BT32/Raw!$C32</f>
        <v>0</v>
      </c>
      <c r="BU31" s="9">
        <f>Raw!BU32/Raw!$C32</f>
        <v>0</v>
      </c>
      <c r="BV31" s="9">
        <f>Raw!BV32/Raw!$C32</f>
        <v>0</v>
      </c>
      <c r="BW31" s="9">
        <f>Raw!BW32/Raw!$C32</f>
        <v>0</v>
      </c>
      <c r="BX31" s="9">
        <f>Raw!BX32/Raw!$C32</f>
        <v>0</v>
      </c>
      <c r="BY31" s="9">
        <f>Raw!BY32/Raw!$C32</f>
        <v>0</v>
      </c>
      <c r="BZ31" s="9">
        <f>Raw!BZ32/Raw!$C32</f>
        <v>0</v>
      </c>
      <c r="CA31" s="9">
        <f>Raw!CA32/Raw!$C32</f>
        <v>0</v>
      </c>
      <c r="CB31" s="9">
        <f>Raw!CB32/Raw!$C32</f>
        <v>0</v>
      </c>
      <c r="CC31" s="9">
        <f>Raw!CC32/Raw!$C32</f>
        <v>0</v>
      </c>
      <c r="CD31" s="9">
        <f>Raw!CD32/Raw!$C32</f>
        <v>0</v>
      </c>
      <c r="CE31" s="9">
        <f>Raw!CE32/Raw!$C32</f>
        <v>0</v>
      </c>
      <c r="CF31" s="9">
        <f>Raw!CF32/Raw!$C32</f>
        <v>0</v>
      </c>
      <c r="CG31" s="9">
        <f>Raw!CG32/Raw!$C32</f>
        <v>0</v>
      </c>
      <c r="CH31" s="9">
        <f>Raw!CH32/Raw!$C32</f>
        <v>0</v>
      </c>
      <c r="CI31" s="9">
        <f>Raw!CI32/Raw!$C32</f>
        <v>0</v>
      </c>
      <c r="CJ31" s="9">
        <f>Raw!CJ32/Raw!$C32</f>
        <v>0</v>
      </c>
      <c r="CK31" s="9">
        <f>Raw!CK32/Raw!$C32</f>
        <v>0</v>
      </c>
      <c r="CL31" s="9">
        <f>Raw!CL32/Raw!$C32</f>
        <v>0</v>
      </c>
      <c r="CM31" s="9">
        <f>Raw!CM32/Raw!$C32</f>
        <v>0</v>
      </c>
      <c r="CN31" s="9">
        <f>Raw!CN32/Raw!$C32</f>
        <v>0</v>
      </c>
      <c r="CO31" s="9">
        <f>Raw!CO32/Raw!$C32</f>
        <v>0</v>
      </c>
      <c r="CP31" s="9">
        <f>Raw!CP32/Raw!$C32</f>
        <v>0</v>
      </c>
      <c r="CQ31" s="9">
        <f>Raw!CQ32/Raw!$C32</f>
        <v>0</v>
      </c>
      <c r="CR31" s="2">
        <f t="shared" si="8"/>
        <v>556.24999999999989</v>
      </c>
      <c r="CS31" s="2">
        <f t="shared" si="9"/>
        <v>149.81249999999997</v>
      </c>
      <c r="CT31" s="3">
        <f t="shared" si="10"/>
        <v>2.7452700239889878</v>
      </c>
      <c r="CU31" s="3">
        <f t="shared" si="11"/>
        <v>2.1755480513777288</v>
      </c>
      <c r="CV31" s="3">
        <f>Raw!CR32/Raw!$C32</f>
        <v>3618.7499999999991</v>
      </c>
      <c r="CW31" s="3">
        <f>Raw!CS32/Raw!$C32</f>
        <v>2259.9999999999995</v>
      </c>
      <c r="CX31" s="3">
        <f t="shared" si="12"/>
        <v>3.5585585810715115</v>
      </c>
      <c r="CY31" s="3">
        <f t="shared" si="13"/>
        <v>3.3541084391474008</v>
      </c>
      <c r="CZ31" s="3">
        <f t="shared" si="14"/>
        <v>3.6206564798196208</v>
      </c>
      <c r="DA31" s="3">
        <f t="shared" si="15"/>
        <v>3.3819832527893121</v>
      </c>
      <c r="DB31" s="6">
        <f t="shared" si="16"/>
        <v>1.0557716494585809</v>
      </c>
      <c r="DC31" s="3">
        <v>5</v>
      </c>
      <c r="DD31" s="3">
        <f>DC31/Raw!C32</f>
        <v>31.249999999999993</v>
      </c>
      <c r="DE31" s="5">
        <f t="shared" si="17"/>
        <v>8.9887640449438228E-3</v>
      </c>
      <c r="DF31">
        <f t="shared" si="18"/>
        <v>-2.046300019652969</v>
      </c>
      <c r="DH31" s="4">
        <f>-SUM('Shannon-Weiner'!B30:Z30)</f>
        <v>1.442788587267956</v>
      </c>
      <c r="DI31" s="4">
        <f>SUM('p^2'!B30:Z30)</f>
        <v>0.24908471152632244</v>
      </c>
      <c r="DJ31" s="4">
        <f t="shared" si="19"/>
        <v>0.75091528847367761</v>
      </c>
      <c r="DK31">
        <f t="shared" si="20"/>
        <v>4.0146984287886465</v>
      </c>
      <c r="DL31" s="4">
        <f>SUM('Shannon-Weiner_B'!B30:Z30)</f>
        <v>-1.1662476835128395</v>
      </c>
      <c r="DM31" s="4">
        <f>SUM('p_B^2'!B30:Z30)</f>
        <v>0.37439216626122657</v>
      </c>
      <c r="DN31" s="4">
        <f t="shared" si="21"/>
        <v>0.62560783373877338</v>
      </c>
      <c r="DO31">
        <f t="shared" si="22"/>
        <v>2.6709960573861604</v>
      </c>
    </row>
    <row r="32" spans="1:119" x14ac:dyDescent="0.25">
      <c r="A32" s="1"/>
      <c r="B32" t="str">
        <f>Raw!B33</f>
        <v>FB11</v>
      </c>
      <c r="C32">
        <v>1</v>
      </c>
      <c r="D32" s="9">
        <f>Raw!D33/Raw!$C33</f>
        <v>268.74999999999994</v>
      </c>
      <c r="E32" s="9">
        <f>Raw!E33/Raw!$C33</f>
        <v>79.999999999999986</v>
      </c>
      <c r="F32" s="9">
        <f>Raw!F33/Raw!$C33</f>
        <v>6.2499999999999991</v>
      </c>
      <c r="G32" s="9">
        <f>Raw!G33/Raw!$C33</f>
        <v>6.2499999999998654E-2</v>
      </c>
      <c r="H32" s="9">
        <f>Raw!H33/Raw!$C33</f>
        <v>0</v>
      </c>
      <c r="I32" s="9">
        <f>Raw!I33/Raw!$C33</f>
        <v>0</v>
      </c>
      <c r="J32" s="9">
        <f>Raw!J33/Raw!$C33</f>
        <v>0</v>
      </c>
      <c r="K32" s="9">
        <f>Raw!K33/Raw!$C33</f>
        <v>0</v>
      </c>
      <c r="L32" s="9">
        <f>Raw!L33/Raw!$C33</f>
        <v>0</v>
      </c>
      <c r="M32" s="9">
        <f>Raw!M33/Raw!$C33</f>
        <v>0</v>
      </c>
      <c r="N32" s="9">
        <f>Raw!N33/Raw!$C33</f>
        <v>0</v>
      </c>
      <c r="O32" s="9">
        <f>Raw!O33/Raw!$C33</f>
        <v>0</v>
      </c>
      <c r="P32" s="9">
        <f>Raw!P33/Raw!$C33</f>
        <v>199.99999999999997</v>
      </c>
      <c r="Q32" s="9">
        <f>Raw!Q33/Raw!$C33</f>
        <v>104.43749999999999</v>
      </c>
      <c r="R32" s="9">
        <f>Raw!R33/Raw!$C33</f>
        <v>0</v>
      </c>
      <c r="S32" s="9">
        <f>Raw!S33/Raw!$C33</f>
        <v>0</v>
      </c>
      <c r="T32" s="9">
        <f>Raw!T33/Raw!$C33</f>
        <v>0</v>
      </c>
      <c r="U32" s="9">
        <f>Raw!U33/Raw!$C33</f>
        <v>0</v>
      </c>
      <c r="V32" s="9">
        <f>Raw!V33/Raw!$C33</f>
        <v>0</v>
      </c>
      <c r="W32" s="9">
        <f>Raw!W33/Raw!$C33</f>
        <v>0</v>
      </c>
      <c r="X32" s="9">
        <f>Raw!X33/Raw!$C33</f>
        <v>68.749999999999986</v>
      </c>
      <c r="Y32" s="9">
        <f>Raw!Y33/Raw!$C33</f>
        <v>7.6250000000000027</v>
      </c>
      <c r="Z32" s="9">
        <f>Raw!Z33/Raw!$C33</f>
        <v>0</v>
      </c>
      <c r="AA32" s="9">
        <f>Raw!AA33/Raw!$C33</f>
        <v>0</v>
      </c>
      <c r="AB32" s="9">
        <f>Raw!AB33/Raw!$C33</f>
        <v>0</v>
      </c>
      <c r="AC32" s="9">
        <f>Raw!AC33/Raw!$C33</f>
        <v>0</v>
      </c>
      <c r="AD32" s="9">
        <f>Raw!AD33/Raw!$C33</f>
        <v>0</v>
      </c>
      <c r="AE32" s="9">
        <f>Raw!AE33/Raw!$C33</f>
        <v>0</v>
      </c>
      <c r="AF32" s="9">
        <f>Raw!AF33/Raw!$C33</f>
        <v>0</v>
      </c>
      <c r="AG32" s="9">
        <f>Raw!AG33/Raw!$C33</f>
        <v>0</v>
      </c>
      <c r="AH32" s="9">
        <f>Raw!AH33/Raw!$C33</f>
        <v>18.749999999999996</v>
      </c>
      <c r="AI32" s="9">
        <f>Raw!AI33/Raw!$C33</f>
        <v>406.56249999999989</v>
      </c>
      <c r="AJ32" s="9">
        <f>Raw!AJ33/Raw!$C33</f>
        <v>0</v>
      </c>
      <c r="AK32" s="9">
        <f>Raw!AK33/Raw!$C33</f>
        <v>0</v>
      </c>
      <c r="AL32" s="9">
        <f>Raw!AL33/Raw!$C33</f>
        <v>0</v>
      </c>
      <c r="AM32" s="9">
        <f>Raw!AM33/Raw!$C33</f>
        <v>0</v>
      </c>
      <c r="AN32" s="9">
        <f>Raw!AN33/Raw!$C33</f>
        <v>0</v>
      </c>
      <c r="AO32" s="9">
        <f>Raw!AO33/Raw!$C33</f>
        <v>0</v>
      </c>
      <c r="AP32" s="9">
        <f>Raw!AP33/Raw!$C33</f>
        <v>0</v>
      </c>
      <c r="AQ32" s="9">
        <f>Raw!AQ33/Raw!$C33</f>
        <v>0</v>
      </c>
      <c r="AR32" s="9">
        <f>Raw!AR33/Raw!$C33</f>
        <v>0</v>
      </c>
      <c r="AS32" s="9">
        <f>Raw!AS33/Raw!$C33</f>
        <v>0</v>
      </c>
      <c r="AT32" s="9">
        <f>Raw!AT33/Raw!$C33</f>
        <v>0</v>
      </c>
      <c r="AU32" s="9">
        <f>Raw!AU33/Raw!$C33</f>
        <v>0</v>
      </c>
      <c r="AV32" s="9">
        <f>Raw!AV33/Raw!$C33</f>
        <v>0</v>
      </c>
      <c r="AW32" s="9">
        <f>Raw!AW33/Raw!$C33</f>
        <v>0</v>
      </c>
      <c r="AX32" s="9">
        <f>Raw!AX33/Raw!$C33</f>
        <v>0</v>
      </c>
      <c r="AY32" s="9">
        <f>Raw!AY33/Raw!$C33</f>
        <v>0</v>
      </c>
      <c r="AZ32" s="9">
        <f>Raw!AZ33/Raw!$C33</f>
        <v>0</v>
      </c>
      <c r="BA32" s="9">
        <f>Raw!BA33/Raw!$C33</f>
        <v>0</v>
      </c>
      <c r="BB32" s="9">
        <f>Raw!BB33/Raw!$C33</f>
        <v>0</v>
      </c>
      <c r="BC32" s="9">
        <f>Raw!BC33/Raw!$C33</f>
        <v>0</v>
      </c>
      <c r="BD32" s="9">
        <f>Raw!BD33/Raw!$C33</f>
        <v>0</v>
      </c>
      <c r="BE32" s="9">
        <f>Raw!BE33/Raw!$C33</f>
        <v>0</v>
      </c>
      <c r="BF32" s="9">
        <f>Raw!BF33/Raw!$C33</f>
        <v>0</v>
      </c>
      <c r="BG32" s="9">
        <f>Raw!BG33/Raw!$C33</f>
        <v>0</v>
      </c>
      <c r="BH32" s="9">
        <f>Raw!BH33/Raw!$C33</f>
        <v>0</v>
      </c>
      <c r="BI32" s="9">
        <f>Raw!BI33/Raw!$C33</f>
        <v>0</v>
      </c>
      <c r="BJ32" s="9">
        <f>Raw!BJ33/Raw!$C33</f>
        <v>0</v>
      </c>
      <c r="BK32" s="9">
        <f>Raw!BK33/Raw!$C33</f>
        <v>0</v>
      </c>
      <c r="BL32" s="9">
        <f>Raw!BL33/Raw!$C33</f>
        <v>0</v>
      </c>
      <c r="BM32" s="9">
        <f>Raw!BM33/Raw!$C33</f>
        <v>0</v>
      </c>
      <c r="BN32" s="9">
        <f>Raw!BN33/Raw!$C33</f>
        <v>0</v>
      </c>
      <c r="BO32" s="9">
        <f>Raw!BO33/Raw!$C33</f>
        <v>0</v>
      </c>
      <c r="BP32" s="9">
        <f>Raw!BP33/Raw!$C33</f>
        <v>0</v>
      </c>
      <c r="BQ32" s="9">
        <f>Raw!BQ33/Raw!$C33</f>
        <v>0</v>
      </c>
      <c r="BR32" s="9">
        <f>Raw!BR33/Raw!$C33</f>
        <v>0</v>
      </c>
      <c r="BS32" s="9">
        <f>Raw!BS33/Raw!$C33</f>
        <v>0</v>
      </c>
      <c r="BT32" s="9">
        <f>Raw!BT33/Raw!$C33</f>
        <v>0</v>
      </c>
      <c r="BU32" s="9">
        <f>Raw!BU33/Raw!$C33</f>
        <v>0</v>
      </c>
      <c r="BV32" s="9">
        <f>Raw!BV33/Raw!$C33</f>
        <v>0</v>
      </c>
      <c r="BW32" s="9">
        <f>Raw!BW33/Raw!$C33</f>
        <v>0</v>
      </c>
      <c r="BX32" s="9">
        <f>Raw!BX33/Raw!$C33</f>
        <v>0</v>
      </c>
      <c r="BY32" s="9">
        <f>Raw!BY33/Raw!$C33</f>
        <v>0</v>
      </c>
      <c r="BZ32" s="9">
        <f>Raw!BZ33/Raw!$C33</f>
        <v>0</v>
      </c>
      <c r="CA32" s="9">
        <f>Raw!CA33/Raw!$C33</f>
        <v>0</v>
      </c>
      <c r="CB32" s="9">
        <f>Raw!CB33/Raw!$C33</f>
        <v>0</v>
      </c>
      <c r="CC32" s="9">
        <f>Raw!CC33/Raw!$C33</f>
        <v>0</v>
      </c>
      <c r="CD32" s="9">
        <f>Raw!CD33/Raw!$C33</f>
        <v>0</v>
      </c>
      <c r="CE32" s="9">
        <f>Raw!CE33/Raw!$C33</f>
        <v>0</v>
      </c>
      <c r="CF32" s="9">
        <f>Raw!CF33/Raw!$C33</f>
        <v>0</v>
      </c>
      <c r="CG32" s="9">
        <f>Raw!CG33/Raw!$C33</f>
        <v>0</v>
      </c>
      <c r="CH32" s="9">
        <f>Raw!CH33/Raw!$C33</f>
        <v>0</v>
      </c>
      <c r="CI32" s="9">
        <f>Raw!CI33/Raw!$C33</f>
        <v>0</v>
      </c>
      <c r="CJ32" s="9">
        <f>Raw!CJ33/Raw!$C33</f>
        <v>0</v>
      </c>
      <c r="CK32" s="9">
        <f>Raw!CK33/Raw!$C33</f>
        <v>0</v>
      </c>
      <c r="CL32" s="9">
        <f>Raw!CL33/Raw!$C33</f>
        <v>0</v>
      </c>
      <c r="CM32" s="9">
        <f>Raw!CM33/Raw!$C33</f>
        <v>0</v>
      </c>
      <c r="CN32" s="9">
        <f>Raw!CN33/Raw!$C33</f>
        <v>0</v>
      </c>
      <c r="CO32" s="9">
        <f>Raw!CO33/Raw!$C33</f>
        <v>0</v>
      </c>
      <c r="CP32" s="9">
        <f>Raw!CP33/Raw!$C33</f>
        <v>0</v>
      </c>
      <c r="CQ32" s="9">
        <f>Raw!CQ33/Raw!$C33</f>
        <v>0</v>
      </c>
      <c r="CR32" s="2">
        <f t="shared" si="8"/>
        <v>562.49999999999989</v>
      </c>
      <c r="CS32" s="2">
        <f t="shared" si="9"/>
        <v>598.68749999999989</v>
      </c>
      <c r="CT32" s="3">
        <f t="shared" si="10"/>
        <v>2.7501225267834002</v>
      </c>
      <c r="CU32" s="3">
        <f t="shared" si="11"/>
        <v>2.7772001906031822</v>
      </c>
      <c r="CV32" s="3">
        <f>Raw!CR33/Raw!$C33</f>
        <v>3618.7499999999991</v>
      </c>
      <c r="CW32" s="3">
        <f>Raw!CS33/Raw!$C33</f>
        <v>2259.9999999999995</v>
      </c>
      <c r="CX32" s="3">
        <f t="shared" si="12"/>
        <v>3.5585585810715115</v>
      </c>
      <c r="CY32" s="3">
        <f t="shared" si="13"/>
        <v>3.3541084391474008</v>
      </c>
      <c r="CZ32" s="3">
        <f t="shared" si="14"/>
        <v>3.6213061351118983</v>
      </c>
      <c r="DA32" s="3">
        <f t="shared" si="15"/>
        <v>3.4561666826600739</v>
      </c>
      <c r="DB32" s="6">
        <f t="shared" si="16"/>
        <v>0.69966690620769101</v>
      </c>
      <c r="DC32" s="3">
        <v>5</v>
      </c>
      <c r="DD32" s="3">
        <f>DC32/Raw!C33</f>
        <v>31.249999999999993</v>
      </c>
      <c r="DE32" s="5">
        <f t="shared" si="17"/>
        <v>8.8888888888888906E-3</v>
      </c>
      <c r="DF32">
        <f t="shared" si="18"/>
        <v>-2.051152522447381</v>
      </c>
      <c r="DH32" s="4">
        <f>-SUM('Shannon-Weiner'!B31:Z31)</f>
        <v>1.1408336844280336</v>
      </c>
      <c r="DI32" s="4">
        <f>SUM('p^2'!B31:Z31)</f>
        <v>0.37086419753086419</v>
      </c>
      <c r="DJ32" s="4">
        <f t="shared" si="19"/>
        <v>0.62913580246913581</v>
      </c>
      <c r="DK32">
        <f t="shared" si="20"/>
        <v>2.6964047936085218</v>
      </c>
      <c r="DL32" s="4">
        <f>SUM('Shannon-Weiner_B'!B31:Z31)</f>
        <v>-0.89289387989030189</v>
      </c>
      <c r="DM32" s="4">
        <f>SUM('p_B^2'!B31:Z31)</f>
        <v>0.50961156297190746</v>
      </c>
      <c r="DN32" s="4">
        <f t="shared" si="21"/>
        <v>0.49038843702809254</v>
      </c>
      <c r="DO32">
        <f t="shared" si="22"/>
        <v>1.9622788662178088</v>
      </c>
    </row>
    <row r="33" spans="1:119" x14ac:dyDescent="0.25">
      <c r="A33" s="1"/>
      <c r="B33" t="str">
        <f>Raw!B34</f>
        <v>FB12</v>
      </c>
      <c r="C33">
        <v>1</v>
      </c>
      <c r="D33" s="9">
        <f>Raw!D34/Raw!$C34</f>
        <v>256.24999999999994</v>
      </c>
      <c r="E33" s="9">
        <f>Raw!E34/Raw!$C34</f>
        <v>56.374999999999986</v>
      </c>
      <c r="F33" s="9">
        <f>Raw!F34/Raw!$C34</f>
        <v>74.999999999999986</v>
      </c>
      <c r="G33" s="9">
        <f>Raw!G34/Raw!$C34</f>
        <v>0.50000000000000033</v>
      </c>
      <c r="H33" s="9">
        <f>Raw!H34/Raw!$C34</f>
        <v>0</v>
      </c>
      <c r="I33" s="9">
        <f>Raw!I34/Raw!$C34</f>
        <v>0</v>
      </c>
      <c r="J33" s="9">
        <f>Raw!J34/Raw!$C34</f>
        <v>0</v>
      </c>
      <c r="K33" s="9">
        <f>Raw!K34/Raw!$C34</f>
        <v>0</v>
      </c>
      <c r="L33" s="9">
        <f>Raw!L34/Raw!$C34</f>
        <v>0</v>
      </c>
      <c r="M33" s="9">
        <f>Raw!M34/Raw!$C34</f>
        <v>0</v>
      </c>
      <c r="N33" s="9">
        <f>Raw!N34/Raw!$C34</f>
        <v>0</v>
      </c>
      <c r="O33" s="9">
        <f>Raw!O34/Raw!$C34</f>
        <v>0</v>
      </c>
      <c r="P33" s="9">
        <f>Raw!P34/Raw!$C34</f>
        <v>118.74999999999997</v>
      </c>
      <c r="Q33" s="9">
        <f>Raw!Q34/Raw!$C34</f>
        <v>201.12499999999997</v>
      </c>
      <c r="R33" s="9">
        <f>Raw!R34/Raw!$C34</f>
        <v>0</v>
      </c>
      <c r="S33" s="9">
        <f>Raw!S34/Raw!$C34</f>
        <v>0</v>
      </c>
      <c r="T33" s="9">
        <f>Raw!T34/Raw!$C34</f>
        <v>0</v>
      </c>
      <c r="U33" s="9">
        <f>Raw!U34/Raw!$C34</f>
        <v>0</v>
      </c>
      <c r="V33" s="9">
        <f>Raw!V34/Raw!$C34</f>
        <v>0</v>
      </c>
      <c r="W33" s="9">
        <f>Raw!W34/Raw!$C34</f>
        <v>0</v>
      </c>
      <c r="X33" s="9">
        <f>Raw!X34/Raw!$C34</f>
        <v>262.49999999999994</v>
      </c>
      <c r="Y33" s="9">
        <f>Raw!Y34/Raw!$C34</f>
        <v>9.3125</v>
      </c>
      <c r="Z33" s="9">
        <f>Raw!Z34/Raw!$C34</f>
        <v>0</v>
      </c>
      <c r="AA33" s="9">
        <f>Raw!AA34/Raw!$C34</f>
        <v>0</v>
      </c>
      <c r="AB33" s="9">
        <f>Raw!AB34/Raw!$C34</f>
        <v>0</v>
      </c>
      <c r="AC33" s="9">
        <f>Raw!AC34/Raw!$C34</f>
        <v>0</v>
      </c>
      <c r="AD33" s="9">
        <f>Raw!AD34/Raw!$C34</f>
        <v>0</v>
      </c>
      <c r="AE33" s="9">
        <f>Raw!AE34/Raw!$C34</f>
        <v>0</v>
      </c>
      <c r="AF33" s="9">
        <f>Raw!AF34/Raw!$C34</f>
        <v>6.2499999999999991</v>
      </c>
      <c r="AG33" s="9">
        <f>Raw!AG34/Raw!$C34</f>
        <v>2.0000000000000013</v>
      </c>
      <c r="AH33" s="9">
        <f>Raw!AH34/Raw!$C34</f>
        <v>24.999999999999996</v>
      </c>
      <c r="AI33" s="9">
        <f>Raw!AI34/Raw!$C34</f>
        <v>64.437499999999986</v>
      </c>
      <c r="AJ33" s="9">
        <f>Raw!AJ34/Raw!$C34</f>
        <v>0</v>
      </c>
      <c r="AK33" s="9">
        <f>Raw!AK34/Raw!$C34</f>
        <v>0</v>
      </c>
      <c r="AL33" s="9">
        <f>Raw!AL34/Raw!$C34</f>
        <v>0</v>
      </c>
      <c r="AM33" s="9">
        <f>Raw!AM34/Raw!$C34</f>
        <v>0</v>
      </c>
      <c r="AN33" s="9">
        <f>Raw!AN34/Raw!$C34</f>
        <v>0</v>
      </c>
      <c r="AO33" s="9">
        <f>Raw!AO34/Raw!$C34</f>
        <v>0</v>
      </c>
      <c r="AP33" s="9">
        <f>Raw!AP34/Raw!$C34</f>
        <v>0</v>
      </c>
      <c r="AQ33" s="9">
        <f>Raw!AQ34/Raw!$C34</f>
        <v>0</v>
      </c>
      <c r="AR33" s="9">
        <f>Raw!AR34/Raw!$C34</f>
        <v>0</v>
      </c>
      <c r="AS33" s="9">
        <f>Raw!AS34/Raw!$C34</f>
        <v>0</v>
      </c>
      <c r="AT33" s="9">
        <f>Raw!AT34/Raw!$C34</f>
        <v>0</v>
      </c>
      <c r="AU33" s="9">
        <f>Raw!AU34/Raw!$C34</f>
        <v>0</v>
      </c>
      <c r="AV33" s="9">
        <f>Raw!AV34/Raw!$C34</f>
        <v>0</v>
      </c>
      <c r="AW33" s="9">
        <f>Raw!AW34/Raw!$C34</f>
        <v>0</v>
      </c>
      <c r="AX33" s="9">
        <f>Raw!AX34/Raw!$C34</f>
        <v>0</v>
      </c>
      <c r="AY33" s="9">
        <f>Raw!AY34/Raw!$C34</f>
        <v>0</v>
      </c>
      <c r="AZ33" s="9">
        <f>Raw!AZ34/Raw!$C34</f>
        <v>0</v>
      </c>
      <c r="BA33" s="9">
        <f>Raw!BA34/Raw!$C34</f>
        <v>0</v>
      </c>
      <c r="BB33" s="9">
        <f>Raw!BB34/Raw!$C34</f>
        <v>0</v>
      </c>
      <c r="BC33" s="9">
        <f>Raw!BC34/Raw!$C34</f>
        <v>0</v>
      </c>
      <c r="BD33" s="9">
        <f>Raw!BD34/Raw!$C34</f>
        <v>0</v>
      </c>
      <c r="BE33" s="9">
        <f>Raw!BE34/Raw!$C34</f>
        <v>0</v>
      </c>
      <c r="BF33" s="9">
        <f>Raw!BF34/Raw!$C34</f>
        <v>0</v>
      </c>
      <c r="BG33" s="9">
        <f>Raw!BG34/Raw!$C34</f>
        <v>0</v>
      </c>
      <c r="BH33" s="9">
        <f>Raw!BH34/Raw!$C34</f>
        <v>0</v>
      </c>
      <c r="BI33" s="9">
        <f>Raw!BI34/Raw!$C34</f>
        <v>0</v>
      </c>
      <c r="BJ33" s="9">
        <f>Raw!BJ34/Raw!$C34</f>
        <v>0</v>
      </c>
      <c r="BK33" s="9">
        <f>Raw!BK34/Raw!$C34</f>
        <v>0</v>
      </c>
      <c r="BL33" s="9">
        <f>Raw!BL34/Raw!$C34</f>
        <v>0</v>
      </c>
      <c r="BM33" s="9">
        <f>Raw!BM34/Raw!$C34</f>
        <v>0</v>
      </c>
      <c r="BN33" s="9">
        <f>Raw!BN34/Raw!$C34</f>
        <v>0</v>
      </c>
      <c r="BO33" s="9">
        <f>Raw!BO34/Raw!$C34</f>
        <v>0</v>
      </c>
      <c r="BP33" s="9">
        <f>Raw!BP34/Raw!$C34</f>
        <v>0</v>
      </c>
      <c r="BQ33" s="9">
        <f>Raw!BQ34/Raw!$C34</f>
        <v>0</v>
      </c>
      <c r="BR33" s="9">
        <f>Raw!BR34/Raw!$C34</f>
        <v>0</v>
      </c>
      <c r="BS33" s="9">
        <f>Raw!BS34/Raw!$C34</f>
        <v>0</v>
      </c>
      <c r="BT33" s="9">
        <f>Raw!BT34/Raw!$C34</f>
        <v>0</v>
      </c>
      <c r="BU33" s="9">
        <f>Raw!BU34/Raw!$C34</f>
        <v>0</v>
      </c>
      <c r="BV33" s="9">
        <f>Raw!BV34/Raw!$C34</f>
        <v>0</v>
      </c>
      <c r="BW33" s="9">
        <f>Raw!BW34/Raw!$C34</f>
        <v>0</v>
      </c>
      <c r="BX33" s="9">
        <f>Raw!BX34/Raw!$C34</f>
        <v>0</v>
      </c>
      <c r="BY33" s="9">
        <f>Raw!BY34/Raw!$C34</f>
        <v>0</v>
      </c>
      <c r="BZ33" s="9">
        <f>Raw!BZ34/Raw!$C34</f>
        <v>0</v>
      </c>
      <c r="CA33" s="9">
        <f>Raw!CA34/Raw!$C34</f>
        <v>0</v>
      </c>
      <c r="CB33" s="9">
        <f>Raw!CB34/Raw!$C34</f>
        <v>0</v>
      </c>
      <c r="CC33" s="9">
        <f>Raw!CC34/Raw!$C34</f>
        <v>0</v>
      </c>
      <c r="CD33" s="9">
        <f>Raw!CD34/Raw!$C34</f>
        <v>0</v>
      </c>
      <c r="CE33" s="9">
        <f>Raw!CE34/Raw!$C34</f>
        <v>0</v>
      </c>
      <c r="CF33" s="9">
        <f>Raw!CF34/Raw!$C34</f>
        <v>0</v>
      </c>
      <c r="CG33" s="9">
        <f>Raw!CG34/Raw!$C34</f>
        <v>0</v>
      </c>
      <c r="CH33" s="9">
        <f>Raw!CH34/Raw!$C34</f>
        <v>0</v>
      </c>
      <c r="CI33" s="9">
        <f>Raw!CI34/Raw!$C34</f>
        <v>0</v>
      </c>
      <c r="CJ33" s="9">
        <f>Raw!CJ34/Raw!$C34</f>
        <v>0</v>
      </c>
      <c r="CK33" s="9">
        <f>Raw!CK34/Raw!$C34</f>
        <v>0</v>
      </c>
      <c r="CL33" s="9">
        <f>Raw!CL34/Raw!$C34</f>
        <v>0</v>
      </c>
      <c r="CM33" s="9">
        <f>Raw!CM34/Raw!$C34</f>
        <v>0</v>
      </c>
      <c r="CN33" s="9">
        <f>Raw!CN34/Raw!$C34</f>
        <v>0</v>
      </c>
      <c r="CO33" s="9">
        <f>Raw!CO34/Raw!$C34</f>
        <v>0</v>
      </c>
      <c r="CP33" s="9">
        <f>Raw!CP34/Raw!$C34</f>
        <v>0</v>
      </c>
      <c r="CQ33" s="9">
        <f>Raw!CQ34/Raw!$C34</f>
        <v>0</v>
      </c>
      <c r="CR33" s="2">
        <f t="shared" si="8"/>
        <v>743.74999999999977</v>
      </c>
      <c r="CS33" s="2">
        <f t="shared" si="9"/>
        <v>333.74999999999994</v>
      </c>
      <c r="CT33" s="3">
        <f t="shared" si="10"/>
        <v>2.871426978736606</v>
      </c>
      <c r="CU33" s="3">
        <f t="shared" si="11"/>
        <v>2.5234212743726316</v>
      </c>
      <c r="CV33" s="3">
        <f>Raw!CR34/Raw!$C34</f>
        <v>3618.7499999999991</v>
      </c>
      <c r="CW33" s="3">
        <f>Raw!CS34/Raw!$C34</f>
        <v>2259.9999999999995</v>
      </c>
      <c r="CX33" s="3">
        <f t="shared" si="12"/>
        <v>3.5585585810715115</v>
      </c>
      <c r="CY33" s="3">
        <f t="shared" si="13"/>
        <v>3.3541084391474008</v>
      </c>
      <c r="CZ33" s="3">
        <f t="shared" si="14"/>
        <v>3.6397354399672364</v>
      </c>
      <c r="DA33" s="3">
        <f t="shared" si="15"/>
        <v>3.4139281140561679</v>
      </c>
      <c r="DB33" s="6">
        <f t="shared" si="16"/>
        <v>0.82584411076168196</v>
      </c>
      <c r="DC33" s="3">
        <v>6</v>
      </c>
      <c r="DD33" s="3">
        <f>DC33/Raw!C34</f>
        <v>37.499999999999993</v>
      </c>
      <c r="DE33" s="5">
        <f t="shared" si="17"/>
        <v>8.0672268907563058E-3</v>
      </c>
      <c r="DF33">
        <f t="shared" si="18"/>
        <v>-2.0932757283529622</v>
      </c>
      <c r="DH33" s="4">
        <f>-SUM('Shannon-Weiner'!B32:Z32)</f>
        <v>1.41318251370921</v>
      </c>
      <c r="DI33" s="4">
        <f>SUM('p^2'!B32:Z32)</f>
        <v>0.28013558364522284</v>
      </c>
      <c r="DJ33" s="4">
        <f t="shared" si="19"/>
        <v>0.71986441635477716</v>
      </c>
      <c r="DK33">
        <f t="shared" si="20"/>
        <v>3.5697000252079651</v>
      </c>
      <c r="DL33" s="4">
        <f>SUM('Shannon-Weiner_B'!B32:Z32)</f>
        <v>-1.063414077087149</v>
      </c>
      <c r="DM33" s="4">
        <f>SUM('p_B^2'!B32:Z32)</f>
        <v>0.42977801624374035</v>
      </c>
      <c r="DN33" s="4">
        <f t="shared" si="21"/>
        <v>0.57022198375625965</v>
      </c>
      <c r="DO33">
        <f t="shared" si="22"/>
        <v>2.3267825765961683</v>
      </c>
    </row>
    <row r="34" spans="1:119" x14ac:dyDescent="0.25">
      <c r="A34" s="1"/>
      <c r="B34" t="str">
        <f>Raw!B35</f>
        <v>FB13</v>
      </c>
      <c r="C34">
        <v>1</v>
      </c>
      <c r="D34" s="9">
        <f>Raw!D35/Raw!$C35</f>
        <v>49.999999999999993</v>
      </c>
      <c r="E34" s="9">
        <f>Raw!E35/Raw!$C35</f>
        <v>21.249999999999996</v>
      </c>
      <c r="F34" s="9">
        <f>Raw!F35/Raw!$C35</f>
        <v>0</v>
      </c>
      <c r="G34" s="9">
        <f>Raw!G35/Raw!$C35</f>
        <v>0</v>
      </c>
      <c r="H34" s="9">
        <f>Raw!H35/Raw!$C35</f>
        <v>0</v>
      </c>
      <c r="I34" s="9">
        <f>Raw!I35/Raw!$C35</f>
        <v>0</v>
      </c>
      <c r="J34" s="9">
        <f>Raw!J35/Raw!$C35</f>
        <v>0</v>
      </c>
      <c r="K34" s="9">
        <f>Raw!K35/Raw!$C35</f>
        <v>0</v>
      </c>
      <c r="L34" s="9">
        <f>Raw!L35/Raw!$C35</f>
        <v>0</v>
      </c>
      <c r="M34" s="9">
        <f>Raw!M35/Raw!$C35</f>
        <v>0</v>
      </c>
      <c r="N34" s="9">
        <f>Raw!N35/Raw!$C35</f>
        <v>0</v>
      </c>
      <c r="O34" s="9">
        <f>Raw!O35/Raw!$C35</f>
        <v>0</v>
      </c>
      <c r="P34" s="9">
        <f>Raw!P35/Raw!$C35</f>
        <v>324.99999999999994</v>
      </c>
      <c r="Q34" s="9">
        <f>Raw!Q35/Raw!$C35</f>
        <v>232.99999999999997</v>
      </c>
      <c r="R34" s="9">
        <f>Raw!R35/Raw!$C35</f>
        <v>0</v>
      </c>
      <c r="S34" s="9">
        <f>Raw!S35/Raw!$C35</f>
        <v>0</v>
      </c>
      <c r="T34" s="9">
        <f>Raw!T35/Raw!$C35</f>
        <v>0</v>
      </c>
      <c r="U34" s="9">
        <f>Raw!U35/Raw!$C35</f>
        <v>0</v>
      </c>
      <c r="V34" s="9">
        <f>Raw!V35/Raw!$C35</f>
        <v>0</v>
      </c>
      <c r="W34" s="9">
        <f>Raw!W35/Raw!$C35</f>
        <v>0</v>
      </c>
      <c r="X34" s="9">
        <f>Raw!X35/Raw!$C35</f>
        <v>287.49999999999994</v>
      </c>
      <c r="Y34" s="9">
        <f>Raw!Y35/Raw!$C35</f>
        <v>17.937499999999996</v>
      </c>
      <c r="Z34" s="9">
        <f>Raw!Z35/Raw!$C35</f>
        <v>0</v>
      </c>
      <c r="AA34" s="9">
        <f>Raw!AA35/Raw!$C35</f>
        <v>0</v>
      </c>
      <c r="AB34" s="9">
        <f>Raw!AB35/Raw!$C35</f>
        <v>0</v>
      </c>
      <c r="AC34" s="9">
        <f>Raw!AC35/Raw!$C35</f>
        <v>0</v>
      </c>
      <c r="AD34" s="9">
        <f>Raw!AD35/Raw!$C35</f>
        <v>0</v>
      </c>
      <c r="AE34" s="9">
        <f>Raw!AE35/Raw!$C35</f>
        <v>0</v>
      </c>
      <c r="AF34" s="9">
        <f>Raw!AF35/Raw!$C35</f>
        <v>0</v>
      </c>
      <c r="AG34" s="9">
        <f>Raw!AG35/Raw!$C35</f>
        <v>0</v>
      </c>
      <c r="AH34" s="9">
        <f>Raw!AH35/Raw!$C35</f>
        <v>12.499999999999998</v>
      </c>
      <c r="AI34" s="9">
        <f>Raw!AI35/Raw!$C35</f>
        <v>68.75</v>
      </c>
      <c r="AJ34" s="9">
        <f>Raw!AJ35/Raw!$C35</f>
        <v>0</v>
      </c>
      <c r="AK34" s="9">
        <f>Raw!AK35/Raw!$C35</f>
        <v>0</v>
      </c>
      <c r="AL34" s="9">
        <f>Raw!AL35/Raw!$C35</f>
        <v>0</v>
      </c>
      <c r="AM34" s="9">
        <f>Raw!AM35/Raw!$C35</f>
        <v>0</v>
      </c>
      <c r="AN34" s="9">
        <f>Raw!AN35/Raw!$C35</f>
        <v>0</v>
      </c>
      <c r="AO34" s="9">
        <f>Raw!AO35/Raw!$C35</f>
        <v>0</v>
      </c>
      <c r="AP34" s="9">
        <f>Raw!AP35/Raw!$C35</f>
        <v>0</v>
      </c>
      <c r="AQ34" s="9">
        <f>Raw!AQ35/Raw!$C35</f>
        <v>0</v>
      </c>
      <c r="AR34" s="9">
        <f>Raw!AR35/Raw!$C35</f>
        <v>0</v>
      </c>
      <c r="AS34" s="9">
        <f>Raw!AS35/Raw!$C35</f>
        <v>0</v>
      </c>
      <c r="AT34" s="9">
        <f>Raw!AT35/Raw!$C35</f>
        <v>0</v>
      </c>
      <c r="AU34" s="9">
        <f>Raw!AU35/Raw!$C35</f>
        <v>0</v>
      </c>
      <c r="AV34" s="9">
        <f>Raw!AV35/Raw!$C35</f>
        <v>0</v>
      </c>
      <c r="AW34" s="9">
        <f>Raw!AW35/Raw!$C35</f>
        <v>0</v>
      </c>
      <c r="AX34" s="9">
        <f>Raw!AX35/Raw!$C35</f>
        <v>0</v>
      </c>
      <c r="AY34" s="9">
        <f>Raw!AY35/Raw!$C35</f>
        <v>0</v>
      </c>
      <c r="AZ34" s="9">
        <f>Raw!AZ35/Raw!$C35</f>
        <v>0</v>
      </c>
      <c r="BA34" s="9">
        <f>Raw!BA35/Raw!$C35</f>
        <v>0</v>
      </c>
      <c r="BB34" s="9">
        <f>Raw!BB35/Raw!$C35</f>
        <v>0</v>
      </c>
      <c r="BC34" s="9">
        <f>Raw!BC35/Raw!$C35</f>
        <v>0</v>
      </c>
      <c r="BD34" s="9">
        <f>Raw!BD35/Raw!$C35</f>
        <v>0</v>
      </c>
      <c r="BE34" s="9">
        <f>Raw!BE35/Raw!$C35</f>
        <v>0</v>
      </c>
      <c r="BF34" s="9">
        <f>Raw!BF35/Raw!$C35</f>
        <v>0</v>
      </c>
      <c r="BG34" s="9">
        <f>Raw!BG35/Raw!$C35</f>
        <v>0</v>
      </c>
      <c r="BH34" s="9">
        <f>Raw!BH35/Raw!$C35</f>
        <v>0</v>
      </c>
      <c r="BI34" s="9">
        <f>Raw!BI35/Raw!$C35</f>
        <v>0</v>
      </c>
      <c r="BJ34" s="9">
        <f>Raw!BJ35/Raw!$C35</f>
        <v>0</v>
      </c>
      <c r="BK34" s="9">
        <f>Raw!BK35/Raw!$C35</f>
        <v>0</v>
      </c>
      <c r="BL34" s="9">
        <f>Raw!BL35/Raw!$C35</f>
        <v>0</v>
      </c>
      <c r="BM34" s="9">
        <f>Raw!BM35/Raw!$C35</f>
        <v>0</v>
      </c>
      <c r="BN34" s="9">
        <f>Raw!BN35/Raw!$C35</f>
        <v>0</v>
      </c>
      <c r="BO34" s="9">
        <f>Raw!BO35/Raw!$C35</f>
        <v>0</v>
      </c>
      <c r="BP34" s="9">
        <f>Raw!BP35/Raw!$C35</f>
        <v>0</v>
      </c>
      <c r="BQ34" s="9">
        <f>Raw!BQ35/Raw!$C35</f>
        <v>0</v>
      </c>
      <c r="BR34" s="9">
        <f>Raw!BR35/Raw!$C35</f>
        <v>0</v>
      </c>
      <c r="BS34" s="9">
        <f>Raw!BS35/Raw!$C35</f>
        <v>0</v>
      </c>
      <c r="BT34" s="9">
        <f>Raw!BT35/Raw!$C35</f>
        <v>0</v>
      </c>
      <c r="BU34" s="9">
        <f>Raw!BU35/Raw!$C35</f>
        <v>0</v>
      </c>
      <c r="BV34" s="9">
        <f>Raw!BV35/Raw!$C35</f>
        <v>0</v>
      </c>
      <c r="BW34" s="9">
        <f>Raw!BW35/Raw!$C35</f>
        <v>0</v>
      </c>
      <c r="BX34" s="9">
        <f>Raw!BX35/Raw!$C35</f>
        <v>0</v>
      </c>
      <c r="BY34" s="9">
        <f>Raw!BY35/Raw!$C35</f>
        <v>0</v>
      </c>
      <c r="BZ34" s="9">
        <f>Raw!BZ35/Raw!$C35</f>
        <v>0</v>
      </c>
      <c r="CA34" s="9">
        <f>Raw!CA35/Raw!$C35</f>
        <v>0</v>
      </c>
      <c r="CB34" s="9">
        <f>Raw!CB35/Raw!$C35</f>
        <v>0</v>
      </c>
      <c r="CC34" s="9">
        <f>Raw!CC35/Raw!$C35</f>
        <v>0</v>
      </c>
      <c r="CD34" s="9">
        <f>Raw!CD35/Raw!$C35</f>
        <v>0</v>
      </c>
      <c r="CE34" s="9">
        <f>Raw!CE35/Raw!$C35</f>
        <v>0</v>
      </c>
      <c r="CF34" s="9">
        <f>Raw!CF35/Raw!$C35</f>
        <v>0</v>
      </c>
      <c r="CG34" s="9">
        <f>Raw!CG35/Raw!$C35</f>
        <v>0</v>
      </c>
      <c r="CH34" s="9">
        <f>Raw!CH35/Raw!$C35</f>
        <v>0</v>
      </c>
      <c r="CI34" s="9">
        <f>Raw!CI35/Raw!$C35</f>
        <v>0</v>
      </c>
      <c r="CJ34" s="9">
        <f>Raw!CJ35/Raw!$C35</f>
        <v>0</v>
      </c>
      <c r="CK34" s="9">
        <f>Raw!CK35/Raw!$C35</f>
        <v>0</v>
      </c>
      <c r="CL34" s="9">
        <f>Raw!CL35/Raw!$C35</f>
        <v>0</v>
      </c>
      <c r="CM34" s="9">
        <f>Raw!CM35/Raw!$C35</f>
        <v>0</v>
      </c>
      <c r="CN34" s="9">
        <f>Raw!CN35/Raw!$C35</f>
        <v>0</v>
      </c>
      <c r="CO34" s="9">
        <f>Raw!CO35/Raw!$C35</f>
        <v>0</v>
      </c>
      <c r="CP34" s="9">
        <f>Raw!CP35/Raw!$C35</f>
        <v>0</v>
      </c>
      <c r="CQ34" s="9">
        <f>Raw!CQ35/Raw!$C35</f>
        <v>0</v>
      </c>
      <c r="CR34" s="2">
        <f t="shared" si="8"/>
        <v>674.99999999999989</v>
      </c>
      <c r="CS34" s="2">
        <f t="shared" si="9"/>
        <v>340.93749999999994</v>
      </c>
      <c r="CT34" s="3">
        <f t="shared" si="10"/>
        <v>2.8293037728310249</v>
      </c>
      <c r="CU34" s="3">
        <f t="shared" si="11"/>
        <v>2.532674772268436</v>
      </c>
      <c r="CV34" s="3">
        <f>Raw!CR35/Raw!$C35</f>
        <v>3618.7499999999991</v>
      </c>
      <c r="CW34" s="3">
        <f>Raw!CS35/Raw!$C35</f>
        <v>2259.9999999999995</v>
      </c>
      <c r="CX34" s="3">
        <f t="shared" si="12"/>
        <v>3.5585585810715115</v>
      </c>
      <c r="CY34" s="3">
        <f t="shared" si="13"/>
        <v>3.3541084391474008</v>
      </c>
      <c r="CZ34" s="3">
        <f t="shared" si="14"/>
        <v>3.6328367544036255</v>
      </c>
      <c r="DA34" s="3">
        <f t="shared" si="15"/>
        <v>3.4151299163130422</v>
      </c>
      <c r="DB34" s="6">
        <f t="shared" si="16"/>
        <v>0.82858736187111026</v>
      </c>
      <c r="DC34" s="3">
        <v>4</v>
      </c>
      <c r="DD34" s="3">
        <f>DC34/Raw!C35</f>
        <v>24.999999999999996</v>
      </c>
      <c r="DE34" s="5">
        <f t="shared" si="17"/>
        <v>5.9259259259259265E-3</v>
      </c>
      <c r="DF34">
        <f t="shared" si="18"/>
        <v>-2.2272437815030623</v>
      </c>
      <c r="DH34" s="4">
        <f>-SUM('Shannon-Weiner'!B33:Z33)</f>
        <v>0.9820941502789311</v>
      </c>
      <c r="DI34" s="4">
        <f>SUM('p^2'!B33:Z33)</f>
        <v>0.4190672153635116</v>
      </c>
      <c r="DJ34" s="4">
        <f t="shared" si="19"/>
        <v>0.58093278463648845</v>
      </c>
      <c r="DK34">
        <f t="shared" si="20"/>
        <v>2.3862520458265144</v>
      </c>
      <c r="DL34" s="4">
        <f>SUM('Shannon-Weiner_B'!B33:Z33)</f>
        <v>-0.91094838919688237</v>
      </c>
      <c r="DM34" s="4">
        <f>SUM('p_B^2'!B33:Z33)</f>
        <v>0.51436435597980645</v>
      </c>
      <c r="DN34" s="4">
        <f t="shared" si="21"/>
        <v>0.48563564402019355</v>
      </c>
      <c r="DO34">
        <f t="shared" si="22"/>
        <v>1.944147156338452</v>
      </c>
    </row>
    <row r="35" spans="1:119" x14ac:dyDescent="0.25">
      <c r="A35" s="1"/>
      <c r="B35" t="str">
        <f>Raw!B36</f>
        <v>FB14</v>
      </c>
      <c r="C35">
        <v>1</v>
      </c>
      <c r="D35" s="9">
        <f>Raw!D36/Raw!$C36</f>
        <v>0</v>
      </c>
      <c r="E35" s="9">
        <f>Raw!E36/Raw!$C36</f>
        <v>0</v>
      </c>
      <c r="F35" s="9">
        <f>Raw!F36/Raw!$C36</f>
        <v>0</v>
      </c>
      <c r="G35" s="9">
        <f>Raw!G36/Raw!$C36</f>
        <v>0</v>
      </c>
      <c r="H35" s="9">
        <f>Raw!H36/Raw!$C36</f>
        <v>0</v>
      </c>
      <c r="I35" s="9">
        <f>Raw!I36/Raw!$C36</f>
        <v>0</v>
      </c>
      <c r="J35" s="9">
        <f>Raw!J36/Raw!$C36</f>
        <v>0</v>
      </c>
      <c r="K35" s="9">
        <f>Raw!K36/Raw!$C36</f>
        <v>0</v>
      </c>
      <c r="L35" s="9">
        <f>Raw!L36/Raw!$C36</f>
        <v>0</v>
      </c>
      <c r="M35" s="9">
        <f>Raw!M36/Raw!$C36</f>
        <v>0</v>
      </c>
      <c r="N35" s="9">
        <f>Raw!N36/Raw!$C36</f>
        <v>0</v>
      </c>
      <c r="O35" s="9">
        <f>Raw!O36/Raw!$C36</f>
        <v>0</v>
      </c>
      <c r="P35" s="9">
        <f>Raw!P36/Raw!$C36</f>
        <v>337.49999999999994</v>
      </c>
      <c r="Q35" s="9">
        <f>Raw!Q36/Raw!$C36</f>
        <v>499.81249999999989</v>
      </c>
      <c r="R35" s="9">
        <f>Raw!R36/Raw!$C36</f>
        <v>0</v>
      </c>
      <c r="S35" s="9">
        <f>Raw!S36/Raw!$C36</f>
        <v>0</v>
      </c>
      <c r="T35" s="9">
        <f>Raw!T36/Raw!$C36</f>
        <v>0</v>
      </c>
      <c r="U35" s="9">
        <f>Raw!U36/Raw!$C36</f>
        <v>0</v>
      </c>
      <c r="V35" s="9">
        <f>Raw!V36/Raw!$C36</f>
        <v>0</v>
      </c>
      <c r="W35" s="9">
        <f>Raw!W36/Raw!$C36</f>
        <v>0</v>
      </c>
      <c r="X35" s="9">
        <f>Raw!X36/Raw!$C36</f>
        <v>43.749999999999993</v>
      </c>
      <c r="Y35" s="9">
        <f>Raw!Y36/Raw!$C36</f>
        <v>2.9999999999999991</v>
      </c>
      <c r="Z35" s="9">
        <f>Raw!Z36/Raw!$C36</f>
        <v>0</v>
      </c>
      <c r="AA35" s="9">
        <f>Raw!AA36/Raw!$C36</f>
        <v>0</v>
      </c>
      <c r="AB35" s="9">
        <f>Raw!AB36/Raw!$C36</f>
        <v>0</v>
      </c>
      <c r="AC35" s="9">
        <f>Raw!AC36/Raw!$C36</f>
        <v>0</v>
      </c>
      <c r="AD35" s="9">
        <f>Raw!AD36/Raw!$C36</f>
        <v>0</v>
      </c>
      <c r="AE35" s="9">
        <f>Raw!AE36/Raw!$C36</f>
        <v>0</v>
      </c>
      <c r="AF35" s="9">
        <f>Raw!AF36/Raw!$C36</f>
        <v>0</v>
      </c>
      <c r="AG35" s="9">
        <f>Raw!AG36/Raw!$C36</f>
        <v>0</v>
      </c>
      <c r="AH35" s="9">
        <f>Raw!AH36/Raw!$C36</f>
        <v>0</v>
      </c>
      <c r="AI35" s="9">
        <f>Raw!AI36/Raw!$C36</f>
        <v>0</v>
      </c>
      <c r="AJ35" s="9">
        <f>Raw!AJ36/Raw!$C36</f>
        <v>0</v>
      </c>
      <c r="AK35" s="9">
        <f>Raw!AK36/Raw!$C36</f>
        <v>0</v>
      </c>
      <c r="AL35" s="9">
        <f>Raw!AL36/Raw!$C36</f>
        <v>0</v>
      </c>
      <c r="AM35" s="9">
        <f>Raw!AM36/Raw!$C36</f>
        <v>0</v>
      </c>
      <c r="AN35" s="9">
        <f>Raw!AN36/Raw!$C36</f>
        <v>0</v>
      </c>
      <c r="AO35" s="9">
        <f>Raw!AO36/Raw!$C36</f>
        <v>0</v>
      </c>
      <c r="AP35" s="9">
        <f>Raw!AP36/Raw!$C36</f>
        <v>0</v>
      </c>
      <c r="AQ35" s="9">
        <f>Raw!AQ36/Raw!$C36</f>
        <v>0</v>
      </c>
      <c r="AR35" s="9">
        <f>Raw!AR36/Raw!$C36</f>
        <v>0</v>
      </c>
      <c r="AS35" s="9">
        <f>Raw!AS36/Raw!$C36</f>
        <v>0</v>
      </c>
      <c r="AT35" s="9">
        <f>Raw!AT36/Raw!$C36</f>
        <v>0</v>
      </c>
      <c r="AU35" s="9">
        <f>Raw!AU36/Raw!$C36</f>
        <v>0</v>
      </c>
      <c r="AV35" s="9">
        <f>Raw!AV36/Raw!$C36</f>
        <v>0</v>
      </c>
      <c r="AW35" s="9">
        <f>Raw!AW36/Raw!$C36</f>
        <v>0</v>
      </c>
      <c r="AX35" s="9">
        <f>Raw!AX36/Raw!$C36</f>
        <v>0</v>
      </c>
      <c r="AY35" s="9">
        <f>Raw!AY36/Raw!$C36</f>
        <v>0</v>
      </c>
      <c r="AZ35" s="9">
        <f>Raw!AZ36/Raw!$C36</f>
        <v>0</v>
      </c>
      <c r="BA35" s="9">
        <f>Raw!BA36/Raw!$C36</f>
        <v>0</v>
      </c>
      <c r="BB35" s="9">
        <f>Raw!BB36/Raw!$C36</f>
        <v>0</v>
      </c>
      <c r="BC35" s="9">
        <f>Raw!BC36/Raw!$C36</f>
        <v>0</v>
      </c>
      <c r="BD35" s="9">
        <f>Raw!BD36/Raw!$C36</f>
        <v>0</v>
      </c>
      <c r="BE35" s="9">
        <f>Raw!BE36/Raw!$C36</f>
        <v>0</v>
      </c>
      <c r="BF35" s="9">
        <f>Raw!BF36/Raw!$C36</f>
        <v>0</v>
      </c>
      <c r="BG35" s="9">
        <f>Raw!BG36/Raw!$C36</f>
        <v>0</v>
      </c>
      <c r="BH35" s="9">
        <f>Raw!BH36/Raw!$C36</f>
        <v>0</v>
      </c>
      <c r="BI35" s="9">
        <f>Raw!BI36/Raw!$C36</f>
        <v>0</v>
      </c>
      <c r="BJ35" s="9">
        <f>Raw!BJ36/Raw!$C36</f>
        <v>0</v>
      </c>
      <c r="BK35" s="9">
        <f>Raw!BK36/Raw!$C36</f>
        <v>0</v>
      </c>
      <c r="BL35" s="9">
        <f>Raw!BL36/Raw!$C36</f>
        <v>0</v>
      </c>
      <c r="BM35" s="9">
        <f>Raw!BM36/Raw!$C36</f>
        <v>0</v>
      </c>
      <c r="BN35" s="9">
        <f>Raw!BN36/Raw!$C36</f>
        <v>0</v>
      </c>
      <c r="BO35" s="9">
        <f>Raw!BO36/Raw!$C36</f>
        <v>0</v>
      </c>
      <c r="BP35" s="9">
        <f>Raw!BP36/Raw!$C36</f>
        <v>0</v>
      </c>
      <c r="BQ35" s="9">
        <f>Raw!BQ36/Raw!$C36</f>
        <v>0</v>
      </c>
      <c r="BR35" s="9">
        <f>Raw!BR36/Raw!$C36</f>
        <v>0</v>
      </c>
      <c r="BS35" s="9">
        <f>Raw!BS36/Raw!$C36</f>
        <v>0</v>
      </c>
      <c r="BT35" s="9">
        <f>Raw!BT36/Raw!$C36</f>
        <v>0</v>
      </c>
      <c r="BU35" s="9">
        <f>Raw!BU36/Raw!$C36</f>
        <v>0</v>
      </c>
      <c r="BV35" s="9">
        <f>Raw!BV36/Raw!$C36</f>
        <v>0</v>
      </c>
      <c r="BW35" s="9">
        <f>Raw!BW36/Raw!$C36</f>
        <v>0</v>
      </c>
      <c r="BX35" s="9">
        <f>Raw!BX36/Raw!$C36</f>
        <v>0</v>
      </c>
      <c r="BY35" s="9">
        <f>Raw!BY36/Raw!$C36</f>
        <v>0</v>
      </c>
      <c r="BZ35" s="9">
        <f>Raw!BZ36/Raw!$C36</f>
        <v>0</v>
      </c>
      <c r="CA35" s="9">
        <f>Raw!CA36/Raw!$C36</f>
        <v>0</v>
      </c>
      <c r="CB35" s="9">
        <f>Raw!CB36/Raw!$C36</f>
        <v>0</v>
      </c>
      <c r="CC35" s="9">
        <f>Raw!CC36/Raw!$C36</f>
        <v>0</v>
      </c>
      <c r="CD35" s="9">
        <f>Raw!CD36/Raw!$C36</f>
        <v>0</v>
      </c>
      <c r="CE35" s="9">
        <f>Raw!CE36/Raw!$C36</f>
        <v>0</v>
      </c>
      <c r="CF35" s="9">
        <f>Raw!CF36/Raw!$C36</f>
        <v>0</v>
      </c>
      <c r="CG35" s="9">
        <f>Raw!CG36/Raw!$C36</f>
        <v>0</v>
      </c>
      <c r="CH35" s="9">
        <f>Raw!CH36/Raw!$C36</f>
        <v>0</v>
      </c>
      <c r="CI35" s="9">
        <f>Raw!CI36/Raw!$C36</f>
        <v>0</v>
      </c>
      <c r="CJ35" s="9">
        <f>Raw!CJ36/Raw!$C36</f>
        <v>0</v>
      </c>
      <c r="CK35" s="9">
        <f>Raw!CK36/Raw!$C36</f>
        <v>0</v>
      </c>
      <c r="CL35" s="9">
        <f>Raw!CL36/Raw!$C36</f>
        <v>0</v>
      </c>
      <c r="CM35" s="9">
        <f>Raw!CM36/Raw!$C36</f>
        <v>0</v>
      </c>
      <c r="CN35" s="9">
        <f>Raw!CN36/Raw!$C36</f>
        <v>0</v>
      </c>
      <c r="CO35" s="9">
        <f>Raw!CO36/Raw!$C36</f>
        <v>0</v>
      </c>
      <c r="CP35" s="9">
        <f>Raw!CP36/Raw!$C36</f>
        <v>0</v>
      </c>
      <c r="CQ35" s="9">
        <f>Raw!CQ36/Raw!$C36</f>
        <v>0</v>
      </c>
      <c r="CR35" s="2">
        <f t="shared" si="8"/>
        <v>381.24999999999994</v>
      </c>
      <c r="CS35" s="2">
        <f t="shared" si="9"/>
        <v>502.81249999999989</v>
      </c>
      <c r="CT35" s="3">
        <f t="shared" si="10"/>
        <v>2.5812098523548421</v>
      </c>
      <c r="CU35" s="3">
        <f t="shared" si="11"/>
        <v>2.7014060657791235</v>
      </c>
      <c r="CV35" s="3">
        <f>Raw!CR36/Raw!$C36</f>
        <v>3618.7499999999991</v>
      </c>
      <c r="CW35" s="3">
        <f>Raw!CS36/Raw!$C36</f>
        <v>2259.9999999999995</v>
      </c>
      <c r="CX35" s="3">
        <f t="shared" si="12"/>
        <v>3.5585585810715115</v>
      </c>
      <c r="CY35" s="3">
        <f t="shared" si="13"/>
        <v>3.3541084391474008</v>
      </c>
      <c r="CZ35" s="3">
        <f t="shared" si="14"/>
        <v>3.6020599913279625</v>
      </c>
      <c r="DA35" s="3">
        <f t="shared" si="15"/>
        <v>3.4413514122496816</v>
      </c>
      <c r="DB35" s="6">
        <f t="shared" si="16"/>
        <v>0.77731311890449339</v>
      </c>
      <c r="DC35" s="3">
        <v>2</v>
      </c>
      <c r="DD35" s="3">
        <f>DC35/Raw!C36</f>
        <v>12.499999999999998</v>
      </c>
      <c r="DE35" s="5">
        <f t="shared" si="17"/>
        <v>5.2459016393442632E-3</v>
      </c>
      <c r="DF35">
        <f t="shared" si="18"/>
        <v>-2.2801798566908609</v>
      </c>
      <c r="DH35" s="4">
        <f>-SUM('Shannon-Weiner'!B34:Z34)</f>
        <v>0.3563409206018685</v>
      </c>
      <c r="DI35" s="4">
        <f>SUM('p^2'!B34:Z34)</f>
        <v>0.7968288094598226</v>
      </c>
      <c r="DJ35" s="4">
        <f t="shared" si="19"/>
        <v>0.2031711905401774</v>
      </c>
      <c r="DK35">
        <f t="shared" si="20"/>
        <v>1.2549747048903879</v>
      </c>
      <c r="DL35" s="4">
        <f>SUM('Shannon-Weiner_B'!B34:Z34)</f>
        <v>-3.6506347067539857E-2</v>
      </c>
      <c r="DM35" s="4">
        <f>SUM('p_B^2'!B34:Z34)</f>
        <v>0.98813831921977102</v>
      </c>
      <c r="DN35" s="4">
        <f t="shared" si="21"/>
        <v>1.1861680780228978E-2</v>
      </c>
      <c r="DO35">
        <f t="shared" si="22"/>
        <v>1.0120040692173489</v>
      </c>
    </row>
    <row r="36" spans="1:119" x14ac:dyDescent="0.25">
      <c r="A36" s="1"/>
      <c r="B36" t="str">
        <f>Raw!B37</f>
        <v>FB15</v>
      </c>
      <c r="C36">
        <v>1</v>
      </c>
      <c r="D36" s="9">
        <f>Raw!D37/Raw!$C37</f>
        <v>30</v>
      </c>
      <c r="E36" s="9">
        <f>Raw!E37/Raw!$C37</f>
        <v>1.1499999999999999</v>
      </c>
      <c r="F36" s="9">
        <f>Raw!F37/Raw!$C37</f>
        <v>85</v>
      </c>
      <c r="G36" s="9">
        <f>Raw!G37/Raw!$C37</f>
        <v>3.3499999999999996</v>
      </c>
      <c r="H36" s="9">
        <f>Raw!H37/Raw!$C37</f>
        <v>0</v>
      </c>
      <c r="I36" s="9">
        <f>Raw!I37/Raw!$C37</f>
        <v>0</v>
      </c>
      <c r="J36" s="9">
        <f>Raw!J37/Raw!$C37</f>
        <v>0</v>
      </c>
      <c r="K36" s="9">
        <f>Raw!K37/Raw!$C37</f>
        <v>0</v>
      </c>
      <c r="L36" s="9">
        <f>Raw!L37/Raw!$C37</f>
        <v>0</v>
      </c>
      <c r="M36" s="9">
        <f>Raw!M37/Raw!$C37</f>
        <v>0</v>
      </c>
      <c r="N36" s="9">
        <f>Raw!N37/Raw!$C37</f>
        <v>0</v>
      </c>
      <c r="O36" s="9">
        <f>Raw!O37/Raw!$C37</f>
        <v>0</v>
      </c>
      <c r="P36" s="9">
        <f>Raw!P37/Raw!$C37</f>
        <v>150</v>
      </c>
      <c r="Q36" s="9">
        <f>Raw!Q37/Raw!$C37</f>
        <v>350.54999999999995</v>
      </c>
      <c r="R36" s="9">
        <f>Raw!R37/Raw!$C37</f>
        <v>0</v>
      </c>
      <c r="S36" s="9">
        <f>Raw!S37/Raw!$C37</f>
        <v>0</v>
      </c>
      <c r="T36" s="9">
        <f>Raw!T37/Raw!$C37</f>
        <v>0</v>
      </c>
      <c r="U36" s="9">
        <f>Raw!U37/Raw!$C37</f>
        <v>0</v>
      </c>
      <c r="V36" s="9">
        <f>Raw!V37/Raw!$C37</f>
        <v>0</v>
      </c>
      <c r="W36" s="9">
        <f>Raw!W37/Raw!$C37</f>
        <v>0</v>
      </c>
      <c r="X36" s="9">
        <f>Raw!X37/Raw!$C37</f>
        <v>150</v>
      </c>
      <c r="Y36" s="9">
        <f>Raw!Y37/Raw!$C37</f>
        <v>17.350000000000001</v>
      </c>
      <c r="Z36" s="9">
        <f>Raw!Z37/Raw!$C37</f>
        <v>0</v>
      </c>
      <c r="AA36" s="9">
        <f>Raw!AA37/Raw!$C37</f>
        <v>0</v>
      </c>
      <c r="AB36" s="9">
        <f>Raw!AB37/Raw!$C37</f>
        <v>0</v>
      </c>
      <c r="AC36" s="9">
        <f>Raw!AC37/Raw!$C37</f>
        <v>0</v>
      </c>
      <c r="AD36" s="9">
        <f>Raw!AD37/Raw!$C37</f>
        <v>0</v>
      </c>
      <c r="AE36" s="9">
        <f>Raw!AE37/Raw!$C37</f>
        <v>0</v>
      </c>
      <c r="AF36" s="9">
        <f>Raw!AF37/Raw!$C37</f>
        <v>5</v>
      </c>
      <c r="AG36" s="9">
        <f>Raw!AG37/Raw!$C37</f>
        <v>1.8499999999999961</v>
      </c>
      <c r="AH36" s="9">
        <f>Raw!AH37/Raw!$C37</f>
        <v>10</v>
      </c>
      <c r="AI36" s="9">
        <f>Raw!AI37/Raw!$C37</f>
        <v>65.45</v>
      </c>
      <c r="AJ36" s="9">
        <f>Raw!AJ37/Raw!$C37</f>
        <v>0</v>
      </c>
      <c r="AK36" s="9">
        <f>Raw!AK37/Raw!$C37</f>
        <v>0</v>
      </c>
      <c r="AL36" s="9">
        <f>Raw!AL37/Raw!$C37</f>
        <v>0</v>
      </c>
      <c r="AM36" s="9">
        <f>Raw!AM37/Raw!$C37</f>
        <v>0</v>
      </c>
      <c r="AN36" s="9">
        <f>Raw!AN37/Raw!$C37</f>
        <v>0</v>
      </c>
      <c r="AO36" s="9">
        <f>Raw!AO37/Raw!$C37</f>
        <v>0</v>
      </c>
      <c r="AP36" s="9">
        <f>Raw!AP37/Raw!$C37</f>
        <v>0</v>
      </c>
      <c r="AQ36" s="9">
        <f>Raw!AQ37/Raw!$C37</f>
        <v>0</v>
      </c>
      <c r="AR36" s="9">
        <f>Raw!AR37/Raw!$C37</f>
        <v>0</v>
      </c>
      <c r="AS36" s="9">
        <f>Raw!AS37/Raw!$C37</f>
        <v>0</v>
      </c>
      <c r="AT36" s="9">
        <f>Raw!AT37/Raw!$C37</f>
        <v>0</v>
      </c>
      <c r="AU36" s="9">
        <f>Raw!AU37/Raw!$C37</f>
        <v>0</v>
      </c>
      <c r="AV36" s="9">
        <f>Raw!AV37/Raw!$C37</f>
        <v>0</v>
      </c>
      <c r="AW36" s="9">
        <f>Raw!AW37/Raw!$C37</f>
        <v>0</v>
      </c>
      <c r="AX36" s="9">
        <f>Raw!AX37/Raw!$C37</f>
        <v>0</v>
      </c>
      <c r="AY36" s="9">
        <f>Raw!AY37/Raw!$C37</f>
        <v>0</v>
      </c>
      <c r="AZ36" s="9">
        <f>Raw!AZ37/Raw!$C37</f>
        <v>0</v>
      </c>
      <c r="BA36" s="9">
        <f>Raw!BA37/Raw!$C37</f>
        <v>0</v>
      </c>
      <c r="BB36" s="9">
        <f>Raw!BB37/Raw!$C37</f>
        <v>0</v>
      </c>
      <c r="BC36" s="9">
        <f>Raw!BC37/Raw!$C37</f>
        <v>0</v>
      </c>
      <c r="BD36" s="9">
        <f>Raw!BD37/Raw!$C37</f>
        <v>0</v>
      </c>
      <c r="BE36" s="9">
        <f>Raw!BE37/Raw!$C37</f>
        <v>0</v>
      </c>
      <c r="BF36" s="9">
        <f>Raw!BF37/Raw!$C37</f>
        <v>0</v>
      </c>
      <c r="BG36" s="9">
        <f>Raw!BG37/Raw!$C37</f>
        <v>0</v>
      </c>
      <c r="BH36" s="9">
        <f>Raw!BH37/Raw!$C37</f>
        <v>15</v>
      </c>
      <c r="BI36" s="9">
        <f>Raw!BI37/Raw!$C37</f>
        <v>4.8</v>
      </c>
      <c r="BJ36" s="9">
        <f>Raw!BJ37/Raw!$C37</f>
        <v>0</v>
      </c>
      <c r="BK36" s="9">
        <f>Raw!BK37/Raw!$C37</f>
        <v>0</v>
      </c>
      <c r="BL36" s="9">
        <f>Raw!BL37/Raw!$C37</f>
        <v>0</v>
      </c>
      <c r="BM36" s="9">
        <f>Raw!BM37/Raw!$C37</f>
        <v>0</v>
      </c>
      <c r="BN36" s="9">
        <f>Raw!BN37/Raw!$C37</f>
        <v>0</v>
      </c>
      <c r="BO36" s="9">
        <f>Raw!BO37/Raw!$C37</f>
        <v>0</v>
      </c>
      <c r="BP36" s="9">
        <f>Raw!BP37/Raw!$C37</f>
        <v>0</v>
      </c>
      <c r="BQ36" s="9">
        <f>Raw!BQ37/Raw!$C37</f>
        <v>0</v>
      </c>
      <c r="BR36" s="9">
        <f>Raw!BR37/Raw!$C37</f>
        <v>0</v>
      </c>
      <c r="BS36" s="9">
        <f>Raw!BS37/Raw!$C37</f>
        <v>0</v>
      </c>
      <c r="BT36" s="9">
        <f>Raw!BT37/Raw!$C37</f>
        <v>0</v>
      </c>
      <c r="BU36" s="9">
        <f>Raw!BU37/Raw!$C37</f>
        <v>0</v>
      </c>
      <c r="BV36" s="9">
        <f>Raw!BV37/Raw!$C37</f>
        <v>0</v>
      </c>
      <c r="BW36" s="9">
        <f>Raw!BW37/Raw!$C37</f>
        <v>0</v>
      </c>
      <c r="BX36" s="9">
        <f>Raw!BX37/Raw!$C37</f>
        <v>0</v>
      </c>
      <c r="BY36" s="9">
        <f>Raw!BY37/Raw!$C37</f>
        <v>0</v>
      </c>
      <c r="BZ36" s="9">
        <f>Raw!BZ37/Raw!$C37</f>
        <v>0</v>
      </c>
      <c r="CA36" s="9">
        <f>Raw!CA37/Raw!$C37</f>
        <v>0</v>
      </c>
      <c r="CB36" s="9">
        <f>Raw!CB37/Raw!$C37</f>
        <v>0</v>
      </c>
      <c r="CC36" s="9">
        <f>Raw!CC37/Raw!$C37</f>
        <v>0</v>
      </c>
      <c r="CD36" s="9">
        <f>Raw!CD37/Raw!$C37</f>
        <v>0</v>
      </c>
      <c r="CE36" s="9">
        <f>Raw!CE37/Raw!$C37</f>
        <v>0</v>
      </c>
      <c r="CF36" s="9">
        <f>Raw!CF37/Raw!$C37</f>
        <v>0</v>
      </c>
      <c r="CG36" s="9">
        <f>Raw!CG37/Raw!$C37</f>
        <v>0</v>
      </c>
      <c r="CH36" s="9">
        <f>Raw!CH37/Raw!$C37</f>
        <v>0</v>
      </c>
      <c r="CI36" s="9">
        <f>Raw!CI37/Raw!$C37</f>
        <v>0</v>
      </c>
      <c r="CJ36" s="9">
        <f>Raw!CJ37/Raw!$C37</f>
        <v>0</v>
      </c>
      <c r="CK36" s="9">
        <f>Raw!CK37/Raw!$C37</f>
        <v>0</v>
      </c>
      <c r="CL36" s="9">
        <f>Raw!CL37/Raw!$C37</f>
        <v>0</v>
      </c>
      <c r="CM36" s="9">
        <f>Raw!CM37/Raw!$C37</f>
        <v>0</v>
      </c>
      <c r="CN36" s="9">
        <f>Raw!CN37/Raw!$C37</f>
        <v>0</v>
      </c>
      <c r="CO36" s="9">
        <f>Raw!CO37/Raw!$C37</f>
        <v>0</v>
      </c>
      <c r="CP36" s="9">
        <f>Raw!CP37/Raw!$C37</f>
        <v>0</v>
      </c>
      <c r="CQ36" s="9">
        <f>Raw!CQ37/Raw!$C37</f>
        <v>0</v>
      </c>
      <c r="CR36" s="2">
        <f t="shared" si="8"/>
        <v>445</v>
      </c>
      <c r="CS36" s="2">
        <f t="shared" si="9"/>
        <v>444.5</v>
      </c>
      <c r="CT36" s="3">
        <f t="shared" si="10"/>
        <v>2.6483600109809315</v>
      </c>
      <c r="CU36" s="3">
        <f t="shared" si="11"/>
        <v>2.6478717653062325</v>
      </c>
      <c r="CV36" s="3">
        <f>Raw!CR37/Raw!$C37</f>
        <v>2895</v>
      </c>
      <c r="CW36" s="3">
        <f>Raw!CS37/Raw!$C37</f>
        <v>1808</v>
      </c>
      <c r="CX36" s="3">
        <f t="shared" si="12"/>
        <v>3.4616485680634552</v>
      </c>
      <c r="CY36" s="3">
        <f t="shared" si="13"/>
        <v>3.2571984261393445</v>
      </c>
      <c r="CZ36" s="3">
        <f t="shared" si="14"/>
        <v>3.5237464668115646</v>
      </c>
      <c r="DA36" s="3">
        <f t="shared" si="15"/>
        <v>3.3526647996511008</v>
      </c>
      <c r="DB36" s="6">
        <f t="shared" si="16"/>
        <v>0.79583385234667392</v>
      </c>
      <c r="DC36" s="3">
        <v>7</v>
      </c>
      <c r="DD36" s="3">
        <f>DC36/Raw!C37</f>
        <v>35</v>
      </c>
      <c r="DE36" s="5">
        <f t="shared" si="17"/>
        <v>1.5730337078651686E-2</v>
      </c>
      <c r="DF36">
        <f t="shared" si="18"/>
        <v>-1.8032619709666748</v>
      </c>
      <c r="DH36" s="4">
        <f>-SUM('Shannon-Weiner'!B35:Z35)</f>
        <v>1.3668472682223685</v>
      </c>
      <c r="DI36" s="4">
        <f>SUM('p^2'!B35:Z35)</f>
        <v>0.2689054412321677</v>
      </c>
      <c r="DJ36" s="4">
        <f t="shared" si="19"/>
        <v>0.73109455876783236</v>
      </c>
      <c r="DK36">
        <f t="shared" si="20"/>
        <v>3.7187793427230043</v>
      </c>
      <c r="DL36" s="4">
        <f>SUM('Shannon-Weiner_B'!B35:Z35)</f>
        <v>-0.67099251340200716</v>
      </c>
      <c r="DM36" s="4">
        <f>SUM('p_B^2'!B35:Z35)</f>
        <v>0.64523653047306073</v>
      </c>
      <c r="DN36" s="4">
        <f t="shared" si="21"/>
        <v>0.35476346952693927</v>
      </c>
      <c r="DO36">
        <f t="shared" si="22"/>
        <v>1.5498192566171685</v>
      </c>
    </row>
    <row r="37" spans="1:119" x14ac:dyDescent="0.25">
      <c r="A37" s="1"/>
      <c r="B37" t="str">
        <f>Raw!B38</f>
        <v>FB16</v>
      </c>
      <c r="C37">
        <v>1</v>
      </c>
      <c r="D37" s="9">
        <f>Raw!D38/Raw!$C38</f>
        <v>166.66666666666669</v>
      </c>
      <c r="E37" s="9">
        <f>Raw!E38/Raw!$C38</f>
        <v>20.916666666666668</v>
      </c>
      <c r="F37" s="9">
        <f>Raw!F38/Raw!$C38</f>
        <v>83.333333333333343</v>
      </c>
      <c r="G37" s="9">
        <f>Raw!G38/Raw!$C38</f>
        <v>1.0000000000000009</v>
      </c>
      <c r="H37" s="9">
        <f>Raw!H38/Raw!$C38</f>
        <v>0</v>
      </c>
      <c r="I37" s="9">
        <f>Raw!I38/Raw!$C38</f>
        <v>0</v>
      </c>
      <c r="J37" s="9">
        <f>Raw!J38/Raw!$C38</f>
        <v>0</v>
      </c>
      <c r="K37" s="9">
        <f>Raw!K38/Raw!$C38</f>
        <v>0</v>
      </c>
      <c r="L37" s="9">
        <f>Raw!L38/Raw!$C38</f>
        <v>0</v>
      </c>
      <c r="M37" s="9">
        <f>Raw!M38/Raw!$C38</f>
        <v>0</v>
      </c>
      <c r="N37" s="9">
        <f>Raw!N38/Raw!$C38</f>
        <v>0</v>
      </c>
      <c r="O37" s="9">
        <f>Raw!O38/Raw!$C38</f>
        <v>0</v>
      </c>
      <c r="P37" s="9">
        <f>Raw!P38/Raw!$C38</f>
        <v>183.33333333333334</v>
      </c>
      <c r="Q37" s="9">
        <f>Raw!Q38/Raw!$C38</f>
        <v>744.08333333333326</v>
      </c>
      <c r="R37" s="9">
        <f>Raw!R38/Raw!$C38</f>
        <v>0</v>
      </c>
      <c r="S37" s="9">
        <f>Raw!S38/Raw!$C38</f>
        <v>0</v>
      </c>
      <c r="T37" s="9">
        <f>Raw!T38/Raw!$C38</f>
        <v>0</v>
      </c>
      <c r="U37" s="9">
        <f>Raw!U38/Raw!$C38</f>
        <v>0</v>
      </c>
      <c r="V37" s="9">
        <f>Raw!V38/Raw!$C38</f>
        <v>0</v>
      </c>
      <c r="W37" s="9">
        <f>Raw!W38/Raw!$C38</f>
        <v>0</v>
      </c>
      <c r="X37" s="9">
        <f>Raw!X38/Raw!$C38</f>
        <v>16.666666666666668</v>
      </c>
      <c r="Y37" s="9">
        <f>Raw!Y38/Raw!$C38</f>
        <v>3.0000000000000027</v>
      </c>
      <c r="Z37" s="9">
        <f>Raw!Z38/Raw!$C38</f>
        <v>0</v>
      </c>
      <c r="AA37" s="9">
        <f>Raw!AA38/Raw!$C38</f>
        <v>0</v>
      </c>
      <c r="AB37" s="9">
        <f>Raw!AB38/Raw!$C38</f>
        <v>0</v>
      </c>
      <c r="AC37" s="9">
        <f>Raw!AC38/Raw!$C38</f>
        <v>0</v>
      </c>
      <c r="AD37" s="9">
        <f>Raw!AD38/Raw!$C38</f>
        <v>0</v>
      </c>
      <c r="AE37" s="9">
        <f>Raw!AE38/Raw!$C38</f>
        <v>0</v>
      </c>
      <c r="AF37" s="9">
        <f>Raw!AF38/Raw!$C38</f>
        <v>0</v>
      </c>
      <c r="AG37" s="9">
        <f>Raw!AG38/Raw!$C38</f>
        <v>0</v>
      </c>
      <c r="AH37" s="9">
        <f>Raw!AH38/Raw!$C38</f>
        <v>0</v>
      </c>
      <c r="AI37" s="9">
        <f>Raw!AI38/Raw!$C38</f>
        <v>0</v>
      </c>
      <c r="AJ37" s="9">
        <f>Raw!AJ38/Raw!$C38</f>
        <v>0</v>
      </c>
      <c r="AK37" s="9">
        <f>Raw!AK38/Raw!$C38</f>
        <v>0</v>
      </c>
      <c r="AL37" s="9">
        <f>Raw!AL38/Raw!$C38</f>
        <v>0</v>
      </c>
      <c r="AM37" s="9">
        <f>Raw!AM38/Raw!$C38</f>
        <v>0</v>
      </c>
      <c r="AN37" s="9">
        <f>Raw!AN38/Raw!$C38</f>
        <v>0</v>
      </c>
      <c r="AO37" s="9">
        <f>Raw!AO38/Raw!$C38</f>
        <v>0</v>
      </c>
      <c r="AP37" s="9">
        <f>Raw!AP38/Raw!$C38</f>
        <v>0</v>
      </c>
      <c r="AQ37" s="9">
        <f>Raw!AQ38/Raw!$C38</f>
        <v>0</v>
      </c>
      <c r="AR37" s="9">
        <f>Raw!AR38/Raw!$C38</f>
        <v>0</v>
      </c>
      <c r="AS37" s="9">
        <f>Raw!AS38/Raw!$C38</f>
        <v>0</v>
      </c>
      <c r="AT37" s="9">
        <f>Raw!AT38/Raw!$C38</f>
        <v>0</v>
      </c>
      <c r="AU37" s="9">
        <f>Raw!AU38/Raw!$C38</f>
        <v>0</v>
      </c>
      <c r="AV37" s="9">
        <f>Raw!AV38/Raw!$C38</f>
        <v>0</v>
      </c>
      <c r="AW37" s="9">
        <f>Raw!AW38/Raw!$C38</f>
        <v>0</v>
      </c>
      <c r="AX37" s="9">
        <f>Raw!AX38/Raw!$C38</f>
        <v>0</v>
      </c>
      <c r="AY37" s="9">
        <f>Raw!AY38/Raw!$C38</f>
        <v>0</v>
      </c>
      <c r="AZ37" s="9">
        <f>Raw!AZ38/Raw!$C38</f>
        <v>0</v>
      </c>
      <c r="BA37" s="9">
        <f>Raw!BA38/Raw!$C38</f>
        <v>0</v>
      </c>
      <c r="BB37" s="9">
        <f>Raw!BB38/Raw!$C38</f>
        <v>0</v>
      </c>
      <c r="BC37" s="9">
        <f>Raw!BC38/Raw!$C38</f>
        <v>0</v>
      </c>
      <c r="BD37" s="9">
        <f>Raw!BD38/Raw!$C38</f>
        <v>0</v>
      </c>
      <c r="BE37" s="9">
        <f>Raw!BE38/Raw!$C38</f>
        <v>0</v>
      </c>
      <c r="BF37" s="9">
        <f>Raw!BF38/Raw!$C38</f>
        <v>0</v>
      </c>
      <c r="BG37" s="9">
        <f>Raw!BG38/Raw!$C38</f>
        <v>0</v>
      </c>
      <c r="BH37" s="9">
        <f>Raw!BH38/Raw!$C38</f>
        <v>8.3333333333333339</v>
      </c>
      <c r="BI37" s="9">
        <f>Raw!BI38/Raw!$C38</f>
        <v>0.33333333333333365</v>
      </c>
      <c r="BJ37" s="9">
        <f>Raw!BJ38/Raw!$C38</f>
        <v>0</v>
      </c>
      <c r="BK37" s="9">
        <f>Raw!BK38/Raw!$C38</f>
        <v>0</v>
      </c>
      <c r="BL37" s="9">
        <f>Raw!BL38/Raw!$C38</f>
        <v>0</v>
      </c>
      <c r="BM37" s="9">
        <f>Raw!BM38/Raw!$C38</f>
        <v>0</v>
      </c>
      <c r="BN37" s="9">
        <f>Raw!BN38/Raw!$C38</f>
        <v>0</v>
      </c>
      <c r="BO37" s="9">
        <f>Raw!BO38/Raw!$C38</f>
        <v>0</v>
      </c>
      <c r="BP37" s="9">
        <f>Raw!BP38/Raw!$C38</f>
        <v>0</v>
      </c>
      <c r="BQ37" s="9">
        <f>Raw!BQ38/Raw!$C38</f>
        <v>0</v>
      </c>
      <c r="BR37" s="9">
        <f>Raw!BR38/Raw!$C38</f>
        <v>0</v>
      </c>
      <c r="BS37" s="9">
        <f>Raw!BS38/Raw!$C38</f>
        <v>0</v>
      </c>
      <c r="BT37" s="9">
        <f>Raw!BT38/Raw!$C38</f>
        <v>0</v>
      </c>
      <c r="BU37" s="9">
        <f>Raw!BU38/Raw!$C38</f>
        <v>0</v>
      </c>
      <c r="BV37" s="9">
        <f>Raw!BV38/Raw!$C38</f>
        <v>0</v>
      </c>
      <c r="BW37" s="9">
        <f>Raw!BW38/Raw!$C38</f>
        <v>0</v>
      </c>
      <c r="BX37" s="9">
        <f>Raw!BX38/Raw!$C38</f>
        <v>0</v>
      </c>
      <c r="BY37" s="9">
        <f>Raw!BY38/Raw!$C38</f>
        <v>0</v>
      </c>
      <c r="BZ37" s="9">
        <f>Raw!BZ38/Raw!$C38</f>
        <v>0</v>
      </c>
      <c r="CA37" s="9">
        <f>Raw!CA38/Raw!$C38</f>
        <v>0</v>
      </c>
      <c r="CB37" s="9">
        <f>Raw!CB38/Raw!$C38</f>
        <v>0</v>
      </c>
      <c r="CC37" s="9">
        <f>Raw!CC38/Raw!$C38</f>
        <v>0</v>
      </c>
      <c r="CD37" s="9">
        <f>Raw!CD38/Raw!$C38</f>
        <v>0</v>
      </c>
      <c r="CE37" s="9">
        <f>Raw!CE38/Raw!$C38</f>
        <v>0</v>
      </c>
      <c r="CF37" s="9">
        <f>Raw!CF38/Raw!$C38</f>
        <v>0</v>
      </c>
      <c r="CG37" s="9">
        <f>Raw!CG38/Raw!$C38</f>
        <v>0</v>
      </c>
      <c r="CH37" s="9">
        <f>Raw!CH38/Raw!$C38</f>
        <v>0</v>
      </c>
      <c r="CI37" s="9">
        <f>Raw!CI38/Raw!$C38</f>
        <v>0</v>
      </c>
      <c r="CJ37" s="9">
        <f>Raw!CJ38/Raw!$C38</f>
        <v>0</v>
      </c>
      <c r="CK37" s="9">
        <f>Raw!CK38/Raw!$C38</f>
        <v>0</v>
      </c>
      <c r="CL37" s="9">
        <f>Raw!CL38/Raw!$C38</f>
        <v>0</v>
      </c>
      <c r="CM37" s="9">
        <f>Raw!CM38/Raw!$C38</f>
        <v>0</v>
      </c>
      <c r="CN37" s="9">
        <f>Raw!CN38/Raw!$C38</f>
        <v>0</v>
      </c>
      <c r="CO37" s="9">
        <f>Raw!CO38/Raw!$C38</f>
        <v>0</v>
      </c>
      <c r="CP37" s="9">
        <f>Raw!CP38/Raw!$C38</f>
        <v>0</v>
      </c>
      <c r="CQ37" s="9">
        <f>Raw!CQ38/Raw!$C38</f>
        <v>0</v>
      </c>
      <c r="CR37" s="2">
        <f t="shared" si="8"/>
        <v>458.33333333333337</v>
      </c>
      <c r="CS37" s="2">
        <f t="shared" si="9"/>
        <v>769.33333333333326</v>
      </c>
      <c r="CT37" s="3">
        <f t="shared" si="10"/>
        <v>2.661181443446619</v>
      </c>
      <c r="CU37" s="3">
        <f t="shared" si="11"/>
        <v>2.8861145497640313</v>
      </c>
      <c r="CV37" s="3">
        <f>Raw!CR38/Raw!$C38</f>
        <v>4825</v>
      </c>
      <c r="CW37" s="3">
        <f>Raw!CS38/Raw!$C38</f>
        <v>3013.3333333333335</v>
      </c>
      <c r="CX37" s="3">
        <f t="shared" si="12"/>
        <v>3.6834973176798114</v>
      </c>
      <c r="CY37" s="3">
        <f t="shared" si="13"/>
        <v>3.4790471757557011</v>
      </c>
      <c r="CZ37" s="3">
        <f t="shared" si="14"/>
        <v>3.7229080118341078</v>
      </c>
      <c r="DA37" s="3">
        <f t="shared" si="15"/>
        <v>3.5777980724041525</v>
      </c>
      <c r="DB37" s="6">
        <f t="shared" si="16"/>
        <v>0.65269983714135171</v>
      </c>
      <c r="DC37" s="3">
        <v>5</v>
      </c>
      <c r="DD37" s="3">
        <f>DC37/Raw!C38</f>
        <v>41.666666666666671</v>
      </c>
      <c r="DE37" s="5">
        <f t="shared" si="17"/>
        <v>1.0909090909090908E-2</v>
      </c>
      <c r="DF37">
        <f t="shared" si="18"/>
        <v>-1.9622114391106003</v>
      </c>
      <c r="DH37" s="4">
        <f>-SUM('Shannon-Weiner'!B36:Z36)</f>
        <v>1.164841223027824</v>
      </c>
      <c r="DI37" s="4">
        <f>SUM('p^2'!B36:Z36)</f>
        <v>0.32661157024793386</v>
      </c>
      <c r="DJ37" s="4">
        <f t="shared" si="19"/>
        <v>0.67338842975206614</v>
      </c>
      <c r="DK37">
        <f t="shared" si="20"/>
        <v>3.0617408906882595</v>
      </c>
      <c r="DL37" s="4">
        <f>SUM('Shannon-Weiner_B'!B36:Z36)</f>
        <v>-0.16055643228750702</v>
      </c>
      <c r="DM37" s="4">
        <f>SUM('p_B^2'!B36:Z36)</f>
        <v>0.93619203062064293</v>
      </c>
      <c r="DN37" s="4">
        <f t="shared" si="21"/>
        <v>6.3807969379357066E-2</v>
      </c>
      <c r="DO37">
        <f t="shared" si="22"/>
        <v>1.068156924319315</v>
      </c>
    </row>
    <row r="38" spans="1:119" x14ac:dyDescent="0.25">
      <c r="A38" s="1"/>
      <c r="B38" t="str">
        <f>Raw!B39</f>
        <v>FB17</v>
      </c>
      <c r="C38">
        <v>1</v>
      </c>
      <c r="D38" s="9">
        <f>Raw!D39/Raw!$C39</f>
        <v>28</v>
      </c>
      <c r="E38" s="9">
        <f>Raw!E39/Raw!$C39</f>
        <v>8.6400000000000041</v>
      </c>
      <c r="F38" s="9">
        <f>Raw!F39/Raw!$C39</f>
        <v>180</v>
      </c>
      <c r="G38" s="9">
        <f>Raw!G39/Raw!$C39</f>
        <v>288.79999999999995</v>
      </c>
      <c r="H38" s="9">
        <f>Raw!H39/Raw!$C39</f>
        <v>0</v>
      </c>
      <c r="I38" s="9">
        <f>Raw!I39/Raw!$C39</f>
        <v>0</v>
      </c>
      <c r="J38" s="9">
        <f>Raw!J39/Raw!$C39</f>
        <v>0</v>
      </c>
      <c r="K38" s="9">
        <f>Raw!K39/Raw!$C39</f>
        <v>0</v>
      </c>
      <c r="L38" s="9">
        <f>Raw!L39/Raw!$C39</f>
        <v>0</v>
      </c>
      <c r="M38" s="9">
        <f>Raw!M39/Raw!$C39</f>
        <v>0</v>
      </c>
      <c r="N38" s="9">
        <f>Raw!N39/Raw!$C39</f>
        <v>0</v>
      </c>
      <c r="O38" s="9">
        <f>Raw!O39/Raw!$C39</f>
        <v>0</v>
      </c>
      <c r="P38" s="9">
        <f>Raw!P39/Raw!$C39</f>
        <v>28</v>
      </c>
      <c r="Q38" s="9">
        <f>Raw!Q39/Raw!$C39</f>
        <v>32.200000000000003</v>
      </c>
      <c r="R38" s="9">
        <f>Raw!R39/Raw!$C39</f>
        <v>0</v>
      </c>
      <c r="S38" s="9">
        <f>Raw!S39/Raw!$C39</f>
        <v>0</v>
      </c>
      <c r="T38" s="9">
        <f>Raw!T39/Raw!$C39</f>
        <v>0</v>
      </c>
      <c r="U38" s="9">
        <f>Raw!U39/Raw!$C39</f>
        <v>0</v>
      </c>
      <c r="V38" s="9">
        <f>Raw!V39/Raw!$C39</f>
        <v>0</v>
      </c>
      <c r="W38" s="9">
        <f>Raw!W39/Raw!$C39</f>
        <v>0</v>
      </c>
      <c r="X38" s="9">
        <f>Raw!X39/Raw!$C39</f>
        <v>0</v>
      </c>
      <c r="Y38" s="9">
        <f>Raw!Y39/Raw!$C39</f>
        <v>0</v>
      </c>
      <c r="Z38" s="9">
        <f>Raw!Z39/Raw!$C39</f>
        <v>0</v>
      </c>
      <c r="AA38" s="9">
        <f>Raw!AA39/Raw!$C39</f>
        <v>0</v>
      </c>
      <c r="AB38" s="9">
        <f>Raw!AB39/Raw!$C39</f>
        <v>0</v>
      </c>
      <c r="AC38" s="9">
        <f>Raw!AC39/Raw!$C39</f>
        <v>0</v>
      </c>
      <c r="AD38" s="9">
        <f>Raw!AD39/Raw!$C39</f>
        <v>0</v>
      </c>
      <c r="AE38" s="9">
        <f>Raw!AE39/Raw!$C39</f>
        <v>0</v>
      </c>
      <c r="AF38" s="9">
        <f>Raw!AF39/Raw!$C39</f>
        <v>0</v>
      </c>
      <c r="AG38" s="9">
        <f>Raw!AG39/Raw!$C39</f>
        <v>0</v>
      </c>
      <c r="AH38" s="9">
        <f>Raw!AH39/Raw!$C39</f>
        <v>8</v>
      </c>
      <c r="AI38" s="9">
        <f>Raw!AI39/Raw!$C39</f>
        <v>0.23999999999999844</v>
      </c>
      <c r="AJ38" s="9">
        <f>Raw!AJ39/Raw!$C39</f>
        <v>0</v>
      </c>
      <c r="AK38" s="9">
        <f>Raw!AK39/Raw!$C39</f>
        <v>0</v>
      </c>
      <c r="AL38" s="9">
        <f>Raw!AL39/Raw!$C39</f>
        <v>0</v>
      </c>
      <c r="AM38" s="9">
        <f>Raw!AM39/Raw!$C39</f>
        <v>0</v>
      </c>
      <c r="AN38" s="9">
        <f>Raw!AN39/Raw!$C39</f>
        <v>0</v>
      </c>
      <c r="AO38" s="9">
        <f>Raw!AO39/Raw!$C39</f>
        <v>0</v>
      </c>
      <c r="AP38" s="9">
        <f>Raw!AP39/Raw!$C39</f>
        <v>0</v>
      </c>
      <c r="AQ38" s="9">
        <f>Raw!AQ39/Raw!$C39</f>
        <v>0</v>
      </c>
      <c r="AR38" s="9">
        <f>Raw!AR39/Raw!$C39</f>
        <v>0</v>
      </c>
      <c r="AS38" s="9">
        <f>Raw!AS39/Raw!$C39</f>
        <v>0</v>
      </c>
      <c r="AT38" s="9">
        <f>Raw!AT39/Raw!$C39</f>
        <v>0</v>
      </c>
      <c r="AU38" s="9">
        <f>Raw!AU39/Raw!$C39</f>
        <v>0</v>
      </c>
      <c r="AV38" s="9">
        <f>Raw!AV39/Raw!$C39</f>
        <v>0</v>
      </c>
      <c r="AW38" s="9">
        <f>Raw!AW39/Raw!$C39</f>
        <v>0</v>
      </c>
      <c r="AX38" s="9">
        <f>Raw!AX39/Raw!$C39</f>
        <v>0</v>
      </c>
      <c r="AY38" s="9">
        <f>Raw!AY39/Raw!$C39</f>
        <v>0</v>
      </c>
      <c r="AZ38" s="9">
        <f>Raw!AZ39/Raw!$C39</f>
        <v>0</v>
      </c>
      <c r="BA38" s="9">
        <f>Raw!BA39/Raw!$C39</f>
        <v>0</v>
      </c>
      <c r="BB38" s="9">
        <f>Raw!BB39/Raw!$C39</f>
        <v>0</v>
      </c>
      <c r="BC38" s="9">
        <f>Raw!BC39/Raw!$C39</f>
        <v>0</v>
      </c>
      <c r="BD38" s="9">
        <f>Raw!BD39/Raw!$C39</f>
        <v>0</v>
      </c>
      <c r="BE38" s="9">
        <f>Raw!BE39/Raw!$C39</f>
        <v>0</v>
      </c>
      <c r="BF38" s="9">
        <f>Raw!BF39/Raw!$C39</f>
        <v>0</v>
      </c>
      <c r="BG38" s="9">
        <f>Raw!BG39/Raw!$C39</f>
        <v>0</v>
      </c>
      <c r="BH38" s="9">
        <f>Raw!BH39/Raw!$C39</f>
        <v>0</v>
      </c>
      <c r="BI38" s="9">
        <f>Raw!BI39/Raw!$C39</f>
        <v>0</v>
      </c>
      <c r="BJ38" s="9">
        <f>Raw!BJ39/Raw!$C39</f>
        <v>0</v>
      </c>
      <c r="BK38" s="9">
        <f>Raw!BK39/Raw!$C39</f>
        <v>0</v>
      </c>
      <c r="BL38" s="9">
        <f>Raw!BL39/Raw!$C39</f>
        <v>0</v>
      </c>
      <c r="BM38" s="9">
        <f>Raw!BM39/Raw!$C39</f>
        <v>0</v>
      </c>
      <c r="BN38" s="9">
        <f>Raw!BN39/Raw!$C39</f>
        <v>0</v>
      </c>
      <c r="BO38" s="9">
        <f>Raw!BO39/Raw!$C39</f>
        <v>0</v>
      </c>
      <c r="BP38" s="9">
        <f>Raw!BP39/Raw!$C39</f>
        <v>0</v>
      </c>
      <c r="BQ38" s="9">
        <f>Raw!BQ39/Raw!$C39</f>
        <v>0</v>
      </c>
      <c r="BR38" s="9">
        <f>Raw!BR39/Raw!$C39</f>
        <v>0</v>
      </c>
      <c r="BS38" s="9">
        <f>Raw!BS39/Raw!$C39</f>
        <v>0</v>
      </c>
      <c r="BT38" s="9">
        <f>Raw!BT39/Raw!$C39</f>
        <v>0</v>
      </c>
      <c r="BU38" s="9">
        <f>Raw!BU39/Raw!$C39</f>
        <v>0</v>
      </c>
      <c r="BV38" s="9">
        <f>Raw!BV39/Raw!$C39</f>
        <v>0</v>
      </c>
      <c r="BW38" s="9">
        <f>Raw!BW39/Raw!$C39</f>
        <v>0</v>
      </c>
      <c r="BX38" s="9">
        <f>Raw!BX39/Raw!$C39</f>
        <v>0</v>
      </c>
      <c r="BY38" s="9">
        <f>Raw!BY39/Raw!$C39</f>
        <v>0</v>
      </c>
      <c r="BZ38" s="9">
        <f>Raw!BZ39/Raw!$C39</f>
        <v>0</v>
      </c>
      <c r="CA38" s="9">
        <f>Raw!CA39/Raw!$C39</f>
        <v>0</v>
      </c>
      <c r="CB38" s="9">
        <f>Raw!CB39/Raw!$C39</f>
        <v>0</v>
      </c>
      <c r="CC38" s="9">
        <f>Raw!CC39/Raw!$C39</f>
        <v>0</v>
      </c>
      <c r="CD38" s="9">
        <f>Raw!CD39/Raw!$C39</f>
        <v>0</v>
      </c>
      <c r="CE38" s="9">
        <f>Raw!CE39/Raw!$C39</f>
        <v>0</v>
      </c>
      <c r="CF38" s="9">
        <f>Raw!CF39/Raw!$C39</f>
        <v>0</v>
      </c>
      <c r="CG38" s="9">
        <f>Raw!CG39/Raw!$C39</f>
        <v>0</v>
      </c>
      <c r="CH38" s="9">
        <f>Raw!CH39/Raw!$C39</f>
        <v>0</v>
      </c>
      <c r="CI38" s="9">
        <f>Raw!CI39/Raw!$C39</f>
        <v>0</v>
      </c>
      <c r="CJ38" s="9">
        <f>Raw!CJ39/Raw!$C39</f>
        <v>0</v>
      </c>
      <c r="CK38" s="9">
        <f>Raw!CK39/Raw!$C39</f>
        <v>0</v>
      </c>
      <c r="CL38" s="9">
        <f>Raw!CL39/Raw!$C39</f>
        <v>0</v>
      </c>
      <c r="CM38" s="9">
        <f>Raw!CM39/Raw!$C39</f>
        <v>0</v>
      </c>
      <c r="CN38" s="9">
        <f>Raw!CN39/Raw!$C39</f>
        <v>0</v>
      </c>
      <c r="CO38" s="9">
        <f>Raw!CO39/Raw!$C39</f>
        <v>0</v>
      </c>
      <c r="CP38" s="9">
        <f>Raw!CP39/Raw!$C39</f>
        <v>0</v>
      </c>
      <c r="CQ38" s="9">
        <f>Raw!CQ39/Raw!$C39</f>
        <v>0</v>
      </c>
      <c r="CR38" s="2">
        <f t="shared" si="8"/>
        <v>244</v>
      </c>
      <c r="CS38" s="2">
        <f t="shared" si="9"/>
        <v>329.87999999999994</v>
      </c>
      <c r="CT38" s="3">
        <f t="shared" si="10"/>
        <v>2.3873898263387292</v>
      </c>
      <c r="CU38" s="3">
        <f t="shared" si="11"/>
        <v>2.5183559858910933</v>
      </c>
      <c r="CV38" s="3">
        <f>Raw!CR39/Raw!$C39</f>
        <v>2316</v>
      </c>
      <c r="CW38" s="3">
        <f>Raw!CS39/Raw!$C39</f>
        <v>1446.4</v>
      </c>
      <c r="CX38" s="3">
        <f t="shared" si="12"/>
        <v>3.3647385550553985</v>
      </c>
      <c r="CY38" s="3">
        <f t="shared" si="13"/>
        <v>3.1602884131312883</v>
      </c>
      <c r="CZ38" s="3">
        <f t="shared" si="14"/>
        <v>3.4082399653118496</v>
      </c>
      <c r="DA38" s="3">
        <f t="shared" si="15"/>
        <v>3.2495114258965017</v>
      </c>
      <c r="DB38" s="6">
        <f t="shared" si="16"/>
        <v>0.92312525738512963</v>
      </c>
      <c r="DC38" s="3">
        <v>4</v>
      </c>
      <c r="DD38" s="3">
        <f>DC38/Raw!C39</f>
        <v>16</v>
      </c>
      <c r="DE38" s="5">
        <f t="shared" si="17"/>
        <v>1.6393442622950821E-2</v>
      </c>
      <c r="DF38">
        <f t="shared" si="18"/>
        <v>-1.7853298350107669</v>
      </c>
      <c r="DH38" s="4">
        <f>-SUM('Shannon-Weiner'!B37:Z37)</f>
        <v>0.83335175781989057</v>
      </c>
      <c r="DI38" s="4">
        <f>SUM('p^2'!B37:Z37)</f>
        <v>0.57162053211502295</v>
      </c>
      <c r="DJ38" s="4">
        <f t="shared" si="19"/>
        <v>0.42837946788497705</v>
      </c>
      <c r="DK38">
        <f t="shared" si="20"/>
        <v>1.7494123178185235</v>
      </c>
      <c r="DL38" s="4">
        <f>SUM('Shannon-Weiner_B'!B37:Z37)</f>
        <v>-0.44420540731470542</v>
      </c>
      <c r="DM38" s="4">
        <f>SUM('p_B^2'!B37:Z37)</f>
        <v>0.77666196183144909</v>
      </c>
      <c r="DN38" s="4">
        <f t="shared" si="21"/>
        <v>0.22333803816855091</v>
      </c>
      <c r="DO38">
        <f t="shared" si="22"/>
        <v>1.287561447765379</v>
      </c>
    </row>
    <row r="39" spans="1:119" x14ac:dyDescent="0.25">
      <c r="A39" s="1"/>
      <c r="B39" t="str">
        <f>Raw!B40</f>
        <v>FB18</v>
      </c>
      <c r="C39">
        <v>1</v>
      </c>
      <c r="D39" s="9">
        <f>Raw!D40/Raw!$C40</f>
        <v>6.666666666666667</v>
      </c>
      <c r="E39" s="9">
        <f>Raw!E40/Raw!$C40</f>
        <v>0.33333333333333215</v>
      </c>
      <c r="F39" s="9">
        <f>Raw!F40/Raw!$C40</f>
        <v>0</v>
      </c>
      <c r="G39" s="9">
        <f>Raw!G40/Raw!$C40</f>
        <v>0</v>
      </c>
      <c r="H39" s="9">
        <f>Raw!H40/Raw!$C40</f>
        <v>0</v>
      </c>
      <c r="I39" s="9">
        <f>Raw!I40/Raw!$C40</f>
        <v>0</v>
      </c>
      <c r="J39" s="9">
        <f>Raw!J40/Raw!$C40</f>
        <v>0</v>
      </c>
      <c r="K39" s="9">
        <f>Raw!K40/Raw!$C40</f>
        <v>0</v>
      </c>
      <c r="L39" s="9">
        <f>Raw!L40/Raw!$C40</f>
        <v>0</v>
      </c>
      <c r="M39" s="9">
        <f>Raw!M40/Raw!$C40</f>
        <v>0</v>
      </c>
      <c r="N39" s="9">
        <f>Raw!N40/Raw!$C40</f>
        <v>0</v>
      </c>
      <c r="O39" s="9">
        <f>Raw!O40/Raw!$C40</f>
        <v>0</v>
      </c>
      <c r="P39" s="9">
        <f>Raw!P40/Raw!$C40</f>
        <v>473.33333333333337</v>
      </c>
      <c r="Q39" s="9">
        <f>Raw!Q40/Raw!$C40</f>
        <v>610.5333333333333</v>
      </c>
      <c r="R39" s="9">
        <f>Raw!R40/Raw!$C40</f>
        <v>0</v>
      </c>
      <c r="S39" s="9">
        <f>Raw!S40/Raw!$C40</f>
        <v>0</v>
      </c>
      <c r="T39" s="9">
        <f>Raw!T40/Raw!$C40</f>
        <v>0</v>
      </c>
      <c r="U39" s="9">
        <f>Raw!U40/Raw!$C40</f>
        <v>0</v>
      </c>
      <c r="V39" s="9">
        <f>Raw!V40/Raw!$C40</f>
        <v>0</v>
      </c>
      <c r="W39" s="9">
        <f>Raw!W40/Raw!$C40</f>
        <v>0</v>
      </c>
      <c r="X39" s="9">
        <f>Raw!X40/Raw!$C40</f>
        <v>173.33333333333334</v>
      </c>
      <c r="Y39" s="9">
        <f>Raw!Y40/Raw!$C40</f>
        <v>8.0000000000000018</v>
      </c>
      <c r="Z39" s="9">
        <f>Raw!Z40/Raw!$C40</f>
        <v>0</v>
      </c>
      <c r="AA39" s="9">
        <f>Raw!AA40/Raw!$C40</f>
        <v>0</v>
      </c>
      <c r="AB39" s="9">
        <f>Raw!AB40/Raw!$C40</f>
        <v>0</v>
      </c>
      <c r="AC39" s="9">
        <f>Raw!AC40/Raw!$C40</f>
        <v>0</v>
      </c>
      <c r="AD39" s="9">
        <f>Raw!AD40/Raw!$C40</f>
        <v>0</v>
      </c>
      <c r="AE39" s="9">
        <f>Raw!AE40/Raw!$C40</f>
        <v>0</v>
      </c>
      <c r="AF39" s="9">
        <f>Raw!AF40/Raw!$C40</f>
        <v>0</v>
      </c>
      <c r="AG39" s="9">
        <f>Raw!AG40/Raw!$C40</f>
        <v>0</v>
      </c>
      <c r="AH39" s="9">
        <f>Raw!AH40/Raw!$C40</f>
        <v>0</v>
      </c>
      <c r="AI39" s="9">
        <f>Raw!AI40/Raw!$C40</f>
        <v>0</v>
      </c>
      <c r="AJ39" s="9">
        <f>Raw!AJ40/Raw!$C40</f>
        <v>0</v>
      </c>
      <c r="AK39" s="9">
        <f>Raw!AK40/Raw!$C40</f>
        <v>0</v>
      </c>
      <c r="AL39" s="9">
        <f>Raw!AL40/Raw!$C40</f>
        <v>0</v>
      </c>
      <c r="AM39" s="9">
        <f>Raw!AM40/Raw!$C40</f>
        <v>0</v>
      </c>
      <c r="AN39" s="9">
        <f>Raw!AN40/Raw!$C40</f>
        <v>0</v>
      </c>
      <c r="AO39" s="9">
        <f>Raw!AO40/Raw!$C40</f>
        <v>0</v>
      </c>
      <c r="AP39" s="9">
        <f>Raw!AP40/Raw!$C40</f>
        <v>0</v>
      </c>
      <c r="AQ39" s="9">
        <f>Raw!AQ40/Raw!$C40</f>
        <v>0</v>
      </c>
      <c r="AR39" s="9">
        <f>Raw!AR40/Raw!$C40</f>
        <v>0</v>
      </c>
      <c r="AS39" s="9">
        <f>Raw!AS40/Raw!$C40</f>
        <v>0</v>
      </c>
      <c r="AT39" s="9">
        <f>Raw!AT40/Raw!$C40</f>
        <v>0</v>
      </c>
      <c r="AU39" s="9">
        <f>Raw!AU40/Raw!$C40</f>
        <v>0</v>
      </c>
      <c r="AV39" s="9">
        <f>Raw!AV40/Raw!$C40</f>
        <v>0</v>
      </c>
      <c r="AW39" s="9">
        <f>Raw!AW40/Raw!$C40</f>
        <v>0</v>
      </c>
      <c r="AX39" s="9">
        <f>Raw!AX40/Raw!$C40</f>
        <v>0</v>
      </c>
      <c r="AY39" s="9">
        <f>Raw!AY40/Raw!$C40</f>
        <v>0</v>
      </c>
      <c r="AZ39" s="9">
        <f>Raw!AZ40/Raw!$C40</f>
        <v>0</v>
      </c>
      <c r="BA39" s="9">
        <f>Raw!BA40/Raw!$C40</f>
        <v>0</v>
      </c>
      <c r="BB39" s="9">
        <f>Raw!BB40/Raw!$C40</f>
        <v>0</v>
      </c>
      <c r="BC39" s="9">
        <f>Raw!BC40/Raw!$C40</f>
        <v>0</v>
      </c>
      <c r="BD39" s="9">
        <f>Raw!BD40/Raw!$C40</f>
        <v>0</v>
      </c>
      <c r="BE39" s="9">
        <f>Raw!BE40/Raw!$C40</f>
        <v>0</v>
      </c>
      <c r="BF39" s="9">
        <f>Raw!BF40/Raw!$C40</f>
        <v>0</v>
      </c>
      <c r="BG39" s="9">
        <f>Raw!BG40/Raw!$C40</f>
        <v>0</v>
      </c>
      <c r="BH39" s="9">
        <f>Raw!BH40/Raw!$C40</f>
        <v>0</v>
      </c>
      <c r="BI39" s="9">
        <f>Raw!BI40/Raw!$C40</f>
        <v>0</v>
      </c>
      <c r="BJ39" s="9">
        <f>Raw!BJ40/Raw!$C40</f>
        <v>0</v>
      </c>
      <c r="BK39" s="9">
        <f>Raw!BK40/Raw!$C40</f>
        <v>0</v>
      </c>
      <c r="BL39" s="9">
        <f>Raw!BL40/Raw!$C40</f>
        <v>0</v>
      </c>
      <c r="BM39" s="9">
        <f>Raw!BM40/Raw!$C40</f>
        <v>0</v>
      </c>
      <c r="BN39" s="9">
        <f>Raw!BN40/Raw!$C40</f>
        <v>0</v>
      </c>
      <c r="BO39" s="9">
        <f>Raw!BO40/Raw!$C40</f>
        <v>0</v>
      </c>
      <c r="BP39" s="9">
        <f>Raw!BP40/Raw!$C40</f>
        <v>0</v>
      </c>
      <c r="BQ39" s="9">
        <f>Raw!BQ40/Raw!$C40</f>
        <v>0</v>
      </c>
      <c r="BR39" s="9">
        <f>Raw!BR40/Raw!$C40</f>
        <v>0</v>
      </c>
      <c r="BS39" s="9">
        <f>Raw!BS40/Raw!$C40</f>
        <v>0</v>
      </c>
      <c r="BT39" s="9">
        <f>Raw!BT40/Raw!$C40</f>
        <v>0</v>
      </c>
      <c r="BU39" s="9">
        <f>Raw!BU40/Raw!$C40</f>
        <v>0</v>
      </c>
      <c r="BV39" s="9">
        <f>Raw!BV40/Raw!$C40</f>
        <v>0</v>
      </c>
      <c r="BW39" s="9">
        <f>Raw!BW40/Raw!$C40</f>
        <v>0</v>
      </c>
      <c r="BX39" s="9">
        <f>Raw!BX40/Raw!$C40</f>
        <v>0</v>
      </c>
      <c r="BY39" s="9">
        <f>Raw!BY40/Raw!$C40</f>
        <v>0</v>
      </c>
      <c r="BZ39" s="9">
        <f>Raw!BZ40/Raw!$C40</f>
        <v>0</v>
      </c>
      <c r="CA39" s="9">
        <f>Raw!CA40/Raw!$C40</f>
        <v>0</v>
      </c>
      <c r="CB39" s="9">
        <f>Raw!CB40/Raw!$C40</f>
        <v>0</v>
      </c>
      <c r="CC39" s="9">
        <f>Raw!CC40/Raw!$C40</f>
        <v>0</v>
      </c>
      <c r="CD39" s="9">
        <f>Raw!CD40/Raw!$C40</f>
        <v>0</v>
      </c>
      <c r="CE39" s="9">
        <f>Raw!CE40/Raw!$C40</f>
        <v>0</v>
      </c>
      <c r="CF39" s="9">
        <f>Raw!CF40/Raw!$C40</f>
        <v>0</v>
      </c>
      <c r="CG39" s="9">
        <f>Raw!CG40/Raw!$C40</f>
        <v>0</v>
      </c>
      <c r="CH39" s="9">
        <f>Raw!CH40/Raw!$C40</f>
        <v>0</v>
      </c>
      <c r="CI39" s="9">
        <f>Raw!CI40/Raw!$C40</f>
        <v>0</v>
      </c>
      <c r="CJ39" s="9">
        <f>Raw!CJ40/Raw!$C40</f>
        <v>0</v>
      </c>
      <c r="CK39" s="9">
        <f>Raw!CK40/Raw!$C40</f>
        <v>0</v>
      </c>
      <c r="CL39" s="9">
        <f>Raw!CL40/Raw!$C40</f>
        <v>0</v>
      </c>
      <c r="CM39" s="9">
        <f>Raw!CM40/Raw!$C40</f>
        <v>0</v>
      </c>
      <c r="CN39" s="9">
        <f>Raw!CN40/Raw!$C40</f>
        <v>0</v>
      </c>
      <c r="CO39" s="9">
        <f>Raw!CO40/Raw!$C40</f>
        <v>0</v>
      </c>
      <c r="CP39" s="9">
        <f>Raw!CP40/Raw!$C40</f>
        <v>0</v>
      </c>
      <c r="CQ39" s="9">
        <f>Raw!CQ40/Raw!$C40</f>
        <v>0</v>
      </c>
      <c r="CR39" s="2">
        <f t="shared" si="8"/>
        <v>653.33333333333337</v>
      </c>
      <c r="CS39" s="2">
        <f t="shared" si="9"/>
        <v>618.86666666666667</v>
      </c>
      <c r="CT39" s="3">
        <f t="shared" si="10"/>
        <v>2.8151348166368138</v>
      </c>
      <c r="CU39" s="3">
        <f t="shared" si="11"/>
        <v>2.7915970913976316</v>
      </c>
      <c r="CV39" s="3">
        <f>Raw!CR40/Raw!$C40</f>
        <v>3860</v>
      </c>
      <c r="CW39" s="3">
        <f>Raw!CS40/Raw!$C40</f>
        <v>2410.666666666667</v>
      </c>
      <c r="CX39" s="3">
        <f t="shared" si="12"/>
        <v>3.5865873046717551</v>
      </c>
      <c r="CY39" s="3">
        <f t="shared" si="13"/>
        <v>3.3821371627476444</v>
      </c>
      <c r="CZ39" s="3">
        <f t="shared" si="14"/>
        <v>3.6544974096294629</v>
      </c>
      <c r="DA39" s="3">
        <f t="shared" si="15"/>
        <v>3.4813757353118651</v>
      </c>
      <c r="DB39" s="6">
        <f t="shared" si="16"/>
        <v>0.67850383566087713</v>
      </c>
      <c r="DC39" s="3">
        <v>3</v>
      </c>
      <c r="DD39" s="3">
        <f>DC39/Raw!C40</f>
        <v>20</v>
      </c>
      <c r="DE39" s="5">
        <f t="shared" si="17"/>
        <v>4.5918367346938771E-3</v>
      </c>
      <c r="DF39">
        <f t="shared" si="18"/>
        <v>-2.3380135619171512</v>
      </c>
      <c r="DH39" s="4">
        <f>-SUM('Shannon-Weiner'!B38:Z38)</f>
        <v>0.63230644542065428</v>
      </c>
      <c r="DI39" s="4">
        <f>SUM('p^2'!B38:Z38)</f>
        <v>0.59537692628071648</v>
      </c>
      <c r="DJ39" s="4">
        <f t="shared" si="19"/>
        <v>0.40462307371928352</v>
      </c>
      <c r="DK39">
        <f t="shared" si="20"/>
        <v>1.6796082546344873</v>
      </c>
      <c r="DL39" s="4">
        <f>SUM('Shannon-Weiner_B'!B38:Z38)</f>
        <v>-7.3640085338995909E-2</v>
      </c>
      <c r="DM39" s="4">
        <f>SUM('p_B^2'!B38:Z38)</f>
        <v>0.97341776366211408</v>
      </c>
      <c r="DN39" s="4">
        <f t="shared" si="21"/>
        <v>2.6582236337885923E-2</v>
      </c>
      <c r="DO39">
        <f t="shared" si="22"/>
        <v>1.0273081479814796</v>
      </c>
    </row>
    <row r="40" spans="1:119" x14ac:dyDescent="0.25">
      <c r="A40" s="1"/>
      <c r="B40" t="str">
        <f>Raw!B41</f>
        <v>FB19</v>
      </c>
      <c r="C40">
        <v>1</v>
      </c>
      <c r="D40" s="9">
        <f>Raw!D41/Raw!$C41</f>
        <v>33.333333333333336</v>
      </c>
      <c r="E40" s="9">
        <f>Raw!E41/Raw!$C41</f>
        <v>0.33333333333333215</v>
      </c>
      <c r="F40" s="9">
        <f>Raw!F41/Raw!$C41</f>
        <v>233.33333333333334</v>
      </c>
      <c r="G40" s="9">
        <f>Raw!G41/Raw!$C41</f>
        <v>11.866666666666669</v>
      </c>
      <c r="H40" s="9">
        <f>Raw!H41/Raw!$C41</f>
        <v>0</v>
      </c>
      <c r="I40" s="9">
        <f>Raw!I41/Raw!$C41</f>
        <v>0</v>
      </c>
      <c r="J40" s="9">
        <f>Raw!J41/Raw!$C41</f>
        <v>0</v>
      </c>
      <c r="K40" s="9">
        <f>Raw!K41/Raw!$C41</f>
        <v>0</v>
      </c>
      <c r="L40" s="9">
        <f>Raw!L41/Raw!$C41</f>
        <v>0</v>
      </c>
      <c r="M40" s="9">
        <f>Raw!M41/Raw!$C41</f>
        <v>0</v>
      </c>
      <c r="N40" s="9">
        <f>Raw!N41/Raw!$C41</f>
        <v>0</v>
      </c>
      <c r="O40" s="9">
        <f>Raw!O41/Raw!$C41</f>
        <v>0</v>
      </c>
      <c r="P40" s="9">
        <f>Raw!P41/Raw!$C41</f>
        <v>166.66666666666669</v>
      </c>
      <c r="Q40" s="9">
        <f>Raw!Q41/Raw!$C41</f>
        <v>302.93333333333334</v>
      </c>
      <c r="R40" s="9">
        <f>Raw!R41/Raw!$C41</f>
        <v>0</v>
      </c>
      <c r="S40" s="9">
        <f>Raw!S41/Raw!$C41</f>
        <v>0</v>
      </c>
      <c r="T40" s="9">
        <f>Raw!T41/Raw!$C41</f>
        <v>0</v>
      </c>
      <c r="U40" s="9">
        <f>Raw!U41/Raw!$C41</f>
        <v>0</v>
      </c>
      <c r="V40" s="9">
        <f>Raw!V41/Raw!$C41</f>
        <v>0</v>
      </c>
      <c r="W40" s="9">
        <f>Raw!W41/Raw!$C41</f>
        <v>0</v>
      </c>
      <c r="X40" s="9">
        <f>Raw!X41/Raw!$C41</f>
        <v>26.666666666666668</v>
      </c>
      <c r="Y40" s="9">
        <f>Raw!Y41/Raw!$C41</f>
        <v>1.4</v>
      </c>
      <c r="Z40" s="9">
        <f>Raw!Z41/Raw!$C41</f>
        <v>0</v>
      </c>
      <c r="AA40" s="9">
        <f>Raw!AA41/Raw!$C41</f>
        <v>0</v>
      </c>
      <c r="AB40" s="9">
        <f>Raw!AB41/Raw!$C41</f>
        <v>0</v>
      </c>
      <c r="AC40" s="9">
        <f>Raw!AC41/Raw!$C41</f>
        <v>0</v>
      </c>
      <c r="AD40" s="9">
        <f>Raw!AD41/Raw!$C41</f>
        <v>0</v>
      </c>
      <c r="AE40" s="9">
        <f>Raw!AE41/Raw!$C41</f>
        <v>0</v>
      </c>
      <c r="AF40" s="9">
        <f>Raw!AF41/Raw!$C41</f>
        <v>0</v>
      </c>
      <c r="AG40" s="9">
        <f>Raw!AG41/Raw!$C41</f>
        <v>0</v>
      </c>
      <c r="AH40" s="9">
        <f>Raw!AH41/Raw!$C41</f>
        <v>33.333333333333336</v>
      </c>
      <c r="AI40" s="9">
        <f>Raw!AI41/Raw!$C41</f>
        <v>1.3333333333333346</v>
      </c>
      <c r="AJ40" s="9">
        <f>Raw!AJ41/Raw!$C41</f>
        <v>0</v>
      </c>
      <c r="AK40" s="9">
        <f>Raw!AK41/Raw!$C41</f>
        <v>0</v>
      </c>
      <c r="AL40" s="9">
        <f>Raw!AL41/Raw!$C41</f>
        <v>0</v>
      </c>
      <c r="AM40" s="9">
        <f>Raw!AM41/Raw!$C41</f>
        <v>0</v>
      </c>
      <c r="AN40" s="9">
        <f>Raw!AN41/Raw!$C41</f>
        <v>0</v>
      </c>
      <c r="AO40" s="9">
        <f>Raw!AO41/Raw!$C41</f>
        <v>0</v>
      </c>
      <c r="AP40" s="9">
        <f>Raw!AP41/Raw!$C41</f>
        <v>0</v>
      </c>
      <c r="AQ40" s="9">
        <f>Raw!AQ41/Raw!$C41</f>
        <v>0</v>
      </c>
      <c r="AR40" s="9">
        <f>Raw!AR41/Raw!$C41</f>
        <v>0</v>
      </c>
      <c r="AS40" s="9">
        <f>Raw!AS41/Raw!$C41</f>
        <v>0</v>
      </c>
      <c r="AT40" s="9">
        <f>Raw!AT41/Raw!$C41</f>
        <v>0</v>
      </c>
      <c r="AU40" s="9">
        <f>Raw!AU41/Raw!$C41</f>
        <v>0</v>
      </c>
      <c r="AV40" s="9">
        <f>Raw!AV41/Raw!$C41</f>
        <v>0</v>
      </c>
      <c r="AW40" s="9">
        <f>Raw!AW41/Raw!$C41</f>
        <v>0</v>
      </c>
      <c r="AX40" s="9">
        <f>Raw!AX41/Raw!$C41</f>
        <v>0</v>
      </c>
      <c r="AY40" s="9">
        <f>Raw!AY41/Raw!$C41</f>
        <v>0</v>
      </c>
      <c r="AZ40" s="9">
        <f>Raw!AZ41/Raw!$C41</f>
        <v>0</v>
      </c>
      <c r="BA40" s="9">
        <f>Raw!BA41/Raw!$C41</f>
        <v>0</v>
      </c>
      <c r="BB40" s="9">
        <f>Raw!BB41/Raw!$C41</f>
        <v>0</v>
      </c>
      <c r="BC40" s="9">
        <f>Raw!BC41/Raw!$C41</f>
        <v>0</v>
      </c>
      <c r="BD40" s="9">
        <f>Raw!BD41/Raw!$C41</f>
        <v>0</v>
      </c>
      <c r="BE40" s="9">
        <f>Raw!BE41/Raw!$C41</f>
        <v>0</v>
      </c>
      <c r="BF40" s="9">
        <f>Raw!BF41/Raw!$C41</f>
        <v>0</v>
      </c>
      <c r="BG40" s="9">
        <f>Raw!BG41/Raw!$C41</f>
        <v>0</v>
      </c>
      <c r="BH40" s="9">
        <f>Raw!BH41/Raw!$C41</f>
        <v>6.666666666666667</v>
      </c>
      <c r="BI40" s="9">
        <f>Raw!BI41/Raw!$C41</f>
        <v>0.39999999999999741</v>
      </c>
      <c r="BJ40" s="9">
        <f>Raw!BJ41/Raw!$C41</f>
        <v>0</v>
      </c>
      <c r="BK40" s="9">
        <f>Raw!BK41/Raw!$C41</f>
        <v>0</v>
      </c>
      <c r="BL40" s="9">
        <f>Raw!BL41/Raw!$C41</f>
        <v>0</v>
      </c>
      <c r="BM40" s="9">
        <f>Raw!BM41/Raw!$C41</f>
        <v>0</v>
      </c>
      <c r="BN40" s="9">
        <f>Raw!BN41/Raw!$C41</f>
        <v>0</v>
      </c>
      <c r="BO40" s="9">
        <f>Raw!BO41/Raw!$C41</f>
        <v>0</v>
      </c>
      <c r="BP40" s="9">
        <f>Raw!BP41/Raw!$C41</f>
        <v>0</v>
      </c>
      <c r="BQ40" s="9">
        <f>Raw!BQ41/Raw!$C41</f>
        <v>0</v>
      </c>
      <c r="BR40" s="9">
        <f>Raw!BR41/Raw!$C41</f>
        <v>0</v>
      </c>
      <c r="BS40" s="9">
        <f>Raw!BS41/Raw!$C41</f>
        <v>0</v>
      </c>
      <c r="BT40" s="9">
        <f>Raw!BT41/Raw!$C41</f>
        <v>0</v>
      </c>
      <c r="BU40" s="9">
        <f>Raw!BU41/Raw!$C41</f>
        <v>0</v>
      </c>
      <c r="BV40" s="9">
        <f>Raw!BV41/Raw!$C41</f>
        <v>0</v>
      </c>
      <c r="BW40" s="9">
        <f>Raw!BW41/Raw!$C41</f>
        <v>0</v>
      </c>
      <c r="BX40" s="9">
        <f>Raw!BX41/Raw!$C41</f>
        <v>0</v>
      </c>
      <c r="BY40" s="9">
        <f>Raw!BY41/Raw!$C41</f>
        <v>0</v>
      </c>
      <c r="BZ40" s="9">
        <f>Raw!BZ41/Raw!$C41</f>
        <v>0</v>
      </c>
      <c r="CA40" s="9">
        <f>Raw!CA41/Raw!$C41</f>
        <v>0</v>
      </c>
      <c r="CB40" s="9">
        <f>Raw!CB41/Raw!$C41</f>
        <v>0</v>
      </c>
      <c r="CC40" s="9">
        <f>Raw!CC41/Raw!$C41</f>
        <v>0</v>
      </c>
      <c r="CD40" s="9">
        <f>Raw!CD41/Raw!$C41</f>
        <v>0</v>
      </c>
      <c r="CE40" s="9">
        <f>Raw!CE41/Raw!$C41</f>
        <v>0</v>
      </c>
      <c r="CF40" s="9">
        <f>Raw!CF41/Raw!$C41</f>
        <v>0</v>
      </c>
      <c r="CG40" s="9">
        <f>Raw!CG41/Raw!$C41</f>
        <v>0</v>
      </c>
      <c r="CH40" s="9">
        <f>Raw!CH41/Raw!$C41</f>
        <v>0</v>
      </c>
      <c r="CI40" s="9">
        <f>Raw!CI41/Raw!$C41</f>
        <v>0</v>
      </c>
      <c r="CJ40" s="9">
        <f>Raw!CJ41/Raw!$C41</f>
        <v>0</v>
      </c>
      <c r="CK40" s="9">
        <f>Raw!CK41/Raw!$C41</f>
        <v>0</v>
      </c>
      <c r="CL40" s="9">
        <f>Raw!CL41/Raw!$C41</f>
        <v>0</v>
      </c>
      <c r="CM40" s="9">
        <f>Raw!CM41/Raw!$C41</f>
        <v>0</v>
      </c>
      <c r="CN40" s="9">
        <f>Raw!CN41/Raw!$C41</f>
        <v>0</v>
      </c>
      <c r="CO40" s="9">
        <f>Raw!CO41/Raw!$C41</f>
        <v>0</v>
      </c>
      <c r="CP40" s="9">
        <f>Raw!CP41/Raw!$C41</f>
        <v>0</v>
      </c>
      <c r="CQ40" s="9">
        <f>Raw!CQ41/Raw!$C41</f>
        <v>0</v>
      </c>
      <c r="CR40" s="2">
        <f t="shared" si="8"/>
        <v>500.00000000000006</v>
      </c>
      <c r="CS40" s="2">
        <f t="shared" si="9"/>
        <v>318.26666666666659</v>
      </c>
      <c r="CT40" s="3">
        <f t="shared" si="10"/>
        <v>2.6989700043360187</v>
      </c>
      <c r="CU40" s="3">
        <f t="shared" si="11"/>
        <v>2.5027911556150544</v>
      </c>
      <c r="CV40" s="3">
        <f>Raw!CR41/Raw!$C41</f>
        <v>3860</v>
      </c>
      <c r="CW40" s="3">
        <f>Raw!CS41/Raw!$C41</f>
        <v>2410.666666666667</v>
      </c>
      <c r="CX40" s="3">
        <f t="shared" si="12"/>
        <v>3.5865873046717551</v>
      </c>
      <c r="CY40" s="3">
        <f t="shared" si="13"/>
        <v>3.3821371627476444</v>
      </c>
      <c r="CZ40" s="3">
        <f t="shared" si="14"/>
        <v>3.6394864892685859</v>
      </c>
      <c r="DA40" s="3">
        <f t="shared" si="15"/>
        <v>3.4359929261722373</v>
      </c>
      <c r="DB40" s="6">
        <f t="shared" si="16"/>
        <v>0.87161705880698193</v>
      </c>
      <c r="DC40" s="3">
        <v>6</v>
      </c>
      <c r="DD40" s="3">
        <f>DC40/Raw!C41</f>
        <v>40</v>
      </c>
      <c r="DE40" s="5">
        <f t="shared" si="17"/>
        <v>1.1999999999999999E-2</v>
      </c>
      <c r="DF40">
        <f t="shared" si="18"/>
        <v>-1.9208187539523753</v>
      </c>
      <c r="DH40" s="4">
        <f>-SUM('Shannon-Weiner'!B39:Z39)</f>
        <v>1.2392731474537588</v>
      </c>
      <c r="DI40" s="4">
        <f>SUM('p^2'!B39:Z39)</f>
        <v>0.3406222222222221</v>
      </c>
      <c r="DJ40" s="4">
        <f t="shared" si="19"/>
        <v>0.65937777777777784</v>
      </c>
      <c r="DK40">
        <f t="shared" si="20"/>
        <v>2.9358037578288112</v>
      </c>
      <c r="DL40" s="4">
        <f>SUM('Shannon-Weiner_B'!B39:Z39)</f>
        <v>-0.22362895455673246</v>
      </c>
      <c r="DM40" s="4">
        <f>SUM('p_B^2'!B39:Z39)</f>
        <v>0.9073940168511575</v>
      </c>
      <c r="DN40" s="4">
        <f t="shared" si="21"/>
        <v>9.2605983148842497E-2</v>
      </c>
      <c r="DO40">
        <f t="shared" si="22"/>
        <v>1.1020570793162205</v>
      </c>
    </row>
    <row r="41" spans="1:119" x14ac:dyDescent="0.25">
      <c r="A41" s="1"/>
      <c r="B41" t="str">
        <f>Raw!B42</f>
        <v>FB20</v>
      </c>
      <c r="C41">
        <v>1</v>
      </c>
      <c r="D41" s="9">
        <f>Raw!D42/Raw!$C42</f>
        <v>0</v>
      </c>
      <c r="E41" s="9">
        <f>Raw!E42/Raw!$C42</f>
        <v>0</v>
      </c>
      <c r="F41" s="9">
        <f>Raw!F42/Raw!$C42</f>
        <v>146.66666666666669</v>
      </c>
      <c r="G41" s="9">
        <f>Raw!G42/Raw!$C42</f>
        <v>61.466666666666661</v>
      </c>
      <c r="H41" s="9">
        <f>Raw!H42/Raw!$C42</f>
        <v>0</v>
      </c>
      <c r="I41" s="9">
        <f>Raw!I42/Raw!$C42</f>
        <v>0</v>
      </c>
      <c r="J41" s="9">
        <f>Raw!J42/Raw!$C42</f>
        <v>0</v>
      </c>
      <c r="K41" s="9">
        <f>Raw!K42/Raw!$C42</f>
        <v>0</v>
      </c>
      <c r="L41" s="9">
        <f>Raw!L42/Raw!$C42</f>
        <v>0</v>
      </c>
      <c r="M41" s="9">
        <f>Raw!M42/Raw!$C42</f>
        <v>0</v>
      </c>
      <c r="N41" s="9">
        <f>Raw!N42/Raw!$C42</f>
        <v>0</v>
      </c>
      <c r="O41" s="9">
        <f>Raw!O42/Raw!$C42</f>
        <v>0</v>
      </c>
      <c r="P41" s="9">
        <f>Raw!P42/Raw!$C42</f>
        <v>173.33333333333334</v>
      </c>
      <c r="Q41" s="9">
        <f>Raw!Q42/Raw!$C42</f>
        <v>107.86666666666667</v>
      </c>
      <c r="R41" s="9">
        <f>Raw!R42/Raw!$C42</f>
        <v>0</v>
      </c>
      <c r="S41" s="9">
        <f>Raw!S42/Raw!$C42</f>
        <v>0</v>
      </c>
      <c r="T41" s="9">
        <f>Raw!T42/Raw!$C42</f>
        <v>0</v>
      </c>
      <c r="U41" s="9">
        <f>Raw!U42/Raw!$C42</f>
        <v>0</v>
      </c>
      <c r="V41" s="9">
        <f>Raw!V42/Raw!$C42</f>
        <v>0</v>
      </c>
      <c r="W41" s="9">
        <f>Raw!W42/Raw!$C42</f>
        <v>0</v>
      </c>
      <c r="X41" s="9">
        <f>Raw!X42/Raw!$C42</f>
        <v>46.666666666666671</v>
      </c>
      <c r="Y41" s="9">
        <f>Raw!Y42/Raw!$C42</f>
        <v>3.1333333333333346</v>
      </c>
      <c r="Z41" s="9">
        <f>Raw!Z42/Raw!$C42</f>
        <v>0</v>
      </c>
      <c r="AA41" s="9">
        <f>Raw!AA42/Raw!$C42</f>
        <v>0</v>
      </c>
      <c r="AB41" s="9">
        <f>Raw!AB42/Raw!$C42</f>
        <v>0</v>
      </c>
      <c r="AC41" s="9">
        <f>Raw!AC42/Raw!$C42</f>
        <v>0</v>
      </c>
      <c r="AD41" s="9">
        <f>Raw!AD42/Raw!$C42</f>
        <v>0</v>
      </c>
      <c r="AE41" s="9">
        <f>Raw!AE42/Raw!$C42</f>
        <v>0</v>
      </c>
      <c r="AF41" s="9">
        <f>Raw!AF42/Raw!$C42</f>
        <v>0</v>
      </c>
      <c r="AG41" s="9">
        <f>Raw!AG42/Raw!$C42</f>
        <v>0</v>
      </c>
      <c r="AH41" s="9">
        <f>Raw!AH42/Raw!$C42</f>
        <v>20</v>
      </c>
      <c r="AI41" s="9">
        <f>Raw!AI42/Raw!$C42</f>
        <v>161</v>
      </c>
      <c r="AJ41" s="9">
        <f>Raw!AJ42/Raw!$C42</f>
        <v>0</v>
      </c>
      <c r="AK41" s="9">
        <f>Raw!AK42/Raw!$C42</f>
        <v>0</v>
      </c>
      <c r="AL41" s="9">
        <f>Raw!AL42/Raw!$C42</f>
        <v>0</v>
      </c>
      <c r="AM41" s="9">
        <f>Raw!AM42/Raw!$C42</f>
        <v>0</v>
      </c>
      <c r="AN41" s="9">
        <f>Raw!AN42/Raw!$C42</f>
        <v>0</v>
      </c>
      <c r="AO41" s="9">
        <f>Raw!AO42/Raw!$C42</f>
        <v>0</v>
      </c>
      <c r="AP41" s="9">
        <f>Raw!AP42/Raw!$C42</f>
        <v>0</v>
      </c>
      <c r="AQ41" s="9">
        <f>Raw!AQ42/Raw!$C42</f>
        <v>0</v>
      </c>
      <c r="AR41" s="9">
        <f>Raw!AR42/Raw!$C42</f>
        <v>0</v>
      </c>
      <c r="AS41" s="9">
        <f>Raw!AS42/Raw!$C42</f>
        <v>0</v>
      </c>
      <c r="AT41" s="9">
        <f>Raw!AT42/Raw!$C42</f>
        <v>0</v>
      </c>
      <c r="AU41" s="9">
        <f>Raw!AU42/Raw!$C42</f>
        <v>0</v>
      </c>
      <c r="AV41" s="9">
        <f>Raw!AV42/Raw!$C42</f>
        <v>0</v>
      </c>
      <c r="AW41" s="9">
        <f>Raw!AW42/Raw!$C42</f>
        <v>0</v>
      </c>
      <c r="AX41" s="9">
        <f>Raw!AX42/Raw!$C42</f>
        <v>0</v>
      </c>
      <c r="AY41" s="9">
        <f>Raw!AY42/Raw!$C42</f>
        <v>0</v>
      </c>
      <c r="AZ41" s="9">
        <f>Raw!AZ42/Raw!$C42</f>
        <v>0</v>
      </c>
      <c r="BA41" s="9">
        <f>Raw!BA42/Raw!$C42</f>
        <v>0</v>
      </c>
      <c r="BB41" s="9">
        <f>Raw!BB42/Raw!$C42</f>
        <v>0</v>
      </c>
      <c r="BC41" s="9">
        <f>Raw!BC42/Raw!$C42</f>
        <v>0</v>
      </c>
      <c r="BD41" s="9">
        <f>Raw!BD42/Raw!$C42</f>
        <v>0</v>
      </c>
      <c r="BE41" s="9">
        <f>Raw!BE42/Raw!$C42</f>
        <v>0</v>
      </c>
      <c r="BF41" s="9">
        <f>Raw!BF42/Raw!$C42</f>
        <v>0</v>
      </c>
      <c r="BG41" s="9">
        <f>Raw!BG42/Raw!$C42</f>
        <v>0</v>
      </c>
      <c r="BH41" s="9">
        <f>Raw!BH42/Raw!$C42</f>
        <v>0</v>
      </c>
      <c r="BI41" s="9">
        <f>Raw!BI42/Raw!$C42</f>
        <v>0.53333333333333388</v>
      </c>
      <c r="BJ41" s="9">
        <f>Raw!BJ42/Raw!$C42</f>
        <v>40</v>
      </c>
      <c r="BK41" s="9">
        <f>Raw!BK42/Raw!$C42</f>
        <v>0.93333333333333712</v>
      </c>
      <c r="BL41" s="9">
        <f>Raw!BL42/Raw!$C42</f>
        <v>0</v>
      </c>
      <c r="BM41" s="9">
        <f>Raw!BM42/Raw!$C42</f>
        <v>0</v>
      </c>
      <c r="BN41" s="9">
        <f>Raw!BN42/Raw!$C42</f>
        <v>0</v>
      </c>
      <c r="BO41" s="9">
        <f>Raw!BO42/Raw!$C42</f>
        <v>0</v>
      </c>
      <c r="BP41" s="9">
        <f>Raw!BP42/Raw!$C42</f>
        <v>0</v>
      </c>
      <c r="BQ41" s="9">
        <f>Raw!BQ42/Raw!$C42</f>
        <v>0</v>
      </c>
      <c r="BR41" s="9">
        <f>Raw!BR42/Raw!$C42</f>
        <v>0</v>
      </c>
      <c r="BS41" s="9">
        <f>Raw!BS42/Raw!$C42</f>
        <v>0</v>
      </c>
      <c r="BT41" s="9">
        <f>Raw!BT42/Raw!$C42</f>
        <v>0</v>
      </c>
      <c r="BU41" s="9">
        <f>Raw!BU42/Raw!$C42</f>
        <v>0</v>
      </c>
      <c r="BV41" s="9">
        <f>Raw!BV42/Raw!$C42</f>
        <v>0</v>
      </c>
      <c r="BW41" s="9">
        <f>Raw!BW42/Raw!$C42</f>
        <v>0</v>
      </c>
      <c r="BX41" s="9">
        <f>Raw!BX42/Raw!$C42</f>
        <v>0</v>
      </c>
      <c r="BY41" s="9">
        <f>Raw!BY42/Raw!$C42</f>
        <v>0</v>
      </c>
      <c r="BZ41" s="9">
        <f>Raw!BZ42/Raw!$C42</f>
        <v>0</v>
      </c>
      <c r="CA41" s="9">
        <f>Raw!CA42/Raw!$C42</f>
        <v>0</v>
      </c>
      <c r="CB41" s="9">
        <f>Raw!CB42/Raw!$C42</f>
        <v>0</v>
      </c>
      <c r="CC41" s="9">
        <f>Raw!CC42/Raw!$C42</f>
        <v>0</v>
      </c>
      <c r="CD41" s="9">
        <f>Raw!CD42/Raw!$C42</f>
        <v>0</v>
      </c>
      <c r="CE41" s="9">
        <f>Raw!CE42/Raw!$C42</f>
        <v>0</v>
      </c>
      <c r="CF41" s="9">
        <f>Raw!CF42/Raw!$C42</f>
        <v>0</v>
      </c>
      <c r="CG41" s="9">
        <f>Raw!CG42/Raw!$C42</f>
        <v>0</v>
      </c>
      <c r="CH41" s="9">
        <f>Raw!CH42/Raw!$C42</f>
        <v>0</v>
      </c>
      <c r="CI41" s="9">
        <f>Raw!CI42/Raw!$C42</f>
        <v>0</v>
      </c>
      <c r="CJ41" s="9">
        <f>Raw!CJ42/Raw!$C42</f>
        <v>0</v>
      </c>
      <c r="CK41" s="9">
        <f>Raw!CK42/Raw!$C42</f>
        <v>0</v>
      </c>
      <c r="CL41" s="9">
        <f>Raw!CL42/Raw!$C42</f>
        <v>0</v>
      </c>
      <c r="CM41" s="9">
        <f>Raw!CM42/Raw!$C42</f>
        <v>0</v>
      </c>
      <c r="CN41" s="9">
        <f>Raw!CN42/Raw!$C42</f>
        <v>0</v>
      </c>
      <c r="CO41" s="9">
        <f>Raw!CO42/Raw!$C42</f>
        <v>0</v>
      </c>
      <c r="CP41" s="9">
        <f>Raw!CP42/Raw!$C42</f>
        <v>0</v>
      </c>
      <c r="CQ41" s="9">
        <f>Raw!CQ42/Raw!$C42</f>
        <v>0</v>
      </c>
      <c r="CR41" s="2">
        <f t="shared" si="8"/>
        <v>426.66666666666669</v>
      </c>
      <c r="CS41" s="2">
        <f t="shared" si="9"/>
        <v>334.93333333333339</v>
      </c>
      <c r="CT41" s="3">
        <f t="shared" si="10"/>
        <v>2.6300887149282057</v>
      </c>
      <c r="CU41" s="3">
        <f t="shared" si="11"/>
        <v>2.5249583716734585</v>
      </c>
      <c r="CV41" s="3">
        <f>Raw!CR42/Raw!$C42</f>
        <v>3866.666666666667</v>
      </c>
      <c r="CW41" s="3">
        <f>Raw!CS42/Raw!$C42</f>
        <v>2410.666666666667</v>
      </c>
      <c r="CX41" s="3">
        <f t="shared" si="12"/>
        <v>3.587336734507256</v>
      </c>
      <c r="CY41" s="3">
        <f t="shared" si="13"/>
        <v>3.3821371627476444</v>
      </c>
      <c r="CZ41" s="3">
        <f t="shared" si="14"/>
        <v>3.6327946083041307</v>
      </c>
      <c r="DA41" s="3">
        <f t="shared" si="15"/>
        <v>3.4386372661686115</v>
      </c>
      <c r="DB41" s="6">
        <f t="shared" si="16"/>
        <v>0.87194976140832492</v>
      </c>
      <c r="DC41" s="3">
        <v>5</v>
      </c>
      <c r="DD41" s="3">
        <f>DC41/Raw!C42</f>
        <v>33.333333333333336</v>
      </c>
      <c r="DE41" s="5">
        <f t="shared" si="17"/>
        <v>1.171875E-2</v>
      </c>
      <c r="DF41">
        <f t="shared" si="18"/>
        <v>-1.9311187105921872</v>
      </c>
      <c r="DH41" s="4">
        <f>-SUM('Shannon-Weiner'!B40:Z40)</f>
        <v>1.118508858797312</v>
      </c>
      <c r="DI41" s="4">
        <f>SUM('p^2'!B40:Z40)</f>
        <v>0.29736328125000006</v>
      </c>
      <c r="DJ41" s="4">
        <f t="shared" si="19"/>
        <v>0.70263671875</v>
      </c>
      <c r="DK41">
        <f t="shared" si="20"/>
        <v>3.3628899835796382</v>
      </c>
      <c r="DL41" s="4">
        <f>SUM('Shannon-Weiner_B'!B40:Z40)</f>
        <v>-1.0718696870443809</v>
      </c>
      <c r="DM41" s="4">
        <f>SUM('p_B^2'!B40:Z40)</f>
        <v>0.36855109804150255</v>
      </c>
      <c r="DN41" s="4">
        <f t="shared" si="21"/>
        <v>0.63144890195849745</v>
      </c>
      <c r="DO41">
        <f t="shared" si="22"/>
        <v>2.7133279627005478</v>
      </c>
    </row>
    <row r="42" spans="1:119" x14ac:dyDescent="0.25">
      <c r="A42" s="1"/>
      <c r="B42" t="str">
        <f>Raw!B43</f>
        <v>FB21</v>
      </c>
      <c r="C42">
        <v>1</v>
      </c>
      <c r="D42" s="9">
        <f>Raw!D43/Raw!$C43</f>
        <v>0</v>
      </c>
      <c r="E42" s="9">
        <f>Raw!E43/Raw!$C43</f>
        <v>0</v>
      </c>
      <c r="F42" s="9">
        <f>Raw!F43/Raw!$C43</f>
        <v>64</v>
      </c>
      <c r="G42" s="9">
        <f>Raw!G43/Raw!$C43</f>
        <v>1.6000000000000014</v>
      </c>
      <c r="H42" s="9">
        <f>Raw!H43/Raw!$C43</f>
        <v>0</v>
      </c>
      <c r="I42" s="9">
        <f>Raw!I43/Raw!$C43</f>
        <v>0</v>
      </c>
      <c r="J42" s="9">
        <f>Raw!J43/Raw!$C43</f>
        <v>0</v>
      </c>
      <c r="K42" s="9">
        <f>Raw!K43/Raw!$C43</f>
        <v>0</v>
      </c>
      <c r="L42" s="9">
        <f>Raw!L43/Raw!$C43</f>
        <v>0</v>
      </c>
      <c r="M42" s="9">
        <f>Raw!M43/Raw!$C43</f>
        <v>0</v>
      </c>
      <c r="N42" s="9">
        <f>Raw!N43/Raw!$C43</f>
        <v>0</v>
      </c>
      <c r="O42" s="9">
        <f>Raw!O43/Raw!$C43</f>
        <v>0</v>
      </c>
      <c r="P42" s="9">
        <f>Raw!P43/Raw!$C43</f>
        <v>72</v>
      </c>
      <c r="Q42" s="9">
        <f>Raw!Q43/Raw!$C43</f>
        <v>100.39999999999999</v>
      </c>
      <c r="R42" s="9">
        <f>Raw!R43/Raw!$C43</f>
        <v>0</v>
      </c>
      <c r="S42" s="9">
        <f>Raw!S43/Raw!$C43</f>
        <v>0</v>
      </c>
      <c r="T42" s="9">
        <f>Raw!T43/Raw!$C43</f>
        <v>0</v>
      </c>
      <c r="U42" s="9">
        <f>Raw!U43/Raw!$C43</f>
        <v>0</v>
      </c>
      <c r="V42" s="9">
        <f>Raw!V43/Raw!$C43</f>
        <v>0</v>
      </c>
      <c r="W42" s="9">
        <f>Raw!W43/Raw!$C43</f>
        <v>0</v>
      </c>
      <c r="X42" s="9">
        <f>Raw!X43/Raw!$C43</f>
        <v>0</v>
      </c>
      <c r="Y42" s="9">
        <f>Raw!Y43/Raw!$C43</f>
        <v>0</v>
      </c>
      <c r="Z42" s="9">
        <f>Raw!Z43/Raw!$C43</f>
        <v>0</v>
      </c>
      <c r="AA42" s="9">
        <f>Raw!AA43/Raw!$C43</f>
        <v>0</v>
      </c>
      <c r="AB42" s="9">
        <f>Raw!AB43/Raw!$C43</f>
        <v>0</v>
      </c>
      <c r="AC42" s="9">
        <f>Raw!AC43/Raw!$C43</f>
        <v>0</v>
      </c>
      <c r="AD42" s="9">
        <f>Raw!AD43/Raw!$C43</f>
        <v>0</v>
      </c>
      <c r="AE42" s="9">
        <f>Raw!AE43/Raw!$C43</f>
        <v>0</v>
      </c>
      <c r="AF42" s="9">
        <f>Raw!AF43/Raw!$C43</f>
        <v>0</v>
      </c>
      <c r="AG42" s="9">
        <f>Raw!AG43/Raw!$C43</f>
        <v>0</v>
      </c>
      <c r="AH42" s="9">
        <f>Raw!AH43/Raw!$C43</f>
        <v>32</v>
      </c>
      <c r="AI42" s="9">
        <f>Raw!AI43/Raw!$C43</f>
        <v>124.64</v>
      </c>
      <c r="AJ42" s="9">
        <f>Raw!AJ43/Raw!$C43</f>
        <v>0</v>
      </c>
      <c r="AK42" s="9">
        <f>Raw!AK43/Raw!$C43</f>
        <v>0</v>
      </c>
      <c r="AL42" s="9">
        <f>Raw!AL43/Raw!$C43</f>
        <v>0</v>
      </c>
      <c r="AM42" s="9">
        <f>Raw!AM43/Raw!$C43</f>
        <v>0</v>
      </c>
      <c r="AN42" s="9">
        <f>Raw!AN43/Raw!$C43</f>
        <v>0</v>
      </c>
      <c r="AO42" s="9">
        <f>Raw!AO43/Raw!$C43</f>
        <v>0</v>
      </c>
      <c r="AP42" s="9">
        <f>Raw!AP43/Raw!$C43</f>
        <v>0</v>
      </c>
      <c r="AQ42" s="9">
        <f>Raw!AQ43/Raw!$C43</f>
        <v>0</v>
      </c>
      <c r="AR42" s="9">
        <f>Raw!AR43/Raw!$C43</f>
        <v>0</v>
      </c>
      <c r="AS42" s="9">
        <f>Raw!AS43/Raw!$C43</f>
        <v>0</v>
      </c>
      <c r="AT42" s="9">
        <f>Raw!AT43/Raw!$C43</f>
        <v>0</v>
      </c>
      <c r="AU42" s="9">
        <f>Raw!AU43/Raw!$C43</f>
        <v>0</v>
      </c>
      <c r="AV42" s="9">
        <f>Raw!AV43/Raw!$C43</f>
        <v>0</v>
      </c>
      <c r="AW42" s="9">
        <f>Raw!AW43/Raw!$C43</f>
        <v>0</v>
      </c>
      <c r="AX42" s="9">
        <f>Raw!AX43/Raw!$C43</f>
        <v>0</v>
      </c>
      <c r="AY42" s="9">
        <f>Raw!AY43/Raw!$C43</f>
        <v>0</v>
      </c>
      <c r="AZ42" s="9">
        <f>Raw!AZ43/Raw!$C43</f>
        <v>0</v>
      </c>
      <c r="BA42" s="9">
        <f>Raw!BA43/Raw!$C43</f>
        <v>0</v>
      </c>
      <c r="BB42" s="9">
        <f>Raw!BB43/Raw!$C43</f>
        <v>0</v>
      </c>
      <c r="BC42" s="9">
        <f>Raw!BC43/Raw!$C43</f>
        <v>0</v>
      </c>
      <c r="BD42" s="9">
        <f>Raw!BD43/Raw!$C43</f>
        <v>0</v>
      </c>
      <c r="BE42" s="9">
        <f>Raw!BE43/Raw!$C43</f>
        <v>0</v>
      </c>
      <c r="BF42" s="9">
        <f>Raw!BF43/Raw!$C43</f>
        <v>0</v>
      </c>
      <c r="BG42" s="9">
        <f>Raw!BG43/Raw!$C43</f>
        <v>0</v>
      </c>
      <c r="BH42" s="9">
        <f>Raw!BH43/Raw!$C43</f>
        <v>40</v>
      </c>
      <c r="BI42" s="9">
        <f>Raw!BI43/Raw!$C43</f>
        <v>7.9999999999998295E-2</v>
      </c>
      <c r="BJ42" s="9">
        <f>Raw!BJ43/Raw!$C43</f>
        <v>48</v>
      </c>
      <c r="BK42" s="9">
        <f>Raw!BK43/Raw!$C43</f>
        <v>1.1999999999999957</v>
      </c>
      <c r="BL42" s="9">
        <f>Raw!BL43/Raw!$C43</f>
        <v>48</v>
      </c>
      <c r="BM42" s="9">
        <f>Raw!BM43/Raw!$C43</f>
        <v>0.32000000000000028</v>
      </c>
      <c r="BN42" s="9">
        <f>Raw!BN43/Raw!$C43</f>
        <v>0</v>
      </c>
      <c r="BO42" s="9">
        <f>Raw!BO43/Raw!$C43</f>
        <v>0</v>
      </c>
      <c r="BP42" s="9">
        <f>Raw!BP43/Raw!$C43</f>
        <v>0</v>
      </c>
      <c r="BQ42" s="9">
        <f>Raw!BQ43/Raw!$C43</f>
        <v>0</v>
      </c>
      <c r="BR42" s="9">
        <f>Raw!BR43/Raw!$C43</f>
        <v>0</v>
      </c>
      <c r="BS42" s="9">
        <f>Raw!BS43/Raw!$C43</f>
        <v>0</v>
      </c>
      <c r="BT42" s="9">
        <f>Raw!BT43/Raw!$C43</f>
        <v>0</v>
      </c>
      <c r="BU42" s="9">
        <f>Raw!BU43/Raw!$C43</f>
        <v>0</v>
      </c>
      <c r="BV42" s="9">
        <f>Raw!BV43/Raw!$C43</f>
        <v>0</v>
      </c>
      <c r="BW42" s="9">
        <f>Raw!BW43/Raw!$C43</f>
        <v>0</v>
      </c>
      <c r="BX42" s="9">
        <f>Raw!BX43/Raw!$C43</f>
        <v>0</v>
      </c>
      <c r="BY42" s="9">
        <f>Raw!BY43/Raw!$C43</f>
        <v>0</v>
      </c>
      <c r="BZ42" s="9">
        <f>Raw!BZ43/Raw!$C43</f>
        <v>0</v>
      </c>
      <c r="CA42" s="9">
        <f>Raw!CA43/Raw!$C43</f>
        <v>0</v>
      </c>
      <c r="CB42" s="9">
        <f>Raw!CB43/Raw!$C43</f>
        <v>0</v>
      </c>
      <c r="CC42" s="9">
        <f>Raw!CC43/Raw!$C43</f>
        <v>0</v>
      </c>
      <c r="CD42" s="9">
        <f>Raw!CD43/Raw!$C43</f>
        <v>0</v>
      </c>
      <c r="CE42" s="9">
        <f>Raw!CE43/Raw!$C43</f>
        <v>0</v>
      </c>
      <c r="CF42" s="9">
        <f>Raw!CF43/Raw!$C43</f>
        <v>0</v>
      </c>
      <c r="CG42" s="9">
        <f>Raw!CG43/Raw!$C43</f>
        <v>0</v>
      </c>
      <c r="CH42" s="9">
        <f>Raw!CH43/Raw!$C43</f>
        <v>0</v>
      </c>
      <c r="CI42" s="9">
        <f>Raw!CI43/Raw!$C43</f>
        <v>0</v>
      </c>
      <c r="CJ42" s="9">
        <f>Raw!CJ43/Raw!$C43</f>
        <v>0</v>
      </c>
      <c r="CK42" s="9">
        <f>Raw!CK43/Raw!$C43</f>
        <v>0</v>
      </c>
      <c r="CL42" s="9">
        <f>Raw!CL43/Raw!$C43</f>
        <v>0</v>
      </c>
      <c r="CM42" s="9">
        <f>Raw!CM43/Raw!$C43</f>
        <v>0</v>
      </c>
      <c r="CN42" s="9">
        <f>Raw!CN43/Raw!$C43</f>
        <v>0</v>
      </c>
      <c r="CO42" s="9">
        <f>Raw!CO43/Raw!$C43</f>
        <v>0</v>
      </c>
      <c r="CP42" s="9">
        <f>Raw!CP43/Raw!$C43</f>
        <v>0</v>
      </c>
      <c r="CQ42" s="9">
        <f>Raw!CQ43/Raw!$C43</f>
        <v>0</v>
      </c>
      <c r="CR42" s="2">
        <f t="shared" si="8"/>
        <v>304</v>
      </c>
      <c r="CS42" s="2">
        <f t="shared" si="9"/>
        <v>228.23999999999995</v>
      </c>
      <c r="CT42" s="3">
        <f t="shared" si="10"/>
        <v>2.4828735836087539</v>
      </c>
      <c r="CU42" s="3">
        <f t="shared" si="11"/>
        <v>2.3583917586490197</v>
      </c>
      <c r="CV42" s="3">
        <f>Raw!CR43/Raw!$C43</f>
        <v>4648</v>
      </c>
      <c r="CW42" s="3">
        <f>Raw!CS43/Raw!$C43</f>
        <v>2892.8</v>
      </c>
      <c r="CX42" s="3">
        <f t="shared" si="12"/>
        <v>3.6672661193822744</v>
      </c>
      <c r="CY42" s="3">
        <f t="shared" si="13"/>
        <v>3.4613184087952695</v>
      </c>
      <c r="CZ42" s="3">
        <f t="shared" si="14"/>
        <v>3.6947806360120614</v>
      </c>
      <c r="DA42" s="3">
        <f t="shared" si="15"/>
        <v>3.4942993347236331</v>
      </c>
      <c r="DB42" s="6">
        <f t="shared" si="16"/>
        <v>0.99895289947579324</v>
      </c>
      <c r="DC42" s="3">
        <v>6</v>
      </c>
      <c r="DD42" s="3">
        <f>DC42/Raw!C43</f>
        <v>48</v>
      </c>
      <c r="DE42" s="5">
        <f t="shared" si="17"/>
        <v>1.9736842105263157E-2</v>
      </c>
      <c r="DF42">
        <f t="shared" si="18"/>
        <v>-1.7047223332251102</v>
      </c>
      <c r="DH42" s="4">
        <f>-SUM('Shannon-Weiner'!B41:Z41)</f>
        <v>0.90614679948183885</v>
      </c>
      <c r="DI42" s="4">
        <f>SUM('p^2'!B41:Z41)</f>
        <v>0.11149584487534625</v>
      </c>
      <c r="DJ42" s="4">
        <f t="shared" si="19"/>
        <v>0.88850415512465375</v>
      </c>
      <c r="DK42">
        <f t="shared" si="20"/>
        <v>8.9689440993788825</v>
      </c>
      <c r="DL42" s="4">
        <f>SUM('Shannon-Weiner_B'!B41:Z41)</f>
        <v>-0.72639283982564329</v>
      </c>
      <c r="DM42" s="4">
        <f>SUM('p_B^2'!B41:Z41)</f>
        <v>0.49176674211255123</v>
      </c>
      <c r="DN42" s="4">
        <f t="shared" si="21"/>
        <v>0.50823325788744877</v>
      </c>
      <c r="DO42">
        <f t="shared" si="22"/>
        <v>2.0334844030000077</v>
      </c>
    </row>
    <row r="43" spans="1:119" x14ac:dyDescent="0.25">
      <c r="A43" s="1"/>
      <c r="B43" t="str">
        <f>Raw!B44</f>
        <v>FB22</v>
      </c>
      <c r="C43">
        <v>1</v>
      </c>
      <c r="D43" s="9">
        <f>Raw!D44/Raw!$C44</f>
        <v>0</v>
      </c>
      <c r="E43" s="9">
        <f>Raw!E44/Raw!$C44</f>
        <v>0</v>
      </c>
      <c r="F43" s="9">
        <f>Raw!F44/Raw!$C44</f>
        <v>116.66666666666667</v>
      </c>
      <c r="G43" s="9">
        <f>Raw!G44/Raw!$C44</f>
        <v>190.88888888888889</v>
      </c>
      <c r="H43" s="9">
        <f>Raw!H44/Raw!$C44</f>
        <v>0</v>
      </c>
      <c r="I43" s="9">
        <f>Raw!I44/Raw!$C44</f>
        <v>0</v>
      </c>
      <c r="J43" s="9">
        <f>Raw!J44/Raw!$C44</f>
        <v>0</v>
      </c>
      <c r="K43" s="9">
        <f>Raw!K44/Raw!$C44</f>
        <v>0</v>
      </c>
      <c r="L43" s="9">
        <f>Raw!L44/Raw!$C44</f>
        <v>0</v>
      </c>
      <c r="M43" s="9">
        <f>Raw!M44/Raw!$C44</f>
        <v>0</v>
      </c>
      <c r="N43" s="9">
        <f>Raw!N44/Raw!$C44</f>
        <v>0</v>
      </c>
      <c r="O43" s="9">
        <f>Raw!O44/Raw!$C44</f>
        <v>0</v>
      </c>
      <c r="P43" s="9">
        <f>Raw!P44/Raw!$C44</f>
        <v>111.11111111111111</v>
      </c>
      <c r="Q43" s="9">
        <f>Raw!Q44/Raw!$C44</f>
        <v>279.38888888888891</v>
      </c>
      <c r="R43" s="9">
        <f>Raw!R44/Raw!$C44</f>
        <v>0</v>
      </c>
      <c r="S43" s="9">
        <f>Raw!S44/Raw!$C44</f>
        <v>0</v>
      </c>
      <c r="T43" s="9">
        <f>Raw!T44/Raw!$C44</f>
        <v>0</v>
      </c>
      <c r="U43" s="9">
        <f>Raw!U44/Raw!$C44</f>
        <v>0</v>
      </c>
      <c r="V43" s="9">
        <f>Raw!V44/Raw!$C44</f>
        <v>0</v>
      </c>
      <c r="W43" s="9">
        <f>Raw!W44/Raw!$C44</f>
        <v>0</v>
      </c>
      <c r="X43" s="9">
        <f>Raw!X44/Raw!$C44</f>
        <v>27.777777777777779</v>
      </c>
      <c r="Y43" s="9">
        <f>Raw!Y44/Raw!$C44</f>
        <v>6.9999999999999991</v>
      </c>
      <c r="Z43" s="9">
        <f>Raw!Z44/Raw!$C44</f>
        <v>0</v>
      </c>
      <c r="AA43" s="9">
        <f>Raw!AA44/Raw!$C44</f>
        <v>0</v>
      </c>
      <c r="AB43" s="9">
        <f>Raw!AB44/Raw!$C44</f>
        <v>0</v>
      </c>
      <c r="AC43" s="9">
        <f>Raw!AC44/Raw!$C44</f>
        <v>0</v>
      </c>
      <c r="AD43" s="9">
        <f>Raw!AD44/Raw!$C44</f>
        <v>0</v>
      </c>
      <c r="AE43" s="9">
        <f>Raw!AE44/Raw!$C44</f>
        <v>0</v>
      </c>
      <c r="AF43" s="9">
        <f>Raw!AF44/Raw!$C44</f>
        <v>0</v>
      </c>
      <c r="AG43" s="9">
        <f>Raw!AG44/Raw!$C44</f>
        <v>0</v>
      </c>
      <c r="AH43" s="9">
        <f>Raw!AH44/Raw!$C44</f>
        <v>16.666666666666668</v>
      </c>
      <c r="AI43" s="9">
        <f>Raw!AI44/Raw!$C44</f>
        <v>102.5</v>
      </c>
      <c r="AJ43" s="9">
        <f>Raw!AJ44/Raw!$C44</f>
        <v>0</v>
      </c>
      <c r="AK43" s="9">
        <f>Raw!AK44/Raw!$C44</f>
        <v>0</v>
      </c>
      <c r="AL43" s="9">
        <f>Raw!AL44/Raw!$C44</f>
        <v>22.222222222222221</v>
      </c>
      <c r="AM43" s="9">
        <f>Raw!AM44/Raw!$C44</f>
        <v>10.388888888888889</v>
      </c>
      <c r="AN43" s="9">
        <f>Raw!AN44/Raw!$C44</f>
        <v>0</v>
      </c>
      <c r="AO43" s="9">
        <f>Raw!AO44/Raw!$C44</f>
        <v>0</v>
      </c>
      <c r="AP43" s="9">
        <f>Raw!AP44/Raw!$C44</f>
        <v>0</v>
      </c>
      <c r="AQ43" s="9">
        <f>Raw!AQ44/Raw!$C44</f>
        <v>0</v>
      </c>
      <c r="AR43" s="9">
        <f>Raw!AR44/Raw!$C44</f>
        <v>0</v>
      </c>
      <c r="AS43" s="9">
        <f>Raw!AS44/Raw!$C44</f>
        <v>0</v>
      </c>
      <c r="AT43" s="9">
        <f>Raw!AT44/Raw!$C44</f>
        <v>0</v>
      </c>
      <c r="AU43" s="9">
        <f>Raw!AU44/Raw!$C44</f>
        <v>0</v>
      </c>
      <c r="AV43" s="9">
        <f>Raw!AV44/Raw!$C44</f>
        <v>0</v>
      </c>
      <c r="AW43" s="9">
        <f>Raw!AW44/Raw!$C44</f>
        <v>0</v>
      </c>
      <c r="AX43" s="9">
        <f>Raw!AX44/Raw!$C44</f>
        <v>0</v>
      </c>
      <c r="AY43" s="9">
        <f>Raw!AY44/Raw!$C44</f>
        <v>0</v>
      </c>
      <c r="AZ43" s="9">
        <f>Raw!AZ44/Raw!$C44</f>
        <v>0</v>
      </c>
      <c r="BA43" s="9">
        <f>Raw!BA44/Raw!$C44</f>
        <v>0</v>
      </c>
      <c r="BB43" s="9">
        <f>Raw!BB44/Raw!$C44</f>
        <v>0</v>
      </c>
      <c r="BC43" s="9">
        <f>Raw!BC44/Raw!$C44</f>
        <v>0</v>
      </c>
      <c r="BD43" s="9">
        <f>Raw!BD44/Raw!$C44</f>
        <v>0</v>
      </c>
      <c r="BE43" s="9">
        <f>Raw!BE44/Raw!$C44</f>
        <v>0</v>
      </c>
      <c r="BF43" s="9">
        <f>Raw!BF44/Raw!$C44</f>
        <v>0</v>
      </c>
      <c r="BG43" s="9">
        <f>Raw!BG44/Raw!$C44</f>
        <v>0</v>
      </c>
      <c r="BH43" s="9">
        <f>Raw!BH44/Raw!$C44</f>
        <v>0</v>
      </c>
      <c r="BI43" s="9">
        <f>Raw!BI44/Raw!$C44</f>
        <v>0</v>
      </c>
      <c r="BJ43" s="9">
        <f>Raw!BJ44/Raw!$C44</f>
        <v>50</v>
      </c>
      <c r="BK43" s="9">
        <f>Raw!BK44/Raw!$C44</f>
        <v>1.5555555555555569</v>
      </c>
      <c r="BL43" s="9">
        <f>Raw!BL44/Raw!$C44</f>
        <v>411.11111111111114</v>
      </c>
      <c r="BM43" s="9">
        <f>Raw!BM44/Raw!$C44</f>
        <v>0.6666666666666673</v>
      </c>
      <c r="BN43" s="9">
        <f>Raw!BN44/Raw!$C44</f>
        <v>0</v>
      </c>
      <c r="BO43" s="9">
        <f>Raw!BO44/Raw!$C44</f>
        <v>0</v>
      </c>
      <c r="BP43" s="9">
        <f>Raw!BP44/Raw!$C44</f>
        <v>0</v>
      </c>
      <c r="BQ43" s="9">
        <f>Raw!BQ44/Raw!$C44</f>
        <v>0</v>
      </c>
      <c r="BR43" s="9">
        <f>Raw!BR44/Raw!$C44</f>
        <v>0</v>
      </c>
      <c r="BS43" s="9">
        <f>Raw!BS44/Raw!$C44</f>
        <v>0</v>
      </c>
      <c r="BT43" s="9">
        <f>Raw!BT44/Raw!$C44</f>
        <v>0</v>
      </c>
      <c r="BU43" s="9">
        <f>Raw!BU44/Raw!$C44</f>
        <v>0</v>
      </c>
      <c r="BV43" s="9">
        <f>Raw!BV44/Raw!$C44</f>
        <v>0</v>
      </c>
      <c r="BW43" s="9">
        <f>Raw!BW44/Raw!$C44</f>
        <v>0</v>
      </c>
      <c r="BX43" s="9">
        <f>Raw!BX44/Raw!$C44</f>
        <v>0</v>
      </c>
      <c r="BY43" s="9">
        <f>Raw!BY44/Raw!$C44</f>
        <v>0</v>
      </c>
      <c r="BZ43" s="9">
        <f>Raw!BZ44/Raw!$C44</f>
        <v>0</v>
      </c>
      <c r="CA43" s="9">
        <f>Raw!CA44/Raw!$C44</f>
        <v>0</v>
      </c>
      <c r="CB43" s="9">
        <f>Raw!CB44/Raw!$C44</f>
        <v>0</v>
      </c>
      <c r="CC43" s="9">
        <f>Raw!CC44/Raw!$C44</f>
        <v>0</v>
      </c>
      <c r="CD43" s="9">
        <f>Raw!CD44/Raw!$C44</f>
        <v>0</v>
      </c>
      <c r="CE43" s="9">
        <f>Raw!CE44/Raw!$C44</f>
        <v>0</v>
      </c>
      <c r="CF43" s="9">
        <f>Raw!CF44/Raw!$C44</f>
        <v>0</v>
      </c>
      <c r="CG43" s="9">
        <f>Raw!CG44/Raw!$C44</f>
        <v>0</v>
      </c>
      <c r="CH43" s="9">
        <f>Raw!CH44/Raw!$C44</f>
        <v>0</v>
      </c>
      <c r="CI43" s="9">
        <f>Raw!CI44/Raw!$C44</f>
        <v>0</v>
      </c>
      <c r="CJ43" s="9">
        <f>Raw!CJ44/Raw!$C44</f>
        <v>0</v>
      </c>
      <c r="CK43" s="9">
        <f>Raw!CK44/Raw!$C44</f>
        <v>0</v>
      </c>
      <c r="CL43" s="9">
        <f>Raw!CL44/Raw!$C44</f>
        <v>0</v>
      </c>
      <c r="CM43" s="9">
        <f>Raw!CM44/Raw!$C44</f>
        <v>0</v>
      </c>
      <c r="CN43" s="9">
        <f>Raw!CN44/Raw!$C44</f>
        <v>0</v>
      </c>
      <c r="CO43" s="9">
        <f>Raw!CO44/Raw!$C44</f>
        <v>0</v>
      </c>
      <c r="CP43" s="9">
        <f>Raw!CP44/Raw!$C44</f>
        <v>0</v>
      </c>
      <c r="CQ43" s="9">
        <f>Raw!CQ44/Raw!$C44</f>
        <v>0</v>
      </c>
      <c r="CR43" s="2">
        <f t="shared" si="8"/>
        <v>755.55555555555566</v>
      </c>
      <c r="CS43" s="2">
        <f t="shared" si="9"/>
        <v>592.38888888888891</v>
      </c>
      <c r="CT43" s="3">
        <f t="shared" si="10"/>
        <v>2.8782664032669114</v>
      </c>
      <c r="CU43" s="3">
        <f t="shared" si="11"/>
        <v>2.7726069041039012</v>
      </c>
      <c r="CV43" s="3">
        <f>Raw!CR44/Raw!$C44</f>
        <v>3233.3333333333335</v>
      </c>
      <c r="CW43" s="3">
        <f>Raw!CS44/Raw!$C44</f>
        <v>2008.8888888888891</v>
      </c>
      <c r="CX43" s="3">
        <f t="shared" si="12"/>
        <v>3.5096504795465826</v>
      </c>
      <c r="CY43" s="3">
        <f t="shared" si="13"/>
        <v>3.3029559167000198</v>
      </c>
      <c r="CZ43" s="3">
        <f t="shared" si="14"/>
        <v>3.6008519391389942</v>
      </c>
      <c r="DA43" s="3">
        <f t="shared" si="15"/>
        <v>3.4151867308635842</v>
      </c>
      <c r="DB43" s="6">
        <f t="shared" si="16"/>
        <v>0.67741576037375595</v>
      </c>
      <c r="DC43" s="3">
        <v>7</v>
      </c>
      <c r="DD43" s="3">
        <f>DC43/Raw!C44</f>
        <v>38.888888888888893</v>
      </c>
      <c r="DE43" s="5">
        <f t="shared" si="17"/>
        <v>9.2647058823529405E-3</v>
      </c>
      <c r="DF43">
        <f t="shared" si="18"/>
        <v>-2.0331683632526545</v>
      </c>
      <c r="DH43" s="4">
        <f>-SUM('Shannon-Weiner'!B42:Z42)</f>
        <v>0.87965359123591669</v>
      </c>
      <c r="DI43" s="4">
        <f>SUM('p^2'!B42:Z42)</f>
        <v>4.8172577854671259E-2</v>
      </c>
      <c r="DJ43" s="4">
        <f t="shared" si="19"/>
        <v>0.95182742214532878</v>
      </c>
      <c r="DK43">
        <f t="shared" si="20"/>
        <v>20.758698092031434</v>
      </c>
      <c r="DL43" s="4">
        <f>SUM('Shannon-Weiner_B'!B42:Z42)</f>
        <v>-1.1462802842489996</v>
      </c>
      <c r="DM43" s="4">
        <f>SUM('p_B^2'!B42:Z42)</f>
        <v>0.35665752611604007</v>
      </c>
      <c r="DN43" s="4">
        <f t="shared" si="21"/>
        <v>0.64334247388395993</v>
      </c>
      <c r="DO43">
        <f t="shared" si="22"/>
        <v>2.8038101729967297</v>
      </c>
    </row>
    <row r="44" spans="1:119" x14ac:dyDescent="0.25">
      <c r="A44" s="1"/>
      <c r="B44" t="str">
        <f>Raw!B45</f>
        <v>FB23</v>
      </c>
      <c r="C44">
        <v>1</v>
      </c>
      <c r="D44" s="9">
        <f>Raw!D45/Raw!$C45</f>
        <v>48.571428571428577</v>
      </c>
      <c r="E44" s="9">
        <f>Raw!E45/Raw!$C45</f>
        <v>1.9428571428571422</v>
      </c>
      <c r="F44" s="9">
        <f>Raw!F45/Raw!$C45</f>
        <v>100</v>
      </c>
      <c r="G44" s="9">
        <f>Raw!G45/Raw!$C45</f>
        <v>3.6285714285714303</v>
      </c>
      <c r="H44" s="9">
        <f>Raw!H45/Raw!$C45</f>
        <v>0</v>
      </c>
      <c r="I44" s="9">
        <f>Raw!I45/Raw!$C45</f>
        <v>0</v>
      </c>
      <c r="J44" s="9">
        <f>Raw!J45/Raw!$C45</f>
        <v>0</v>
      </c>
      <c r="K44" s="9">
        <f>Raw!K45/Raw!$C45</f>
        <v>0</v>
      </c>
      <c r="L44" s="9">
        <f>Raw!L45/Raw!$C45</f>
        <v>0</v>
      </c>
      <c r="M44" s="9">
        <f>Raw!M45/Raw!$C45</f>
        <v>0</v>
      </c>
      <c r="N44" s="9">
        <f>Raw!N45/Raw!$C45</f>
        <v>0</v>
      </c>
      <c r="O44" s="9">
        <f>Raw!O45/Raw!$C45</f>
        <v>0</v>
      </c>
      <c r="P44" s="9">
        <f>Raw!P45/Raw!$C45</f>
        <v>54.285714285714292</v>
      </c>
      <c r="Q44" s="9">
        <f>Raw!Q45/Raw!$C45</f>
        <v>163.39999999999998</v>
      </c>
      <c r="R44" s="9">
        <f>Raw!R45/Raw!$C45</f>
        <v>0</v>
      </c>
      <c r="S44" s="9">
        <f>Raw!S45/Raw!$C45</f>
        <v>0</v>
      </c>
      <c r="T44" s="9">
        <f>Raw!T45/Raw!$C45</f>
        <v>0</v>
      </c>
      <c r="U44" s="9">
        <f>Raw!U45/Raw!$C45</f>
        <v>0</v>
      </c>
      <c r="V44" s="9">
        <f>Raw!V45/Raw!$C45</f>
        <v>0</v>
      </c>
      <c r="W44" s="9">
        <f>Raw!W45/Raw!$C45</f>
        <v>0</v>
      </c>
      <c r="X44" s="9">
        <f>Raw!X45/Raw!$C45</f>
        <v>0</v>
      </c>
      <c r="Y44" s="9">
        <f>Raw!Y45/Raw!$C45</f>
        <v>0</v>
      </c>
      <c r="Z44" s="9">
        <f>Raw!Z45/Raw!$C45</f>
        <v>0</v>
      </c>
      <c r="AA44" s="9">
        <f>Raw!AA45/Raw!$C45</f>
        <v>0</v>
      </c>
      <c r="AB44" s="9">
        <f>Raw!AB45/Raw!$C45</f>
        <v>0</v>
      </c>
      <c r="AC44" s="9">
        <f>Raw!AC45/Raw!$C45</f>
        <v>0</v>
      </c>
      <c r="AD44" s="9">
        <f>Raw!AD45/Raw!$C45</f>
        <v>0</v>
      </c>
      <c r="AE44" s="9">
        <f>Raw!AE45/Raw!$C45</f>
        <v>0</v>
      </c>
      <c r="AF44" s="9">
        <f>Raw!AF45/Raw!$C45</f>
        <v>2.8571428571428572</v>
      </c>
      <c r="AG44" s="9">
        <f>Raw!AG45/Raw!$C45</f>
        <v>3.1714285714285726</v>
      </c>
      <c r="AH44" s="9">
        <f>Raw!AH45/Raw!$C45</f>
        <v>31.428571428571431</v>
      </c>
      <c r="AI44" s="9">
        <f>Raw!AI45/Raw!$C45</f>
        <v>5.5714285714285721</v>
      </c>
      <c r="AJ44" s="9">
        <f>Raw!AJ45/Raw!$C45</f>
        <v>0</v>
      </c>
      <c r="AK44" s="9">
        <f>Raw!AK45/Raw!$C45</f>
        <v>0</v>
      </c>
      <c r="AL44" s="9">
        <f>Raw!AL45/Raw!$C45</f>
        <v>2.8571428571428572</v>
      </c>
      <c r="AM44" s="9">
        <f>Raw!AM45/Raw!$C45</f>
        <v>7.8571428571428577</v>
      </c>
      <c r="AN44" s="9">
        <f>Raw!AN45/Raw!$C45</f>
        <v>0</v>
      </c>
      <c r="AO44" s="9">
        <f>Raw!AO45/Raw!$C45</f>
        <v>0</v>
      </c>
      <c r="AP44" s="9">
        <f>Raw!AP45/Raw!$C45</f>
        <v>0</v>
      </c>
      <c r="AQ44" s="9">
        <f>Raw!AQ45/Raw!$C45</f>
        <v>0</v>
      </c>
      <c r="AR44" s="9">
        <f>Raw!AR45/Raw!$C45</f>
        <v>0</v>
      </c>
      <c r="AS44" s="9">
        <f>Raw!AS45/Raw!$C45</f>
        <v>0</v>
      </c>
      <c r="AT44" s="9">
        <f>Raw!AT45/Raw!$C45</f>
        <v>0</v>
      </c>
      <c r="AU44" s="9">
        <f>Raw!AU45/Raw!$C45</f>
        <v>0</v>
      </c>
      <c r="AV44" s="9">
        <f>Raw!AV45/Raw!$C45</f>
        <v>0</v>
      </c>
      <c r="AW44" s="9">
        <f>Raw!AW45/Raw!$C45</f>
        <v>0</v>
      </c>
      <c r="AX44" s="9">
        <f>Raw!AX45/Raw!$C45</f>
        <v>0</v>
      </c>
      <c r="AY44" s="9">
        <f>Raw!AY45/Raw!$C45</f>
        <v>0</v>
      </c>
      <c r="AZ44" s="9">
        <f>Raw!AZ45/Raw!$C45</f>
        <v>5.7142857142857144</v>
      </c>
      <c r="BA44" s="9">
        <f>Raw!BA45/Raw!$C45</f>
        <v>389.59999999999997</v>
      </c>
      <c r="BB44" s="9">
        <f>Raw!BB45/Raw!$C45</f>
        <v>0</v>
      </c>
      <c r="BC44" s="9">
        <f>Raw!BC45/Raw!$C45</f>
        <v>0</v>
      </c>
      <c r="BD44" s="9">
        <f>Raw!BD45/Raw!$C45</f>
        <v>0</v>
      </c>
      <c r="BE44" s="9">
        <f>Raw!BE45/Raw!$C45</f>
        <v>0</v>
      </c>
      <c r="BF44" s="9">
        <f>Raw!BF45/Raw!$C45</f>
        <v>0</v>
      </c>
      <c r="BG44" s="9">
        <f>Raw!BG45/Raw!$C45</f>
        <v>0</v>
      </c>
      <c r="BH44" s="9">
        <f>Raw!BH45/Raw!$C45</f>
        <v>0</v>
      </c>
      <c r="BI44" s="9">
        <f>Raw!BI45/Raw!$C45</f>
        <v>0</v>
      </c>
      <c r="BJ44" s="9">
        <f>Raw!BJ45/Raw!$C45</f>
        <v>0</v>
      </c>
      <c r="BK44" s="9">
        <f>Raw!BK45/Raw!$C45</f>
        <v>0</v>
      </c>
      <c r="BL44" s="9">
        <f>Raw!BL45/Raw!$C45</f>
        <v>0</v>
      </c>
      <c r="BM44" s="9">
        <f>Raw!BM45/Raw!$C45</f>
        <v>0</v>
      </c>
      <c r="BN44" s="9">
        <f>Raw!BN45/Raw!$C45</f>
        <v>0</v>
      </c>
      <c r="BO44" s="9">
        <f>Raw!BO45/Raw!$C45</f>
        <v>0</v>
      </c>
      <c r="BP44" s="9">
        <f>Raw!BP45/Raw!$C45</f>
        <v>0</v>
      </c>
      <c r="BQ44" s="9">
        <f>Raw!BQ45/Raw!$C45</f>
        <v>0</v>
      </c>
      <c r="BR44" s="9">
        <f>Raw!BR45/Raw!$C45</f>
        <v>0</v>
      </c>
      <c r="BS44" s="9">
        <f>Raw!BS45/Raw!$C45</f>
        <v>0</v>
      </c>
      <c r="BT44" s="9">
        <f>Raw!BT45/Raw!$C45</f>
        <v>0</v>
      </c>
      <c r="BU44" s="9">
        <f>Raw!BU45/Raw!$C45</f>
        <v>0</v>
      </c>
      <c r="BV44" s="9">
        <f>Raw!BV45/Raw!$C45</f>
        <v>0</v>
      </c>
      <c r="BW44" s="9">
        <f>Raw!BW45/Raw!$C45</f>
        <v>0</v>
      </c>
      <c r="BX44" s="9">
        <f>Raw!BX45/Raw!$C45</f>
        <v>0</v>
      </c>
      <c r="BY44" s="9">
        <f>Raw!BY45/Raw!$C45</f>
        <v>0</v>
      </c>
      <c r="BZ44" s="9">
        <f>Raw!BZ45/Raw!$C45</f>
        <v>0</v>
      </c>
      <c r="CA44" s="9">
        <f>Raw!CA45/Raw!$C45</f>
        <v>0</v>
      </c>
      <c r="CB44" s="9">
        <f>Raw!CB45/Raw!$C45</f>
        <v>0</v>
      </c>
      <c r="CC44" s="9">
        <f>Raw!CC45/Raw!$C45</f>
        <v>0</v>
      </c>
      <c r="CD44" s="9">
        <f>Raw!CD45/Raw!$C45</f>
        <v>0</v>
      </c>
      <c r="CE44" s="9">
        <f>Raw!CE45/Raw!$C45</f>
        <v>0</v>
      </c>
      <c r="CF44" s="9">
        <f>Raw!CF45/Raw!$C45</f>
        <v>0</v>
      </c>
      <c r="CG44" s="9">
        <f>Raw!CG45/Raw!$C45</f>
        <v>0</v>
      </c>
      <c r="CH44" s="9">
        <f>Raw!CH45/Raw!$C45</f>
        <v>0</v>
      </c>
      <c r="CI44" s="9">
        <f>Raw!CI45/Raw!$C45</f>
        <v>0</v>
      </c>
      <c r="CJ44" s="9">
        <f>Raw!CJ45/Raw!$C45</f>
        <v>0</v>
      </c>
      <c r="CK44" s="9">
        <f>Raw!CK45/Raw!$C45</f>
        <v>0</v>
      </c>
      <c r="CL44" s="9">
        <f>Raw!CL45/Raw!$C45</f>
        <v>0</v>
      </c>
      <c r="CM44" s="9">
        <f>Raw!CM45/Raw!$C45</f>
        <v>0</v>
      </c>
      <c r="CN44" s="9">
        <f>Raw!CN45/Raw!$C45</f>
        <v>0</v>
      </c>
      <c r="CO44" s="9">
        <f>Raw!CO45/Raw!$C45</f>
        <v>0</v>
      </c>
      <c r="CP44" s="9">
        <f>Raw!CP45/Raw!$C45</f>
        <v>0</v>
      </c>
      <c r="CQ44" s="9">
        <f>Raw!CQ45/Raw!$C45</f>
        <v>0</v>
      </c>
      <c r="CR44" s="2">
        <f t="shared" si="8"/>
        <v>251.42857142857147</v>
      </c>
      <c r="CS44" s="2">
        <f t="shared" si="9"/>
        <v>964.77142857142849</v>
      </c>
      <c r="CT44" s="3">
        <f t="shared" si="10"/>
        <v>2.400414627799893</v>
      </c>
      <c r="CU44" s="3">
        <f t="shared" si="11"/>
        <v>2.9844244334802568</v>
      </c>
      <c r="CV44" s="3">
        <f>Raw!CR45/Raw!$C45</f>
        <v>1662.8571428571429</v>
      </c>
      <c r="CW44" s="3">
        <f>Raw!CS45/Raw!$C45</f>
        <v>1033.1428571428573</v>
      </c>
      <c r="CX44" s="3">
        <f t="shared" si="12"/>
        <v>3.2208549402996129</v>
      </c>
      <c r="CY44" s="3">
        <f t="shared" si="13"/>
        <v>3.0141603774530501</v>
      </c>
      <c r="CZ44" s="3">
        <f t="shared" si="14"/>
        <v>3.2820067583505508</v>
      </c>
      <c r="DA44" s="3">
        <f t="shared" si="15"/>
        <v>3.3005768522384065</v>
      </c>
      <c r="DB44" s="6">
        <f t="shared" si="16"/>
        <v>0.64546454190698832</v>
      </c>
      <c r="DC44" s="3">
        <v>7</v>
      </c>
      <c r="DD44" s="3">
        <f>DC44/Raw!C45</f>
        <v>20</v>
      </c>
      <c r="DE44" s="5">
        <f t="shared" si="17"/>
        <v>2.7840909090909086E-2</v>
      </c>
      <c r="DF44">
        <f t="shared" si="18"/>
        <v>-1.5553165877856363</v>
      </c>
      <c r="DH44" s="4">
        <f>-SUM('Shannon-Weiner'!B43:Z43)</f>
        <v>1.462973569067912</v>
      </c>
      <c r="DI44" s="4">
        <f>SUM('p^2'!B43:Z43)</f>
        <v>0.25852272727272718</v>
      </c>
      <c r="DJ44" s="4">
        <f t="shared" si="19"/>
        <v>0.74147727272727282</v>
      </c>
      <c r="DK44">
        <f t="shared" si="20"/>
        <v>3.8681318681318695</v>
      </c>
      <c r="DL44" s="4">
        <f>SUM('Shannon-Weiner_B'!B43:Z43)</f>
        <v>-0.7881567890970953</v>
      </c>
      <c r="DM44" s="4">
        <f>SUM('p_B^2'!B43:Z43)</f>
        <v>0.19188932349653615</v>
      </c>
      <c r="DN44" s="4">
        <f t="shared" si="21"/>
        <v>0.8081106765034638</v>
      </c>
      <c r="DO44">
        <f t="shared" si="22"/>
        <v>5.2113373572764266</v>
      </c>
    </row>
    <row r="45" spans="1:119" x14ac:dyDescent="0.25">
      <c r="A45" s="1"/>
      <c r="B45" t="s">
        <v>94</v>
      </c>
      <c r="C45">
        <v>1</v>
      </c>
      <c r="D45" s="9">
        <f>Raw!D46/Raw!$C46</f>
        <v>462.49999999999989</v>
      </c>
      <c r="E45" s="9">
        <f>Raw!E46/Raw!$C46</f>
        <v>105.56249999999999</v>
      </c>
      <c r="F45" s="9">
        <f>Raw!F46/Raw!$C46</f>
        <v>0</v>
      </c>
      <c r="G45" s="9">
        <f>Raw!G46/Raw!$C46</f>
        <v>0</v>
      </c>
      <c r="H45" s="9">
        <f>Raw!H46/Raw!$C46</f>
        <v>0</v>
      </c>
      <c r="I45" s="9">
        <f>Raw!I46/Raw!$C46</f>
        <v>0</v>
      </c>
      <c r="J45" s="9">
        <f>Raw!J46/Raw!$C46</f>
        <v>0</v>
      </c>
      <c r="K45" s="9">
        <f>Raw!K46/Raw!$C46</f>
        <v>0</v>
      </c>
      <c r="L45" s="9">
        <f>Raw!L46/Raw!$C46</f>
        <v>0</v>
      </c>
      <c r="M45" s="9">
        <f>Raw!M46/Raw!$C46</f>
        <v>0</v>
      </c>
      <c r="N45" s="9">
        <f>Raw!N46/Raw!$C46</f>
        <v>0</v>
      </c>
      <c r="O45" s="9">
        <f>Raw!O46/Raw!$C46</f>
        <v>0</v>
      </c>
      <c r="P45" s="9">
        <f>Raw!P46/Raw!$C46</f>
        <v>0</v>
      </c>
      <c r="Q45" s="9">
        <f>Raw!Q46/Raw!$C46</f>
        <v>0</v>
      </c>
      <c r="R45" s="9">
        <f>Raw!R46/Raw!$C46</f>
        <v>0</v>
      </c>
      <c r="S45" s="9">
        <f>Raw!S46/Raw!$C46</f>
        <v>0</v>
      </c>
      <c r="T45" s="9">
        <f>Raw!T46/Raw!$C46</f>
        <v>0</v>
      </c>
      <c r="U45" s="9">
        <f>Raw!U46/Raw!$C46</f>
        <v>0</v>
      </c>
      <c r="V45" s="9">
        <f>Raw!V46/Raw!$C46</f>
        <v>0</v>
      </c>
      <c r="W45" s="9">
        <f>Raw!W46/Raw!$C46</f>
        <v>0</v>
      </c>
      <c r="X45" s="9">
        <f>Raw!X46/Raw!$C46</f>
        <v>0</v>
      </c>
      <c r="Y45" s="9">
        <f>Raw!Y46/Raw!$C46</f>
        <v>0</v>
      </c>
      <c r="Z45" s="9">
        <f>Raw!Z46/Raw!$C46</f>
        <v>0</v>
      </c>
      <c r="AA45" s="9">
        <f>Raw!AA46/Raw!$C46</f>
        <v>0</v>
      </c>
      <c r="AB45" s="9">
        <f>Raw!AB46/Raw!$C46</f>
        <v>0</v>
      </c>
      <c r="AC45" s="9">
        <f>Raw!AC46/Raw!$C46</f>
        <v>0</v>
      </c>
      <c r="AD45" s="9">
        <f>Raw!AD46/Raw!$C46</f>
        <v>0</v>
      </c>
      <c r="AE45" s="9">
        <f>Raw!AE46/Raw!$C46</f>
        <v>0</v>
      </c>
      <c r="AF45" s="9">
        <f>Raw!AF46/Raw!$C46</f>
        <v>6.2499999999999991</v>
      </c>
      <c r="AG45" s="9">
        <f>Raw!AG46/Raw!$C46</f>
        <v>0.562499999999999</v>
      </c>
      <c r="AH45" s="9">
        <f>Raw!AH46/Raw!$C46</f>
        <v>0</v>
      </c>
      <c r="AI45" s="9">
        <f>Raw!AI46/Raw!$C46</f>
        <v>0</v>
      </c>
      <c r="AJ45" s="9">
        <f>Raw!AJ46/Raw!$C46</f>
        <v>0</v>
      </c>
      <c r="AK45" s="9">
        <f>Raw!AK46/Raw!$C46</f>
        <v>0</v>
      </c>
      <c r="AL45" s="9">
        <f>Raw!AL46/Raw!$C46</f>
        <v>6.2499999999999991</v>
      </c>
      <c r="AM45" s="9">
        <f>Raw!AM46/Raw!$C46</f>
        <v>426.56249999999994</v>
      </c>
      <c r="AN45" s="9">
        <f>Raw!AN46/Raw!$C46</f>
        <v>0</v>
      </c>
      <c r="AO45" s="9">
        <f>Raw!AO46/Raw!$C46</f>
        <v>0</v>
      </c>
      <c r="AP45" s="9">
        <f>Raw!AP46/Raw!$C46</f>
        <v>0</v>
      </c>
      <c r="AQ45" s="9">
        <f>Raw!AQ46/Raw!$C46</f>
        <v>0</v>
      </c>
      <c r="AR45" s="9">
        <f>Raw!AR46/Raw!$C46</f>
        <v>0</v>
      </c>
      <c r="AS45" s="9">
        <f>Raw!AS46/Raw!$C46</f>
        <v>0</v>
      </c>
      <c r="AT45" s="9">
        <f>Raw!AT46/Raw!$C46</f>
        <v>0</v>
      </c>
      <c r="AU45" s="9">
        <f>Raw!AU46/Raw!$C46</f>
        <v>0</v>
      </c>
      <c r="AV45" s="9">
        <f>Raw!AV46/Raw!$C46</f>
        <v>0</v>
      </c>
      <c r="AW45" s="9">
        <f>Raw!AW46/Raw!$C46</f>
        <v>0</v>
      </c>
      <c r="AX45" s="9">
        <f>Raw!AX46/Raw!$C46</f>
        <v>0</v>
      </c>
      <c r="AY45" s="9">
        <f>Raw!AY46/Raw!$C46</f>
        <v>0</v>
      </c>
      <c r="AZ45" s="9">
        <f>Raw!AZ46/Raw!$C46</f>
        <v>0</v>
      </c>
      <c r="BA45" s="9">
        <f>Raw!BA46/Raw!$C46</f>
        <v>0</v>
      </c>
      <c r="BB45" s="9">
        <f>Raw!BB46/Raw!$C46</f>
        <v>0</v>
      </c>
      <c r="BC45" s="9">
        <f>Raw!BC46/Raw!$C46</f>
        <v>0</v>
      </c>
      <c r="BD45" s="9">
        <f>Raw!BD46/Raw!$C46</f>
        <v>0</v>
      </c>
      <c r="BE45" s="9">
        <f>Raw!BE46/Raw!$C46</f>
        <v>0</v>
      </c>
      <c r="BF45" s="9">
        <f>Raw!BF46/Raw!$C46</f>
        <v>0</v>
      </c>
      <c r="BG45" s="9">
        <f>Raw!BG46/Raw!$C46</f>
        <v>0</v>
      </c>
      <c r="BH45" s="9">
        <f>Raw!BH46/Raw!$C46</f>
        <v>0</v>
      </c>
      <c r="BI45" s="9">
        <f>Raw!BI46/Raw!$C46</f>
        <v>0</v>
      </c>
      <c r="BJ45" s="9">
        <f>Raw!BJ46/Raw!$C46</f>
        <v>0</v>
      </c>
      <c r="BK45" s="9">
        <f>Raw!BK46/Raw!$C46</f>
        <v>0</v>
      </c>
      <c r="BL45" s="9">
        <f>Raw!BL46/Raw!$C46</f>
        <v>0</v>
      </c>
      <c r="BM45" s="9">
        <f>Raw!BM46/Raw!$C46</f>
        <v>0</v>
      </c>
      <c r="BN45" s="9">
        <f>Raw!BN46/Raw!$C46</f>
        <v>0</v>
      </c>
      <c r="BO45" s="9">
        <f>Raw!BO46/Raw!$C46</f>
        <v>0</v>
      </c>
      <c r="BP45" s="9">
        <f>Raw!BP46/Raw!$C46</f>
        <v>0</v>
      </c>
      <c r="BQ45" s="9">
        <f>Raw!BQ46/Raw!$C46</f>
        <v>0</v>
      </c>
      <c r="BR45" s="9">
        <f>Raw!BR46/Raw!$C46</f>
        <v>0</v>
      </c>
      <c r="BS45" s="9">
        <f>Raw!BS46/Raw!$C46</f>
        <v>0</v>
      </c>
      <c r="BT45" s="9">
        <f>Raw!BT46/Raw!$C46</f>
        <v>0</v>
      </c>
      <c r="BU45" s="9">
        <f>Raw!BU46/Raw!$C46</f>
        <v>0</v>
      </c>
      <c r="BV45" s="9">
        <f>Raw!BV46/Raw!$C46</f>
        <v>0</v>
      </c>
      <c r="BW45" s="9">
        <f>Raw!BW46/Raw!$C46</f>
        <v>0</v>
      </c>
      <c r="BX45" s="9">
        <f>Raw!BX46/Raw!$C46</f>
        <v>0</v>
      </c>
      <c r="BY45" s="9">
        <f>Raw!BY46/Raw!$C46</f>
        <v>0</v>
      </c>
      <c r="BZ45" s="9">
        <f>Raw!BZ46/Raw!$C46</f>
        <v>0</v>
      </c>
      <c r="CA45" s="9">
        <f>Raw!CA46/Raw!$C46</f>
        <v>0</v>
      </c>
      <c r="CB45" s="9">
        <f>Raw!CB46/Raw!$C46</f>
        <v>0</v>
      </c>
      <c r="CC45" s="9">
        <f>Raw!CC46/Raw!$C46</f>
        <v>0</v>
      </c>
      <c r="CD45" s="9">
        <f>Raw!CD46/Raw!$C46</f>
        <v>0</v>
      </c>
      <c r="CE45" s="9">
        <f>Raw!CE46/Raw!$C46</f>
        <v>0</v>
      </c>
      <c r="CF45" s="9">
        <f>Raw!CF46/Raw!$C46</f>
        <v>0</v>
      </c>
      <c r="CG45" s="9">
        <f>Raw!CG46/Raw!$C46</f>
        <v>0</v>
      </c>
      <c r="CH45" s="9">
        <f>Raw!CH46/Raw!$C46</f>
        <v>0</v>
      </c>
      <c r="CI45" s="9">
        <f>Raw!CI46/Raw!$C46</f>
        <v>0</v>
      </c>
      <c r="CJ45" s="9">
        <f>Raw!CJ46/Raw!$C46</f>
        <v>0</v>
      </c>
      <c r="CK45" s="9">
        <f>Raw!CK46/Raw!$C46</f>
        <v>0</v>
      </c>
      <c r="CL45" s="9">
        <f>Raw!CL46/Raw!$C46</f>
        <v>0</v>
      </c>
      <c r="CM45" s="9">
        <f>Raw!CM46/Raw!$C46</f>
        <v>0</v>
      </c>
      <c r="CN45" s="9">
        <f>Raw!CN46/Raw!$C46</f>
        <v>0</v>
      </c>
      <c r="CO45" s="9">
        <f>Raw!CO46/Raw!$C46</f>
        <v>0</v>
      </c>
      <c r="CP45" s="9">
        <f>Raw!CP46/Raw!$C46</f>
        <v>0</v>
      </c>
      <c r="CQ45" s="9">
        <f>Raw!CQ46/Raw!$C46</f>
        <v>0</v>
      </c>
      <c r="CR45" s="2">
        <f t="shared" si="8"/>
        <v>474.99999999999989</v>
      </c>
      <c r="CS45" s="2">
        <f t="shared" si="9"/>
        <v>532.68749999999989</v>
      </c>
      <c r="CT45" s="3">
        <f t="shared" si="10"/>
        <v>2.6766936096248664</v>
      </c>
      <c r="CU45" s="3">
        <f t="shared" si="11"/>
        <v>2.7264725057866732</v>
      </c>
      <c r="CV45" s="3">
        <f>Raw!CR46/Raw!$C46</f>
        <v>3618.7499999999991</v>
      </c>
      <c r="CW45" s="3">
        <f>Raw!CS46/Raw!$C46</f>
        <v>2259.9999999999995</v>
      </c>
      <c r="CX45" s="3">
        <f t="shared" si="12"/>
        <v>3.5585585810715115</v>
      </c>
      <c r="CY45" s="3">
        <f t="shared" si="13"/>
        <v>3.3541084391474008</v>
      </c>
      <c r="CZ45" s="3">
        <f t="shared" si="14"/>
        <v>3.6121213173358582</v>
      </c>
      <c r="DA45" s="3">
        <f t="shared" si="15"/>
        <v>3.446022341136509</v>
      </c>
      <c r="DB45" s="6">
        <f t="shared" si="16"/>
        <v>0.74391586290303369</v>
      </c>
      <c r="DC45" s="3">
        <v>3</v>
      </c>
      <c r="DD45" s="3">
        <f>DC45/Raw!C46</f>
        <v>18.749999999999996</v>
      </c>
      <c r="DE45" s="5">
        <f t="shared" si="17"/>
        <v>6.3157894736842121E-3</v>
      </c>
      <c r="DF45">
        <f t="shared" si="18"/>
        <v>-2.1995723549052042</v>
      </c>
      <c r="DH45" s="4">
        <f>-SUM('Shannon-Weiner'!B44:Z44)</f>
        <v>0.13993311795595526</v>
      </c>
      <c r="DI45" s="4">
        <f>SUM('p^2'!B44:Z44)</f>
        <v>0.94840720221606667</v>
      </c>
      <c r="DJ45" s="4">
        <f t="shared" si="19"/>
        <v>5.1592797783933331E-2</v>
      </c>
      <c r="DK45">
        <f t="shared" si="20"/>
        <v>1.0543994158451988</v>
      </c>
      <c r="DL45" s="4">
        <f>SUM('Shannon-Weiner_B'!B44:Z44)</f>
        <v>-0.5059134422520617</v>
      </c>
      <c r="DM45" s="4">
        <f>SUM('p_B^2'!B44:Z44)</f>
        <v>0.68051192865172228</v>
      </c>
      <c r="DN45" s="4">
        <f t="shared" si="21"/>
        <v>0.31948807134827772</v>
      </c>
      <c r="DO45">
        <f t="shared" si="22"/>
        <v>1.4694819560051942</v>
      </c>
    </row>
    <row r="46" spans="1:119" x14ac:dyDescent="0.25">
      <c r="A46" s="1"/>
      <c r="B46" t="s">
        <v>95</v>
      </c>
      <c r="C46">
        <v>1</v>
      </c>
      <c r="D46" s="9">
        <f>Raw!D47/Raw!$C47</f>
        <v>184</v>
      </c>
      <c r="E46" s="9">
        <f>Raw!E47/Raw!$C47</f>
        <v>123.07999999999998</v>
      </c>
      <c r="F46" s="9">
        <f>Raw!F47/Raw!$C47</f>
        <v>24</v>
      </c>
      <c r="G46" s="9">
        <f>Raw!G47/Raw!$C47</f>
        <v>18.8</v>
      </c>
      <c r="H46" s="9">
        <f>Raw!H47/Raw!$C47</f>
        <v>0</v>
      </c>
      <c r="I46" s="9">
        <f>Raw!I47/Raw!$C47</f>
        <v>0</v>
      </c>
      <c r="J46" s="9">
        <f>Raw!J47/Raw!$C47</f>
        <v>0</v>
      </c>
      <c r="K46" s="9">
        <f>Raw!K47/Raw!$C47</f>
        <v>0</v>
      </c>
      <c r="L46" s="9">
        <f>Raw!L47/Raw!$C47</f>
        <v>0</v>
      </c>
      <c r="M46" s="9">
        <f>Raw!M47/Raw!$C47</f>
        <v>0</v>
      </c>
      <c r="N46" s="9">
        <f>Raw!N47/Raw!$C47</f>
        <v>0</v>
      </c>
      <c r="O46" s="9">
        <f>Raw!O47/Raw!$C47</f>
        <v>0</v>
      </c>
      <c r="P46" s="9">
        <f>Raw!P47/Raw!$C47</f>
        <v>0</v>
      </c>
      <c r="Q46" s="9">
        <f>Raw!Q47/Raw!$C47</f>
        <v>0</v>
      </c>
      <c r="R46" s="9">
        <f>Raw!R47/Raw!$C47</f>
        <v>0</v>
      </c>
      <c r="S46" s="9">
        <f>Raw!S47/Raw!$C47</f>
        <v>0</v>
      </c>
      <c r="T46" s="9">
        <f>Raw!T47/Raw!$C47</f>
        <v>0</v>
      </c>
      <c r="U46" s="9">
        <f>Raw!U47/Raw!$C47</f>
        <v>0</v>
      </c>
      <c r="V46" s="9">
        <f>Raw!V47/Raw!$C47</f>
        <v>0</v>
      </c>
      <c r="W46" s="9">
        <f>Raw!W47/Raw!$C47</f>
        <v>0</v>
      </c>
      <c r="X46" s="9">
        <f>Raw!X47/Raw!$C47</f>
        <v>0</v>
      </c>
      <c r="Y46" s="9">
        <f>Raw!Y47/Raw!$C47</f>
        <v>0</v>
      </c>
      <c r="Z46" s="9">
        <f>Raw!Z47/Raw!$C47</f>
        <v>0</v>
      </c>
      <c r="AA46" s="9">
        <f>Raw!AA47/Raw!$C47</f>
        <v>0</v>
      </c>
      <c r="AB46" s="9">
        <f>Raw!AB47/Raw!$C47</f>
        <v>0</v>
      </c>
      <c r="AC46" s="9">
        <f>Raw!AC47/Raw!$C47</f>
        <v>0</v>
      </c>
      <c r="AD46" s="9">
        <f>Raw!AD47/Raw!$C47</f>
        <v>0</v>
      </c>
      <c r="AE46" s="9">
        <f>Raw!AE47/Raw!$C47</f>
        <v>0</v>
      </c>
      <c r="AF46" s="9">
        <f>Raw!AF47/Raw!$C47</f>
        <v>0</v>
      </c>
      <c r="AG46" s="9">
        <f>Raw!AG47/Raw!$C47</f>
        <v>0</v>
      </c>
      <c r="AH46" s="9">
        <f>Raw!AH47/Raw!$C47</f>
        <v>0</v>
      </c>
      <c r="AI46" s="9">
        <f>Raw!AI47/Raw!$C47</f>
        <v>0</v>
      </c>
      <c r="AJ46" s="9">
        <f>Raw!AJ47/Raw!$C47</f>
        <v>0</v>
      </c>
      <c r="AK46" s="9">
        <f>Raw!AK47/Raw!$C47</f>
        <v>0</v>
      </c>
      <c r="AL46" s="9">
        <f>Raw!AL47/Raw!$C47</f>
        <v>8</v>
      </c>
      <c r="AM46" s="9">
        <f>Raw!AM47/Raw!$C47</f>
        <v>736.07999999999993</v>
      </c>
      <c r="AN46" s="9">
        <f>Raw!AN47/Raw!$C47</f>
        <v>0</v>
      </c>
      <c r="AO46" s="9">
        <f>Raw!AO47/Raw!$C47</f>
        <v>0</v>
      </c>
      <c r="AP46" s="9">
        <f>Raw!AP47/Raw!$C47</f>
        <v>0</v>
      </c>
      <c r="AQ46" s="9">
        <f>Raw!AQ47/Raw!$C47</f>
        <v>0</v>
      </c>
      <c r="AR46" s="9">
        <f>Raw!AR47/Raw!$C47</f>
        <v>0</v>
      </c>
      <c r="AS46" s="9">
        <f>Raw!AS47/Raw!$C47</f>
        <v>0</v>
      </c>
      <c r="AT46" s="9">
        <f>Raw!AT47/Raw!$C47</f>
        <v>0</v>
      </c>
      <c r="AU46" s="9">
        <f>Raw!AU47/Raw!$C47</f>
        <v>0</v>
      </c>
      <c r="AV46" s="9">
        <f>Raw!AV47/Raw!$C47</f>
        <v>0</v>
      </c>
      <c r="AW46" s="9">
        <f>Raw!AW47/Raw!$C47</f>
        <v>0</v>
      </c>
      <c r="AX46" s="9">
        <f>Raw!AX47/Raw!$C47</f>
        <v>0</v>
      </c>
      <c r="AY46" s="9">
        <f>Raw!AY47/Raw!$C47</f>
        <v>0</v>
      </c>
      <c r="AZ46" s="9">
        <f>Raw!AZ47/Raw!$C47</f>
        <v>0</v>
      </c>
      <c r="BA46" s="9">
        <f>Raw!BA47/Raw!$C47</f>
        <v>0</v>
      </c>
      <c r="BB46" s="9">
        <f>Raw!BB47/Raw!$C47</f>
        <v>0</v>
      </c>
      <c r="BC46" s="9">
        <f>Raw!BC47/Raw!$C47</f>
        <v>0</v>
      </c>
      <c r="BD46" s="9">
        <f>Raw!BD47/Raw!$C47</f>
        <v>0</v>
      </c>
      <c r="BE46" s="9">
        <f>Raw!BE47/Raw!$C47</f>
        <v>0</v>
      </c>
      <c r="BF46" s="9">
        <f>Raw!BF47/Raw!$C47</f>
        <v>0</v>
      </c>
      <c r="BG46" s="9">
        <f>Raw!BG47/Raw!$C47</f>
        <v>0</v>
      </c>
      <c r="BH46" s="9">
        <f>Raw!BH47/Raw!$C47</f>
        <v>0</v>
      </c>
      <c r="BI46" s="9">
        <f>Raw!BI47/Raw!$C47</f>
        <v>0</v>
      </c>
      <c r="BJ46" s="9">
        <f>Raw!BJ47/Raw!$C47</f>
        <v>0</v>
      </c>
      <c r="BK46" s="9">
        <f>Raw!BK47/Raw!$C47</f>
        <v>0</v>
      </c>
      <c r="BL46" s="9">
        <f>Raw!BL47/Raw!$C47</f>
        <v>0</v>
      </c>
      <c r="BM46" s="9">
        <f>Raw!BM47/Raw!$C47</f>
        <v>0</v>
      </c>
      <c r="BN46" s="9">
        <f>Raw!BN47/Raw!$C47</f>
        <v>0</v>
      </c>
      <c r="BO46" s="9">
        <f>Raw!BO47/Raw!$C47</f>
        <v>0</v>
      </c>
      <c r="BP46" s="9">
        <f>Raw!BP47/Raw!$C47</f>
        <v>0</v>
      </c>
      <c r="BQ46" s="9">
        <f>Raw!BQ47/Raw!$C47</f>
        <v>0</v>
      </c>
      <c r="BR46" s="9">
        <f>Raw!BR47/Raw!$C47</f>
        <v>0</v>
      </c>
      <c r="BS46" s="9">
        <f>Raw!BS47/Raw!$C47</f>
        <v>0</v>
      </c>
      <c r="BT46" s="9">
        <f>Raw!BT47/Raw!$C47</f>
        <v>0</v>
      </c>
      <c r="BU46" s="9">
        <f>Raw!BU47/Raw!$C47</f>
        <v>0</v>
      </c>
      <c r="BV46" s="9">
        <f>Raw!BV47/Raw!$C47</f>
        <v>0</v>
      </c>
      <c r="BW46" s="9">
        <f>Raw!BW47/Raw!$C47</f>
        <v>0</v>
      </c>
      <c r="BX46" s="9">
        <f>Raw!BX47/Raw!$C47</f>
        <v>0</v>
      </c>
      <c r="BY46" s="9">
        <f>Raw!BY47/Raw!$C47</f>
        <v>0</v>
      </c>
      <c r="BZ46" s="9">
        <f>Raw!BZ47/Raw!$C47</f>
        <v>0</v>
      </c>
      <c r="CA46" s="9">
        <f>Raw!CA47/Raw!$C47</f>
        <v>0</v>
      </c>
      <c r="CB46" s="9">
        <f>Raw!CB47/Raw!$C47</f>
        <v>0</v>
      </c>
      <c r="CC46" s="9">
        <f>Raw!CC47/Raw!$C47</f>
        <v>0</v>
      </c>
      <c r="CD46" s="9">
        <f>Raw!CD47/Raw!$C47</f>
        <v>0</v>
      </c>
      <c r="CE46" s="9">
        <f>Raw!CE47/Raw!$C47</f>
        <v>0</v>
      </c>
      <c r="CF46" s="9">
        <f>Raw!CF47/Raw!$C47</f>
        <v>0</v>
      </c>
      <c r="CG46" s="9">
        <f>Raw!CG47/Raw!$C47</f>
        <v>0</v>
      </c>
      <c r="CH46" s="9">
        <f>Raw!CH47/Raw!$C47</f>
        <v>0</v>
      </c>
      <c r="CI46" s="9">
        <f>Raw!CI47/Raw!$C47</f>
        <v>0</v>
      </c>
      <c r="CJ46" s="9">
        <f>Raw!CJ47/Raw!$C47</f>
        <v>0</v>
      </c>
      <c r="CK46" s="9">
        <f>Raw!CK47/Raw!$C47</f>
        <v>0</v>
      </c>
      <c r="CL46" s="9">
        <f>Raw!CL47/Raw!$C47</f>
        <v>0</v>
      </c>
      <c r="CM46" s="9">
        <f>Raw!CM47/Raw!$C47</f>
        <v>0</v>
      </c>
      <c r="CN46" s="9">
        <f>Raw!CN47/Raw!$C47</f>
        <v>0</v>
      </c>
      <c r="CO46" s="9">
        <f>Raw!CO47/Raw!$C47</f>
        <v>0</v>
      </c>
      <c r="CP46" s="9">
        <f>Raw!CP47/Raw!$C47</f>
        <v>0</v>
      </c>
      <c r="CQ46" s="9">
        <f>Raw!CQ47/Raw!$C47</f>
        <v>0</v>
      </c>
      <c r="CR46" s="2">
        <f t="shared" si="8"/>
        <v>216</v>
      </c>
      <c r="CS46" s="2">
        <f t="shared" si="9"/>
        <v>877.95999999999992</v>
      </c>
      <c r="CT46" s="3">
        <f t="shared" si="10"/>
        <v>2.3344537511509307</v>
      </c>
      <c r="CU46" s="3">
        <f t="shared" si="11"/>
        <v>2.9434747298297919</v>
      </c>
      <c r="CV46" s="3">
        <f>Raw!CR47/Raw!$C47</f>
        <v>2316</v>
      </c>
      <c r="CW46" s="3">
        <f>Raw!CS47/Raw!$C47</f>
        <v>1446.4</v>
      </c>
      <c r="CX46" s="3">
        <f t="shared" si="12"/>
        <v>3.3647385550553985</v>
      </c>
      <c r="CY46" s="3">
        <f t="shared" si="13"/>
        <v>3.1602884131312883</v>
      </c>
      <c r="CZ46" s="3">
        <f t="shared" si="14"/>
        <v>3.4034637013453173</v>
      </c>
      <c r="DA46" s="3">
        <f t="shared" si="15"/>
        <v>3.3663033930407198</v>
      </c>
      <c r="DB46" s="6">
        <f t="shared" si="16"/>
        <v>0.68248670379975007</v>
      </c>
      <c r="DC46" s="3">
        <v>3</v>
      </c>
      <c r="DD46" s="3">
        <f>DC46/Raw!C47</f>
        <v>12</v>
      </c>
      <c r="DE46" s="5">
        <f t="shared" si="17"/>
        <v>1.3888888888888888E-2</v>
      </c>
      <c r="DF46">
        <f t="shared" si="18"/>
        <v>-1.8573324964312685</v>
      </c>
      <c r="DH46" s="4">
        <f>-SUM('Shannon-Weiner'!B45:Z45)</f>
        <v>0.50279227962007833</v>
      </c>
      <c r="DI46" s="4">
        <f>SUM('p^2'!B45:Z45)</f>
        <v>0.73936899862825789</v>
      </c>
      <c r="DJ46" s="4">
        <f t="shared" si="19"/>
        <v>0.26063100137174211</v>
      </c>
      <c r="DK46">
        <f t="shared" si="20"/>
        <v>1.3525046382189239</v>
      </c>
      <c r="DL46" s="4">
        <f>SUM('Shannon-Weiner_B'!B45:Z45)</f>
        <v>-0.5055229719972083</v>
      </c>
      <c r="DM46" s="4">
        <f>SUM('p_B^2'!B45:Z45)</f>
        <v>0.72302275927607151</v>
      </c>
      <c r="DN46" s="4">
        <f t="shared" si="21"/>
        <v>0.27697724072392849</v>
      </c>
      <c r="DO46">
        <f t="shared" si="22"/>
        <v>1.3830823264834051</v>
      </c>
    </row>
    <row r="47" spans="1:119" x14ac:dyDescent="0.25">
      <c r="A47" s="1"/>
      <c r="B47" t="s">
        <v>96</v>
      </c>
      <c r="C47">
        <v>1</v>
      </c>
      <c r="D47" s="9">
        <f>Raw!D48/Raw!$C48</f>
        <v>174.99999999999997</v>
      </c>
      <c r="E47" s="9">
        <f>Raw!E48/Raw!$C48</f>
        <v>149.6875</v>
      </c>
      <c r="F47" s="9">
        <f>Raw!F48/Raw!$C48</f>
        <v>0</v>
      </c>
      <c r="G47" s="9">
        <f>Raw!G48/Raw!$C48</f>
        <v>0</v>
      </c>
      <c r="H47" s="9">
        <f>Raw!H48/Raw!$C48</f>
        <v>0</v>
      </c>
      <c r="I47" s="9">
        <f>Raw!I48/Raw!$C48</f>
        <v>0</v>
      </c>
      <c r="J47" s="9">
        <f>Raw!J48/Raw!$C48</f>
        <v>0</v>
      </c>
      <c r="K47" s="9">
        <f>Raw!K48/Raw!$C48</f>
        <v>0</v>
      </c>
      <c r="L47" s="9">
        <f>Raw!L48/Raw!$C48</f>
        <v>0</v>
      </c>
      <c r="M47" s="9">
        <f>Raw!M48/Raw!$C48</f>
        <v>0</v>
      </c>
      <c r="N47" s="9">
        <f>Raw!N48/Raw!$C48</f>
        <v>0</v>
      </c>
      <c r="O47" s="9">
        <f>Raw!O48/Raw!$C48</f>
        <v>0</v>
      </c>
      <c r="P47" s="9">
        <f>Raw!P48/Raw!$C48</f>
        <v>0</v>
      </c>
      <c r="Q47" s="9">
        <f>Raw!Q48/Raw!$C48</f>
        <v>0</v>
      </c>
      <c r="R47" s="9">
        <f>Raw!R48/Raw!$C48</f>
        <v>0</v>
      </c>
      <c r="S47" s="9">
        <f>Raw!S48/Raw!$C48</f>
        <v>0</v>
      </c>
      <c r="T47" s="9">
        <f>Raw!T48/Raw!$C48</f>
        <v>0</v>
      </c>
      <c r="U47" s="9">
        <f>Raw!U48/Raw!$C48</f>
        <v>0</v>
      </c>
      <c r="V47" s="9">
        <f>Raw!V48/Raw!$C48</f>
        <v>0</v>
      </c>
      <c r="W47" s="9">
        <f>Raw!W48/Raw!$C48</f>
        <v>0</v>
      </c>
      <c r="X47" s="9">
        <f>Raw!X48/Raw!$C48</f>
        <v>0</v>
      </c>
      <c r="Y47" s="9">
        <f>Raw!Y48/Raw!$C48</f>
        <v>0</v>
      </c>
      <c r="Z47" s="9">
        <f>Raw!Z48/Raw!$C48</f>
        <v>0</v>
      </c>
      <c r="AA47" s="9">
        <f>Raw!AA48/Raw!$C48</f>
        <v>0</v>
      </c>
      <c r="AB47" s="9">
        <f>Raw!AB48/Raw!$C48</f>
        <v>0</v>
      </c>
      <c r="AC47" s="9">
        <f>Raw!AC48/Raw!$C48</f>
        <v>0</v>
      </c>
      <c r="AD47" s="9">
        <f>Raw!AD48/Raw!$C48</f>
        <v>0</v>
      </c>
      <c r="AE47" s="9">
        <f>Raw!AE48/Raw!$C48</f>
        <v>0</v>
      </c>
      <c r="AF47" s="9">
        <f>Raw!AF48/Raw!$C48</f>
        <v>0</v>
      </c>
      <c r="AG47" s="9">
        <f>Raw!AG48/Raw!$C48</f>
        <v>0</v>
      </c>
      <c r="AH47" s="9">
        <f>Raw!AH48/Raw!$C48</f>
        <v>0</v>
      </c>
      <c r="AI47" s="9">
        <f>Raw!AI48/Raw!$C48</f>
        <v>0</v>
      </c>
      <c r="AJ47" s="9">
        <f>Raw!AJ48/Raw!$C48</f>
        <v>0</v>
      </c>
      <c r="AK47" s="9">
        <f>Raw!AK48/Raw!$C48</f>
        <v>0</v>
      </c>
      <c r="AL47" s="9">
        <f>Raw!AL48/Raw!$C48</f>
        <v>0</v>
      </c>
      <c r="AM47" s="9">
        <f>Raw!AM48/Raw!$C48</f>
        <v>0</v>
      </c>
      <c r="AN47" s="9">
        <f>Raw!AN48/Raw!$C48</f>
        <v>0</v>
      </c>
      <c r="AO47" s="9">
        <f>Raw!AO48/Raw!$C48</f>
        <v>0</v>
      </c>
      <c r="AP47" s="9">
        <f>Raw!AP48/Raw!$C48</f>
        <v>0</v>
      </c>
      <c r="AQ47" s="9">
        <f>Raw!AQ48/Raw!$C48</f>
        <v>0</v>
      </c>
      <c r="AR47" s="9">
        <f>Raw!AR48/Raw!$C48</f>
        <v>0</v>
      </c>
      <c r="AS47" s="9">
        <f>Raw!AS48/Raw!$C48</f>
        <v>0</v>
      </c>
      <c r="AT47" s="9">
        <f>Raw!AT48/Raw!$C48</f>
        <v>0</v>
      </c>
      <c r="AU47" s="9">
        <f>Raw!AU48/Raw!$C48</f>
        <v>0</v>
      </c>
      <c r="AV47" s="9">
        <f>Raw!AV48/Raw!$C48</f>
        <v>0</v>
      </c>
      <c r="AW47" s="9">
        <f>Raw!AW48/Raw!$C48</f>
        <v>0</v>
      </c>
      <c r="AX47" s="9">
        <f>Raw!AX48/Raw!$C48</f>
        <v>0</v>
      </c>
      <c r="AY47" s="9">
        <f>Raw!AY48/Raw!$C48</f>
        <v>0</v>
      </c>
      <c r="AZ47" s="9">
        <f>Raw!AZ48/Raw!$C48</f>
        <v>0</v>
      </c>
      <c r="BA47" s="9">
        <f>Raw!BA48/Raw!$C48</f>
        <v>0</v>
      </c>
      <c r="BB47" s="9">
        <f>Raw!BB48/Raw!$C48</f>
        <v>0</v>
      </c>
      <c r="BC47" s="9">
        <f>Raw!BC48/Raw!$C48</f>
        <v>0</v>
      </c>
      <c r="BD47" s="9">
        <f>Raw!BD48/Raw!$C48</f>
        <v>0</v>
      </c>
      <c r="BE47" s="9">
        <f>Raw!BE48/Raw!$C48</f>
        <v>0</v>
      </c>
      <c r="BF47" s="9">
        <f>Raw!BF48/Raw!$C48</f>
        <v>0</v>
      </c>
      <c r="BG47" s="9">
        <f>Raw!BG48/Raw!$C48</f>
        <v>0</v>
      </c>
      <c r="BH47" s="9">
        <f>Raw!BH48/Raw!$C48</f>
        <v>0</v>
      </c>
      <c r="BI47" s="9">
        <f>Raw!BI48/Raw!$C48</f>
        <v>0</v>
      </c>
      <c r="BJ47" s="9">
        <f>Raw!BJ48/Raw!$C48</f>
        <v>0</v>
      </c>
      <c r="BK47" s="9">
        <f>Raw!BK48/Raw!$C48</f>
        <v>0</v>
      </c>
      <c r="BL47" s="9">
        <f>Raw!BL48/Raw!$C48</f>
        <v>0</v>
      </c>
      <c r="BM47" s="9">
        <f>Raw!BM48/Raw!$C48</f>
        <v>0</v>
      </c>
      <c r="BN47" s="9">
        <f>Raw!BN48/Raw!$C48</f>
        <v>0</v>
      </c>
      <c r="BO47" s="9">
        <f>Raw!BO48/Raw!$C48</f>
        <v>0</v>
      </c>
      <c r="BP47" s="9">
        <f>Raw!BP48/Raw!$C48</f>
        <v>0</v>
      </c>
      <c r="BQ47" s="9">
        <f>Raw!BQ48/Raw!$C48</f>
        <v>0</v>
      </c>
      <c r="BR47" s="9">
        <f>Raw!BR48/Raw!$C48</f>
        <v>0</v>
      </c>
      <c r="BS47" s="9">
        <f>Raw!BS48/Raw!$C48</f>
        <v>0</v>
      </c>
      <c r="BT47" s="9">
        <f>Raw!BT48/Raw!$C48</f>
        <v>0</v>
      </c>
      <c r="BU47" s="9">
        <f>Raw!BU48/Raw!$C48</f>
        <v>0</v>
      </c>
      <c r="BV47" s="9">
        <f>Raw!BV48/Raw!$C48</f>
        <v>0</v>
      </c>
      <c r="BW47" s="9">
        <f>Raw!BW48/Raw!$C48</f>
        <v>0</v>
      </c>
      <c r="BX47" s="9">
        <f>Raw!BX48/Raw!$C48</f>
        <v>0</v>
      </c>
      <c r="BY47" s="9">
        <f>Raw!BY48/Raw!$C48</f>
        <v>0</v>
      </c>
      <c r="BZ47" s="9">
        <f>Raw!BZ48/Raw!$C48</f>
        <v>0</v>
      </c>
      <c r="CA47" s="9">
        <f>Raw!CA48/Raw!$C48</f>
        <v>0</v>
      </c>
      <c r="CB47" s="9">
        <f>Raw!CB48/Raw!$C48</f>
        <v>0</v>
      </c>
      <c r="CC47" s="9">
        <f>Raw!CC48/Raw!$C48</f>
        <v>0</v>
      </c>
      <c r="CD47" s="9">
        <f>Raw!CD48/Raw!$C48</f>
        <v>0</v>
      </c>
      <c r="CE47" s="9">
        <f>Raw!CE48/Raw!$C48</f>
        <v>0</v>
      </c>
      <c r="CF47" s="9">
        <f>Raw!CF48/Raw!$C48</f>
        <v>0</v>
      </c>
      <c r="CG47" s="9">
        <f>Raw!CG48/Raw!$C48</f>
        <v>0</v>
      </c>
      <c r="CH47" s="9">
        <f>Raw!CH48/Raw!$C48</f>
        <v>0</v>
      </c>
      <c r="CI47" s="9">
        <f>Raw!CI48/Raw!$C48</f>
        <v>0</v>
      </c>
      <c r="CJ47" s="9">
        <f>Raw!CJ48/Raw!$C48</f>
        <v>0</v>
      </c>
      <c r="CK47" s="9">
        <f>Raw!CK48/Raw!$C48</f>
        <v>0</v>
      </c>
      <c r="CL47" s="9">
        <f>Raw!CL48/Raw!$C48</f>
        <v>0</v>
      </c>
      <c r="CM47" s="9">
        <f>Raw!CM48/Raw!$C48</f>
        <v>0</v>
      </c>
      <c r="CN47" s="9">
        <f>Raw!CN48/Raw!$C48</f>
        <v>0</v>
      </c>
      <c r="CO47" s="9">
        <f>Raw!CO48/Raw!$C48</f>
        <v>0</v>
      </c>
      <c r="CP47" s="9">
        <f>Raw!CP48/Raw!$C48</f>
        <v>0</v>
      </c>
      <c r="CQ47" s="9">
        <f>Raw!CQ48/Raw!$C48</f>
        <v>0</v>
      </c>
      <c r="CR47" s="2">
        <f t="shared" si="8"/>
        <v>174.99999999999997</v>
      </c>
      <c r="CS47" s="2">
        <f t="shared" si="9"/>
        <v>149.6875</v>
      </c>
      <c r="CT47" s="3">
        <f t="shared" si="10"/>
        <v>2.2430380486862944</v>
      </c>
      <c r="CU47" s="3">
        <f t="shared" si="11"/>
        <v>2.1751855350946574</v>
      </c>
      <c r="CV47" s="3">
        <f>Raw!CR48/Raw!$C48</f>
        <v>3618.7499999999991</v>
      </c>
      <c r="CW47" s="3">
        <f>Raw!CS48/Raw!$C48</f>
        <v>2259.9999999999995</v>
      </c>
      <c r="CX47" s="3">
        <f t="shared" si="12"/>
        <v>3.5585585810715115</v>
      </c>
      <c r="CY47" s="3">
        <f t="shared" si="13"/>
        <v>3.3541084391474008</v>
      </c>
      <c r="CZ47" s="3">
        <f t="shared" si="14"/>
        <v>3.5790687084193329</v>
      </c>
      <c r="DA47" s="3">
        <f t="shared" si="15"/>
        <v>3.3819607248049777</v>
      </c>
      <c r="DB47" s="6">
        <f t="shared" si="16"/>
        <v>1.1538210920709442</v>
      </c>
      <c r="DC47" s="3">
        <v>1</v>
      </c>
      <c r="DD47" s="3">
        <f>DC47/Raw!C48</f>
        <v>6.2499999999999991</v>
      </c>
      <c r="DE47" s="5">
        <f t="shared" si="17"/>
        <v>5.7142857142857151E-3</v>
      </c>
      <c r="DF47">
        <f t="shared" si="18"/>
        <v>-2.2430380486862944</v>
      </c>
      <c r="DH47" s="4">
        <f>-SUM('Shannon-Weiner'!B46:Z46)</f>
        <v>0</v>
      </c>
      <c r="DI47" s="4">
        <f>SUM('p^2'!B46:Z46)</f>
        <v>1</v>
      </c>
      <c r="DJ47" s="4">
        <f t="shared" si="19"/>
        <v>0</v>
      </c>
      <c r="DK47">
        <f t="shared" si="20"/>
        <v>1</v>
      </c>
      <c r="DL47" s="4">
        <f>SUM('Shannon-Weiner_B'!B46:Z46)</f>
        <v>0</v>
      </c>
      <c r="DM47" s="4">
        <f>SUM('p_B^2'!B46:Z46)</f>
        <v>1</v>
      </c>
      <c r="DN47" s="4">
        <f t="shared" si="21"/>
        <v>0</v>
      </c>
      <c r="DO47">
        <f t="shared" si="22"/>
        <v>1</v>
      </c>
    </row>
    <row r="48" spans="1:119" x14ac:dyDescent="0.25">
      <c r="A48" s="1"/>
      <c r="B48" t="s">
        <v>128</v>
      </c>
      <c r="C48">
        <v>1</v>
      </c>
      <c r="D48" s="9">
        <f>Raw!D49/Raw!$C49</f>
        <v>156.24999999999997</v>
      </c>
      <c r="E48" s="9">
        <f>Raw!E49/Raw!$C49</f>
        <v>29.499999999999993</v>
      </c>
      <c r="F48" s="9">
        <f>Raw!F49/Raw!$C49</f>
        <v>0</v>
      </c>
      <c r="G48" s="9">
        <f>Raw!G49/Raw!$C49</f>
        <v>0</v>
      </c>
      <c r="H48" s="9">
        <f>Raw!H49/Raw!$C49</f>
        <v>0</v>
      </c>
      <c r="I48" s="9">
        <f>Raw!I49/Raw!$C49</f>
        <v>0</v>
      </c>
      <c r="J48" s="9">
        <f>Raw!J49/Raw!$C49</f>
        <v>0</v>
      </c>
      <c r="K48" s="9">
        <f>Raw!K49/Raw!$C49</f>
        <v>0</v>
      </c>
      <c r="L48" s="9">
        <f>Raw!L49/Raw!$C49</f>
        <v>0</v>
      </c>
      <c r="M48" s="9">
        <f>Raw!M49/Raw!$C49</f>
        <v>0</v>
      </c>
      <c r="N48" s="9">
        <f>Raw!N49/Raw!$C49</f>
        <v>0</v>
      </c>
      <c r="O48" s="9">
        <f>Raw!O49/Raw!$C49</f>
        <v>0</v>
      </c>
      <c r="P48" s="9">
        <f>Raw!P49/Raw!$C49</f>
        <v>0</v>
      </c>
      <c r="Q48" s="9">
        <f>Raw!Q49/Raw!$C49</f>
        <v>0</v>
      </c>
      <c r="R48" s="9">
        <f>Raw!R49/Raw!$C49</f>
        <v>0</v>
      </c>
      <c r="S48" s="9">
        <f>Raw!S49/Raw!$C49</f>
        <v>0</v>
      </c>
      <c r="T48" s="9">
        <f>Raw!T49/Raw!$C49</f>
        <v>0</v>
      </c>
      <c r="U48" s="9">
        <f>Raw!U49/Raw!$C49</f>
        <v>0</v>
      </c>
      <c r="V48" s="9">
        <f>Raw!V49/Raw!$C49</f>
        <v>0</v>
      </c>
      <c r="W48" s="9">
        <f>Raw!W49/Raw!$C49</f>
        <v>0</v>
      </c>
      <c r="X48" s="9">
        <f>Raw!X49/Raw!$C49</f>
        <v>12.499999999999998</v>
      </c>
      <c r="Y48" s="9">
        <f>Raw!Y49/Raw!$C49</f>
        <v>0.562499999999999</v>
      </c>
      <c r="Z48" s="9">
        <f>Raw!Z49/Raw!$C49</f>
        <v>0</v>
      </c>
      <c r="AA48" s="9">
        <f>Raw!AA49/Raw!$C49</f>
        <v>0</v>
      </c>
      <c r="AB48" s="9">
        <f>Raw!AB49/Raw!$C49</f>
        <v>0</v>
      </c>
      <c r="AC48" s="9">
        <f>Raw!AC49/Raw!$C49</f>
        <v>0</v>
      </c>
      <c r="AD48" s="9">
        <f>Raw!AD49/Raw!$C49</f>
        <v>0</v>
      </c>
      <c r="AE48" s="9">
        <f>Raw!AE49/Raw!$C49</f>
        <v>0</v>
      </c>
      <c r="AF48" s="9">
        <f>Raw!AF49/Raw!$C49</f>
        <v>0</v>
      </c>
      <c r="AG48" s="9">
        <f>Raw!AG49/Raw!$C49</f>
        <v>0</v>
      </c>
      <c r="AH48" s="9">
        <f>Raw!AH49/Raw!$C49</f>
        <v>0</v>
      </c>
      <c r="AI48" s="9">
        <f>Raw!AI49/Raw!$C49</f>
        <v>0</v>
      </c>
      <c r="AJ48" s="9">
        <f>Raw!AJ49/Raw!$C49</f>
        <v>0</v>
      </c>
      <c r="AK48" s="9">
        <f>Raw!AK49/Raw!$C49</f>
        <v>0</v>
      </c>
      <c r="AL48" s="9">
        <f>Raw!AL49/Raw!$C49</f>
        <v>18.749999999999996</v>
      </c>
      <c r="AM48" s="9">
        <f>Raw!AM49/Raw!$C49</f>
        <v>1175.8749999999998</v>
      </c>
      <c r="AN48" s="9">
        <f>Raw!AN49/Raw!$C49</f>
        <v>0</v>
      </c>
      <c r="AO48" s="9">
        <f>Raw!AO49/Raw!$C49</f>
        <v>0</v>
      </c>
      <c r="AP48" s="9">
        <f>Raw!AP49/Raw!$C49</f>
        <v>0</v>
      </c>
      <c r="AQ48" s="9">
        <f>Raw!AQ49/Raw!$C49</f>
        <v>0</v>
      </c>
      <c r="AR48" s="9">
        <f>Raw!AR49/Raw!$C49</f>
        <v>0</v>
      </c>
      <c r="AS48" s="9">
        <f>Raw!AS49/Raw!$C49</f>
        <v>0</v>
      </c>
      <c r="AT48" s="9">
        <f>Raw!AT49/Raw!$C49</f>
        <v>0</v>
      </c>
      <c r="AU48" s="9">
        <f>Raw!AU49/Raw!$C49</f>
        <v>0</v>
      </c>
      <c r="AV48" s="9">
        <f>Raw!AV49/Raw!$C49</f>
        <v>0</v>
      </c>
      <c r="AW48" s="9">
        <f>Raw!AW49/Raw!$C49</f>
        <v>0</v>
      </c>
      <c r="AX48" s="9">
        <f>Raw!AX49/Raw!$C49</f>
        <v>0</v>
      </c>
      <c r="AY48" s="9">
        <f>Raw!AY49/Raw!$C49</f>
        <v>0</v>
      </c>
      <c r="AZ48" s="9">
        <f>Raw!AZ49/Raw!$C49</f>
        <v>0</v>
      </c>
      <c r="BA48" s="9">
        <f>Raw!BA49/Raw!$C49</f>
        <v>0</v>
      </c>
      <c r="BB48" s="9">
        <f>Raw!BB49/Raw!$C49</f>
        <v>0</v>
      </c>
      <c r="BC48" s="9">
        <f>Raw!BC49/Raw!$C49</f>
        <v>0</v>
      </c>
      <c r="BD48" s="9">
        <f>Raw!BD49/Raw!$C49</f>
        <v>0</v>
      </c>
      <c r="BE48" s="9">
        <f>Raw!BE49/Raw!$C49</f>
        <v>0</v>
      </c>
      <c r="BF48" s="9">
        <f>Raw!BF49/Raw!$C49</f>
        <v>24.999999999999996</v>
      </c>
      <c r="BG48" s="9">
        <f>Raw!BG49/Raw!$C49</f>
        <v>2.6249999999999991</v>
      </c>
      <c r="BH48" s="9">
        <f>Raw!BH49/Raw!$C49</f>
        <v>0</v>
      </c>
      <c r="BI48" s="9">
        <f>Raw!BI49/Raw!$C49</f>
        <v>0</v>
      </c>
      <c r="BJ48" s="9">
        <f>Raw!BJ49/Raw!$C49</f>
        <v>0</v>
      </c>
      <c r="BK48" s="9">
        <f>Raw!BK49/Raw!$C49</f>
        <v>0</v>
      </c>
      <c r="BL48" s="9">
        <f>Raw!BL49/Raw!$C49</f>
        <v>0</v>
      </c>
      <c r="BM48" s="9">
        <f>Raw!BM49/Raw!$C49</f>
        <v>0</v>
      </c>
      <c r="BN48" s="9">
        <f>Raw!BN49/Raw!$C49</f>
        <v>0</v>
      </c>
      <c r="BO48" s="9">
        <f>Raw!BO49/Raw!$C49</f>
        <v>0</v>
      </c>
      <c r="BP48" s="9">
        <f>Raw!BP49/Raw!$C49</f>
        <v>0</v>
      </c>
      <c r="BQ48" s="9">
        <f>Raw!BQ49/Raw!$C49</f>
        <v>0</v>
      </c>
      <c r="BR48" s="9">
        <f>Raw!BR49/Raw!$C49</f>
        <v>0</v>
      </c>
      <c r="BS48" s="9">
        <f>Raw!BS49/Raw!$C49</f>
        <v>0</v>
      </c>
      <c r="BT48" s="9">
        <f>Raw!BT49/Raw!$C49</f>
        <v>0</v>
      </c>
      <c r="BU48" s="9">
        <f>Raw!BU49/Raw!$C49</f>
        <v>0</v>
      </c>
      <c r="BV48" s="9">
        <f>Raw!BV49/Raw!$C49</f>
        <v>0</v>
      </c>
      <c r="BW48" s="9">
        <f>Raw!BW49/Raw!$C49</f>
        <v>0</v>
      </c>
      <c r="BX48" s="9">
        <f>Raw!BX49/Raw!$C49</f>
        <v>0</v>
      </c>
      <c r="BY48" s="9">
        <f>Raw!BY49/Raw!$C49</f>
        <v>0</v>
      </c>
      <c r="BZ48" s="9">
        <f>Raw!BZ49/Raw!$C49</f>
        <v>0</v>
      </c>
      <c r="CA48" s="9">
        <f>Raw!CA49/Raw!$C49</f>
        <v>0</v>
      </c>
      <c r="CB48" s="9">
        <f>Raw!CB49/Raw!$C49</f>
        <v>0</v>
      </c>
      <c r="CC48" s="9">
        <f>Raw!CC49/Raw!$C49</f>
        <v>0</v>
      </c>
      <c r="CD48" s="9">
        <f>Raw!CD49/Raw!$C49</f>
        <v>0</v>
      </c>
      <c r="CE48" s="9">
        <f>Raw!CE49/Raw!$C49</f>
        <v>0</v>
      </c>
      <c r="CF48" s="9">
        <f>Raw!CF49/Raw!$C49</f>
        <v>0</v>
      </c>
      <c r="CG48" s="9">
        <f>Raw!CG49/Raw!$C49</f>
        <v>0</v>
      </c>
      <c r="CH48" s="9">
        <f>Raw!CH49/Raw!$C49</f>
        <v>0</v>
      </c>
      <c r="CI48" s="9">
        <f>Raw!CI49/Raw!$C49</f>
        <v>0</v>
      </c>
      <c r="CJ48" s="9">
        <f>Raw!CJ49/Raw!$C49</f>
        <v>0</v>
      </c>
      <c r="CK48" s="9">
        <f>Raw!CK49/Raw!$C49</f>
        <v>0</v>
      </c>
      <c r="CL48" s="9">
        <f>Raw!CL49/Raw!$C49</f>
        <v>0</v>
      </c>
      <c r="CM48" s="9">
        <f>Raw!CM49/Raw!$C49</f>
        <v>0</v>
      </c>
      <c r="CN48" s="9">
        <f>Raw!CN49/Raw!$C49</f>
        <v>0</v>
      </c>
      <c r="CO48" s="9">
        <f>Raw!CO49/Raw!$C49</f>
        <v>0</v>
      </c>
      <c r="CP48" s="9">
        <f>Raw!CP49/Raw!$C49</f>
        <v>0</v>
      </c>
      <c r="CQ48" s="9">
        <f>Raw!CQ49/Raw!$C49</f>
        <v>0</v>
      </c>
      <c r="CR48" s="2">
        <f t="shared" si="8"/>
        <v>212.49999999999997</v>
      </c>
      <c r="CS48" s="2">
        <f t="shared" si="9"/>
        <v>1208.5624999999998</v>
      </c>
      <c r="CT48" s="3">
        <f t="shared" si="10"/>
        <v>2.3273589343863303</v>
      </c>
      <c r="CU48" s="3">
        <f t="shared" si="11"/>
        <v>3.0822691145725938</v>
      </c>
      <c r="CV48" s="3">
        <f>Raw!CR49/Raw!$C49</f>
        <v>3618.7499999999991</v>
      </c>
      <c r="CW48" s="3">
        <f>Raw!CS49/Raw!$C49</f>
        <v>2259.9999999999995</v>
      </c>
      <c r="CX48" s="3">
        <f t="shared" si="12"/>
        <v>3.5585585810715115</v>
      </c>
      <c r="CY48" s="3">
        <f t="shared" si="13"/>
        <v>3.3541084391474008</v>
      </c>
      <c r="CZ48" s="3">
        <f t="shared" si="14"/>
        <v>3.58334049186249</v>
      </c>
      <c r="DA48" s="3">
        <f t="shared" si="15"/>
        <v>3.5401495244548586</v>
      </c>
      <c r="DB48" s="6">
        <f t="shared" si="16"/>
        <v>0.60193748652533474</v>
      </c>
      <c r="DC48" s="3">
        <v>4</v>
      </c>
      <c r="DD48" s="3">
        <f>DC48/Raw!C49</f>
        <v>24.999999999999996</v>
      </c>
      <c r="DE48" s="5">
        <f t="shared" si="17"/>
        <v>1.8823529411764708E-2</v>
      </c>
      <c r="DF48">
        <f t="shared" si="18"/>
        <v>-1.7252989430583678</v>
      </c>
      <c r="DH48" s="4">
        <f>-SUM('Shannon-Weiner'!B47:Z47)</f>
        <v>0.60696437910751777</v>
      </c>
      <c r="DI48" s="4">
        <f>SUM('p^2'!B47:Z47)</f>
        <v>0.55190311418685112</v>
      </c>
      <c r="DJ48" s="4">
        <f t="shared" si="19"/>
        <v>0.44809688581314888</v>
      </c>
      <c r="DK48">
        <f t="shared" si="20"/>
        <v>1.8119122257053295</v>
      </c>
      <c r="DL48" s="4">
        <f>SUM('Shannon-Weiner_B'!B47:Z47)</f>
        <v>-0.12087478173753204</v>
      </c>
      <c r="DM48" s="4">
        <f>SUM('p_B^2'!B47:Z47)</f>
        <v>0.94723435295786829</v>
      </c>
      <c r="DN48" s="4">
        <f t="shared" si="21"/>
        <v>5.2765647042131714E-2</v>
      </c>
      <c r="DO48">
        <f t="shared" si="22"/>
        <v>1.0557049550381739</v>
      </c>
    </row>
    <row r="49" spans="1:119" x14ac:dyDescent="0.25">
      <c r="A49" s="1"/>
      <c r="B49" t="s">
        <v>129</v>
      </c>
      <c r="C49">
        <v>1</v>
      </c>
      <c r="D49" s="9">
        <f>Raw!D50/Raw!$C50</f>
        <v>13.445378151260504</v>
      </c>
      <c r="E49" s="9">
        <f>Raw!E50/Raw!$C50</f>
        <v>3.8655462184873954</v>
      </c>
      <c r="F49" s="9">
        <f>Raw!F50/Raw!$C50</f>
        <v>0</v>
      </c>
      <c r="G49" s="9">
        <f>Raw!G50/Raw!$C50</f>
        <v>0</v>
      </c>
      <c r="H49" s="9">
        <f>Raw!H50/Raw!$C50</f>
        <v>0</v>
      </c>
      <c r="I49" s="9">
        <f>Raw!I50/Raw!$C50</f>
        <v>0</v>
      </c>
      <c r="J49" s="9">
        <f>Raw!J50/Raw!$C50</f>
        <v>0</v>
      </c>
      <c r="K49" s="9">
        <f>Raw!K50/Raw!$C50</f>
        <v>0</v>
      </c>
      <c r="L49" s="9">
        <f>Raw!L50/Raw!$C50</f>
        <v>0</v>
      </c>
      <c r="M49" s="9">
        <f>Raw!M50/Raw!$C50</f>
        <v>0</v>
      </c>
      <c r="N49" s="9">
        <f>Raw!N50/Raw!$C50</f>
        <v>0</v>
      </c>
      <c r="O49" s="9">
        <f>Raw!O50/Raw!$C50</f>
        <v>0</v>
      </c>
      <c r="P49" s="9">
        <f>Raw!P50/Raw!$C50</f>
        <v>0</v>
      </c>
      <c r="Q49" s="9">
        <f>Raw!Q50/Raw!$C50</f>
        <v>0</v>
      </c>
      <c r="R49" s="9">
        <f>Raw!R50/Raw!$C50</f>
        <v>0</v>
      </c>
      <c r="S49" s="9">
        <f>Raw!S50/Raw!$C50</f>
        <v>0</v>
      </c>
      <c r="T49" s="9">
        <f>Raw!T50/Raw!$C50</f>
        <v>0</v>
      </c>
      <c r="U49" s="9">
        <f>Raw!U50/Raw!$C50</f>
        <v>0</v>
      </c>
      <c r="V49" s="9">
        <f>Raw!V50/Raw!$C50</f>
        <v>0</v>
      </c>
      <c r="W49" s="9">
        <f>Raw!W50/Raw!$C50</f>
        <v>0</v>
      </c>
      <c r="X49" s="9">
        <f>Raw!X50/Raw!$C50</f>
        <v>1.680672268907563</v>
      </c>
      <c r="Y49" s="9">
        <f>Raw!Y50/Raw!$C50</f>
        <v>0.20168067226890776</v>
      </c>
      <c r="Z49" s="9">
        <f>Raw!Z50/Raw!$C50</f>
        <v>0</v>
      </c>
      <c r="AA49" s="9">
        <f>Raw!AA50/Raw!$C50</f>
        <v>0</v>
      </c>
      <c r="AB49" s="9">
        <f>Raw!AB50/Raw!$C50</f>
        <v>0</v>
      </c>
      <c r="AC49" s="9">
        <f>Raw!AC50/Raw!$C50</f>
        <v>0</v>
      </c>
      <c r="AD49" s="9">
        <f>Raw!AD50/Raw!$C50</f>
        <v>0</v>
      </c>
      <c r="AE49" s="9">
        <f>Raw!AE50/Raw!$C50</f>
        <v>0</v>
      </c>
      <c r="AF49" s="9">
        <f>Raw!AF50/Raw!$C50</f>
        <v>0</v>
      </c>
      <c r="AG49" s="9">
        <f>Raw!AG50/Raw!$C50</f>
        <v>0</v>
      </c>
      <c r="AH49" s="9">
        <f>Raw!AH50/Raw!$C50</f>
        <v>0</v>
      </c>
      <c r="AI49" s="9">
        <f>Raw!AI50/Raw!$C50</f>
        <v>0</v>
      </c>
      <c r="AJ49" s="9">
        <f>Raw!AJ50/Raw!$C50</f>
        <v>0</v>
      </c>
      <c r="AK49" s="9">
        <f>Raw!AK50/Raw!$C50</f>
        <v>0</v>
      </c>
      <c r="AL49" s="9">
        <f>Raw!AL50/Raw!$C50</f>
        <v>1.680672268907563</v>
      </c>
      <c r="AM49" s="9">
        <f>Raw!AM50/Raw!$C50</f>
        <v>1953.8151260504203</v>
      </c>
      <c r="AN49" s="9">
        <f>Raw!AN50/Raw!$C50</f>
        <v>0</v>
      </c>
      <c r="AO49" s="9">
        <f>Raw!AO50/Raw!$C50</f>
        <v>0</v>
      </c>
      <c r="AP49" s="9">
        <f>Raw!AP50/Raw!$C50</f>
        <v>0</v>
      </c>
      <c r="AQ49" s="9">
        <f>Raw!AQ50/Raw!$C50</f>
        <v>0</v>
      </c>
      <c r="AR49" s="9">
        <f>Raw!AR50/Raw!$C50</f>
        <v>0</v>
      </c>
      <c r="AS49" s="9">
        <f>Raw!AS50/Raw!$C50</f>
        <v>0</v>
      </c>
      <c r="AT49" s="9">
        <f>Raw!AT50/Raw!$C50</f>
        <v>0</v>
      </c>
      <c r="AU49" s="9">
        <f>Raw!AU50/Raw!$C50</f>
        <v>0</v>
      </c>
      <c r="AV49" s="9">
        <f>Raw!AV50/Raw!$C50</f>
        <v>0</v>
      </c>
      <c r="AW49" s="9">
        <f>Raw!AW50/Raw!$C50</f>
        <v>0</v>
      </c>
      <c r="AX49" s="9">
        <f>Raw!AX50/Raw!$C50</f>
        <v>0</v>
      </c>
      <c r="AY49" s="9">
        <f>Raw!AY50/Raw!$C50</f>
        <v>0</v>
      </c>
      <c r="AZ49" s="9">
        <f>Raw!AZ50/Raw!$C50</f>
        <v>0</v>
      </c>
      <c r="BA49" s="9">
        <f>Raw!BA50/Raw!$C50</f>
        <v>0</v>
      </c>
      <c r="BB49" s="9">
        <f>Raw!BB50/Raw!$C50</f>
        <v>0</v>
      </c>
      <c r="BC49" s="9">
        <f>Raw!BC50/Raw!$C50</f>
        <v>0</v>
      </c>
      <c r="BD49" s="9">
        <f>Raw!BD50/Raw!$C50</f>
        <v>0</v>
      </c>
      <c r="BE49" s="9">
        <f>Raw!BE50/Raw!$C50</f>
        <v>0</v>
      </c>
      <c r="BF49" s="9">
        <f>Raw!BF50/Raw!$C50</f>
        <v>6.7226890756302522</v>
      </c>
      <c r="BG49" s="9">
        <f>Raw!BG50/Raw!$C50</f>
        <v>1.2268907563025211</v>
      </c>
      <c r="BH49" s="9">
        <f>Raw!BH50/Raw!$C50</f>
        <v>0</v>
      </c>
      <c r="BI49" s="9">
        <f>Raw!BI50/Raw!$C50</f>
        <v>0</v>
      </c>
      <c r="BJ49" s="9">
        <f>Raw!BJ50/Raw!$C50</f>
        <v>0</v>
      </c>
      <c r="BK49" s="9">
        <f>Raw!BK50/Raw!$C50</f>
        <v>0</v>
      </c>
      <c r="BL49" s="9">
        <f>Raw!BL50/Raw!$C50</f>
        <v>0</v>
      </c>
      <c r="BM49" s="9">
        <f>Raw!BM50/Raw!$C50</f>
        <v>0</v>
      </c>
      <c r="BN49" s="9">
        <f>Raw!BN50/Raw!$C50</f>
        <v>0</v>
      </c>
      <c r="BO49" s="9">
        <f>Raw!BO50/Raw!$C50</f>
        <v>0</v>
      </c>
      <c r="BP49" s="9">
        <f>Raw!BP50/Raw!$C50</f>
        <v>0</v>
      </c>
      <c r="BQ49" s="9">
        <f>Raw!BQ50/Raw!$C50</f>
        <v>0</v>
      </c>
      <c r="BR49" s="9">
        <f>Raw!BR50/Raw!$C50</f>
        <v>0</v>
      </c>
      <c r="BS49" s="9">
        <f>Raw!BS50/Raw!$C50</f>
        <v>0</v>
      </c>
      <c r="BT49" s="9">
        <f>Raw!BT50/Raw!$C50</f>
        <v>0</v>
      </c>
      <c r="BU49" s="9">
        <f>Raw!BU50/Raw!$C50</f>
        <v>0</v>
      </c>
      <c r="BV49" s="9">
        <f>Raw!BV50/Raw!$C50</f>
        <v>0</v>
      </c>
      <c r="BW49" s="9">
        <f>Raw!BW50/Raw!$C50</f>
        <v>0</v>
      </c>
      <c r="BX49" s="9">
        <f>Raw!BX50/Raw!$C50</f>
        <v>0</v>
      </c>
      <c r="BY49" s="9">
        <f>Raw!BY50/Raw!$C50</f>
        <v>0</v>
      </c>
      <c r="BZ49" s="9">
        <f>Raw!BZ50/Raw!$C50</f>
        <v>0</v>
      </c>
      <c r="CA49" s="9">
        <f>Raw!CA50/Raw!$C50</f>
        <v>0</v>
      </c>
      <c r="CB49" s="9">
        <f>Raw!CB50/Raw!$C50</f>
        <v>0</v>
      </c>
      <c r="CC49" s="9">
        <f>Raw!CC50/Raw!$C50</f>
        <v>0</v>
      </c>
      <c r="CD49" s="9">
        <f>Raw!CD50/Raw!$C50</f>
        <v>0</v>
      </c>
      <c r="CE49" s="9">
        <f>Raw!CE50/Raw!$C50</f>
        <v>0</v>
      </c>
      <c r="CF49" s="9">
        <f>Raw!CF50/Raw!$C50</f>
        <v>0</v>
      </c>
      <c r="CG49" s="9">
        <f>Raw!CG50/Raw!$C50</f>
        <v>0</v>
      </c>
      <c r="CH49" s="9">
        <f>Raw!CH50/Raw!$C50</f>
        <v>0</v>
      </c>
      <c r="CI49" s="9">
        <f>Raw!CI50/Raw!$C50</f>
        <v>0</v>
      </c>
      <c r="CJ49" s="9">
        <f>Raw!CJ50/Raw!$C50</f>
        <v>0</v>
      </c>
      <c r="CK49" s="9">
        <f>Raw!CK50/Raw!$C50</f>
        <v>0</v>
      </c>
      <c r="CL49" s="9">
        <f>Raw!CL50/Raw!$C50</f>
        <v>0</v>
      </c>
      <c r="CM49" s="9">
        <f>Raw!CM50/Raw!$C50</f>
        <v>0</v>
      </c>
      <c r="CN49" s="9">
        <f>Raw!CN50/Raw!$C50</f>
        <v>0</v>
      </c>
      <c r="CO49" s="9">
        <f>Raw!CO50/Raw!$C50</f>
        <v>0</v>
      </c>
      <c r="CP49" s="9">
        <f>Raw!CP50/Raw!$C50</f>
        <v>0</v>
      </c>
      <c r="CQ49" s="9">
        <f>Raw!CQ50/Raw!$C50</f>
        <v>0</v>
      </c>
      <c r="CR49" s="2">
        <f t="shared" si="8"/>
        <v>23.529411764705884</v>
      </c>
      <c r="CS49" s="2">
        <f t="shared" si="9"/>
        <v>1959.1092436974791</v>
      </c>
      <c r="CT49" s="3">
        <f t="shared" si="10"/>
        <v>1.3716110699496884</v>
      </c>
      <c r="CU49" s="3">
        <f t="shared" si="11"/>
        <v>3.2920586537651246</v>
      </c>
      <c r="CV49" s="3">
        <f>Raw!CR50/Raw!$C50</f>
        <v>973.10924369747909</v>
      </c>
      <c r="CW49" s="3">
        <f>Raw!CS50/Raw!$C50</f>
        <v>607.7310924369749</v>
      </c>
      <c r="CX49" s="3">
        <f t="shared" si="12"/>
        <v>2.9881615979988867</v>
      </c>
      <c r="CY49" s="3">
        <f t="shared" si="13"/>
        <v>2.7837114560747764</v>
      </c>
      <c r="CZ49" s="3">
        <f t="shared" si="14"/>
        <v>2.9985377276357132</v>
      </c>
      <c r="DA49" s="3">
        <f t="shared" si="15"/>
        <v>3.4093988553125354</v>
      </c>
      <c r="DB49" s="6">
        <f t="shared" si="16"/>
        <v>0.66427818903516966</v>
      </c>
      <c r="DC49" s="3">
        <v>4</v>
      </c>
      <c r="DD49" s="3">
        <f>DC49/Raw!C50</f>
        <v>6.7226890756302522</v>
      </c>
      <c r="DE49" s="5">
        <f t="shared" si="17"/>
        <v>0.16999999999999998</v>
      </c>
      <c r="DF49">
        <f t="shared" si="18"/>
        <v>-0.76955107862172611</v>
      </c>
      <c r="DH49" s="4">
        <f>-SUM('Shannon-Weiner'!B48:Z48)</f>
        <v>0.6967886401938499</v>
      </c>
      <c r="DI49" s="4">
        <f>SUM('p^2'!B48:Z48)</f>
        <v>0.33673469387755101</v>
      </c>
      <c r="DJ49" s="4">
        <f t="shared" si="19"/>
        <v>0.66326530612244894</v>
      </c>
      <c r="DK49">
        <f t="shared" si="20"/>
        <v>2.9696969696969697</v>
      </c>
      <c r="DL49" s="4">
        <f>SUM('Shannon-Weiner_B'!B48:Z48)</f>
        <v>-1.5932660900576552E-2</v>
      </c>
      <c r="DM49" s="4">
        <f>SUM('p_B^2'!B48:Z48)</f>
        <v>0.99460658916153344</v>
      </c>
      <c r="DN49" s="4">
        <f t="shared" si="21"/>
        <v>5.3934108384665613E-3</v>
      </c>
      <c r="DO49">
        <f t="shared" si="22"/>
        <v>1.0054226574579737</v>
      </c>
    </row>
    <row r="50" spans="1:119" x14ac:dyDescent="0.25">
      <c r="A50" s="1"/>
      <c r="B50" t="s">
        <v>130</v>
      </c>
      <c r="C50">
        <v>1</v>
      </c>
      <c r="D50" s="9">
        <f>Raw!D51/Raw!$C51</f>
        <v>24</v>
      </c>
      <c r="E50" s="9">
        <f>Raw!E51/Raw!$C51</f>
        <v>0.64000000000000057</v>
      </c>
      <c r="F50" s="9">
        <f>Raw!F51/Raw!$C51</f>
        <v>456</v>
      </c>
      <c r="G50" s="9">
        <f>Raw!G51/Raw!$C51</f>
        <v>140.44</v>
      </c>
      <c r="H50" s="9">
        <f>Raw!H51/Raw!$C51</f>
        <v>0</v>
      </c>
      <c r="I50" s="9">
        <f>Raw!I51/Raw!$C51</f>
        <v>0</v>
      </c>
      <c r="J50" s="9">
        <f>Raw!J51/Raw!$C51</f>
        <v>0</v>
      </c>
      <c r="K50" s="9">
        <f>Raw!K51/Raw!$C51</f>
        <v>0</v>
      </c>
      <c r="L50" s="9">
        <f>Raw!L51/Raw!$C51</f>
        <v>0</v>
      </c>
      <c r="M50" s="9">
        <f>Raw!M51/Raw!$C51</f>
        <v>0</v>
      </c>
      <c r="N50" s="9">
        <f>Raw!N51/Raw!$C51</f>
        <v>0</v>
      </c>
      <c r="O50" s="9">
        <f>Raw!O51/Raw!$C51</f>
        <v>0</v>
      </c>
      <c r="P50" s="9">
        <f>Raw!P51/Raw!$C51</f>
        <v>0</v>
      </c>
      <c r="Q50" s="9">
        <f>Raw!Q51/Raw!$C51</f>
        <v>0</v>
      </c>
      <c r="R50" s="9">
        <f>Raw!R51/Raw!$C51</f>
        <v>0</v>
      </c>
      <c r="S50" s="9">
        <f>Raw!S51/Raw!$C51</f>
        <v>0</v>
      </c>
      <c r="T50" s="9">
        <f>Raw!T51/Raw!$C51</f>
        <v>0</v>
      </c>
      <c r="U50" s="9">
        <f>Raw!U51/Raw!$C51</f>
        <v>0</v>
      </c>
      <c r="V50" s="9">
        <f>Raw!V51/Raw!$C51</f>
        <v>0</v>
      </c>
      <c r="W50" s="9">
        <f>Raw!W51/Raw!$C51</f>
        <v>0</v>
      </c>
      <c r="X50" s="9">
        <f>Raw!X51/Raw!$C51</f>
        <v>52</v>
      </c>
      <c r="Y50" s="9">
        <f>Raw!Y51/Raw!$C51</f>
        <v>14.959999999999997</v>
      </c>
      <c r="Z50" s="9">
        <f>Raw!Z51/Raw!$C51</f>
        <v>0</v>
      </c>
      <c r="AA50" s="9">
        <f>Raw!AA51/Raw!$C51</f>
        <v>0</v>
      </c>
      <c r="AB50" s="9">
        <f>Raw!AB51/Raw!$C51</f>
        <v>0</v>
      </c>
      <c r="AC50" s="9">
        <f>Raw!AC51/Raw!$C51</f>
        <v>0</v>
      </c>
      <c r="AD50" s="9">
        <f>Raw!AD51/Raw!$C51</f>
        <v>0</v>
      </c>
      <c r="AE50" s="9">
        <f>Raw!AE51/Raw!$C51</f>
        <v>0</v>
      </c>
      <c r="AF50" s="9">
        <f>Raw!AF51/Raw!$C51</f>
        <v>0</v>
      </c>
      <c r="AG50" s="9">
        <f>Raw!AG51/Raw!$C51</f>
        <v>0</v>
      </c>
      <c r="AH50" s="9">
        <f>Raw!AH51/Raw!$C51</f>
        <v>28</v>
      </c>
      <c r="AI50" s="9">
        <f>Raw!AI51/Raw!$C51</f>
        <v>0.32000000000000028</v>
      </c>
      <c r="AJ50" s="9">
        <f>Raw!AJ51/Raw!$C51</f>
        <v>0</v>
      </c>
      <c r="AK50" s="9">
        <f>Raw!AK51/Raw!$C51</f>
        <v>0</v>
      </c>
      <c r="AL50" s="9">
        <f>Raw!AL51/Raw!$C51</f>
        <v>8</v>
      </c>
      <c r="AM50" s="9">
        <f>Raw!AM51/Raw!$C51</f>
        <v>107.88</v>
      </c>
      <c r="AN50" s="9">
        <f>Raw!AN51/Raw!$C51</f>
        <v>0</v>
      </c>
      <c r="AO50" s="9">
        <f>Raw!AO51/Raw!$C51</f>
        <v>0</v>
      </c>
      <c r="AP50" s="9">
        <f>Raw!AP51/Raw!$C51</f>
        <v>0</v>
      </c>
      <c r="AQ50" s="9">
        <f>Raw!AQ51/Raw!$C51</f>
        <v>0</v>
      </c>
      <c r="AR50" s="9">
        <f>Raw!AR51/Raw!$C51</f>
        <v>0</v>
      </c>
      <c r="AS50" s="9">
        <f>Raw!AS51/Raw!$C51</f>
        <v>0</v>
      </c>
      <c r="AT50" s="9">
        <f>Raw!AT51/Raw!$C51</f>
        <v>0</v>
      </c>
      <c r="AU50" s="9">
        <f>Raw!AU51/Raw!$C51</f>
        <v>0</v>
      </c>
      <c r="AV50" s="9">
        <f>Raw!AV51/Raw!$C51</f>
        <v>0</v>
      </c>
      <c r="AW50" s="9">
        <f>Raw!AW51/Raw!$C51</f>
        <v>0</v>
      </c>
      <c r="AX50" s="9">
        <f>Raw!AX51/Raw!$C51</f>
        <v>0</v>
      </c>
      <c r="AY50" s="9">
        <f>Raw!AY51/Raw!$C51</f>
        <v>0</v>
      </c>
      <c r="AZ50" s="9">
        <f>Raw!AZ51/Raw!$C51</f>
        <v>0</v>
      </c>
      <c r="BA50" s="9">
        <f>Raw!BA51/Raw!$C51</f>
        <v>0</v>
      </c>
      <c r="BB50" s="9">
        <f>Raw!BB51/Raw!$C51</f>
        <v>0</v>
      </c>
      <c r="BC50" s="9">
        <f>Raw!BC51/Raw!$C51</f>
        <v>0</v>
      </c>
      <c r="BD50" s="9">
        <f>Raw!BD51/Raw!$C51</f>
        <v>0</v>
      </c>
      <c r="BE50" s="9">
        <f>Raw!BE51/Raw!$C51</f>
        <v>0</v>
      </c>
      <c r="BF50" s="9">
        <f>Raw!BF51/Raw!$C51</f>
        <v>0</v>
      </c>
      <c r="BG50" s="9">
        <f>Raw!BG51/Raw!$C51</f>
        <v>0</v>
      </c>
      <c r="BH50" s="9">
        <f>Raw!BH51/Raw!$C51</f>
        <v>0</v>
      </c>
      <c r="BI50" s="9">
        <f>Raw!BI51/Raw!$C51</f>
        <v>0</v>
      </c>
      <c r="BJ50" s="9">
        <f>Raw!BJ51/Raw!$C51</f>
        <v>0</v>
      </c>
      <c r="BK50" s="9">
        <f>Raw!BK51/Raw!$C51</f>
        <v>0</v>
      </c>
      <c r="BL50" s="9">
        <f>Raw!BL51/Raw!$C51</f>
        <v>0</v>
      </c>
      <c r="BM50" s="9">
        <f>Raw!BM51/Raw!$C51</f>
        <v>0</v>
      </c>
      <c r="BN50" s="9">
        <f>Raw!BN51/Raw!$C51</f>
        <v>0</v>
      </c>
      <c r="BO50" s="9">
        <f>Raw!BO51/Raw!$C51</f>
        <v>0</v>
      </c>
      <c r="BP50" s="9">
        <f>Raw!BP51/Raw!$C51</f>
        <v>0</v>
      </c>
      <c r="BQ50" s="9">
        <f>Raw!BQ51/Raw!$C51</f>
        <v>0</v>
      </c>
      <c r="BR50" s="9">
        <f>Raw!BR51/Raw!$C51</f>
        <v>0</v>
      </c>
      <c r="BS50" s="9">
        <f>Raw!BS51/Raw!$C51</f>
        <v>0</v>
      </c>
      <c r="BT50" s="9">
        <f>Raw!BT51/Raw!$C51</f>
        <v>0</v>
      </c>
      <c r="BU50" s="9">
        <f>Raw!BU51/Raw!$C51</f>
        <v>0</v>
      </c>
      <c r="BV50" s="9">
        <f>Raw!BV51/Raw!$C51</f>
        <v>0</v>
      </c>
      <c r="BW50" s="9">
        <f>Raw!BW51/Raw!$C51</f>
        <v>0</v>
      </c>
      <c r="BX50" s="9">
        <f>Raw!BX51/Raw!$C51</f>
        <v>0</v>
      </c>
      <c r="BY50" s="9">
        <f>Raw!BY51/Raw!$C51</f>
        <v>0</v>
      </c>
      <c r="BZ50" s="9">
        <f>Raw!BZ51/Raw!$C51</f>
        <v>0</v>
      </c>
      <c r="CA50" s="9">
        <f>Raw!CA51/Raw!$C51</f>
        <v>0</v>
      </c>
      <c r="CB50" s="9">
        <f>Raw!CB51/Raw!$C51</f>
        <v>0</v>
      </c>
      <c r="CC50" s="9">
        <f>Raw!CC51/Raw!$C51</f>
        <v>0</v>
      </c>
      <c r="CD50" s="9">
        <f>Raw!CD51/Raw!$C51</f>
        <v>0</v>
      </c>
      <c r="CE50" s="9">
        <f>Raw!CE51/Raw!$C51</f>
        <v>0</v>
      </c>
      <c r="CF50" s="9">
        <f>Raw!CF51/Raw!$C51</f>
        <v>0</v>
      </c>
      <c r="CG50" s="9">
        <f>Raw!CG51/Raw!$C51</f>
        <v>0</v>
      </c>
      <c r="CH50" s="9">
        <f>Raw!CH51/Raw!$C51</f>
        <v>0</v>
      </c>
      <c r="CI50" s="9">
        <f>Raw!CI51/Raw!$C51</f>
        <v>0</v>
      </c>
      <c r="CJ50" s="9">
        <f>Raw!CJ51/Raw!$C51</f>
        <v>0</v>
      </c>
      <c r="CK50" s="9">
        <f>Raw!CK51/Raw!$C51</f>
        <v>0</v>
      </c>
      <c r="CL50" s="9">
        <f>Raw!CL51/Raw!$C51</f>
        <v>0</v>
      </c>
      <c r="CM50" s="9">
        <f>Raw!CM51/Raw!$C51</f>
        <v>0</v>
      </c>
      <c r="CN50" s="9">
        <f>Raw!CN51/Raw!$C51</f>
        <v>0</v>
      </c>
      <c r="CO50" s="9">
        <f>Raw!CO51/Raw!$C51</f>
        <v>0</v>
      </c>
      <c r="CP50" s="9">
        <f>Raw!CP51/Raw!$C51</f>
        <v>0</v>
      </c>
      <c r="CQ50" s="9">
        <f>Raw!CQ51/Raw!$C51</f>
        <v>0</v>
      </c>
      <c r="CR50" s="2">
        <f t="shared" si="8"/>
        <v>568</v>
      </c>
      <c r="CS50" s="2">
        <f t="shared" si="9"/>
        <v>264.24</v>
      </c>
      <c r="CT50" s="3">
        <f t="shared" si="10"/>
        <v>2.7543483357110188</v>
      </c>
      <c r="CU50" s="3">
        <f t="shared" si="11"/>
        <v>2.4219985606833578</v>
      </c>
      <c r="CV50" s="3">
        <f>Raw!CR51/Raw!$C51</f>
        <v>2316</v>
      </c>
      <c r="CW50" s="3">
        <f>Raw!CS51/Raw!$C51</f>
        <v>1446.4</v>
      </c>
      <c r="CX50" s="3">
        <f t="shared" si="12"/>
        <v>3.3647385550553985</v>
      </c>
      <c r="CY50" s="3">
        <f t="shared" si="13"/>
        <v>3.1602884131312883</v>
      </c>
      <c r="CZ50" s="3">
        <f t="shared" si="14"/>
        <v>3.4599952560473914</v>
      </c>
      <c r="DA50" s="3">
        <f t="shared" si="15"/>
        <v>3.2331586229463318</v>
      </c>
      <c r="DB50" s="6">
        <f t="shared" si="16"/>
        <v>0.90852172164586287</v>
      </c>
      <c r="DC50" s="3">
        <v>5</v>
      </c>
      <c r="DD50" s="3">
        <f>DC50/Raw!C51</f>
        <v>20</v>
      </c>
      <c r="DE50" s="5">
        <f t="shared" si="17"/>
        <v>8.8028169014084511E-3</v>
      </c>
      <c r="DF50">
        <f t="shared" si="18"/>
        <v>-2.055378331375</v>
      </c>
      <c r="DH50" s="4">
        <f>-SUM('Shannon-Weiner'!B49:Z49)</f>
        <v>0.73731165630655737</v>
      </c>
      <c r="DI50" s="4">
        <f>SUM('p^2'!B49:Z49)</f>
        <v>0.65731005752826821</v>
      </c>
      <c r="DJ50" s="4">
        <f t="shared" si="19"/>
        <v>0.34268994247173179</v>
      </c>
      <c r="DK50">
        <f t="shared" si="20"/>
        <v>1.5213520446657613</v>
      </c>
      <c r="DL50" s="4">
        <f>SUM('Shannon-Weiner_B'!B49:Z49)</f>
        <v>-0.8869713986910428</v>
      </c>
      <c r="DM50" s="4">
        <f>SUM('p_B^2'!B49:Z49)</f>
        <v>0.45237102684382458</v>
      </c>
      <c r="DN50" s="4">
        <f t="shared" si="21"/>
        <v>0.54762897315617542</v>
      </c>
      <c r="DO50">
        <f t="shared" si="22"/>
        <v>2.2105748172621973</v>
      </c>
    </row>
    <row r="51" spans="1:119" x14ac:dyDescent="0.25">
      <c r="A51" s="1"/>
      <c r="B51" t="s">
        <v>131</v>
      </c>
      <c r="C51">
        <v>1</v>
      </c>
      <c r="D51" s="9">
        <f>Raw!D52/Raw!$C52</f>
        <v>0</v>
      </c>
      <c r="E51" s="9">
        <f>Raw!E52/Raw!$C52</f>
        <v>0</v>
      </c>
      <c r="F51" s="9">
        <f>Raw!F52/Raw!$C52</f>
        <v>286.11111111111114</v>
      </c>
      <c r="G51" s="9">
        <f>Raw!G52/Raw!$C52</f>
        <v>295.5555555555556</v>
      </c>
      <c r="H51" s="9">
        <f>Raw!H52/Raw!$C52</f>
        <v>0</v>
      </c>
      <c r="I51" s="9">
        <f>Raw!I52/Raw!$C52</f>
        <v>0</v>
      </c>
      <c r="J51" s="9">
        <f>Raw!J52/Raw!$C52</f>
        <v>0</v>
      </c>
      <c r="K51" s="9">
        <f>Raw!K52/Raw!$C52</f>
        <v>0</v>
      </c>
      <c r="L51" s="9">
        <f>Raw!L52/Raw!$C52</f>
        <v>0</v>
      </c>
      <c r="M51" s="9">
        <f>Raw!M52/Raw!$C52</f>
        <v>0</v>
      </c>
      <c r="N51" s="9">
        <f>Raw!N52/Raw!$C52</f>
        <v>0</v>
      </c>
      <c r="O51" s="9">
        <f>Raw!O52/Raw!$C52</f>
        <v>0</v>
      </c>
      <c r="P51" s="9">
        <f>Raw!P52/Raw!$C52</f>
        <v>0</v>
      </c>
      <c r="Q51" s="9">
        <f>Raw!Q52/Raw!$C52</f>
        <v>0</v>
      </c>
      <c r="R51" s="9">
        <f>Raw!R52/Raw!$C52</f>
        <v>0</v>
      </c>
      <c r="S51" s="9">
        <f>Raw!S52/Raw!$C52</f>
        <v>0</v>
      </c>
      <c r="T51" s="9">
        <f>Raw!T52/Raw!$C52</f>
        <v>0</v>
      </c>
      <c r="U51" s="9">
        <f>Raw!U52/Raw!$C52</f>
        <v>0</v>
      </c>
      <c r="V51" s="9">
        <f>Raw!V52/Raw!$C52</f>
        <v>0</v>
      </c>
      <c r="W51" s="9">
        <f>Raw!W52/Raw!$C52</f>
        <v>0</v>
      </c>
      <c r="X51" s="9">
        <f>Raw!X52/Raw!$C52</f>
        <v>61.111111111111114</v>
      </c>
      <c r="Y51" s="9">
        <f>Raw!Y52/Raw!$C52</f>
        <v>19.833333333333332</v>
      </c>
      <c r="Z51" s="9">
        <f>Raw!Z52/Raw!$C52</f>
        <v>0</v>
      </c>
      <c r="AA51" s="9">
        <f>Raw!AA52/Raw!$C52</f>
        <v>0</v>
      </c>
      <c r="AB51" s="9">
        <f>Raw!AB52/Raw!$C52</f>
        <v>0</v>
      </c>
      <c r="AC51" s="9">
        <f>Raw!AC52/Raw!$C52</f>
        <v>0</v>
      </c>
      <c r="AD51" s="9">
        <f>Raw!AD52/Raw!$C52</f>
        <v>0</v>
      </c>
      <c r="AE51" s="9">
        <f>Raw!AE52/Raw!$C52</f>
        <v>0</v>
      </c>
      <c r="AF51" s="9">
        <f>Raw!AF52/Raw!$C52</f>
        <v>0</v>
      </c>
      <c r="AG51" s="9">
        <f>Raw!AG52/Raw!$C52</f>
        <v>0</v>
      </c>
      <c r="AH51" s="9">
        <f>Raw!AH52/Raw!$C52</f>
        <v>2.7777777777777777</v>
      </c>
      <c r="AI51" s="9">
        <f>Raw!AI52/Raw!$C52</f>
        <v>2.7777777777777186E-2</v>
      </c>
      <c r="AJ51" s="9">
        <f>Raw!AJ52/Raw!$C52</f>
        <v>0</v>
      </c>
      <c r="AK51" s="9">
        <f>Raw!AK52/Raw!$C52</f>
        <v>0</v>
      </c>
      <c r="AL51" s="9">
        <f>Raw!AL52/Raw!$C52</f>
        <v>2.7777777777777777</v>
      </c>
      <c r="AM51" s="9">
        <f>Raw!AM52/Raw!$C52</f>
        <v>18.083333333333336</v>
      </c>
      <c r="AN51" s="9">
        <f>Raw!AN52/Raw!$C52</f>
        <v>0</v>
      </c>
      <c r="AO51" s="9">
        <f>Raw!AO52/Raw!$C52</f>
        <v>0</v>
      </c>
      <c r="AP51" s="9">
        <f>Raw!AP52/Raw!$C52</f>
        <v>0</v>
      </c>
      <c r="AQ51" s="9">
        <f>Raw!AQ52/Raw!$C52</f>
        <v>0</v>
      </c>
      <c r="AR51" s="9">
        <f>Raw!AR52/Raw!$C52</f>
        <v>0</v>
      </c>
      <c r="AS51" s="9">
        <f>Raw!AS52/Raw!$C52</f>
        <v>0</v>
      </c>
      <c r="AT51" s="9">
        <f>Raw!AT52/Raw!$C52</f>
        <v>0</v>
      </c>
      <c r="AU51" s="9">
        <f>Raw!AU52/Raw!$C52</f>
        <v>0</v>
      </c>
      <c r="AV51" s="9">
        <f>Raw!AV52/Raw!$C52</f>
        <v>0</v>
      </c>
      <c r="AW51" s="9">
        <f>Raw!AW52/Raw!$C52</f>
        <v>0</v>
      </c>
      <c r="AX51" s="9">
        <f>Raw!AX52/Raw!$C52</f>
        <v>0</v>
      </c>
      <c r="AY51" s="9">
        <f>Raw!AY52/Raw!$C52</f>
        <v>0</v>
      </c>
      <c r="AZ51" s="9">
        <f>Raw!AZ52/Raw!$C52</f>
        <v>0</v>
      </c>
      <c r="BA51" s="9">
        <f>Raw!BA52/Raw!$C52</f>
        <v>0</v>
      </c>
      <c r="BB51" s="9">
        <f>Raw!BB52/Raw!$C52</f>
        <v>0</v>
      </c>
      <c r="BC51" s="9">
        <f>Raw!BC52/Raw!$C52</f>
        <v>0</v>
      </c>
      <c r="BD51" s="9">
        <f>Raw!BD52/Raw!$C52</f>
        <v>0</v>
      </c>
      <c r="BE51" s="9">
        <f>Raw!BE52/Raw!$C52</f>
        <v>0</v>
      </c>
      <c r="BF51" s="9">
        <f>Raw!BF52/Raw!$C52</f>
        <v>0</v>
      </c>
      <c r="BG51" s="9">
        <f>Raw!BG52/Raw!$C52</f>
        <v>0</v>
      </c>
      <c r="BH51" s="9">
        <f>Raw!BH52/Raw!$C52</f>
        <v>0</v>
      </c>
      <c r="BI51" s="9">
        <f>Raw!BI52/Raw!$C52</f>
        <v>0</v>
      </c>
      <c r="BJ51" s="9">
        <f>Raw!BJ52/Raw!$C52</f>
        <v>5.5555555555555554</v>
      </c>
      <c r="BK51" s="9">
        <f>Raw!BK52/Raw!$C52</f>
        <v>0.27777777777777929</v>
      </c>
      <c r="BL51" s="9">
        <f>Raw!BL52/Raw!$C52</f>
        <v>0</v>
      </c>
      <c r="BM51" s="9">
        <f>Raw!BM52/Raw!$C52</f>
        <v>0</v>
      </c>
      <c r="BN51" s="9">
        <f>Raw!BN52/Raw!$C52</f>
        <v>8.3333333333333339</v>
      </c>
      <c r="BO51" s="9">
        <f>Raw!BO52/Raw!$C52</f>
        <v>0.24999999999999961</v>
      </c>
      <c r="BP51" s="9">
        <f>Raw!BP52/Raw!$C52</f>
        <v>0</v>
      </c>
      <c r="BQ51" s="9">
        <f>Raw!BQ52/Raw!$C52</f>
        <v>0</v>
      </c>
      <c r="BR51" s="9">
        <f>Raw!BR52/Raw!$C52</f>
        <v>0</v>
      </c>
      <c r="BS51" s="9">
        <f>Raw!BS52/Raw!$C52</f>
        <v>0</v>
      </c>
      <c r="BT51" s="9">
        <f>Raw!BT52/Raw!$C52</f>
        <v>0</v>
      </c>
      <c r="BU51" s="9">
        <f>Raw!BU52/Raw!$C52</f>
        <v>0</v>
      </c>
      <c r="BV51" s="9">
        <f>Raw!BV52/Raw!$C52</f>
        <v>0</v>
      </c>
      <c r="BW51" s="9">
        <f>Raw!BW52/Raw!$C52</f>
        <v>0</v>
      </c>
      <c r="BX51" s="9">
        <f>Raw!BX52/Raw!$C52</f>
        <v>0</v>
      </c>
      <c r="BY51" s="9">
        <f>Raw!BY52/Raw!$C52</f>
        <v>0</v>
      </c>
      <c r="BZ51" s="9">
        <f>Raw!BZ52/Raw!$C52</f>
        <v>0</v>
      </c>
      <c r="CA51" s="9">
        <f>Raw!CA52/Raw!$C52</f>
        <v>0</v>
      </c>
      <c r="CB51" s="9">
        <f>Raw!CB52/Raw!$C52</f>
        <v>0</v>
      </c>
      <c r="CC51" s="9">
        <f>Raw!CC52/Raw!$C52</f>
        <v>0</v>
      </c>
      <c r="CD51" s="9">
        <f>Raw!CD52/Raw!$C52</f>
        <v>0</v>
      </c>
      <c r="CE51" s="9">
        <f>Raw!CE52/Raw!$C52</f>
        <v>0</v>
      </c>
      <c r="CF51" s="9">
        <f>Raw!CF52/Raw!$C52</f>
        <v>0</v>
      </c>
      <c r="CG51" s="9">
        <f>Raw!CG52/Raw!$C52</f>
        <v>0</v>
      </c>
      <c r="CH51" s="9">
        <f>Raw!CH52/Raw!$C52</f>
        <v>0</v>
      </c>
      <c r="CI51" s="9">
        <f>Raw!CI52/Raw!$C52</f>
        <v>0</v>
      </c>
      <c r="CJ51" s="9">
        <f>Raw!CJ52/Raw!$C52</f>
        <v>0</v>
      </c>
      <c r="CK51" s="9">
        <f>Raw!CK52/Raw!$C52</f>
        <v>0</v>
      </c>
      <c r="CL51" s="9">
        <f>Raw!CL52/Raw!$C52</f>
        <v>0</v>
      </c>
      <c r="CM51" s="9">
        <f>Raw!CM52/Raw!$C52</f>
        <v>0</v>
      </c>
      <c r="CN51" s="9">
        <f>Raw!CN52/Raw!$C52</f>
        <v>0</v>
      </c>
      <c r="CO51" s="9">
        <f>Raw!CO52/Raw!$C52</f>
        <v>0</v>
      </c>
      <c r="CP51" s="9">
        <f>Raw!CP52/Raw!$C52</f>
        <v>0</v>
      </c>
      <c r="CQ51" s="9">
        <f>Raw!CQ52/Raw!$C52</f>
        <v>0</v>
      </c>
      <c r="CR51" s="2">
        <f t="shared" si="8"/>
        <v>366.66666666666669</v>
      </c>
      <c r="CS51" s="2">
        <f t="shared" si="9"/>
        <v>334.02777777777777</v>
      </c>
      <c r="CT51" s="3">
        <f t="shared" si="10"/>
        <v>2.5642714304385628</v>
      </c>
      <c r="CU51" s="3">
        <f t="shared" si="11"/>
        <v>2.5237825842785822</v>
      </c>
      <c r="CV51" s="3">
        <f>Raw!CR52/Raw!$C52</f>
        <v>1608.3333333333335</v>
      </c>
      <c r="CW51" s="3">
        <f>Raw!CS52/Raw!$C52</f>
        <v>1004.4444444444446</v>
      </c>
      <c r="CX51" s="3">
        <f t="shared" si="12"/>
        <v>3.2063760629601488</v>
      </c>
      <c r="CY51" s="3">
        <f t="shared" si="13"/>
        <v>3.0019259210360385</v>
      </c>
      <c r="CZ51" s="3">
        <f t="shared" si="14"/>
        <v>3.2955670999624789</v>
      </c>
      <c r="DA51" s="3">
        <f t="shared" si="15"/>
        <v>3.1266093625526197</v>
      </c>
      <c r="DB51" s="6">
        <f t="shared" si="16"/>
        <v>0.88546513017725736</v>
      </c>
      <c r="DC51" s="3">
        <v>6</v>
      </c>
      <c r="DD51" s="3">
        <f>DC51/Raw!C52</f>
        <v>16.666666666666668</v>
      </c>
      <c r="DE51" s="5">
        <f t="shared" si="17"/>
        <v>1.6363636363636361E-2</v>
      </c>
      <c r="DF51">
        <f t="shared" si="18"/>
        <v>-1.7861201800549191</v>
      </c>
      <c r="DH51" s="4">
        <f>-SUM('Shannon-Weiner'!B50:Z50)</f>
        <v>0.56618048793131559</v>
      </c>
      <c r="DI51" s="4">
        <f>SUM('p^2'!B50:Z50)</f>
        <v>0.63676538108356295</v>
      </c>
      <c r="DJ51" s="4">
        <f t="shared" si="19"/>
        <v>0.36323461891643705</v>
      </c>
      <c r="DK51">
        <f t="shared" si="20"/>
        <v>1.5704371338440737</v>
      </c>
      <c r="DL51" s="4">
        <f>SUM('Shannon-Weiner_B'!B50:Z50)</f>
        <v>-0.43460185188021472</v>
      </c>
      <c r="DM51" s="4">
        <f>SUM('p_B^2'!B50:Z50)</f>
        <v>0.78936863516323008</v>
      </c>
      <c r="DN51" s="4">
        <f t="shared" si="21"/>
        <v>0.21063136483676992</v>
      </c>
      <c r="DO51">
        <f t="shared" si="22"/>
        <v>1.266835234456984</v>
      </c>
    </row>
    <row r="52" spans="1:119" x14ac:dyDescent="0.25">
      <c r="A52" s="1"/>
      <c r="B52" t="s">
        <v>132</v>
      </c>
      <c r="C52">
        <v>1</v>
      </c>
      <c r="D52" s="9">
        <f>Raw!D53/Raw!$C53</f>
        <v>62.499999999999986</v>
      </c>
      <c r="E52" s="9">
        <f>Raw!E53/Raw!$C53</f>
        <v>2.1249999999999987</v>
      </c>
      <c r="F52" s="9">
        <f>Raw!F53/Raw!$C53</f>
        <v>531.24999999999989</v>
      </c>
      <c r="G52" s="9">
        <f>Raw!G53/Raw!$C53</f>
        <v>3.5625000000000009</v>
      </c>
      <c r="H52" s="9">
        <f>Raw!H53/Raw!$C53</f>
        <v>0</v>
      </c>
      <c r="I52" s="9">
        <f>Raw!I53/Raw!$C53</f>
        <v>0</v>
      </c>
      <c r="J52" s="9">
        <f>Raw!J53/Raw!$C53</f>
        <v>0</v>
      </c>
      <c r="K52" s="9">
        <f>Raw!K53/Raw!$C53</f>
        <v>0</v>
      </c>
      <c r="L52" s="9">
        <f>Raw!L53/Raw!$C53</f>
        <v>0</v>
      </c>
      <c r="M52" s="9">
        <f>Raw!M53/Raw!$C53</f>
        <v>0</v>
      </c>
      <c r="N52" s="9">
        <f>Raw!N53/Raw!$C53</f>
        <v>0</v>
      </c>
      <c r="O52" s="9">
        <f>Raw!O53/Raw!$C53</f>
        <v>0</v>
      </c>
      <c r="P52" s="9">
        <f>Raw!P53/Raw!$C53</f>
        <v>0</v>
      </c>
      <c r="Q52" s="9">
        <f>Raw!Q53/Raw!$C53</f>
        <v>0</v>
      </c>
      <c r="R52" s="9">
        <f>Raw!R53/Raw!$C53</f>
        <v>0</v>
      </c>
      <c r="S52" s="9">
        <f>Raw!S53/Raw!$C53</f>
        <v>0</v>
      </c>
      <c r="T52" s="9">
        <f>Raw!T53/Raw!$C53</f>
        <v>0</v>
      </c>
      <c r="U52" s="9">
        <f>Raw!U53/Raw!$C53</f>
        <v>0</v>
      </c>
      <c r="V52" s="9">
        <f>Raw!V53/Raw!$C53</f>
        <v>0</v>
      </c>
      <c r="W52" s="9">
        <f>Raw!W53/Raw!$C53</f>
        <v>0</v>
      </c>
      <c r="X52" s="9">
        <f>Raw!X53/Raw!$C53</f>
        <v>0</v>
      </c>
      <c r="Y52" s="9">
        <f>Raw!Y53/Raw!$C53</f>
        <v>0</v>
      </c>
      <c r="Z52" s="9">
        <f>Raw!Z53/Raw!$C53</f>
        <v>0</v>
      </c>
      <c r="AA52" s="9">
        <f>Raw!AA53/Raw!$C53</f>
        <v>0</v>
      </c>
      <c r="AB52" s="9">
        <f>Raw!AB53/Raw!$C53</f>
        <v>0</v>
      </c>
      <c r="AC52" s="9">
        <f>Raw!AC53/Raw!$C53</f>
        <v>0</v>
      </c>
      <c r="AD52" s="9">
        <f>Raw!AD53/Raw!$C53</f>
        <v>0</v>
      </c>
      <c r="AE52" s="9">
        <f>Raw!AE53/Raw!$C53</f>
        <v>0</v>
      </c>
      <c r="AF52" s="9">
        <f>Raw!AF53/Raw!$C53</f>
        <v>0</v>
      </c>
      <c r="AG52" s="9">
        <f>Raw!AG53/Raw!$C53</f>
        <v>0</v>
      </c>
      <c r="AH52" s="9">
        <f>Raw!AH53/Raw!$C53</f>
        <v>0</v>
      </c>
      <c r="AI52" s="9">
        <f>Raw!AI53/Raw!$C53</f>
        <v>0</v>
      </c>
      <c r="AJ52" s="9">
        <f>Raw!AJ53/Raw!$C53</f>
        <v>0</v>
      </c>
      <c r="AK52" s="9">
        <f>Raw!AK53/Raw!$C53</f>
        <v>0</v>
      </c>
      <c r="AL52" s="9">
        <f>Raw!AL53/Raw!$C53</f>
        <v>0</v>
      </c>
      <c r="AM52" s="9">
        <f>Raw!AM53/Raw!$C53</f>
        <v>0</v>
      </c>
      <c r="AN52" s="9">
        <f>Raw!AN53/Raw!$C53</f>
        <v>0</v>
      </c>
      <c r="AO52" s="9">
        <f>Raw!AO53/Raw!$C53</f>
        <v>0</v>
      </c>
      <c r="AP52" s="9">
        <f>Raw!AP53/Raw!$C53</f>
        <v>0</v>
      </c>
      <c r="AQ52" s="9">
        <f>Raw!AQ53/Raw!$C53</f>
        <v>0</v>
      </c>
      <c r="AR52" s="9">
        <f>Raw!AR53/Raw!$C53</f>
        <v>0</v>
      </c>
      <c r="AS52" s="9">
        <f>Raw!AS53/Raw!$C53</f>
        <v>0</v>
      </c>
      <c r="AT52" s="9">
        <f>Raw!AT53/Raw!$C53</f>
        <v>0</v>
      </c>
      <c r="AU52" s="9">
        <f>Raw!AU53/Raw!$C53</f>
        <v>0</v>
      </c>
      <c r="AV52" s="9">
        <f>Raw!AV53/Raw!$C53</f>
        <v>0</v>
      </c>
      <c r="AW52" s="9">
        <f>Raw!AW53/Raw!$C53</f>
        <v>0</v>
      </c>
      <c r="AX52" s="9">
        <f>Raw!AX53/Raw!$C53</f>
        <v>0</v>
      </c>
      <c r="AY52" s="9">
        <f>Raw!AY53/Raw!$C53</f>
        <v>0</v>
      </c>
      <c r="AZ52" s="9">
        <f>Raw!AZ53/Raw!$C53</f>
        <v>6.2499999999999991</v>
      </c>
      <c r="BA52" s="9">
        <f>Raw!BA53/Raw!$C53</f>
        <v>416.74999999999994</v>
      </c>
      <c r="BB52" s="9">
        <f>Raw!BB53/Raw!$C53</f>
        <v>0</v>
      </c>
      <c r="BC52" s="9">
        <f>Raw!BC53/Raw!$C53</f>
        <v>0</v>
      </c>
      <c r="BD52" s="9">
        <f>Raw!BD53/Raw!$C53</f>
        <v>0</v>
      </c>
      <c r="BE52" s="9">
        <f>Raw!BE53/Raw!$C53</f>
        <v>0</v>
      </c>
      <c r="BF52" s="9">
        <f>Raw!BF53/Raw!$C53</f>
        <v>0</v>
      </c>
      <c r="BG52" s="9">
        <f>Raw!BG53/Raw!$C53</f>
        <v>0</v>
      </c>
      <c r="BH52" s="9">
        <f>Raw!BH53/Raw!$C53</f>
        <v>0</v>
      </c>
      <c r="BI52" s="9">
        <f>Raw!BI53/Raw!$C53</f>
        <v>0</v>
      </c>
      <c r="BJ52" s="9">
        <f>Raw!BJ53/Raw!$C53</f>
        <v>49.999999999999993</v>
      </c>
      <c r="BK52" s="9">
        <f>Raw!BK53/Raw!$C53</f>
        <v>0.87499999999999778</v>
      </c>
      <c r="BL52" s="9">
        <f>Raw!BL53/Raw!$C53</f>
        <v>0</v>
      </c>
      <c r="BM52" s="9">
        <f>Raw!BM53/Raw!$C53</f>
        <v>0</v>
      </c>
      <c r="BN52" s="9">
        <f>Raw!BN53/Raw!$C53</f>
        <v>6.2499999999999991</v>
      </c>
      <c r="BO52" s="9">
        <f>Raw!BO53/Raw!$C53</f>
        <v>1.249999999999998</v>
      </c>
      <c r="BP52" s="9">
        <f>Raw!BP53/Raw!$C53</f>
        <v>0</v>
      </c>
      <c r="BQ52" s="9">
        <f>Raw!BQ53/Raw!$C53</f>
        <v>0</v>
      </c>
      <c r="BR52" s="9">
        <f>Raw!BR53/Raw!$C53</f>
        <v>0</v>
      </c>
      <c r="BS52" s="9">
        <f>Raw!BS53/Raw!$C53</f>
        <v>0</v>
      </c>
      <c r="BT52" s="9">
        <f>Raw!BT53/Raw!$C53</f>
        <v>0</v>
      </c>
      <c r="BU52" s="9">
        <f>Raw!BU53/Raw!$C53</f>
        <v>0</v>
      </c>
      <c r="BV52" s="9">
        <f>Raw!BV53/Raw!$C53</f>
        <v>0</v>
      </c>
      <c r="BW52" s="9">
        <f>Raw!BW53/Raw!$C53</f>
        <v>0</v>
      </c>
      <c r="BX52" s="9">
        <f>Raw!BX53/Raw!$C53</f>
        <v>0</v>
      </c>
      <c r="BY52" s="9">
        <f>Raw!BY53/Raw!$C53</f>
        <v>0</v>
      </c>
      <c r="BZ52" s="9">
        <f>Raw!BZ53/Raw!$C53</f>
        <v>0</v>
      </c>
      <c r="CA52" s="9">
        <f>Raw!CA53/Raw!$C53</f>
        <v>0</v>
      </c>
      <c r="CB52" s="9">
        <f>Raw!CB53/Raw!$C53</f>
        <v>0</v>
      </c>
      <c r="CC52" s="9">
        <f>Raw!CC53/Raw!$C53</f>
        <v>0</v>
      </c>
      <c r="CD52" s="9">
        <f>Raw!CD53/Raw!$C53</f>
        <v>0</v>
      </c>
      <c r="CE52" s="9">
        <f>Raw!CE53/Raw!$C53</f>
        <v>0</v>
      </c>
      <c r="CF52" s="9">
        <f>Raw!CF53/Raw!$C53</f>
        <v>0</v>
      </c>
      <c r="CG52" s="9">
        <f>Raw!CG53/Raw!$C53</f>
        <v>0</v>
      </c>
      <c r="CH52" s="9">
        <f>Raw!CH53/Raw!$C53</f>
        <v>0</v>
      </c>
      <c r="CI52" s="9">
        <f>Raw!CI53/Raw!$C53</f>
        <v>0</v>
      </c>
      <c r="CJ52" s="9">
        <f>Raw!CJ53/Raw!$C53</f>
        <v>0</v>
      </c>
      <c r="CK52" s="9">
        <f>Raw!CK53/Raw!$C53</f>
        <v>0</v>
      </c>
      <c r="CL52" s="9">
        <f>Raw!CL53/Raw!$C53</f>
        <v>0</v>
      </c>
      <c r="CM52" s="9">
        <f>Raw!CM53/Raw!$C53</f>
        <v>0</v>
      </c>
      <c r="CN52" s="9">
        <f>Raw!CN53/Raw!$C53</f>
        <v>0</v>
      </c>
      <c r="CO52" s="9">
        <f>Raw!CO53/Raw!$C53</f>
        <v>0</v>
      </c>
      <c r="CP52" s="9">
        <f>Raw!CP53/Raw!$C53</f>
        <v>0</v>
      </c>
      <c r="CQ52" s="9">
        <f>Raw!CQ53/Raw!$C53</f>
        <v>0</v>
      </c>
      <c r="CR52" s="2">
        <f t="shared" si="8"/>
        <v>662.49999999999989</v>
      </c>
      <c r="CS52" s="2">
        <f t="shared" si="9"/>
        <v>841.31249999999989</v>
      </c>
      <c r="CT52" s="3">
        <f t="shared" si="10"/>
        <v>2.8211858826088454</v>
      </c>
      <c r="CU52" s="3">
        <f t="shared" si="11"/>
        <v>2.9249573415968118</v>
      </c>
      <c r="CV52" s="3">
        <f>Raw!CR53/Raw!$C53</f>
        <v>3618.7499999999991</v>
      </c>
      <c r="CW52" s="3">
        <f>Raw!CS53/Raw!$C53</f>
        <v>2259.9999999999995</v>
      </c>
      <c r="CX52" s="3">
        <f t="shared" si="12"/>
        <v>3.5585585810715115</v>
      </c>
      <c r="CY52" s="3">
        <f t="shared" si="13"/>
        <v>3.3541084391474008</v>
      </c>
      <c r="CZ52" s="3">
        <f t="shared" si="14"/>
        <v>3.6315705888365009</v>
      </c>
      <c r="DA52" s="3">
        <f t="shared" si="15"/>
        <v>3.4915455296000109</v>
      </c>
      <c r="DB52" s="6">
        <f t="shared" si="16"/>
        <v>0.59860159086830178</v>
      </c>
      <c r="DC52" s="3">
        <v>5</v>
      </c>
      <c r="DD52" s="3">
        <f>DC52/Raw!C53</f>
        <v>31.249999999999993</v>
      </c>
      <c r="DE52" s="5">
        <f t="shared" si="17"/>
        <v>7.5471698113207556E-3</v>
      </c>
      <c r="DF52">
        <f t="shared" si="18"/>
        <v>-2.1222158782728267</v>
      </c>
      <c r="DH52" s="4">
        <f>-SUM('Shannon-Weiner'!B51:Z51)</f>
        <v>0.44376363493529336</v>
      </c>
      <c r="DI52" s="4">
        <f>SUM('p^2'!B51:Z51)</f>
        <v>0.65201139195443214</v>
      </c>
      <c r="DJ52" s="4">
        <f t="shared" si="19"/>
        <v>0.34798860804556786</v>
      </c>
      <c r="DK52">
        <f t="shared" si="20"/>
        <v>1.5337155337155337</v>
      </c>
      <c r="DL52" s="4">
        <f>SUM('Shannon-Weiner_B'!B51:Z51)</f>
        <v>-0.38622326347716968</v>
      </c>
      <c r="DM52" s="4">
        <f>SUM('p_B^2'!B51:Z51)</f>
        <v>0.24540282533542312</v>
      </c>
      <c r="DN52" s="4">
        <f t="shared" si="21"/>
        <v>0.75459717466457688</v>
      </c>
      <c r="DO52">
        <f t="shared" si="22"/>
        <v>4.0749327096506462</v>
      </c>
    </row>
    <row r="53" spans="1:119" x14ac:dyDescent="0.25">
      <c r="A53" s="1">
        <v>44201</v>
      </c>
      <c r="B53" t="str">
        <f>Raw!B54</f>
        <v>TA1</v>
      </c>
      <c r="C53">
        <v>1</v>
      </c>
      <c r="D53" s="9">
        <f>Raw!D54/Raw!$C54</f>
        <v>3437.4999999999995</v>
      </c>
      <c r="E53" s="9">
        <f>Raw!E54/Raw!$C54</f>
        <v>200.87499999999997</v>
      </c>
      <c r="F53" s="9">
        <f>Raw!F54/Raw!$C54</f>
        <v>0</v>
      </c>
      <c r="G53" s="9">
        <f>Raw!G54/Raw!$C54</f>
        <v>0</v>
      </c>
      <c r="H53" s="9">
        <f>Raw!H54/Raw!$C54</f>
        <v>0</v>
      </c>
      <c r="I53" s="9">
        <f>Raw!I54/Raw!$C54</f>
        <v>0</v>
      </c>
      <c r="J53" s="9">
        <f>Raw!J54/Raw!$C54</f>
        <v>0</v>
      </c>
      <c r="K53" s="9">
        <f>Raw!K54/Raw!$C54</f>
        <v>0</v>
      </c>
      <c r="L53" s="9">
        <f>Raw!L54/Raw!$C54</f>
        <v>0</v>
      </c>
      <c r="M53" s="9">
        <f>Raw!M54/Raw!$C54</f>
        <v>0</v>
      </c>
      <c r="N53" s="9">
        <f>Raw!N54/Raw!$C54</f>
        <v>181.24999999999997</v>
      </c>
      <c r="O53" s="9">
        <f>Raw!O54/Raw!$C54</f>
        <v>55.812499999999986</v>
      </c>
      <c r="P53" s="9">
        <f>Raw!P54/Raw!$C54</f>
        <v>0</v>
      </c>
      <c r="Q53" s="9">
        <f>Raw!Q54/Raw!$C54</f>
        <v>0</v>
      </c>
      <c r="R53" s="9">
        <f>Raw!R54/Raw!$C54</f>
        <v>0</v>
      </c>
      <c r="S53" s="9">
        <f>Raw!S54/Raw!$C54</f>
        <v>0</v>
      </c>
      <c r="T53" s="9">
        <f>Raw!T54/Raw!$C54</f>
        <v>0</v>
      </c>
      <c r="U53" s="9">
        <f>Raw!U54/Raw!$C54</f>
        <v>0</v>
      </c>
      <c r="V53" s="9">
        <f>Raw!V54/Raw!$C54</f>
        <v>0</v>
      </c>
      <c r="W53" s="9">
        <f>Raw!W54/Raw!$C54</f>
        <v>0</v>
      </c>
      <c r="X53" s="9">
        <f>Raw!X54/Raw!$C54</f>
        <v>0</v>
      </c>
      <c r="Y53" s="9">
        <f>Raw!Y54/Raw!$C54</f>
        <v>0</v>
      </c>
      <c r="Z53" s="9">
        <f>Raw!Z54/Raw!$C54</f>
        <v>0</v>
      </c>
      <c r="AA53" s="9">
        <f>Raw!AA54/Raw!$C54</f>
        <v>0</v>
      </c>
      <c r="AB53" s="9">
        <f>Raw!AB54/Raw!$C54</f>
        <v>0</v>
      </c>
      <c r="AC53" s="9">
        <f>Raw!AC54/Raw!$C54</f>
        <v>0</v>
      </c>
      <c r="AD53" s="9">
        <f>Raw!AD54/Raw!$C54</f>
        <v>0</v>
      </c>
      <c r="AE53" s="9">
        <f>Raw!AE54/Raw!$C54</f>
        <v>0</v>
      </c>
      <c r="AF53" s="9">
        <f>Raw!AF54/Raw!$C54</f>
        <v>0</v>
      </c>
      <c r="AG53" s="9">
        <f>Raw!AG54/Raw!$C54</f>
        <v>0</v>
      </c>
      <c r="AH53" s="9">
        <f>Raw!AH54/Raw!$C54</f>
        <v>0</v>
      </c>
      <c r="AI53" s="9">
        <f>Raw!AI54/Raw!$C54</f>
        <v>0</v>
      </c>
      <c r="AJ53" s="9">
        <f>Raw!AJ54/Raw!$C54</f>
        <v>6.2499999999999991</v>
      </c>
      <c r="AK53" s="9">
        <f>Raw!AK54/Raw!$C54</f>
        <v>2.6874999999999996</v>
      </c>
      <c r="AL53" s="9">
        <f>Raw!AL54/Raw!$C54</f>
        <v>143.74999999999997</v>
      </c>
      <c r="AM53" s="9">
        <f>Raw!AM54/Raw!$C54</f>
        <v>25.812499999999993</v>
      </c>
      <c r="AN53" s="9">
        <f>Raw!AN54/Raw!$C54</f>
        <v>0</v>
      </c>
      <c r="AO53" s="9">
        <f>Raw!AO54/Raw!$C54</f>
        <v>0</v>
      </c>
      <c r="AP53" s="9">
        <f>Raw!AP54/Raw!$C54</f>
        <v>0</v>
      </c>
      <c r="AQ53" s="9">
        <f>Raw!AQ54/Raw!$C54</f>
        <v>0</v>
      </c>
      <c r="AR53" s="9">
        <f>Raw!AR54/Raw!$C54</f>
        <v>0</v>
      </c>
      <c r="AS53" s="9">
        <f>Raw!AS54/Raw!$C54</f>
        <v>0</v>
      </c>
      <c r="AT53" s="9">
        <f>Raw!AT54/Raw!$C54</f>
        <v>0</v>
      </c>
      <c r="AU53" s="9">
        <f>Raw!AU54/Raw!$C54</f>
        <v>0</v>
      </c>
      <c r="AV53" s="9">
        <f>Raw!AV54/Raw!$C54</f>
        <v>0</v>
      </c>
      <c r="AW53" s="9">
        <f>Raw!AW54/Raw!$C54</f>
        <v>0</v>
      </c>
      <c r="AX53" s="9">
        <f>Raw!AX54/Raw!$C54</f>
        <v>0</v>
      </c>
      <c r="AY53" s="9">
        <f>Raw!AY54/Raw!$C54</f>
        <v>0</v>
      </c>
      <c r="AZ53" s="9">
        <f>Raw!AZ54/Raw!$C54</f>
        <v>0</v>
      </c>
      <c r="BA53" s="9">
        <f>Raw!BA54/Raw!$C54</f>
        <v>0</v>
      </c>
      <c r="BB53" s="9">
        <f>Raw!BB54/Raw!$C54</f>
        <v>0</v>
      </c>
      <c r="BC53" s="9">
        <f>Raw!BC54/Raw!$C54</f>
        <v>0</v>
      </c>
      <c r="BD53" s="9">
        <f>Raw!BD54/Raw!$C54</f>
        <v>0</v>
      </c>
      <c r="BE53" s="9">
        <f>Raw!BE54/Raw!$C54</f>
        <v>0</v>
      </c>
      <c r="BF53" s="9">
        <f>Raw!BF54/Raw!$C54</f>
        <v>0</v>
      </c>
      <c r="BG53" s="9">
        <f>Raw!BG54/Raw!$C54</f>
        <v>0</v>
      </c>
      <c r="BH53" s="9">
        <f>Raw!BH54/Raw!$C54</f>
        <v>0</v>
      </c>
      <c r="BI53" s="9">
        <f>Raw!BI54/Raw!$C54</f>
        <v>0</v>
      </c>
      <c r="BJ53" s="9">
        <f>Raw!BJ54/Raw!$C54</f>
        <v>0</v>
      </c>
      <c r="BK53" s="9">
        <f>Raw!BK54/Raw!$C54</f>
        <v>0</v>
      </c>
      <c r="BL53" s="9">
        <f>Raw!BL54/Raw!$C54</f>
        <v>0</v>
      </c>
      <c r="BM53" s="9">
        <f>Raw!BM54/Raw!$C54</f>
        <v>0</v>
      </c>
      <c r="BN53" s="9">
        <f>Raw!BN54/Raw!$C54</f>
        <v>0</v>
      </c>
      <c r="BO53" s="9">
        <f>Raw!BO54/Raw!$C54</f>
        <v>0</v>
      </c>
      <c r="BP53" s="9">
        <f>Raw!BP54/Raw!$C54</f>
        <v>0</v>
      </c>
      <c r="BQ53" s="9">
        <f>Raw!BQ54/Raw!$C54</f>
        <v>0</v>
      </c>
      <c r="BR53" s="9">
        <f>Raw!BR54/Raw!$C54</f>
        <v>0</v>
      </c>
      <c r="BS53" s="9">
        <f>Raw!BS54/Raw!$C54</f>
        <v>0</v>
      </c>
      <c r="BT53" s="9">
        <f>Raw!BT54/Raw!$C54</f>
        <v>0</v>
      </c>
      <c r="BU53" s="9">
        <f>Raw!BU54/Raw!$C54</f>
        <v>0</v>
      </c>
      <c r="BV53" s="9">
        <f>Raw!BV54/Raw!$C54</f>
        <v>0</v>
      </c>
      <c r="BW53" s="9">
        <f>Raw!BW54/Raw!$C54</f>
        <v>0</v>
      </c>
      <c r="BX53" s="9">
        <f>Raw!BX54/Raw!$C54</f>
        <v>0</v>
      </c>
      <c r="BY53" s="9">
        <f>Raw!BY54/Raw!$C54</f>
        <v>0</v>
      </c>
      <c r="BZ53" s="9">
        <f>Raw!BZ54/Raw!$C54</f>
        <v>0</v>
      </c>
      <c r="CA53" s="9">
        <f>Raw!CA54/Raw!$C54</f>
        <v>0</v>
      </c>
      <c r="CB53" s="9">
        <f>Raw!CB54/Raw!$C54</f>
        <v>0</v>
      </c>
      <c r="CC53" s="9">
        <f>Raw!CC54/Raw!$C54</f>
        <v>0</v>
      </c>
      <c r="CD53" s="9">
        <f>Raw!CD54/Raw!$C54</f>
        <v>0</v>
      </c>
      <c r="CE53" s="9">
        <f>Raw!CE54/Raw!$C54</f>
        <v>0</v>
      </c>
      <c r="CF53" s="9">
        <f>Raw!CF54/Raw!$C54</f>
        <v>0</v>
      </c>
      <c r="CG53" s="9">
        <f>Raw!CG54/Raw!$C54</f>
        <v>0</v>
      </c>
      <c r="CH53" s="9">
        <f>Raw!CH54/Raw!$C54</f>
        <v>0</v>
      </c>
      <c r="CI53" s="9">
        <f>Raw!CI54/Raw!$C54</f>
        <v>0</v>
      </c>
      <c r="CJ53" s="9">
        <f>Raw!CJ54/Raw!$C54</f>
        <v>0</v>
      </c>
      <c r="CK53" s="9">
        <f>Raw!CK54/Raw!$C54</f>
        <v>0</v>
      </c>
      <c r="CL53" s="9">
        <f>Raw!CL54/Raw!$C54</f>
        <v>0</v>
      </c>
      <c r="CM53" s="9">
        <f>Raw!CM54/Raw!$C54</f>
        <v>0</v>
      </c>
      <c r="CN53" s="9">
        <f>Raw!CN54/Raw!$C54</f>
        <v>0</v>
      </c>
      <c r="CO53" s="9">
        <f>Raw!CO54/Raw!$C54</f>
        <v>0</v>
      </c>
      <c r="CP53" s="9">
        <f>Raw!CP54/Raw!$C54</f>
        <v>0</v>
      </c>
      <c r="CQ53" s="9">
        <f>Raw!CQ54/Raw!$C54</f>
        <v>0</v>
      </c>
      <c r="CR53" s="2">
        <f t="shared" si="8"/>
        <v>3768.7499999999995</v>
      </c>
      <c r="CS53" s="2">
        <f t="shared" si="9"/>
        <v>285.18749999999994</v>
      </c>
      <c r="CT53" s="3">
        <f t="shared" ref="CT53:CT56" si="23">LOG10(CR53)</f>
        <v>3.5761973294842266</v>
      </c>
      <c r="CU53" s="3">
        <f t="shared" ref="CU53:CU56" si="24">LOG10(CS53)</f>
        <v>2.4551304861167358</v>
      </c>
      <c r="CV53" s="3"/>
      <c r="CW53" s="3"/>
      <c r="CX53" s="3"/>
      <c r="CY53" s="3"/>
      <c r="CZ53" s="3">
        <f t="shared" ref="CZ53:CZ83" si="25">LOG10(CR53+CV53)</f>
        <v>3.5761973294842266</v>
      </c>
      <c r="DA53" s="3">
        <f t="shared" ref="DA53:DA83" si="26">LOG10(CS53+CW53)</f>
        <v>2.4551304861167358</v>
      </c>
      <c r="DB53" s="6">
        <f t="shared" ref="DB53:DB83" si="27">0.590307*(4.87-0.33*CT53-CU53)</f>
        <v>0.72886645352985913</v>
      </c>
      <c r="DC53" s="3">
        <v>4</v>
      </c>
      <c r="DD53" s="3">
        <f>DC53/Raw!C54</f>
        <v>24.999999999999996</v>
      </c>
      <c r="DE53" s="5">
        <f t="shared" si="17"/>
        <v>1.0613598673300166E-3</v>
      </c>
      <c r="DF53">
        <f t="shared" si="18"/>
        <v>-2.9741373381562641</v>
      </c>
      <c r="DH53" s="4">
        <f>-SUM('Shannon-Weiner'!B52:Z52)</f>
        <v>0.36506313526688311</v>
      </c>
      <c r="DI53" s="4">
        <f>SUM('p^2'!B52:Z52)</f>
        <v>0.83570813703731195</v>
      </c>
      <c r="DJ53" s="4">
        <f t="shared" si="19"/>
        <v>0.16429186296268805</v>
      </c>
      <c r="DK53">
        <f t="shared" si="20"/>
        <v>1.1965900003619958</v>
      </c>
      <c r="DL53" s="4">
        <f>SUM('Shannon-Weiner_B'!B52:Z52)</f>
        <v>-0.82746601542434028</v>
      </c>
      <c r="DM53" s="4">
        <f>SUM('p_B^2'!B52:Z52)</f>
        <v>0.54270591344716002</v>
      </c>
      <c r="DN53" s="4">
        <f t="shared" si="21"/>
        <v>0.45729408655283998</v>
      </c>
      <c r="DO53">
        <f t="shared" si="22"/>
        <v>1.8426185807488238</v>
      </c>
    </row>
    <row r="54" spans="1:119" x14ac:dyDescent="0.25">
      <c r="B54" t="str">
        <f>Raw!B55</f>
        <v>TA2</v>
      </c>
      <c r="C54">
        <v>1</v>
      </c>
      <c r="D54" s="9">
        <f>Raw!D55/Raw!$C55</f>
        <v>3537.4999999999991</v>
      </c>
      <c r="E54" s="9">
        <f>Raw!E55/Raw!$C55</f>
        <v>202.12499999999997</v>
      </c>
      <c r="F54" s="9">
        <f>Raw!F55/Raw!$C55</f>
        <v>0</v>
      </c>
      <c r="G54" s="9">
        <f>Raw!G55/Raw!$C55</f>
        <v>0</v>
      </c>
      <c r="H54" s="9">
        <f>Raw!H55/Raw!$C55</f>
        <v>0</v>
      </c>
      <c r="I54" s="9">
        <f>Raw!I55/Raw!$C55</f>
        <v>0</v>
      </c>
      <c r="J54" s="9">
        <f>Raw!J55/Raw!$C55</f>
        <v>0</v>
      </c>
      <c r="K54" s="9">
        <f>Raw!K55/Raw!$C55</f>
        <v>0</v>
      </c>
      <c r="L54" s="9">
        <f>Raw!L55/Raw!$C55</f>
        <v>0</v>
      </c>
      <c r="M54" s="9">
        <f>Raw!M55/Raw!$C55</f>
        <v>0</v>
      </c>
      <c r="N54" s="9">
        <f>Raw!N55/Raw!$C55</f>
        <v>0</v>
      </c>
      <c r="O54" s="9">
        <f>Raw!O55/Raw!$C55</f>
        <v>0</v>
      </c>
      <c r="P54" s="9">
        <f>Raw!P55/Raw!$C55</f>
        <v>0</v>
      </c>
      <c r="Q54" s="9">
        <f>Raw!Q55/Raw!$C55</f>
        <v>0</v>
      </c>
      <c r="R54" s="9">
        <f>Raw!R55/Raw!$C55</f>
        <v>0</v>
      </c>
      <c r="S54" s="9">
        <f>Raw!S55/Raw!$C55</f>
        <v>0</v>
      </c>
      <c r="T54" s="9">
        <f>Raw!T55/Raw!$C55</f>
        <v>0</v>
      </c>
      <c r="U54" s="9">
        <f>Raw!U55/Raw!$C55</f>
        <v>0</v>
      </c>
      <c r="V54" s="9">
        <f>Raw!V55/Raw!$C55</f>
        <v>0</v>
      </c>
      <c r="W54" s="9">
        <f>Raw!W55/Raw!$C55</f>
        <v>0</v>
      </c>
      <c r="X54" s="9">
        <f>Raw!X55/Raw!$C55</f>
        <v>12.499999999999998</v>
      </c>
      <c r="Y54" s="9">
        <f>Raw!Y55/Raw!$C55</f>
        <v>2.7499999999999996</v>
      </c>
      <c r="Z54" s="9">
        <f>Raw!Z55/Raw!$C55</f>
        <v>0</v>
      </c>
      <c r="AA54" s="9">
        <f>Raw!AA55/Raw!$C55</f>
        <v>0</v>
      </c>
      <c r="AB54" s="9">
        <f>Raw!AB55/Raw!$C55</f>
        <v>0</v>
      </c>
      <c r="AC54" s="9">
        <f>Raw!AC55/Raw!$C55</f>
        <v>0</v>
      </c>
      <c r="AD54" s="9">
        <f>Raw!AD55/Raw!$C55</f>
        <v>0</v>
      </c>
      <c r="AE54" s="9">
        <f>Raw!AE55/Raw!$C55</f>
        <v>0</v>
      </c>
      <c r="AF54" s="9">
        <f>Raw!AF55/Raw!$C55</f>
        <v>0</v>
      </c>
      <c r="AG54" s="9">
        <f>Raw!AG55/Raw!$C55</f>
        <v>0</v>
      </c>
      <c r="AH54" s="9">
        <f>Raw!AH55/Raw!$C55</f>
        <v>0</v>
      </c>
      <c r="AI54" s="9">
        <f>Raw!AI55/Raw!$C55</f>
        <v>0</v>
      </c>
      <c r="AJ54" s="9">
        <f>Raw!AJ55/Raw!$C55</f>
        <v>0</v>
      </c>
      <c r="AK54" s="9">
        <f>Raw!AK55/Raw!$C55</f>
        <v>0</v>
      </c>
      <c r="AL54" s="9">
        <f>Raw!AL55/Raw!$C55</f>
        <v>106.24999999999999</v>
      </c>
      <c r="AM54" s="9">
        <f>Raw!AM55/Raw!$C55</f>
        <v>18.812499999999996</v>
      </c>
      <c r="AN54" s="9">
        <f>Raw!AN55/Raw!$C55</f>
        <v>0</v>
      </c>
      <c r="AO54" s="9">
        <f>Raw!AO55/Raw!$C55</f>
        <v>0</v>
      </c>
      <c r="AP54" s="9">
        <f>Raw!AP55/Raw!$C55</f>
        <v>0</v>
      </c>
      <c r="AQ54" s="9">
        <f>Raw!AQ55/Raw!$C55</f>
        <v>0</v>
      </c>
      <c r="AR54" s="9">
        <f>Raw!AR55/Raw!$C55</f>
        <v>0</v>
      </c>
      <c r="AS54" s="9">
        <f>Raw!AS55/Raw!$C55</f>
        <v>0</v>
      </c>
      <c r="AT54" s="9">
        <f>Raw!AT55/Raw!$C55</f>
        <v>0</v>
      </c>
      <c r="AU54" s="9">
        <f>Raw!AU55/Raw!$C55</f>
        <v>0</v>
      </c>
      <c r="AV54" s="9">
        <f>Raw!AV55/Raw!$C55</f>
        <v>0</v>
      </c>
      <c r="AW54" s="9">
        <f>Raw!AW55/Raw!$C55</f>
        <v>0</v>
      </c>
      <c r="AX54" s="9">
        <f>Raw!AX55/Raw!$C55</f>
        <v>0</v>
      </c>
      <c r="AY54" s="9">
        <f>Raw!AY55/Raw!$C55</f>
        <v>0</v>
      </c>
      <c r="AZ54" s="9">
        <f>Raw!AZ55/Raw!$C55</f>
        <v>0</v>
      </c>
      <c r="BA54" s="9">
        <f>Raw!BA55/Raw!$C55</f>
        <v>0</v>
      </c>
      <c r="BB54" s="9">
        <f>Raw!BB55/Raw!$C55</f>
        <v>0</v>
      </c>
      <c r="BC54" s="9">
        <f>Raw!BC55/Raw!$C55</f>
        <v>0</v>
      </c>
      <c r="BD54" s="9">
        <f>Raw!BD55/Raw!$C55</f>
        <v>0</v>
      </c>
      <c r="BE54" s="9">
        <f>Raw!BE55/Raw!$C55</f>
        <v>0</v>
      </c>
      <c r="BF54" s="9">
        <f>Raw!BF55/Raw!$C55</f>
        <v>0</v>
      </c>
      <c r="BG54" s="9">
        <f>Raw!BG55/Raw!$C55</f>
        <v>0</v>
      </c>
      <c r="BH54" s="9">
        <f>Raw!BH55/Raw!$C55</f>
        <v>0</v>
      </c>
      <c r="BI54" s="9">
        <f>Raw!BI55/Raw!$C55</f>
        <v>0</v>
      </c>
      <c r="BJ54" s="9">
        <f>Raw!BJ55/Raw!$C55</f>
        <v>0</v>
      </c>
      <c r="BK54" s="9">
        <f>Raw!BK55/Raw!$C55</f>
        <v>0</v>
      </c>
      <c r="BL54" s="9">
        <f>Raw!BL55/Raw!$C55</f>
        <v>0</v>
      </c>
      <c r="BM54" s="9">
        <f>Raw!BM55/Raw!$C55</f>
        <v>0</v>
      </c>
      <c r="BN54" s="9">
        <f>Raw!BN55/Raw!$C55</f>
        <v>0</v>
      </c>
      <c r="BO54" s="9">
        <f>Raw!BO55/Raw!$C55</f>
        <v>0</v>
      </c>
      <c r="BP54" s="9">
        <f>Raw!BP55/Raw!$C55</f>
        <v>0</v>
      </c>
      <c r="BQ54" s="9">
        <f>Raw!BQ55/Raw!$C55</f>
        <v>0</v>
      </c>
      <c r="BR54" s="9">
        <f>Raw!BR55/Raw!$C55</f>
        <v>0</v>
      </c>
      <c r="BS54" s="9">
        <f>Raw!BS55/Raw!$C55</f>
        <v>0</v>
      </c>
      <c r="BT54" s="9">
        <f>Raw!BT55/Raw!$C55</f>
        <v>0</v>
      </c>
      <c r="BU54" s="9">
        <f>Raw!BU55/Raw!$C55</f>
        <v>0</v>
      </c>
      <c r="BV54" s="9">
        <f>Raw!BV55/Raw!$C55</f>
        <v>0</v>
      </c>
      <c r="BW54" s="9">
        <f>Raw!BW55/Raw!$C55</f>
        <v>0</v>
      </c>
      <c r="BX54" s="9">
        <f>Raw!BX55/Raw!$C55</f>
        <v>0</v>
      </c>
      <c r="BY54" s="9">
        <f>Raw!BY55/Raw!$C55</f>
        <v>0</v>
      </c>
      <c r="BZ54" s="9">
        <f>Raw!BZ55/Raw!$C55</f>
        <v>0</v>
      </c>
      <c r="CA54" s="9">
        <f>Raw!CA55/Raw!$C55</f>
        <v>0</v>
      </c>
      <c r="CB54" s="9">
        <f>Raw!CB55/Raw!$C55</f>
        <v>0</v>
      </c>
      <c r="CC54" s="9">
        <f>Raw!CC55/Raw!$C55</f>
        <v>0</v>
      </c>
      <c r="CD54" s="9">
        <f>Raw!CD55/Raw!$C55</f>
        <v>0</v>
      </c>
      <c r="CE54" s="9">
        <f>Raw!CE55/Raw!$C55</f>
        <v>0</v>
      </c>
      <c r="CF54" s="9">
        <f>Raw!CF55/Raw!$C55</f>
        <v>0</v>
      </c>
      <c r="CG54" s="9">
        <f>Raw!CG55/Raw!$C55</f>
        <v>0</v>
      </c>
      <c r="CH54" s="9">
        <f>Raw!CH55/Raw!$C55</f>
        <v>0</v>
      </c>
      <c r="CI54" s="9">
        <f>Raw!CI55/Raw!$C55</f>
        <v>0</v>
      </c>
      <c r="CJ54" s="9">
        <f>Raw!CJ55/Raw!$C55</f>
        <v>0</v>
      </c>
      <c r="CK54" s="9">
        <f>Raw!CK55/Raw!$C55</f>
        <v>0</v>
      </c>
      <c r="CL54" s="9">
        <f>Raw!CL55/Raw!$C55</f>
        <v>0</v>
      </c>
      <c r="CM54" s="9">
        <f>Raw!CM55/Raw!$C55</f>
        <v>0</v>
      </c>
      <c r="CN54" s="9">
        <f>Raw!CN55/Raw!$C55</f>
        <v>0</v>
      </c>
      <c r="CO54" s="9">
        <f>Raw!CO55/Raw!$C55</f>
        <v>0</v>
      </c>
      <c r="CP54" s="9">
        <f>Raw!CP55/Raw!$C55</f>
        <v>0</v>
      </c>
      <c r="CQ54" s="9">
        <f>Raw!CQ55/Raw!$C55</f>
        <v>0</v>
      </c>
      <c r="CR54" s="2">
        <f t="shared" si="8"/>
        <v>3656.2499999999991</v>
      </c>
      <c r="CS54" s="2">
        <f t="shared" si="9"/>
        <v>223.68749999999997</v>
      </c>
      <c r="CT54" s="3">
        <f t="shared" si="23"/>
        <v>3.5630358834262554</v>
      </c>
      <c r="CU54" s="3">
        <f t="shared" si="24"/>
        <v>2.3496417157340796</v>
      </c>
      <c r="CV54" s="3"/>
      <c r="CW54" s="3"/>
      <c r="CX54" s="3"/>
      <c r="CY54" s="3"/>
      <c r="CZ54" s="3">
        <f t="shared" si="25"/>
        <v>3.5630358834262554</v>
      </c>
      <c r="DA54" s="3">
        <f t="shared" si="26"/>
        <v>2.3496417157340796</v>
      </c>
      <c r="DB54" s="6">
        <f t="shared" si="27"/>
        <v>0.79370108004172069</v>
      </c>
      <c r="DC54" s="3">
        <v>3</v>
      </c>
      <c r="DD54" s="3">
        <f>DC54/Raw!C55</f>
        <v>18.749999999999996</v>
      </c>
      <c r="DE54" s="5">
        <f t="shared" si="17"/>
        <v>8.2051282051282069E-4</v>
      </c>
      <c r="DF54">
        <f t="shared" si="18"/>
        <v>-3.0859146287065933</v>
      </c>
      <c r="DH54" s="4">
        <f>-SUM('Shannon-Weiner'!B53:Z53)</f>
        <v>0.15418420710693836</v>
      </c>
      <c r="DI54" s="4">
        <f>SUM('p^2'!B53:Z53)</f>
        <v>0.93695375849222007</v>
      </c>
      <c r="DJ54" s="4">
        <f t="shared" si="19"/>
        <v>6.3046241507779932E-2</v>
      </c>
      <c r="DK54">
        <f t="shared" si="20"/>
        <v>1.0672885304491828</v>
      </c>
      <c r="DL54" s="4">
        <f>SUM('Shannon-Weiner_B'!B53:Z53)</f>
        <v>-0.35388235050197386</v>
      </c>
      <c r="DM54" s="4">
        <f>SUM('p_B^2'!B53:Z53)</f>
        <v>0.8237250747331557</v>
      </c>
      <c r="DN54" s="4">
        <f t="shared" si="21"/>
        <v>0.1762749252668443</v>
      </c>
      <c r="DO54">
        <f t="shared" si="22"/>
        <v>1.2139972797646694</v>
      </c>
    </row>
    <row r="55" spans="1:119" x14ac:dyDescent="0.25">
      <c r="B55" s="13" t="s">
        <v>147</v>
      </c>
      <c r="C55">
        <v>1</v>
      </c>
      <c r="D55" s="9">
        <f>Raw!D56/Raw!$C56</f>
        <v>11.111111111111111</v>
      </c>
      <c r="E55" s="9">
        <f>Raw!E56/Raw!$C56</f>
        <v>0.27777777777777779</v>
      </c>
      <c r="F55" s="9">
        <f>Raw!F56/Raw!$C56</f>
        <v>0</v>
      </c>
      <c r="G55" s="9">
        <f>Raw!G56/Raw!$C56</f>
        <v>0</v>
      </c>
      <c r="H55" s="9">
        <f>Raw!H56/Raw!$C56</f>
        <v>0</v>
      </c>
      <c r="I55" s="9">
        <f>Raw!I56/Raw!$C56</f>
        <v>0</v>
      </c>
      <c r="J55" s="9">
        <f>Raw!J56/Raw!$C56</f>
        <v>0</v>
      </c>
      <c r="K55" s="9">
        <f>Raw!K56/Raw!$C56</f>
        <v>0</v>
      </c>
      <c r="L55" s="9">
        <f>Raw!L56/Raw!$C56</f>
        <v>0</v>
      </c>
      <c r="M55" s="9">
        <f>Raw!M56/Raw!$C56</f>
        <v>0</v>
      </c>
      <c r="N55" s="9">
        <f>Raw!N56/Raw!$C56</f>
        <v>0</v>
      </c>
      <c r="O55" s="9">
        <f>Raw!O56/Raw!$C56</f>
        <v>0</v>
      </c>
      <c r="P55" s="9">
        <f>Raw!P56/Raw!$C56</f>
        <v>0</v>
      </c>
      <c r="Q55" s="9">
        <f>Raw!Q56/Raw!$C56</f>
        <v>0</v>
      </c>
      <c r="R55" s="9">
        <f>Raw!R56/Raw!$C56</f>
        <v>0</v>
      </c>
      <c r="S55" s="9">
        <f>Raw!S56/Raw!$C56</f>
        <v>0</v>
      </c>
      <c r="T55" s="9">
        <f>Raw!T56/Raw!$C56</f>
        <v>0</v>
      </c>
      <c r="U55" s="9">
        <f>Raw!U56/Raw!$C56</f>
        <v>0</v>
      </c>
      <c r="V55" s="9">
        <f>Raw!V56/Raw!$C56</f>
        <v>0</v>
      </c>
      <c r="W55" s="9">
        <f>Raw!W56/Raw!$C56</f>
        <v>0</v>
      </c>
      <c r="X55" s="9">
        <f>Raw!X56/Raw!$C56</f>
        <v>402.77777777777777</v>
      </c>
      <c r="Y55" s="9">
        <f>Raw!Y56/Raw!$C56</f>
        <v>15.916666666666668</v>
      </c>
      <c r="Z55" s="9">
        <f>Raw!Z56/Raw!$C56</f>
        <v>0</v>
      </c>
      <c r="AA55" s="9">
        <f>Raw!AA56/Raw!$C56</f>
        <v>0</v>
      </c>
      <c r="AB55" s="9">
        <f>Raw!AB56/Raw!$C56</f>
        <v>0</v>
      </c>
      <c r="AC55" s="9">
        <f>Raw!AC56/Raw!$C56</f>
        <v>0</v>
      </c>
      <c r="AD55" s="9">
        <f>Raw!AD56/Raw!$C56</f>
        <v>0</v>
      </c>
      <c r="AE55" s="9">
        <f>Raw!AE56/Raw!$C56</f>
        <v>0</v>
      </c>
      <c r="AF55" s="9">
        <f>Raw!AF56/Raw!$C56</f>
        <v>0</v>
      </c>
      <c r="AG55" s="9">
        <f>Raw!AG56/Raw!$C56</f>
        <v>0</v>
      </c>
      <c r="AH55" s="9">
        <f>Raw!AH56/Raw!$C56</f>
        <v>5.5555555555555554</v>
      </c>
      <c r="AI55" s="9">
        <f>Raw!AI56/Raw!$C56</f>
        <v>0.91666666666666674</v>
      </c>
      <c r="AJ55" s="9">
        <f>Raw!AJ56/Raw!$C56</f>
        <v>0</v>
      </c>
      <c r="AK55" s="9">
        <f>Raw!AK56/Raw!$C56</f>
        <v>0</v>
      </c>
      <c r="AL55" s="9">
        <f>Raw!AL56/Raw!$C56</f>
        <v>36.111111111111114</v>
      </c>
      <c r="AM55" s="9">
        <f>Raw!AM56/Raw!$C56</f>
        <v>466.3055555555556</v>
      </c>
      <c r="AN55" s="9">
        <f>Raw!AN56/Raw!$C56</f>
        <v>0</v>
      </c>
      <c r="AO55" s="9">
        <f>Raw!AO56/Raw!$C56</f>
        <v>0</v>
      </c>
      <c r="AP55" s="9">
        <f>Raw!AP56/Raw!$C56</f>
        <v>0</v>
      </c>
      <c r="AQ55" s="9">
        <f>Raw!AQ56/Raw!$C56</f>
        <v>0</v>
      </c>
      <c r="AR55" s="9">
        <f>Raw!AR56/Raw!$C56</f>
        <v>0</v>
      </c>
      <c r="AS55" s="9">
        <f>Raw!AS56/Raw!$C56</f>
        <v>0</v>
      </c>
      <c r="AT55" s="9">
        <f>Raw!AT56/Raw!$C56</f>
        <v>50</v>
      </c>
      <c r="AU55" s="9">
        <f>Raw!AU56/Raw!$C56</f>
        <v>14.222222222222223</v>
      </c>
      <c r="AV55" s="9">
        <f>Raw!AV56/Raw!$C56</f>
        <v>0</v>
      </c>
      <c r="AW55" s="9">
        <f>Raw!AW56/Raw!$C56</f>
        <v>0</v>
      </c>
      <c r="AX55" s="9">
        <f>Raw!AX56/Raw!$C56</f>
        <v>0</v>
      </c>
      <c r="AY55" s="9">
        <f>Raw!AY56/Raw!$C56</f>
        <v>0</v>
      </c>
      <c r="AZ55" s="9">
        <f>Raw!AZ56/Raw!$C56</f>
        <v>0</v>
      </c>
      <c r="BA55" s="9">
        <f>Raw!BA56/Raw!$C56</f>
        <v>0</v>
      </c>
      <c r="BB55" s="9">
        <f>Raw!BB56/Raw!$C56</f>
        <v>0</v>
      </c>
      <c r="BC55" s="9">
        <f>Raw!BC56/Raw!$C56</f>
        <v>0</v>
      </c>
      <c r="BD55" s="9">
        <f>Raw!BD56/Raw!$C56</f>
        <v>0</v>
      </c>
      <c r="BE55" s="9">
        <f>Raw!BE56/Raw!$C56</f>
        <v>0</v>
      </c>
      <c r="BF55" s="9">
        <f>Raw!BF56/Raw!$C56</f>
        <v>0</v>
      </c>
      <c r="BG55" s="9">
        <f>Raw!BG56/Raw!$C56</f>
        <v>0</v>
      </c>
      <c r="BH55" s="9">
        <f>Raw!BH56/Raw!$C56</f>
        <v>0</v>
      </c>
      <c r="BI55" s="9">
        <f>Raw!BI56/Raw!$C56</f>
        <v>0</v>
      </c>
      <c r="BJ55" s="9">
        <f>Raw!BJ56/Raw!$C56</f>
        <v>0</v>
      </c>
      <c r="BK55" s="9">
        <f>Raw!BK56/Raw!$C56</f>
        <v>0</v>
      </c>
      <c r="BL55" s="9">
        <f>Raw!BL56/Raw!$C56</f>
        <v>0</v>
      </c>
      <c r="BM55" s="9">
        <f>Raw!BM56/Raw!$C56</f>
        <v>0</v>
      </c>
      <c r="BN55" s="9">
        <f>Raw!BN56/Raw!$C56</f>
        <v>0</v>
      </c>
      <c r="BO55" s="9">
        <f>Raw!BO56/Raw!$C56</f>
        <v>0</v>
      </c>
      <c r="BP55" s="9">
        <f>Raw!BP56/Raw!$C56</f>
        <v>0</v>
      </c>
      <c r="BQ55" s="9">
        <f>Raw!BQ56/Raw!$C56</f>
        <v>0</v>
      </c>
      <c r="BR55" s="9">
        <f>Raw!BR56/Raw!$C56</f>
        <v>0</v>
      </c>
      <c r="BS55" s="9">
        <f>Raw!BS56/Raw!$C56</f>
        <v>0</v>
      </c>
      <c r="BT55" s="9">
        <f>Raw!BT56/Raw!$C56</f>
        <v>0</v>
      </c>
      <c r="BU55" s="9">
        <f>Raw!BU56/Raw!$C56</f>
        <v>0</v>
      </c>
      <c r="BV55" s="9">
        <f>Raw!BV56/Raw!$C56</f>
        <v>0</v>
      </c>
      <c r="BW55" s="9">
        <f>Raw!BW56/Raw!$C56</f>
        <v>0</v>
      </c>
      <c r="BX55" s="9">
        <f>Raw!BX56/Raw!$C56</f>
        <v>0</v>
      </c>
      <c r="BY55" s="9">
        <f>Raw!BY56/Raw!$C56</f>
        <v>0</v>
      </c>
      <c r="BZ55" s="9">
        <f>Raw!BZ56/Raw!$C56</f>
        <v>0</v>
      </c>
      <c r="CA55" s="9">
        <f>Raw!CA56/Raw!$C56</f>
        <v>0</v>
      </c>
      <c r="CB55" s="9">
        <f>Raw!CB56/Raw!$C56</f>
        <v>0</v>
      </c>
      <c r="CC55" s="9">
        <f>Raw!CC56/Raw!$C56</f>
        <v>0</v>
      </c>
      <c r="CD55" s="9">
        <f>Raw!CD56/Raw!$C56</f>
        <v>0</v>
      </c>
      <c r="CE55" s="9">
        <f>Raw!CE56/Raw!$C56</f>
        <v>0</v>
      </c>
      <c r="CF55" s="9">
        <f>Raw!CF56/Raw!$C56</f>
        <v>0</v>
      </c>
      <c r="CG55" s="9">
        <f>Raw!CG56/Raw!$C56</f>
        <v>0</v>
      </c>
      <c r="CH55" s="9">
        <f>Raw!CH56/Raw!$C56</f>
        <v>0</v>
      </c>
      <c r="CI55" s="9">
        <f>Raw!CI56/Raw!$C56</f>
        <v>0</v>
      </c>
      <c r="CJ55" s="9">
        <f>Raw!CJ56/Raw!$C56</f>
        <v>0</v>
      </c>
      <c r="CK55" s="9">
        <f>Raw!CK56/Raw!$C56</f>
        <v>0</v>
      </c>
      <c r="CL55" s="9">
        <f>Raw!CL56/Raw!$C56</f>
        <v>0</v>
      </c>
      <c r="CM55" s="9">
        <f>Raw!CM56/Raw!$C56</f>
        <v>0</v>
      </c>
      <c r="CN55" s="9">
        <f>Raw!CN56/Raw!$C56</f>
        <v>0</v>
      </c>
      <c r="CO55" s="9">
        <f>Raw!CO56/Raw!$C56</f>
        <v>0</v>
      </c>
      <c r="CP55" s="9">
        <f>Raw!CP56/Raw!$C56</f>
        <v>0</v>
      </c>
      <c r="CQ55" s="9">
        <f>Raw!CQ56/Raw!$C56</f>
        <v>0</v>
      </c>
      <c r="CR55" s="2">
        <f t="shared" si="8"/>
        <v>505.55555555555554</v>
      </c>
      <c r="CS55" s="2">
        <f t="shared" si="9"/>
        <v>497.63888888888897</v>
      </c>
      <c r="CT55" s="3">
        <f t="shared" si="23"/>
        <v>2.7037688872177874</v>
      </c>
      <c r="CU55" s="3">
        <f t="shared" si="24"/>
        <v>2.6969143117348424</v>
      </c>
      <c r="CV55" s="3"/>
      <c r="CW55" s="3"/>
      <c r="CX55" s="3"/>
      <c r="CY55" s="3"/>
      <c r="CZ55" s="3">
        <f t="shared" ref="CZ55:CZ57" si="28">LOG10(CR55+CV55)</f>
        <v>2.7037688872177874</v>
      </c>
      <c r="DA55" s="3">
        <f t="shared" ref="DA55:DA57" si="29">LOG10(CS55+CW55)</f>
        <v>2.6969143117348424</v>
      </c>
      <c r="DB55" s="6">
        <f t="shared" ref="DB55:DB57" si="30">0.590307*(4.87-0.33*CT55-CU55)</f>
        <v>0.75608997221547314</v>
      </c>
      <c r="DC55" s="3">
        <v>5</v>
      </c>
      <c r="DD55" s="3">
        <f>DC55/Raw!C56</f>
        <v>13.888888888888889</v>
      </c>
      <c r="DE55" s="5">
        <f t="shared" si="17"/>
        <v>9.8901098901098897E-3</v>
      </c>
      <c r="DF55">
        <f t="shared" si="18"/>
        <v>-2.0047988828817687</v>
      </c>
      <c r="DH55" s="4">
        <f>-SUM('Shannon-Weiner'!B54:Z54)</f>
        <v>0.73186988627617067</v>
      </c>
      <c r="DI55" s="4">
        <f>SUM('p^2'!B57:Z57)</f>
        <v>0.47420009801862362</v>
      </c>
      <c r="DJ55" s="4">
        <f t="shared" ref="DJ55:DJ57" si="31">1-DI55</f>
        <v>0.52579990198137638</v>
      </c>
      <c r="DK55">
        <f t="shared" ref="DK55:DK57" si="32">1/DI55</f>
        <v>2.1088144101579798</v>
      </c>
      <c r="DL55" s="4">
        <f>SUM('Shannon-Weiner_B'!B57:Z57)</f>
        <v>-1.0289018015853746</v>
      </c>
      <c r="DM55" s="4">
        <f>SUM('p_B^2'!B57:Z57)</f>
        <v>0.4200346504820936</v>
      </c>
      <c r="DN55" s="4">
        <f t="shared" ref="DN55:DN57" si="33">1-DM55</f>
        <v>0.57996534951790646</v>
      </c>
      <c r="DO55">
        <f t="shared" ref="DO55:DO57" si="34">1/DM55</f>
        <v>2.3807559658524666</v>
      </c>
    </row>
    <row r="56" spans="1:119" x14ac:dyDescent="0.25">
      <c r="B56" s="13" t="s">
        <v>148</v>
      </c>
      <c r="C56">
        <v>1</v>
      </c>
      <c r="D56" s="9">
        <f>Raw!D57/Raw!$C57</f>
        <v>105.55555555555556</v>
      </c>
      <c r="E56" s="9">
        <f>Raw!E57/Raw!$C57</f>
        <v>1.3333333333333333</v>
      </c>
      <c r="F56" s="9">
        <f>Raw!F57/Raw!$C57</f>
        <v>0</v>
      </c>
      <c r="G56" s="9">
        <f>Raw!G57/Raw!$C57</f>
        <v>0</v>
      </c>
      <c r="H56" s="9">
        <f>Raw!H57/Raw!$C57</f>
        <v>0</v>
      </c>
      <c r="I56" s="9">
        <f>Raw!I57/Raw!$C57</f>
        <v>0</v>
      </c>
      <c r="J56" s="9">
        <f>Raw!J57/Raw!$C57</f>
        <v>0</v>
      </c>
      <c r="K56" s="9">
        <f>Raw!K57/Raw!$C57</f>
        <v>0</v>
      </c>
      <c r="L56" s="9">
        <f>Raw!L57/Raw!$C57</f>
        <v>0</v>
      </c>
      <c r="M56" s="9">
        <f>Raw!M57/Raw!$C57</f>
        <v>0</v>
      </c>
      <c r="N56" s="9">
        <f>Raw!N57/Raw!$C57</f>
        <v>0</v>
      </c>
      <c r="O56" s="9">
        <f>Raw!O57/Raw!$C57</f>
        <v>0</v>
      </c>
      <c r="P56" s="9">
        <f>Raw!P57/Raw!$C57</f>
        <v>0</v>
      </c>
      <c r="Q56" s="9">
        <f>Raw!Q57/Raw!$C57</f>
        <v>0</v>
      </c>
      <c r="R56" s="9">
        <f>Raw!R57/Raw!$C57</f>
        <v>0</v>
      </c>
      <c r="S56" s="9">
        <f>Raw!S57/Raw!$C57</f>
        <v>0</v>
      </c>
      <c r="T56" s="9">
        <f>Raw!T57/Raw!$C57</f>
        <v>0</v>
      </c>
      <c r="U56" s="9">
        <f>Raw!U57/Raw!$C57</f>
        <v>0</v>
      </c>
      <c r="V56" s="9">
        <f>Raw!V57/Raw!$C57</f>
        <v>0</v>
      </c>
      <c r="W56" s="9">
        <f>Raw!W57/Raw!$C57</f>
        <v>0</v>
      </c>
      <c r="X56" s="9">
        <f>Raw!X57/Raw!$C57</f>
        <v>297.22222222222223</v>
      </c>
      <c r="Y56" s="9">
        <f>Raw!Y57/Raw!$C57</f>
        <v>13.666666666666668</v>
      </c>
      <c r="Z56" s="9">
        <f>Raw!Z57/Raw!$C57</f>
        <v>0</v>
      </c>
      <c r="AA56" s="9">
        <f>Raw!AA57/Raw!$C57</f>
        <v>0</v>
      </c>
      <c r="AB56" s="9">
        <f>Raw!AB57/Raw!$C57</f>
        <v>0</v>
      </c>
      <c r="AC56" s="9">
        <f>Raw!AC57/Raw!$C57</f>
        <v>0</v>
      </c>
      <c r="AD56" s="9">
        <f>Raw!AD57/Raw!$C57</f>
        <v>0</v>
      </c>
      <c r="AE56" s="9">
        <f>Raw!AE57/Raw!$C57</f>
        <v>0</v>
      </c>
      <c r="AF56" s="9">
        <f>Raw!AF57/Raw!$C57</f>
        <v>0</v>
      </c>
      <c r="AG56" s="9">
        <f>Raw!AG57/Raw!$C57</f>
        <v>0</v>
      </c>
      <c r="AH56" s="9">
        <f>Raw!AH57/Raw!$C57</f>
        <v>2.7777777777777777</v>
      </c>
      <c r="AI56" s="9">
        <f>Raw!AI57/Raw!$C57</f>
        <v>0.11111111111111112</v>
      </c>
      <c r="AJ56" s="9">
        <f>Raw!AJ57/Raw!$C57</f>
        <v>2.7777777777777777</v>
      </c>
      <c r="AK56" s="9">
        <f>Raw!AK57/Raw!$C57</f>
        <v>2.777777777777778E-2</v>
      </c>
      <c r="AL56" s="9">
        <f>Raw!AL57/Raw!$C57</f>
        <v>0</v>
      </c>
      <c r="AM56" s="9">
        <f>Raw!AM57/Raw!$C57</f>
        <v>0</v>
      </c>
      <c r="AN56" s="9">
        <f>Raw!AN57/Raw!$C57</f>
        <v>0</v>
      </c>
      <c r="AO56" s="9">
        <f>Raw!AO57/Raw!$C57</f>
        <v>0</v>
      </c>
      <c r="AP56" s="9">
        <f>Raw!AP57/Raw!$C57</f>
        <v>0</v>
      </c>
      <c r="AQ56" s="9">
        <f>Raw!AQ57/Raw!$C57</f>
        <v>0</v>
      </c>
      <c r="AR56" s="9">
        <f>Raw!AR57/Raw!$C57</f>
        <v>0</v>
      </c>
      <c r="AS56" s="9">
        <f>Raw!AS57/Raw!$C57</f>
        <v>0</v>
      </c>
      <c r="AT56" s="9">
        <f>Raw!AT57/Raw!$C57</f>
        <v>5.5555555555555554</v>
      </c>
      <c r="AU56" s="9">
        <f>Raw!AU57/Raw!$C57</f>
        <v>0.1388888888888889</v>
      </c>
      <c r="AV56" s="9">
        <f>Raw!AV57/Raw!$C57</f>
        <v>0</v>
      </c>
      <c r="AW56" s="9">
        <f>Raw!AW57/Raw!$C57</f>
        <v>0</v>
      </c>
      <c r="AX56" s="9">
        <f>Raw!AX57/Raw!$C57</f>
        <v>0</v>
      </c>
      <c r="AY56" s="9">
        <f>Raw!AY57/Raw!$C57</f>
        <v>0</v>
      </c>
      <c r="AZ56" s="9">
        <f>Raw!AZ57/Raw!$C57</f>
        <v>0</v>
      </c>
      <c r="BA56" s="9">
        <f>Raw!BA57/Raw!$C57</f>
        <v>0</v>
      </c>
      <c r="BB56" s="9">
        <f>Raw!BB57/Raw!$C57</f>
        <v>0</v>
      </c>
      <c r="BC56" s="9">
        <f>Raw!BC57/Raw!$C57</f>
        <v>0</v>
      </c>
      <c r="BD56" s="9">
        <f>Raw!BD57/Raw!$C57</f>
        <v>0</v>
      </c>
      <c r="BE56" s="9">
        <f>Raw!BE57/Raw!$C57</f>
        <v>0</v>
      </c>
      <c r="BF56" s="9">
        <f>Raw!BF57/Raw!$C57</f>
        <v>0</v>
      </c>
      <c r="BG56" s="9">
        <f>Raw!BG57/Raw!$C57</f>
        <v>0</v>
      </c>
      <c r="BH56" s="9">
        <f>Raw!BH57/Raw!$C57</f>
        <v>0</v>
      </c>
      <c r="BI56" s="9">
        <f>Raw!BI57/Raw!$C57</f>
        <v>0</v>
      </c>
      <c r="BJ56" s="9">
        <f>Raw!BJ57/Raw!$C57</f>
        <v>0</v>
      </c>
      <c r="BK56" s="9">
        <f>Raw!BK57/Raw!$C57</f>
        <v>0</v>
      </c>
      <c r="BL56" s="9">
        <f>Raw!BL57/Raw!$C57</f>
        <v>0</v>
      </c>
      <c r="BM56" s="9">
        <f>Raw!BM57/Raw!$C57</f>
        <v>0</v>
      </c>
      <c r="BN56" s="9">
        <f>Raw!BN57/Raw!$C57</f>
        <v>0</v>
      </c>
      <c r="BO56" s="9">
        <f>Raw!BO57/Raw!$C57</f>
        <v>0</v>
      </c>
      <c r="BP56" s="9">
        <f>Raw!BP57/Raw!$C57</f>
        <v>0</v>
      </c>
      <c r="BQ56" s="9">
        <f>Raw!BQ57/Raw!$C57</f>
        <v>0</v>
      </c>
      <c r="BR56" s="9">
        <f>Raw!BR57/Raw!$C57</f>
        <v>0</v>
      </c>
      <c r="BS56" s="9">
        <f>Raw!BS57/Raw!$C57</f>
        <v>0</v>
      </c>
      <c r="BT56" s="9">
        <f>Raw!BT57/Raw!$C57</f>
        <v>0</v>
      </c>
      <c r="BU56" s="9">
        <f>Raw!BU57/Raw!$C57</f>
        <v>0</v>
      </c>
      <c r="BV56" s="9">
        <f>Raw!BV57/Raw!$C57</f>
        <v>0</v>
      </c>
      <c r="BW56" s="9">
        <f>Raw!BW57/Raw!$C57</f>
        <v>0</v>
      </c>
      <c r="BX56" s="9">
        <f>Raw!BX57/Raw!$C57</f>
        <v>0</v>
      </c>
      <c r="BY56" s="9">
        <f>Raw!BY57/Raw!$C57</f>
        <v>0</v>
      </c>
      <c r="BZ56" s="9">
        <f>Raw!BZ57/Raw!$C57</f>
        <v>0</v>
      </c>
      <c r="CA56" s="9">
        <f>Raw!CA57/Raw!$C57</f>
        <v>0</v>
      </c>
      <c r="CB56" s="9">
        <f>Raw!CB57/Raw!$C57</f>
        <v>0</v>
      </c>
      <c r="CC56" s="9">
        <f>Raw!CC57/Raw!$C57</f>
        <v>0</v>
      </c>
      <c r="CD56" s="9">
        <f>Raw!CD57/Raw!$C57</f>
        <v>0</v>
      </c>
      <c r="CE56" s="9">
        <f>Raw!CE57/Raw!$C57</f>
        <v>0</v>
      </c>
      <c r="CF56" s="9">
        <f>Raw!CF57/Raw!$C57</f>
        <v>0</v>
      </c>
      <c r="CG56" s="9">
        <f>Raw!CG57/Raw!$C57</f>
        <v>0</v>
      </c>
      <c r="CH56" s="9">
        <f>Raw!CH57/Raw!$C57</f>
        <v>0</v>
      </c>
      <c r="CI56" s="9">
        <f>Raw!CI57/Raw!$C57</f>
        <v>0</v>
      </c>
      <c r="CJ56" s="9">
        <f>Raw!CJ57/Raw!$C57</f>
        <v>0</v>
      </c>
      <c r="CK56" s="9">
        <f>Raw!CK57/Raw!$C57</f>
        <v>0</v>
      </c>
      <c r="CL56" s="9">
        <f>Raw!CL57/Raw!$C57</f>
        <v>0</v>
      </c>
      <c r="CM56" s="9">
        <f>Raw!CM57/Raw!$C57</f>
        <v>0</v>
      </c>
      <c r="CN56" s="9">
        <f>Raw!CN57/Raw!$C57</f>
        <v>0</v>
      </c>
      <c r="CO56" s="9">
        <f>Raw!CO57/Raw!$C57</f>
        <v>0</v>
      </c>
      <c r="CP56" s="9">
        <f>Raw!CP57/Raw!$C57</f>
        <v>0</v>
      </c>
      <c r="CQ56" s="9">
        <f>Raw!CQ57/Raw!$C57</f>
        <v>0</v>
      </c>
      <c r="CR56" s="2">
        <f t="shared" si="8"/>
        <v>413.88888888888886</v>
      </c>
      <c r="CS56" s="2">
        <f t="shared" si="9"/>
        <v>15.27777777777778</v>
      </c>
      <c r="CT56" s="3">
        <f t="shared" si="23"/>
        <v>2.6168837676449868</v>
      </c>
      <c r="CU56" s="3">
        <f t="shared" si="24"/>
        <v>1.1840601887269566</v>
      </c>
      <c r="CV56" s="3"/>
      <c r="CW56" s="3"/>
      <c r="CX56" s="3"/>
      <c r="CY56" s="3"/>
      <c r="CZ56" s="3">
        <f t="shared" si="28"/>
        <v>2.6168837676449868</v>
      </c>
      <c r="DA56" s="3">
        <f t="shared" si="29"/>
        <v>1.1840601887269566</v>
      </c>
      <c r="DB56" s="6">
        <f t="shared" si="30"/>
        <v>1.6660636861181775</v>
      </c>
      <c r="DC56" s="3">
        <v>5</v>
      </c>
      <c r="DD56" s="3">
        <f>DC56/Raw!C57</f>
        <v>13.888888888888889</v>
      </c>
      <c r="DE56" s="5">
        <f t="shared" si="17"/>
        <v>1.2080536912751679E-2</v>
      </c>
      <c r="DF56">
        <f t="shared" si="18"/>
        <v>-1.917913763308968</v>
      </c>
      <c r="DH56" s="4">
        <f>-SUM('Shannon-Weiner'!B55:Z55)</f>
        <v>0.71128017360890528</v>
      </c>
      <c r="DI56" s="4">
        <f>SUM('p^2'!B58:Z58)</f>
        <v>0.40260426994513854</v>
      </c>
      <c r="DJ56" s="4">
        <f t="shared" si="31"/>
        <v>0.59739573005486146</v>
      </c>
      <c r="DK56">
        <f t="shared" si="32"/>
        <v>2.4838285995731404</v>
      </c>
      <c r="DL56" s="4">
        <f>SUM('Shannon-Weiner_B'!B58:Z58)</f>
        <v>-1.0868695934492458</v>
      </c>
      <c r="DM56" s="4">
        <f>SUM('p_B^2'!B58:Z58)</f>
        <v>0.39324755883754536</v>
      </c>
      <c r="DN56" s="4">
        <f t="shared" si="33"/>
        <v>0.60675244116245464</v>
      </c>
      <c r="DO56">
        <f t="shared" si="34"/>
        <v>2.5429274194505815</v>
      </c>
    </row>
    <row r="57" spans="1:119" x14ac:dyDescent="0.25">
      <c r="B57" s="13" t="s">
        <v>149</v>
      </c>
      <c r="C57">
        <v>1</v>
      </c>
      <c r="D57" s="9">
        <f>Raw!D58/Raw!$C58</f>
        <v>102.77777777777779</v>
      </c>
      <c r="E57" s="9">
        <f>Raw!E58/Raw!$C58</f>
        <v>10.722222222222221</v>
      </c>
      <c r="F57" s="9">
        <f>Raw!F58/Raw!$C58</f>
        <v>0</v>
      </c>
      <c r="G57" s="9">
        <f>Raw!G58/Raw!$C58</f>
        <v>0</v>
      </c>
      <c r="H57" s="9">
        <f>Raw!H58/Raw!$C58</f>
        <v>0</v>
      </c>
      <c r="I57" s="9">
        <f>Raw!I58/Raw!$C58</f>
        <v>0</v>
      </c>
      <c r="J57" s="9">
        <f>Raw!J58/Raw!$C58</f>
        <v>0</v>
      </c>
      <c r="K57" s="9">
        <f>Raw!K58/Raw!$C58</f>
        <v>0</v>
      </c>
      <c r="L57" s="9">
        <f>Raw!L58/Raw!$C58</f>
        <v>0</v>
      </c>
      <c r="M57" s="9">
        <f>Raw!M58/Raw!$C58</f>
        <v>0</v>
      </c>
      <c r="N57" s="9">
        <f>Raw!N58/Raw!$C58</f>
        <v>0</v>
      </c>
      <c r="O57" s="9">
        <f>Raw!O58/Raw!$C58</f>
        <v>0</v>
      </c>
      <c r="P57" s="9">
        <f>Raw!P58/Raw!$C58</f>
        <v>0</v>
      </c>
      <c r="Q57" s="9">
        <f>Raw!Q58/Raw!$C58</f>
        <v>0</v>
      </c>
      <c r="R57" s="9">
        <f>Raw!R58/Raw!$C58</f>
        <v>0</v>
      </c>
      <c r="S57" s="9">
        <f>Raw!S58/Raw!$C58</f>
        <v>0</v>
      </c>
      <c r="T57" s="9">
        <f>Raw!T58/Raw!$C58</f>
        <v>0</v>
      </c>
      <c r="U57" s="9">
        <f>Raw!U58/Raw!$C58</f>
        <v>0</v>
      </c>
      <c r="V57" s="9">
        <f>Raw!V58/Raw!$C58</f>
        <v>0</v>
      </c>
      <c r="W57" s="9">
        <f>Raw!W58/Raw!$C58</f>
        <v>0</v>
      </c>
      <c r="X57" s="9">
        <f>Raw!X58/Raw!$C58</f>
        <v>358.33333333333337</v>
      </c>
      <c r="Y57" s="9">
        <f>Raw!Y58/Raw!$C58</f>
        <v>23.583333333333336</v>
      </c>
      <c r="Z57" s="9">
        <f>Raw!Z58/Raw!$C58</f>
        <v>0</v>
      </c>
      <c r="AA57" s="9">
        <f>Raw!AA58/Raw!$C58</f>
        <v>0</v>
      </c>
      <c r="AB57" s="9">
        <f>Raw!AB58/Raw!$C58</f>
        <v>0</v>
      </c>
      <c r="AC57" s="9">
        <f>Raw!AC58/Raw!$C58</f>
        <v>0</v>
      </c>
      <c r="AD57" s="9">
        <f>Raw!AD58/Raw!$C58</f>
        <v>0</v>
      </c>
      <c r="AE57" s="9">
        <f>Raw!AE58/Raw!$C58</f>
        <v>0</v>
      </c>
      <c r="AF57" s="9">
        <f>Raw!AF58/Raw!$C58</f>
        <v>0</v>
      </c>
      <c r="AG57" s="9">
        <f>Raw!AG58/Raw!$C58</f>
        <v>0</v>
      </c>
      <c r="AH57" s="9">
        <f>Raw!AH58/Raw!$C58</f>
        <v>25</v>
      </c>
      <c r="AI57" s="9">
        <f>Raw!AI58/Raw!$C58</f>
        <v>35.611111111111114</v>
      </c>
      <c r="AJ57" s="9">
        <f>Raw!AJ58/Raw!$C58</f>
        <v>0</v>
      </c>
      <c r="AK57" s="9">
        <f>Raw!AK58/Raw!$C58</f>
        <v>0</v>
      </c>
      <c r="AL57" s="9">
        <f>Raw!AL58/Raw!$C58</f>
        <v>0</v>
      </c>
      <c r="AM57" s="9">
        <f>Raw!AM58/Raw!$C58</f>
        <v>0</v>
      </c>
      <c r="AN57" s="9">
        <f>Raw!AN58/Raw!$C58</f>
        <v>0</v>
      </c>
      <c r="AO57" s="9">
        <f>Raw!AO58/Raw!$C58</f>
        <v>0</v>
      </c>
      <c r="AP57" s="9">
        <f>Raw!AP58/Raw!$C58</f>
        <v>0</v>
      </c>
      <c r="AQ57" s="9">
        <f>Raw!AQ58/Raw!$C58</f>
        <v>0</v>
      </c>
      <c r="AR57" s="9">
        <f>Raw!AR58/Raw!$C58</f>
        <v>0</v>
      </c>
      <c r="AS57" s="9">
        <f>Raw!AS58/Raw!$C58</f>
        <v>0</v>
      </c>
      <c r="AT57" s="9">
        <f>Raw!AT58/Raw!$C58</f>
        <v>8.3333333333333339</v>
      </c>
      <c r="AU57" s="9">
        <f>Raw!AU58/Raw!$C58</f>
        <v>4.2222222222222223</v>
      </c>
      <c r="AV57" s="9">
        <f>Raw!AV58/Raw!$C58</f>
        <v>0</v>
      </c>
      <c r="AW57" s="9">
        <f>Raw!AW58/Raw!$C58</f>
        <v>0</v>
      </c>
      <c r="AX57" s="9">
        <f>Raw!AX58/Raw!$C58</f>
        <v>0</v>
      </c>
      <c r="AY57" s="9">
        <f>Raw!AY58/Raw!$C58</f>
        <v>0</v>
      </c>
      <c r="AZ57" s="9">
        <f>Raw!AZ58/Raw!$C58</f>
        <v>0</v>
      </c>
      <c r="BA57" s="9">
        <f>Raw!BA58/Raw!$C58</f>
        <v>0</v>
      </c>
      <c r="BB57" s="9">
        <f>Raw!BB58/Raw!$C58</f>
        <v>0</v>
      </c>
      <c r="BC57" s="9">
        <f>Raw!BC58/Raw!$C58</f>
        <v>0</v>
      </c>
      <c r="BD57" s="9">
        <f>Raw!BD58/Raw!$C58</f>
        <v>0</v>
      </c>
      <c r="BE57" s="9">
        <f>Raw!BE58/Raw!$C58</f>
        <v>0</v>
      </c>
      <c r="BF57" s="9">
        <f>Raw!BF58/Raw!$C58</f>
        <v>0</v>
      </c>
      <c r="BG57" s="9">
        <f>Raw!BG58/Raw!$C58</f>
        <v>0</v>
      </c>
      <c r="BH57" s="9">
        <f>Raw!BH58/Raw!$C58</f>
        <v>0</v>
      </c>
      <c r="BI57" s="9">
        <f>Raw!BI58/Raw!$C58</f>
        <v>0</v>
      </c>
      <c r="BJ57" s="9">
        <f>Raw!BJ58/Raw!$C58</f>
        <v>0</v>
      </c>
      <c r="BK57" s="9">
        <f>Raw!BK58/Raw!$C58</f>
        <v>0</v>
      </c>
      <c r="BL57" s="9">
        <f>Raw!BL58/Raw!$C58</f>
        <v>0</v>
      </c>
      <c r="BM57" s="9">
        <f>Raw!BM58/Raw!$C58</f>
        <v>0</v>
      </c>
      <c r="BN57" s="9">
        <f>Raw!BN58/Raw!$C58</f>
        <v>0</v>
      </c>
      <c r="BO57" s="9">
        <f>Raw!BO58/Raw!$C58</f>
        <v>0</v>
      </c>
      <c r="BP57" s="9">
        <f>Raw!BP58/Raw!$C58</f>
        <v>0</v>
      </c>
      <c r="BQ57" s="9">
        <f>Raw!BQ58/Raw!$C58</f>
        <v>0</v>
      </c>
      <c r="BR57" s="9">
        <f>Raw!BR58/Raw!$C58</f>
        <v>0</v>
      </c>
      <c r="BS57" s="9">
        <f>Raw!BS58/Raw!$C58</f>
        <v>0</v>
      </c>
      <c r="BT57" s="9">
        <f>Raw!BT58/Raw!$C58</f>
        <v>0</v>
      </c>
      <c r="BU57" s="9">
        <f>Raw!BU58/Raw!$C58</f>
        <v>0</v>
      </c>
      <c r="BV57" s="9">
        <f>Raw!BV58/Raw!$C58</f>
        <v>0</v>
      </c>
      <c r="BW57" s="9">
        <f>Raw!BW58/Raw!$C58</f>
        <v>0</v>
      </c>
      <c r="BX57" s="9">
        <f>Raw!BX58/Raw!$C58</f>
        <v>0</v>
      </c>
      <c r="BY57" s="9">
        <f>Raw!BY58/Raw!$C58</f>
        <v>0</v>
      </c>
      <c r="BZ57" s="9">
        <f>Raw!BZ58/Raw!$C58</f>
        <v>0</v>
      </c>
      <c r="CA57" s="9">
        <f>Raw!CA58/Raw!$C58</f>
        <v>0</v>
      </c>
      <c r="CB57" s="9">
        <f>Raw!CB58/Raw!$C58</f>
        <v>0</v>
      </c>
      <c r="CC57" s="9">
        <f>Raw!CC58/Raw!$C58</f>
        <v>0</v>
      </c>
      <c r="CD57" s="9">
        <f>Raw!CD58/Raw!$C58</f>
        <v>0</v>
      </c>
      <c r="CE57" s="9">
        <f>Raw!CE58/Raw!$C58</f>
        <v>0</v>
      </c>
      <c r="CF57" s="9">
        <f>Raw!CF58/Raw!$C58</f>
        <v>0</v>
      </c>
      <c r="CG57" s="9">
        <f>Raw!CG58/Raw!$C58</f>
        <v>0</v>
      </c>
      <c r="CH57" s="9">
        <f>Raw!CH58/Raw!$C58</f>
        <v>0</v>
      </c>
      <c r="CI57" s="9">
        <f>Raw!CI58/Raw!$C58</f>
        <v>0</v>
      </c>
      <c r="CJ57" s="9">
        <f>Raw!CJ58/Raw!$C58</f>
        <v>0</v>
      </c>
      <c r="CK57" s="9">
        <f>Raw!CK58/Raw!$C58</f>
        <v>0</v>
      </c>
      <c r="CL57" s="9">
        <f>Raw!CL58/Raw!$C58</f>
        <v>0</v>
      </c>
      <c r="CM57" s="9">
        <f>Raw!CM58/Raw!$C58</f>
        <v>0</v>
      </c>
      <c r="CN57" s="9">
        <f>Raw!CN58/Raw!$C58</f>
        <v>0</v>
      </c>
      <c r="CO57" s="9">
        <f>Raw!CO58/Raw!$C58</f>
        <v>0</v>
      </c>
      <c r="CP57" s="9">
        <f>Raw!CP58/Raw!$C58</f>
        <v>0</v>
      </c>
      <c r="CQ57" s="9">
        <f>Raw!CQ58/Raw!$C58</f>
        <v>0</v>
      </c>
      <c r="CR57" s="2">
        <f t="shared" si="8"/>
        <v>494.44444444444446</v>
      </c>
      <c r="CS57" s="2">
        <f t="shared" si="9"/>
        <v>74.1388888888889</v>
      </c>
      <c r="CT57" s="3">
        <f t="shared" ref="CT57" si="35">LOG10(CR57)</f>
        <v>2.6941175015416068</v>
      </c>
      <c r="CU57" s="3">
        <f t="shared" ref="CU57" si="36">LOG10(CS57)</f>
        <v>1.8700460730202204</v>
      </c>
      <c r="CV57" s="3"/>
      <c r="CW57" s="3"/>
      <c r="CX57" s="3"/>
      <c r="CY57" s="3"/>
      <c r="CZ57" s="3">
        <f t="shared" si="28"/>
        <v>2.6941175015416068</v>
      </c>
      <c r="DA57" s="3">
        <f t="shared" si="29"/>
        <v>1.8700460730202204</v>
      </c>
      <c r="DB57" s="6">
        <f t="shared" si="30"/>
        <v>1.2460761841794208</v>
      </c>
      <c r="DC57" s="3">
        <v>4</v>
      </c>
      <c r="DD57" s="3">
        <f>DC57/Raw!C58</f>
        <v>11.111111111111111</v>
      </c>
      <c r="DE57" s="5">
        <f t="shared" si="17"/>
        <v>8.0898876404494387E-3</v>
      </c>
      <c r="DF57">
        <f t="shared" si="18"/>
        <v>-2.0920575102136443</v>
      </c>
      <c r="DH57" s="4">
        <f>-SUM('Shannon-Weiner'!B56:Z56)</f>
        <v>0.77958905033409454</v>
      </c>
      <c r="DI57" s="4">
        <f>SUM('p^2'!B59:Z59)</f>
        <v>0.58436148053196602</v>
      </c>
      <c r="DJ57" s="4">
        <f t="shared" si="31"/>
        <v>0.41563851946803398</v>
      </c>
      <c r="DK57">
        <f t="shared" si="32"/>
        <v>1.7112695366054291</v>
      </c>
      <c r="DL57" s="4">
        <f>SUM('Shannon-Weiner_B'!B59:Z59)</f>
        <v>-1.2897330097142177</v>
      </c>
      <c r="DM57" s="4">
        <f>SUM('p_B^2'!B59:Z59)</f>
        <v>0.29348285254310053</v>
      </c>
      <c r="DN57" s="4">
        <f t="shared" si="33"/>
        <v>0.70651714745689942</v>
      </c>
      <c r="DO57">
        <f t="shared" si="34"/>
        <v>3.4073540969591782</v>
      </c>
    </row>
    <row r="58" spans="1:119" x14ac:dyDescent="0.25">
      <c r="B58" t="str">
        <f>Raw!B59</f>
        <v>TB1</v>
      </c>
      <c r="C58">
        <v>1</v>
      </c>
      <c r="D58" s="9">
        <f>Raw!D59/Raw!$C59</f>
        <v>831.24999999999989</v>
      </c>
      <c r="E58" s="9">
        <f>Raw!E59/Raw!$C59</f>
        <v>122.24999999999997</v>
      </c>
      <c r="F58" s="9">
        <f>Raw!F59/Raw!$C59</f>
        <v>0</v>
      </c>
      <c r="G58" s="9">
        <f>Raw!G59/Raw!$C59</f>
        <v>0</v>
      </c>
      <c r="H58" s="9">
        <f>Raw!H59/Raw!$C59</f>
        <v>0</v>
      </c>
      <c r="I58" s="9">
        <f>Raw!I59/Raw!$C59</f>
        <v>0</v>
      </c>
      <c r="J58" s="9">
        <f>Raw!J59/Raw!$C59</f>
        <v>0</v>
      </c>
      <c r="K58" s="9">
        <f>Raw!K59/Raw!$C59</f>
        <v>0</v>
      </c>
      <c r="L58" s="9">
        <f>Raw!L59/Raw!$C59</f>
        <v>0</v>
      </c>
      <c r="M58" s="9">
        <f>Raw!M59/Raw!$C59</f>
        <v>0</v>
      </c>
      <c r="N58" s="9">
        <f>Raw!N59/Raw!$C59</f>
        <v>62.499999999999986</v>
      </c>
      <c r="O58" s="9">
        <f>Raw!O59/Raw!$C59</f>
        <v>22.187499999999993</v>
      </c>
      <c r="P58" s="9">
        <f>Raw!P59/Raw!$C59</f>
        <v>0</v>
      </c>
      <c r="Q58" s="9">
        <f>Raw!Q59/Raw!$C59</f>
        <v>0</v>
      </c>
      <c r="R58" s="9">
        <f>Raw!R59/Raw!$C59</f>
        <v>0</v>
      </c>
      <c r="S58" s="9">
        <f>Raw!S59/Raw!$C59</f>
        <v>0</v>
      </c>
      <c r="T58" s="9">
        <f>Raw!T59/Raw!$C59</f>
        <v>0</v>
      </c>
      <c r="U58" s="9">
        <f>Raw!U59/Raw!$C59</f>
        <v>0</v>
      </c>
      <c r="V58" s="9">
        <f>Raw!V59/Raw!$C59</f>
        <v>0</v>
      </c>
      <c r="W58" s="9">
        <f>Raw!W59/Raw!$C59</f>
        <v>0</v>
      </c>
      <c r="X58" s="9">
        <f>Raw!X59/Raw!$C59</f>
        <v>93.749999999999986</v>
      </c>
      <c r="Y58" s="9">
        <f>Raw!Y59/Raw!$C59</f>
        <v>7.1874999999999982</v>
      </c>
      <c r="Z58" s="9">
        <f>Raw!Z59/Raw!$C59</f>
        <v>0</v>
      </c>
      <c r="AA58" s="9">
        <f>Raw!AA59/Raw!$C59</f>
        <v>0</v>
      </c>
      <c r="AB58" s="9">
        <f>Raw!AB59/Raw!$C59</f>
        <v>0</v>
      </c>
      <c r="AC58" s="9">
        <f>Raw!AC59/Raw!$C59</f>
        <v>0</v>
      </c>
      <c r="AD58" s="9">
        <f>Raw!AD59/Raw!$C59</f>
        <v>0</v>
      </c>
      <c r="AE58" s="9">
        <f>Raw!AE59/Raw!$C59</f>
        <v>0</v>
      </c>
      <c r="AF58" s="9">
        <f>Raw!AF59/Raw!$C59</f>
        <v>0</v>
      </c>
      <c r="AG58" s="9">
        <f>Raw!AG59/Raw!$C59</f>
        <v>0</v>
      </c>
      <c r="AH58" s="9">
        <f>Raw!AH59/Raw!$C59</f>
        <v>0</v>
      </c>
      <c r="AI58" s="9">
        <f>Raw!AI59/Raw!$C59</f>
        <v>0</v>
      </c>
      <c r="AJ58" s="9">
        <f>Raw!AJ59/Raw!$C59</f>
        <v>6.2499999999999991</v>
      </c>
      <c r="AK58" s="9">
        <f>Raw!AK59/Raw!$C59</f>
        <v>4.4999999999999991</v>
      </c>
      <c r="AL58" s="9">
        <f>Raw!AL59/Raw!$C59</f>
        <v>299.99999999999994</v>
      </c>
      <c r="AM58" s="9">
        <f>Raw!AM59/Raw!$C59</f>
        <v>173.87499999999997</v>
      </c>
      <c r="AN58" s="9">
        <f>Raw!AN59/Raw!$C59</f>
        <v>0</v>
      </c>
      <c r="AO58" s="9">
        <f>Raw!AO59/Raw!$C59</f>
        <v>0</v>
      </c>
      <c r="AP58" s="9">
        <f>Raw!AP59/Raw!$C59</f>
        <v>0</v>
      </c>
      <c r="AQ58" s="9">
        <f>Raw!AQ59/Raw!$C59</f>
        <v>0</v>
      </c>
      <c r="AR58" s="9">
        <f>Raw!AR59/Raw!$C59</f>
        <v>0</v>
      </c>
      <c r="AS58" s="9">
        <f>Raw!AS59/Raw!$C59</f>
        <v>0</v>
      </c>
      <c r="AT58" s="9">
        <f>Raw!AT59/Raw!$C59</f>
        <v>0</v>
      </c>
      <c r="AU58" s="9">
        <f>Raw!AU59/Raw!$C59</f>
        <v>0</v>
      </c>
      <c r="AV58" s="9">
        <f>Raw!AV59/Raw!$C59</f>
        <v>0</v>
      </c>
      <c r="AW58" s="9">
        <f>Raw!AW59/Raw!$C59</f>
        <v>0</v>
      </c>
      <c r="AX58" s="9">
        <f>Raw!AX59/Raw!$C59</f>
        <v>0</v>
      </c>
      <c r="AY58" s="9">
        <f>Raw!AY59/Raw!$C59</f>
        <v>0</v>
      </c>
      <c r="AZ58" s="9">
        <f>Raw!AZ59/Raw!$C59</f>
        <v>0</v>
      </c>
      <c r="BA58" s="9">
        <f>Raw!BA59/Raw!$C59</f>
        <v>0</v>
      </c>
      <c r="BB58" s="9">
        <f>Raw!BB59/Raw!$C59</f>
        <v>0</v>
      </c>
      <c r="BC58" s="9">
        <f>Raw!BC59/Raw!$C59</f>
        <v>0</v>
      </c>
      <c r="BD58" s="9">
        <f>Raw!BD59/Raw!$C59</f>
        <v>0</v>
      </c>
      <c r="BE58" s="9">
        <f>Raw!BE59/Raw!$C59</f>
        <v>0</v>
      </c>
      <c r="BF58" s="9">
        <f>Raw!BF59/Raw!$C59</f>
        <v>0</v>
      </c>
      <c r="BG58" s="9">
        <f>Raw!BG59/Raw!$C59</f>
        <v>0</v>
      </c>
      <c r="BH58" s="9">
        <f>Raw!BH59/Raw!$C59</f>
        <v>0</v>
      </c>
      <c r="BI58" s="9">
        <f>Raw!BI59/Raw!$C59</f>
        <v>0</v>
      </c>
      <c r="BJ58" s="9">
        <f>Raw!BJ59/Raw!$C59</f>
        <v>0</v>
      </c>
      <c r="BK58" s="9">
        <f>Raw!BK59/Raw!$C59</f>
        <v>0</v>
      </c>
      <c r="BL58" s="9">
        <f>Raw!BL59/Raw!$C59</f>
        <v>0</v>
      </c>
      <c r="BM58" s="9">
        <f>Raw!BM59/Raw!$C59</f>
        <v>0</v>
      </c>
      <c r="BN58" s="9">
        <f>Raw!BN59/Raw!$C59</f>
        <v>0</v>
      </c>
      <c r="BO58" s="9">
        <f>Raw!BO59/Raw!$C59</f>
        <v>0</v>
      </c>
      <c r="BP58" s="9">
        <f>Raw!BP59/Raw!$C59</f>
        <v>0</v>
      </c>
      <c r="BQ58" s="9">
        <f>Raw!BQ59/Raw!$C59</f>
        <v>0</v>
      </c>
      <c r="BR58" s="9">
        <f>Raw!BR59/Raw!$C59</f>
        <v>0</v>
      </c>
      <c r="BS58" s="9">
        <f>Raw!BS59/Raw!$C59</f>
        <v>0</v>
      </c>
      <c r="BT58" s="9">
        <f>Raw!BT59/Raw!$C59</f>
        <v>0</v>
      </c>
      <c r="BU58" s="9">
        <f>Raw!BU59/Raw!$C59</f>
        <v>0</v>
      </c>
      <c r="BV58" s="9">
        <f>Raw!BV59/Raw!$C59</f>
        <v>0</v>
      </c>
      <c r="BW58" s="9">
        <f>Raw!BW59/Raw!$C59</f>
        <v>0</v>
      </c>
      <c r="BX58" s="9">
        <f>Raw!BX59/Raw!$C59</f>
        <v>0</v>
      </c>
      <c r="BY58" s="9">
        <f>Raw!BY59/Raw!$C59</f>
        <v>0</v>
      </c>
      <c r="BZ58" s="9">
        <f>Raw!BZ59/Raw!$C59</f>
        <v>0</v>
      </c>
      <c r="CA58" s="9">
        <f>Raw!CA59/Raw!$C59</f>
        <v>0</v>
      </c>
      <c r="CB58" s="9">
        <f>Raw!CB59/Raw!$C59</f>
        <v>0</v>
      </c>
      <c r="CC58" s="9">
        <f>Raw!CC59/Raw!$C59</f>
        <v>0</v>
      </c>
      <c r="CD58" s="9">
        <f>Raw!CD59/Raw!$C59</f>
        <v>0</v>
      </c>
      <c r="CE58" s="9">
        <f>Raw!CE59/Raw!$C59</f>
        <v>0</v>
      </c>
      <c r="CF58" s="9">
        <f>Raw!CF59/Raw!$C59</f>
        <v>0</v>
      </c>
      <c r="CG58" s="9">
        <f>Raw!CG59/Raw!$C59</f>
        <v>0</v>
      </c>
      <c r="CH58" s="9">
        <f>Raw!CH59/Raw!$C59</f>
        <v>0</v>
      </c>
      <c r="CI58" s="9">
        <f>Raw!CI59/Raw!$C59</f>
        <v>0</v>
      </c>
      <c r="CJ58" s="9">
        <f>Raw!CJ59/Raw!$C59</f>
        <v>0</v>
      </c>
      <c r="CK58" s="9">
        <f>Raw!CK59/Raw!$C59</f>
        <v>0</v>
      </c>
      <c r="CL58" s="9">
        <f>Raw!CL59/Raw!$C59</f>
        <v>0</v>
      </c>
      <c r="CM58" s="9">
        <f>Raw!CM59/Raw!$C59</f>
        <v>0</v>
      </c>
      <c r="CN58" s="9">
        <f>Raw!CN59/Raw!$C59</f>
        <v>0</v>
      </c>
      <c r="CO58" s="9">
        <f>Raw!CO59/Raw!$C59</f>
        <v>0</v>
      </c>
      <c r="CP58" s="9">
        <f>Raw!CP59/Raw!$C59</f>
        <v>0</v>
      </c>
      <c r="CQ58" s="9">
        <f>Raw!CQ59/Raw!$C59</f>
        <v>0</v>
      </c>
      <c r="CR58" s="2">
        <f t="shared" si="8"/>
        <v>1293.7499999999998</v>
      </c>
      <c r="CS58" s="2">
        <f t="shared" si="9"/>
        <v>329.99999999999994</v>
      </c>
      <c r="CT58" s="3">
        <f t="shared" ref="CT58:CT91" si="37">LOG10(CR58)</f>
        <v>3.1118503628009928</v>
      </c>
      <c r="CU58" s="3">
        <f t="shared" ref="CU58:CU91" si="38">LOG10(CS58)</f>
        <v>2.5185139398778875</v>
      </c>
      <c r="CV58" s="3"/>
      <c r="CW58" s="3"/>
      <c r="CX58" s="3"/>
      <c r="CY58" s="3"/>
      <c r="CZ58" s="3">
        <f t="shared" si="25"/>
        <v>3.1118503628009928</v>
      </c>
      <c r="DA58" s="3">
        <f t="shared" si="26"/>
        <v>2.5185139398778875</v>
      </c>
      <c r="DB58" s="6">
        <f t="shared" si="27"/>
        <v>0.7819061544948952</v>
      </c>
      <c r="DC58" s="3">
        <v>5</v>
      </c>
      <c r="DD58" s="3">
        <f>DC58/Raw!C59</f>
        <v>31.249999999999993</v>
      </c>
      <c r="DE58" s="5">
        <f t="shared" si="17"/>
        <v>3.864734299516909E-3</v>
      </c>
      <c r="DF58">
        <f t="shared" si="18"/>
        <v>-2.4128803584649741</v>
      </c>
      <c r="DH58" s="4">
        <f>-SUM('Shannon-Weiner'!B57:Z57)</f>
        <v>0.98546909991490705</v>
      </c>
      <c r="DI58" s="4">
        <f>SUM('p^2'!B57:Z57)</f>
        <v>0.47420009801862362</v>
      </c>
      <c r="DJ58" s="4">
        <f t="shared" si="19"/>
        <v>0.52579990198137638</v>
      </c>
      <c r="DK58">
        <f t="shared" si="20"/>
        <v>2.1088144101579798</v>
      </c>
      <c r="DL58" s="4">
        <f>SUM('Shannon-Weiner_B'!B57:Z57)</f>
        <v>-1.0289018015853746</v>
      </c>
      <c r="DM58" s="4">
        <f>SUM('p_B^2'!B57:Z57)</f>
        <v>0.4200346504820936</v>
      </c>
      <c r="DN58" s="4">
        <f t="shared" si="21"/>
        <v>0.57996534951790646</v>
      </c>
      <c r="DO58">
        <f t="shared" si="22"/>
        <v>2.3807559658524666</v>
      </c>
    </row>
    <row r="59" spans="1:119" x14ac:dyDescent="0.25">
      <c r="B59" t="str">
        <f>Raw!B60</f>
        <v>TB2</v>
      </c>
      <c r="C59">
        <v>1</v>
      </c>
      <c r="D59" s="9">
        <f>Raw!D60/Raw!$C60</f>
        <v>431.24999999999994</v>
      </c>
      <c r="E59" s="9">
        <f>Raw!E60/Raw!$C60</f>
        <v>159.62499999999997</v>
      </c>
      <c r="F59" s="9">
        <f>Raw!F60/Raw!$C60</f>
        <v>0</v>
      </c>
      <c r="G59" s="9">
        <f>Raw!G60/Raw!$C60</f>
        <v>0</v>
      </c>
      <c r="H59" s="9">
        <f>Raw!H60/Raw!$C60</f>
        <v>0</v>
      </c>
      <c r="I59" s="9">
        <f>Raw!I60/Raw!$C60</f>
        <v>0</v>
      </c>
      <c r="J59" s="9">
        <f>Raw!J60/Raw!$C60</f>
        <v>0</v>
      </c>
      <c r="K59" s="9">
        <f>Raw!K60/Raw!$C60</f>
        <v>0</v>
      </c>
      <c r="L59" s="9">
        <f>Raw!L60/Raw!$C60</f>
        <v>0</v>
      </c>
      <c r="M59" s="9">
        <f>Raw!M60/Raw!$C60</f>
        <v>0</v>
      </c>
      <c r="N59" s="9">
        <f>Raw!N60/Raw!$C60</f>
        <v>106.24999999999999</v>
      </c>
      <c r="O59" s="9">
        <f>Raw!O60/Raw!$C60</f>
        <v>103.56249999999999</v>
      </c>
      <c r="P59" s="9">
        <f>Raw!P60/Raw!$C60</f>
        <v>0</v>
      </c>
      <c r="Q59" s="9">
        <f>Raw!Q60/Raw!$C60</f>
        <v>0</v>
      </c>
      <c r="R59" s="9">
        <f>Raw!R60/Raw!$C60</f>
        <v>0</v>
      </c>
      <c r="S59" s="9">
        <f>Raw!S60/Raw!$C60</f>
        <v>0</v>
      </c>
      <c r="T59" s="9">
        <f>Raw!T60/Raw!$C60</f>
        <v>0</v>
      </c>
      <c r="U59" s="9">
        <f>Raw!U60/Raw!$C60</f>
        <v>0</v>
      </c>
      <c r="V59" s="9">
        <f>Raw!V60/Raw!$C60</f>
        <v>0</v>
      </c>
      <c r="W59" s="9">
        <f>Raw!W60/Raw!$C60</f>
        <v>0</v>
      </c>
      <c r="X59" s="9">
        <f>Raw!X60/Raw!$C60</f>
        <v>24.999999999999996</v>
      </c>
      <c r="Y59" s="9">
        <f>Raw!Y60/Raw!$C60</f>
        <v>10.187499999999998</v>
      </c>
      <c r="Z59" s="9">
        <f>Raw!Z60/Raw!$C60</f>
        <v>0</v>
      </c>
      <c r="AA59" s="9">
        <f>Raw!AA60/Raw!$C60</f>
        <v>0</v>
      </c>
      <c r="AB59" s="9">
        <f>Raw!AB60/Raw!$C60</f>
        <v>0</v>
      </c>
      <c r="AC59" s="9">
        <f>Raw!AC60/Raw!$C60</f>
        <v>0</v>
      </c>
      <c r="AD59" s="9">
        <f>Raw!AD60/Raw!$C60</f>
        <v>0</v>
      </c>
      <c r="AE59" s="9">
        <f>Raw!AE60/Raw!$C60</f>
        <v>0</v>
      </c>
      <c r="AF59" s="9">
        <f>Raw!AF60/Raw!$C60</f>
        <v>0</v>
      </c>
      <c r="AG59" s="9">
        <f>Raw!AG60/Raw!$C60</f>
        <v>0</v>
      </c>
      <c r="AH59" s="9">
        <f>Raw!AH60/Raw!$C60</f>
        <v>0</v>
      </c>
      <c r="AI59" s="9">
        <f>Raw!AI60/Raw!$C60</f>
        <v>0</v>
      </c>
      <c r="AJ59" s="9">
        <f>Raw!AJ60/Raw!$C60</f>
        <v>6.2499999999999991</v>
      </c>
      <c r="AK59" s="9">
        <f>Raw!AK60/Raw!$C60</f>
        <v>4.0624999999999991</v>
      </c>
      <c r="AL59" s="9">
        <f>Raw!AL60/Raw!$C60</f>
        <v>199.99999999999997</v>
      </c>
      <c r="AM59" s="9">
        <f>Raw!AM60/Raw!$C60</f>
        <v>329.31249999999994</v>
      </c>
      <c r="AN59" s="9">
        <f>Raw!AN60/Raw!$C60</f>
        <v>0</v>
      </c>
      <c r="AO59" s="9">
        <f>Raw!AO60/Raw!$C60</f>
        <v>0</v>
      </c>
      <c r="AP59" s="9">
        <f>Raw!AP60/Raw!$C60</f>
        <v>0</v>
      </c>
      <c r="AQ59" s="9">
        <f>Raw!AQ60/Raw!$C60</f>
        <v>0</v>
      </c>
      <c r="AR59" s="9">
        <f>Raw!AR60/Raw!$C60</f>
        <v>0</v>
      </c>
      <c r="AS59" s="9">
        <f>Raw!AS60/Raw!$C60</f>
        <v>0</v>
      </c>
      <c r="AT59" s="9">
        <f>Raw!AT60/Raw!$C60</f>
        <v>0</v>
      </c>
      <c r="AU59" s="9">
        <f>Raw!AU60/Raw!$C60</f>
        <v>0</v>
      </c>
      <c r="AV59" s="9">
        <f>Raw!AV60/Raw!$C60</f>
        <v>0</v>
      </c>
      <c r="AW59" s="9">
        <f>Raw!AW60/Raw!$C60</f>
        <v>0</v>
      </c>
      <c r="AX59" s="9">
        <f>Raw!AX60/Raw!$C60</f>
        <v>0</v>
      </c>
      <c r="AY59" s="9">
        <f>Raw!AY60/Raw!$C60</f>
        <v>0</v>
      </c>
      <c r="AZ59" s="9">
        <f>Raw!AZ60/Raw!$C60</f>
        <v>0</v>
      </c>
      <c r="BA59" s="9">
        <f>Raw!BA60/Raw!$C60</f>
        <v>0</v>
      </c>
      <c r="BB59" s="9">
        <f>Raw!BB60/Raw!$C60</f>
        <v>0</v>
      </c>
      <c r="BC59" s="9">
        <f>Raw!BC60/Raw!$C60</f>
        <v>0</v>
      </c>
      <c r="BD59" s="9">
        <f>Raw!BD60/Raw!$C60</f>
        <v>0</v>
      </c>
      <c r="BE59" s="9">
        <f>Raw!BE60/Raw!$C60</f>
        <v>0</v>
      </c>
      <c r="BF59" s="9">
        <f>Raw!BF60/Raw!$C60</f>
        <v>0</v>
      </c>
      <c r="BG59" s="9">
        <f>Raw!BG60/Raw!$C60</f>
        <v>0</v>
      </c>
      <c r="BH59" s="9">
        <f>Raw!BH60/Raw!$C60</f>
        <v>0</v>
      </c>
      <c r="BI59" s="9">
        <f>Raw!BI60/Raw!$C60</f>
        <v>0</v>
      </c>
      <c r="BJ59" s="9">
        <f>Raw!BJ60/Raw!$C60</f>
        <v>0</v>
      </c>
      <c r="BK59" s="9">
        <f>Raw!BK60/Raw!$C60</f>
        <v>0</v>
      </c>
      <c r="BL59" s="9">
        <f>Raw!BL60/Raw!$C60</f>
        <v>0</v>
      </c>
      <c r="BM59" s="9">
        <f>Raw!BM60/Raw!$C60</f>
        <v>0</v>
      </c>
      <c r="BN59" s="9">
        <f>Raw!BN60/Raw!$C60</f>
        <v>0</v>
      </c>
      <c r="BO59" s="9">
        <f>Raw!BO60/Raw!$C60</f>
        <v>0</v>
      </c>
      <c r="BP59" s="9">
        <f>Raw!BP60/Raw!$C60</f>
        <v>0</v>
      </c>
      <c r="BQ59" s="9">
        <f>Raw!BQ60/Raw!$C60</f>
        <v>0</v>
      </c>
      <c r="BR59" s="9">
        <f>Raw!BR60/Raw!$C60</f>
        <v>0</v>
      </c>
      <c r="BS59" s="9">
        <f>Raw!BS60/Raw!$C60</f>
        <v>0</v>
      </c>
      <c r="BT59" s="9">
        <f>Raw!BT60/Raw!$C60</f>
        <v>0</v>
      </c>
      <c r="BU59" s="9">
        <f>Raw!BU60/Raw!$C60</f>
        <v>0</v>
      </c>
      <c r="BV59" s="9">
        <f>Raw!BV60/Raw!$C60</f>
        <v>0</v>
      </c>
      <c r="BW59" s="9">
        <f>Raw!BW60/Raw!$C60</f>
        <v>0</v>
      </c>
      <c r="BX59" s="9">
        <f>Raw!BX60/Raw!$C60</f>
        <v>0</v>
      </c>
      <c r="BY59" s="9">
        <f>Raw!BY60/Raw!$C60</f>
        <v>0</v>
      </c>
      <c r="BZ59" s="9">
        <f>Raw!BZ60/Raw!$C60</f>
        <v>0</v>
      </c>
      <c r="CA59" s="9">
        <f>Raw!CA60/Raw!$C60</f>
        <v>0</v>
      </c>
      <c r="CB59" s="9">
        <f>Raw!CB60/Raw!$C60</f>
        <v>0</v>
      </c>
      <c r="CC59" s="9">
        <f>Raw!CC60/Raw!$C60</f>
        <v>0</v>
      </c>
      <c r="CD59" s="9">
        <f>Raw!CD60/Raw!$C60</f>
        <v>0</v>
      </c>
      <c r="CE59" s="9">
        <f>Raw!CE60/Raw!$C60</f>
        <v>0</v>
      </c>
      <c r="CF59" s="9">
        <f>Raw!CF60/Raw!$C60</f>
        <v>0</v>
      </c>
      <c r="CG59" s="9">
        <f>Raw!CG60/Raw!$C60</f>
        <v>0</v>
      </c>
      <c r="CH59" s="9">
        <f>Raw!CH60/Raw!$C60</f>
        <v>0</v>
      </c>
      <c r="CI59" s="9">
        <f>Raw!CI60/Raw!$C60</f>
        <v>0</v>
      </c>
      <c r="CJ59" s="9">
        <f>Raw!CJ60/Raw!$C60</f>
        <v>0</v>
      </c>
      <c r="CK59" s="9">
        <f>Raw!CK60/Raw!$C60</f>
        <v>0</v>
      </c>
      <c r="CL59" s="9">
        <f>Raw!CL60/Raw!$C60</f>
        <v>0</v>
      </c>
      <c r="CM59" s="9">
        <f>Raw!CM60/Raw!$C60</f>
        <v>0</v>
      </c>
      <c r="CN59" s="9">
        <f>Raw!CN60/Raw!$C60</f>
        <v>0</v>
      </c>
      <c r="CO59" s="9">
        <f>Raw!CO60/Raw!$C60</f>
        <v>0</v>
      </c>
      <c r="CP59" s="9">
        <f>Raw!CP60/Raw!$C60</f>
        <v>0</v>
      </c>
      <c r="CQ59" s="9">
        <f>Raw!CQ60/Raw!$C60</f>
        <v>0</v>
      </c>
      <c r="CR59" s="2">
        <f t="shared" si="8"/>
        <v>768.74999999999989</v>
      </c>
      <c r="CS59" s="2">
        <f t="shared" si="9"/>
        <v>606.74999999999989</v>
      </c>
      <c r="CT59" s="3">
        <f t="shared" si="37"/>
        <v>2.885785128783473</v>
      </c>
      <c r="CU59" s="3">
        <f t="shared" si="38"/>
        <v>2.7830097850039723</v>
      </c>
      <c r="CV59" s="3"/>
      <c r="CW59" s="3"/>
      <c r="CX59" s="3"/>
      <c r="CY59" s="3"/>
      <c r="CZ59" s="3">
        <f t="shared" si="25"/>
        <v>2.885785128783473</v>
      </c>
      <c r="DA59" s="3">
        <f t="shared" si="26"/>
        <v>2.7830097850039723</v>
      </c>
      <c r="DB59" s="6">
        <f t="shared" si="27"/>
        <v>0.66981020937812086</v>
      </c>
      <c r="DC59" s="3">
        <v>5</v>
      </c>
      <c r="DD59" s="3">
        <f>DC59/Raw!C60</f>
        <v>31.249999999999993</v>
      </c>
      <c r="DE59" s="5">
        <f t="shared" si="17"/>
        <v>6.5040650406504074E-3</v>
      </c>
      <c r="DF59">
        <f t="shared" si="18"/>
        <v>-2.1868151244474543</v>
      </c>
      <c r="DH59" s="4">
        <f>-SUM('Shannon-Weiner'!B58:Z58)</f>
        <v>1.0986339326062597</v>
      </c>
      <c r="DI59" s="4">
        <f>SUM('p^2'!B58:Z58)</f>
        <v>0.40260426994513854</v>
      </c>
      <c r="DJ59" s="4">
        <f t="shared" si="19"/>
        <v>0.59739573005486146</v>
      </c>
      <c r="DK59">
        <f t="shared" si="20"/>
        <v>2.4838285995731404</v>
      </c>
      <c r="DL59" s="4">
        <f>SUM('Shannon-Weiner_B'!B58:Z58)</f>
        <v>-1.0868695934492458</v>
      </c>
      <c r="DM59" s="4">
        <f>SUM('p_B^2'!B58:Z58)</f>
        <v>0.39324755883754536</v>
      </c>
      <c r="DN59" s="4">
        <f t="shared" si="21"/>
        <v>0.60675244116245464</v>
      </c>
      <c r="DO59">
        <f t="shared" si="22"/>
        <v>2.5429274194505815</v>
      </c>
    </row>
    <row r="60" spans="1:119" x14ac:dyDescent="0.25">
      <c r="B60" t="str">
        <f>Raw!B61</f>
        <v>TB3</v>
      </c>
      <c r="C60">
        <v>1</v>
      </c>
      <c r="D60" s="9">
        <f>Raw!D61/Raw!$C61</f>
        <v>368.74999999999994</v>
      </c>
      <c r="E60" s="9">
        <f>Raw!E61/Raw!$C61</f>
        <v>79.812499999999986</v>
      </c>
      <c r="F60" s="9">
        <f>Raw!F61/Raw!$C61</f>
        <v>0</v>
      </c>
      <c r="G60" s="9">
        <f>Raw!G61/Raw!$C61</f>
        <v>0</v>
      </c>
      <c r="H60" s="9">
        <f>Raw!H61/Raw!$C61</f>
        <v>0</v>
      </c>
      <c r="I60" s="9">
        <f>Raw!I61/Raw!$C61</f>
        <v>0</v>
      </c>
      <c r="J60" s="9">
        <f>Raw!J61/Raw!$C61</f>
        <v>0</v>
      </c>
      <c r="K60" s="9">
        <f>Raw!K61/Raw!$C61</f>
        <v>0</v>
      </c>
      <c r="L60" s="9">
        <f>Raw!L61/Raw!$C61</f>
        <v>0</v>
      </c>
      <c r="M60" s="9">
        <f>Raw!M61/Raw!$C61</f>
        <v>0</v>
      </c>
      <c r="N60" s="9">
        <f>Raw!N61/Raw!$C61</f>
        <v>49.999999999999993</v>
      </c>
      <c r="O60" s="9">
        <f>Raw!O61/Raw!$C61</f>
        <v>63.187499999999986</v>
      </c>
      <c r="P60" s="9">
        <f>Raw!P61/Raw!$C61</f>
        <v>0</v>
      </c>
      <c r="Q60" s="9">
        <f>Raw!Q61/Raw!$C61</f>
        <v>0</v>
      </c>
      <c r="R60" s="9">
        <f>Raw!R61/Raw!$C61</f>
        <v>0</v>
      </c>
      <c r="S60" s="9">
        <f>Raw!S61/Raw!$C61</f>
        <v>0</v>
      </c>
      <c r="T60" s="9">
        <f>Raw!T61/Raw!$C61</f>
        <v>0</v>
      </c>
      <c r="U60" s="9">
        <f>Raw!U61/Raw!$C61</f>
        <v>0</v>
      </c>
      <c r="V60" s="9">
        <f>Raw!V61/Raw!$C61</f>
        <v>0</v>
      </c>
      <c r="W60" s="9">
        <f>Raw!W61/Raw!$C61</f>
        <v>0</v>
      </c>
      <c r="X60" s="9">
        <f>Raw!X61/Raw!$C61</f>
        <v>6.2499999999999991</v>
      </c>
      <c r="Y60" s="9">
        <f>Raw!Y61/Raw!$C61</f>
        <v>0.24999999999999994</v>
      </c>
      <c r="Z60" s="9">
        <f>Raw!Z61/Raw!$C61</f>
        <v>0</v>
      </c>
      <c r="AA60" s="9">
        <f>Raw!AA61/Raw!$C61</f>
        <v>0</v>
      </c>
      <c r="AB60" s="9">
        <f>Raw!AB61/Raw!$C61</f>
        <v>0</v>
      </c>
      <c r="AC60" s="9">
        <f>Raw!AC61/Raw!$C61</f>
        <v>0</v>
      </c>
      <c r="AD60" s="9">
        <f>Raw!AD61/Raw!$C61</f>
        <v>0</v>
      </c>
      <c r="AE60" s="9">
        <f>Raw!AE61/Raw!$C61</f>
        <v>0</v>
      </c>
      <c r="AF60" s="9">
        <f>Raw!AF61/Raw!$C61</f>
        <v>0</v>
      </c>
      <c r="AG60" s="9">
        <f>Raw!AG61/Raw!$C61</f>
        <v>0</v>
      </c>
      <c r="AH60" s="9">
        <f>Raw!AH61/Raw!$C61</f>
        <v>0</v>
      </c>
      <c r="AI60" s="9">
        <f>Raw!AI61/Raw!$C61</f>
        <v>0</v>
      </c>
      <c r="AJ60" s="9">
        <f>Raw!AJ61/Raw!$C61</f>
        <v>6.2499999999999991</v>
      </c>
      <c r="AK60" s="9">
        <f>Raw!AK61/Raw!$C61</f>
        <v>22.249999999999996</v>
      </c>
      <c r="AL60" s="9">
        <f>Raw!AL61/Raw!$C61</f>
        <v>62.499999999999986</v>
      </c>
      <c r="AM60" s="9">
        <f>Raw!AM61/Raw!$C61</f>
        <v>95.874999999999986</v>
      </c>
      <c r="AN60" s="9">
        <f>Raw!AN61/Raw!$C61</f>
        <v>0</v>
      </c>
      <c r="AO60" s="9">
        <f>Raw!AO61/Raw!$C61</f>
        <v>0</v>
      </c>
      <c r="AP60" s="9">
        <f>Raw!AP61/Raw!$C61</f>
        <v>0</v>
      </c>
      <c r="AQ60" s="9">
        <f>Raw!AQ61/Raw!$C61</f>
        <v>0</v>
      </c>
      <c r="AR60" s="9">
        <f>Raw!AR61/Raw!$C61</f>
        <v>0</v>
      </c>
      <c r="AS60" s="9">
        <f>Raw!AS61/Raw!$C61</f>
        <v>0</v>
      </c>
      <c r="AT60" s="9">
        <f>Raw!AT61/Raw!$C61</f>
        <v>0</v>
      </c>
      <c r="AU60" s="9">
        <f>Raw!AU61/Raw!$C61</f>
        <v>0</v>
      </c>
      <c r="AV60" s="9">
        <f>Raw!AV61/Raw!$C61</f>
        <v>0</v>
      </c>
      <c r="AW60" s="9">
        <f>Raw!AW61/Raw!$C61</f>
        <v>0</v>
      </c>
      <c r="AX60" s="9">
        <f>Raw!AX61/Raw!$C61</f>
        <v>0</v>
      </c>
      <c r="AY60" s="9">
        <f>Raw!AY61/Raw!$C61</f>
        <v>0</v>
      </c>
      <c r="AZ60" s="9">
        <f>Raw!AZ61/Raw!$C61</f>
        <v>0</v>
      </c>
      <c r="BA60" s="9">
        <f>Raw!BA61/Raw!$C61</f>
        <v>0</v>
      </c>
      <c r="BB60" s="9">
        <f>Raw!BB61/Raw!$C61</f>
        <v>0</v>
      </c>
      <c r="BC60" s="9">
        <f>Raw!BC61/Raw!$C61</f>
        <v>0</v>
      </c>
      <c r="BD60" s="9">
        <f>Raw!BD61/Raw!$C61</f>
        <v>0</v>
      </c>
      <c r="BE60" s="9">
        <f>Raw!BE61/Raw!$C61</f>
        <v>0</v>
      </c>
      <c r="BF60" s="9">
        <f>Raw!BF61/Raw!$C61</f>
        <v>0</v>
      </c>
      <c r="BG60" s="9">
        <f>Raw!BG61/Raw!$C61</f>
        <v>0</v>
      </c>
      <c r="BH60" s="9">
        <f>Raw!BH61/Raw!$C61</f>
        <v>0</v>
      </c>
      <c r="BI60" s="9">
        <f>Raw!BI61/Raw!$C61</f>
        <v>0</v>
      </c>
      <c r="BJ60" s="9">
        <f>Raw!BJ61/Raw!$C61</f>
        <v>0</v>
      </c>
      <c r="BK60" s="9">
        <f>Raw!BK61/Raw!$C61</f>
        <v>0</v>
      </c>
      <c r="BL60" s="9">
        <f>Raw!BL61/Raw!$C61</f>
        <v>0</v>
      </c>
      <c r="BM60" s="9">
        <f>Raw!BM61/Raw!$C61</f>
        <v>0</v>
      </c>
      <c r="BN60" s="9">
        <f>Raw!BN61/Raw!$C61</f>
        <v>0</v>
      </c>
      <c r="BO60" s="9">
        <f>Raw!BO61/Raw!$C61</f>
        <v>0</v>
      </c>
      <c r="BP60" s="9">
        <f>Raw!BP61/Raw!$C61</f>
        <v>0</v>
      </c>
      <c r="BQ60" s="9">
        <f>Raw!BQ61/Raw!$C61</f>
        <v>0</v>
      </c>
      <c r="BR60" s="9">
        <f>Raw!BR61/Raw!$C61</f>
        <v>0</v>
      </c>
      <c r="BS60" s="9">
        <f>Raw!BS61/Raw!$C61</f>
        <v>0</v>
      </c>
      <c r="BT60" s="9">
        <f>Raw!BT61/Raw!$C61</f>
        <v>0</v>
      </c>
      <c r="BU60" s="9">
        <f>Raw!BU61/Raw!$C61</f>
        <v>0</v>
      </c>
      <c r="BV60" s="9">
        <f>Raw!BV61/Raw!$C61</f>
        <v>0</v>
      </c>
      <c r="BW60" s="9">
        <f>Raw!BW61/Raw!$C61</f>
        <v>0</v>
      </c>
      <c r="BX60" s="9">
        <f>Raw!BX61/Raw!$C61</f>
        <v>0</v>
      </c>
      <c r="BY60" s="9">
        <f>Raw!BY61/Raw!$C61</f>
        <v>0</v>
      </c>
      <c r="BZ60" s="9">
        <f>Raw!BZ61/Raw!$C61</f>
        <v>0</v>
      </c>
      <c r="CA60" s="9">
        <f>Raw!CA61/Raw!$C61</f>
        <v>0</v>
      </c>
      <c r="CB60" s="9">
        <f>Raw!CB61/Raw!$C61</f>
        <v>0</v>
      </c>
      <c r="CC60" s="9">
        <f>Raw!CC61/Raw!$C61</f>
        <v>0</v>
      </c>
      <c r="CD60" s="9">
        <f>Raw!CD61/Raw!$C61</f>
        <v>0</v>
      </c>
      <c r="CE60" s="9">
        <f>Raw!CE61/Raw!$C61</f>
        <v>0</v>
      </c>
      <c r="CF60" s="9">
        <f>Raw!CF61/Raw!$C61</f>
        <v>0</v>
      </c>
      <c r="CG60" s="9">
        <f>Raw!CG61/Raw!$C61</f>
        <v>0</v>
      </c>
      <c r="CH60" s="9">
        <f>Raw!CH61/Raw!$C61</f>
        <v>0</v>
      </c>
      <c r="CI60" s="9">
        <f>Raw!CI61/Raw!$C61</f>
        <v>0</v>
      </c>
      <c r="CJ60" s="9">
        <f>Raw!CJ61/Raw!$C61</f>
        <v>0</v>
      </c>
      <c r="CK60" s="9">
        <f>Raw!CK61/Raw!$C61</f>
        <v>0</v>
      </c>
      <c r="CL60" s="9">
        <f>Raw!CL61/Raw!$C61</f>
        <v>0</v>
      </c>
      <c r="CM60" s="9">
        <f>Raw!CM61/Raw!$C61</f>
        <v>0</v>
      </c>
      <c r="CN60" s="9">
        <f>Raw!CN61/Raw!$C61</f>
        <v>0</v>
      </c>
      <c r="CO60" s="9">
        <f>Raw!CO61/Raw!$C61</f>
        <v>0</v>
      </c>
      <c r="CP60" s="9">
        <f>Raw!CP61/Raw!$C61</f>
        <v>0</v>
      </c>
      <c r="CQ60" s="9">
        <f>Raw!CQ61/Raw!$C61</f>
        <v>0</v>
      </c>
      <c r="CR60" s="2">
        <f t="shared" si="8"/>
        <v>493.74999999999994</v>
      </c>
      <c r="CS60" s="2">
        <f t="shared" si="9"/>
        <v>261.37499999999994</v>
      </c>
      <c r="CT60" s="3">
        <f t="shared" si="37"/>
        <v>2.6935071086345168</v>
      </c>
      <c r="CU60" s="3">
        <f t="shared" si="38"/>
        <v>2.4172640458257284</v>
      </c>
      <c r="CV60" s="3"/>
      <c r="CW60" s="3"/>
      <c r="CX60" s="3"/>
      <c r="CY60" s="3"/>
      <c r="CZ60" s="3">
        <f t="shared" si="25"/>
        <v>2.6935071086345168</v>
      </c>
      <c r="DA60" s="3">
        <f t="shared" si="26"/>
        <v>2.4172640458257284</v>
      </c>
      <c r="DB60" s="6">
        <f t="shared" si="27"/>
        <v>0.92316848964443554</v>
      </c>
      <c r="DC60" s="3">
        <v>5</v>
      </c>
      <c r="DD60" s="3">
        <f>DC60/Raw!C61</f>
        <v>31.249999999999993</v>
      </c>
      <c r="DE60" s="5">
        <f t="shared" si="17"/>
        <v>1.0126582278481015E-2</v>
      </c>
      <c r="DF60">
        <f t="shared" si="18"/>
        <v>-1.9945371042984978</v>
      </c>
      <c r="DH60" s="4">
        <f>-SUM('Shannon-Weiner'!B59:Z59)</f>
        <v>0.82215554292503934</v>
      </c>
      <c r="DI60" s="4">
        <f>SUM('p^2'!B59:Z59)</f>
        <v>0.58436148053196602</v>
      </c>
      <c r="DJ60" s="4">
        <f t="shared" si="19"/>
        <v>0.41563851946803398</v>
      </c>
      <c r="DK60">
        <f t="shared" si="20"/>
        <v>1.7112695366054291</v>
      </c>
      <c r="DL60" s="4">
        <f>SUM('Shannon-Weiner_B'!B59:Z59)</f>
        <v>-1.2897330097142177</v>
      </c>
      <c r="DM60" s="4">
        <f>SUM('p_B^2'!B59:Z59)</f>
        <v>0.29348285254310053</v>
      </c>
      <c r="DN60" s="4">
        <f t="shared" si="21"/>
        <v>0.70651714745689942</v>
      </c>
      <c r="DO60">
        <f t="shared" si="22"/>
        <v>3.4073540969591782</v>
      </c>
    </row>
    <row r="61" spans="1:119" x14ac:dyDescent="0.25">
      <c r="B61" t="str">
        <f>Raw!B62</f>
        <v>TB4</v>
      </c>
      <c r="C61">
        <v>1</v>
      </c>
      <c r="D61" s="9">
        <f>Raw!D62/Raw!$C62</f>
        <v>818.74999999999989</v>
      </c>
      <c r="E61" s="9">
        <f>Raw!E62/Raw!$C62</f>
        <v>155.56249999999997</v>
      </c>
      <c r="F61" s="9">
        <f>Raw!F62/Raw!$C62</f>
        <v>0</v>
      </c>
      <c r="G61" s="9">
        <f>Raw!G62/Raw!$C62</f>
        <v>0</v>
      </c>
      <c r="H61" s="9">
        <f>Raw!H62/Raw!$C62</f>
        <v>0</v>
      </c>
      <c r="I61" s="9">
        <f>Raw!I62/Raw!$C62</f>
        <v>0</v>
      </c>
      <c r="J61" s="9">
        <f>Raw!J62/Raw!$C62</f>
        <v>0</v>
      </c>
      <c r="K61" s="9">
        <f>Raw!K62/Raw!$C62</f>
        <v>0</v>
      </c>
      <c r="L61" s="9">
        <f>Raw!L62/Raw!$C62</f>
        <v>0</v>
      </c>
      <c r="M61" s="9">
        <f>Raw!M62/Raw!$C62</f>
        <v>0</v>
      </c>
      <c r="N61" s="9">
        <f>Raw!N62/Raw!$C62</f>
        <v>0</v>
      </c>
      <c r="O61" s="9">
        <f>Raw!O62/Raw!$C62</f>
        <v>0</v>
      </c>
      <c r="P61" s="9">
        <f>Raw!P62/Raw!$C62</f>
        <v>0</v>
      </c>
      <c r="Q61" s="9">
        <f>Raw!Q62/Raw!$C62</f>
        <v>0</v>
      </c>
      <c r="R61" s="9">
        <f>Raw!R62/Raw!$C62</f>
        <v>0</v>
      </c>
      <c r="S61" s="9">
        <f>Raw!S62/Raw!$C62</f>
        <v>0</v>
      </c>
      <c r="T61" s="9">
        <f>Raw!T62/Raw!$C62</f>
        <v>0</v>
      </c>
      <c r="U61" s="9">
        <f>Raw!U62/Raw!$C62</f>
        <v>0</v>
      </c>
      <c r="V61" s="9">
        <f>Raw!V62/Raw!$C62</f>
        <v>0</v>
      </c>
      <c r="W61" s="9">
        <f>Raw!W62/Raw!$C62</f>
        <v>0</v>
      </c>
      <c r="X61" s="9">
        <f>Raw!X62/Raw!$C62</f>
        <v>12.499999999999998</v>
      </c>
      <c r="Y61" s="9">
        <f>Raw!Y62/Raw!$C62</f>
        <v>0.43749999999999994</v>
      </c>
      <c r="Z61" s="9">
        <f>Raw!Z62/Raw!$C62</f>
        <v>0</v>
      </c>
      <c r="AA61" s="9">
        <f>Raw!AA62/Raw!$C62</f>
        <v>0</v>
      </c>
      <c r="AB61" s="9">
        <f>Raw!AB62/Raw!$C62</f>
        <v>0</v>
      </c>
      <c r="AC61" s="9">
        <f>Raw!AC62/Raw!$C62</f>
        <v>0</v>
      </c>
      <c r="AD61" s="9">
        <f>Raw!AD62/Raw!$C62</f>
        <v>0</v>
      </c>
      <c r="AE61" s="9">
        <f>Raw!AE62/Raw!$C62</f>
        <v>0</v>
      </c>
      <c r="AF61" s="9">
        <f>Raw!AF62/Raw!$C62</f>
        <v>0</v>
      </c>
      <c r="AG61" s="9">
        <f>Raw!AG62/Raw!$C62</f>
        <v>0</v>
      </c>
      <c r="AH61" s="9">
        <f>Raw!AH62/Raw!$C62</f>
        <v>0</v>
      </c>
      <c r="AI61" s="9">
        <f>Raw!AI62/Raw!$C62</f>
        <v>0</v>
      </c>
      <c r="AJ61" s="9">
        <f>Raw!AJ62/Raw!$C62</f>
        <v>0</v>
      </c>
      <c r="AK61" s="9">
        <f>Raw!AK62/Raw!$C62</f>
        <v>0</v>
      </c>
      <c r="AL61" s="9">
        <f>Raw!AL62/Raw!$C62</f>
        <v>0</v>
      </c>
      <c r="AM61" s="9">
        <f>Raw!AM62/Raw!$C62</f>
        <v>0</v>
      </c>
      <c r="AN61" s="9">
        <f>Raw!AN62/Raw!$C62</f>
        <v>0</v>
      </c>
      <c r="AO61" s="9">
        <f>Raw!AO62/Raw!$C62</f>
        <v>0</v>
      </c>
      <c r="AP61" s="9">
        <f>Raw!AP62/Raw!$C62</f>
        <v>0</v>
      </c>
      <c r="AQ61" s="9">
        <f>Raw!AQ62/Raw!$C62</f>
        <v>0</v>
      </c>
      <c r="AR61" s="9">
        <f>Raw!AR62/Raw!$C62</f>
        <v>0</v>
      </c>
      <c r="AS61" s="9">
        <f>Raw!AS62/Raw!$C62</f>
        <v>0</v>
      </c>
      <c r="AT61" s="9">
        <f>Raw!AT62/Raw!$C62</f>
        <v>0</v>
      </c>
      <c r="AU61" s="9">
        <f>Raw!AU62/Raw!$C62</f>
        <v>0</v>
      </c>
      <c r="AV61" s="9">
        <f>Raw!AV62/Raw!$C62</f>
        <v>0</v>
      </c>
      <c r="AW61" s="9">
        <f>Raw!AW62/Raw!$C62</f>
        <v>0</v>
      </c>
      <c r="AX61" s="9">
        <f>Raw!AX62/Raw!$C62</f>
        <v>0</v>
      </c>
      <c r="AY61" s="9">
        <f>Raw!AY62/Raw!$C62</f>
        <v>0</v>
      </c>
      <c r="AZ61" s="9">
        <f>Raw!AZ62/Raw!$C62</f>
        <v>0</v>
      </c>
      <c r="BA61" s="9">
        <f>Raw!BA62/Raw!$C62</f>
        <v>0</v>
      </c>
      <c r="BB61" s="9">
        <f>Raw!BB62/Raw!$C62</f>
        <v>0</v>
      </c>
      <c r="BC61" s="9">
        <f>Raw!BC62/Raw!$C62</f>
        <v>0</v>
      </c>
      <c r="BD61" s="9">
        <f>Raw!BD62/Raw!$C62</f>
        <v>0</v>
      </c>
      <c r="BE61" s="9">
        <f>Raw!BE62/Raw!$C62</f>
        <v>0</v>
      </c>
      <c r="BF61" s="9">
        <f>Raw!BF62/Raw!$C62</f>
        <v>0</v>
      </c>
      <c r="BG61" s="9">
        <f>Raw!BG62/Raw!$C62</f>
        <v>0</v>
      </c>
      <c r="BH61" s="9">
        <f>Raw!BH62/Raw!$C62</f>
        <v>0</v>
      </c>
      <c r="BI61" s="9">
        <f>Raw!BI62/Raw!$C62</f>
        <v>0</v>
      </c>
      <c r="BJ61" s="9">
        <f>Raw!BJ62/Raw!$C62</f>
        <v>0</v>
      </c>
      <c r="BK61" s="9">
        <f>Raw!BK62/Raw!$C62</f>
        <v>0</v>
      </c>
      <c r="BL61" s="9">
        <f>Raw!BL62/Raw!$C62</f>
        <v>0</v>
      </c>
      <c r="BM61" s="9">
        <f>Raw!BM62/Raw!$C62</f>
        <v>0</v>
      </c>
      <c r="BN61" s="9">
        <f>Raw!BN62/Raw!$C62</f>
        <v>0</v>
      </c>
      <c r="BO61" s="9">
        <f>Raw!BO62/Raw!$C62</f>
        <v>0</v>
      </c>
      <c r="BP61" s="9">
        <f>Raw!BP62/Raw!$C62</f>
        <v>0</v>
      </c>
      <c r="BQ61" s="9">
        <f>Raw!BQ62/Raw!$C62</f>
        <v>0</v>
      </c>
      <c r="BR61" s="9">
        <f>Raw!BR62/Raw!$C62</f>
        <v>0</v>
      </c>
      <c r="BS61" s="9">
        <f>Raw!BS62/Raw!$C62</f>
        <v>0</v>
      </c>
      <c r="BT61" s="9">
        <f>Raw!BT62/Raw!$C62</f>
        <v>0</v>
      </c>
      <c r="BU61" s="9">
        <f>Raw!BU62/Raw!$C62</f>
        <v>0</v>
      </c>
      <c r="BV61" s="9">
        <f>Raw!BV62/Raw!$C62</f>
        <v>0</v>
      </c>
      <c r="BW61" s="9">
        <f>Raw!BW62/Raw!$C62</f>
        <v>0</v>
      </c>
      <c r="BX61" s="9">
        <f>Raw!BX62/Raw!$C62</f>
        <v>0</v>
      </c>
      <c r="BY61" s="9">
        <f>Raw!BY62/Raw!$C62</f>
        <v>0</v>
      </c>
      <c r="BZ61" s="9">
        <f>Raw!BZ62/Raw!$C62</f>
        <v>0</v>
      </c>
      <c r="CA61" s="9">
        <f>Raw!CA62/Raw!$C62</f>
        <v>0</v>
      </c>
      <c r="CB61" s="9">
        <f>Raw!CB62/Raw!$C62</f>
        <v>0</v>
      </c>
      <c r="CC61" s="9">
        <f>Raw!CC62/Raw!$C62</f>
        <v>0</v>
      </c>
      <c r="CD61" s="9">
        <f>Raw!CD62/Raw!$C62</f>
        <v>0</v>
      </c>
      <c r="CE61" s="9">
        <f>Raw!CE62/Raw!$C62</f>
        <v>0</v>
      </c>
      <c r="CF61" s="9">
        <f>Raw!CF62/Raw!$C62</f>
        <v>0</v>
      </c>
      <c r="CG61" s="9">
        <f>Raw!CG62/Raw!$C62</f>
        <v>0</v>
      </c>
      <c r="CH61" s="9">
        <f>Raw!CH62/Raw!$C62</f>
        <v>0</v>
      </c>
      <c r="CI61" s="9">
        <f>Raw!CI62/Raw!$C62</f>
        <v>0</v>
      </c>
      <c r="CJ61" s="9">
        <f>Raw!CJ62/Raw!$C62</f>
        <v>0</v>
      </c>
      <c r="CK61" s="9">
        <f>Raw!CK62/Raw!$C62</f>
        <v>0</v>
      </c>
      <c r="CL61" s="9">
        <f>Raw!CL62/Raw!$C62</f>
        <v>0</v>
      </c>
      <c r="CM61" s="9">
        <f>Raw!CM62/Raw!$C62</f>
        <v>0</v>
      </c>
      <c r="CN61" s="9">
        <f>Raw!CN62/Raw!$C62</f>
        <v>0</v>
      </c>
      <c r="CO61" s="9">
        <f>Raw!CO62/Raw!$C62</f>
        <v>0</v>
      </c>
      <c r="CP61" s="9">
        <f>Raw!CP62/Raw!$C62</f>
        <v>0</v>
      </c>
      <c r="CQ61" s="9">
        <f>Raw!CQ62/Raw!$C62</f>
        <v>0</v>
      </c>
      <c r="CR61" s="2">
        <f t="shared" si="8"/>
        <v>831.24999999999989</v>
      </c>
      <c r="CS61" s="2">
        <f t="shared" si="9"/>
        <v>155.99999999999997</v>
      </c>
      <c r="CT61" s="3">
        <f t="shared" si="37"/>
        <v>2.9197316583111608</v>
      </c>
      <c r="CU61" s="3">
        <f t="shared" si="38"/>
        <v>2.1931245983544616</v>
      </c>
      <c r="CV61" s="3"/>
      <c r="CW61" s="3"/>
      <c r="CX61" s="3"/>
      <c r="CY61" s="3"/>
      <c r="CZ61" s="3">
        <f t="shared" si="25"/>
        <v>2.9197316583111608</v>
      </c>
      <c r="DA61" s="3">
        <f t="shared" si="26"/>
        <v>2.1931245983544616</v>
      </c>
      <c r="DB61" s="6">
        <f t="shared" si="27"/>
        <v>1.0114107358316862</v>
      </c>
      <c r="DC61" s="3">
        <v>2</v>
      </c>
      <c r="DD61" s="3">
        <f>DC61/Raw!C62</f>
        <v>12.499999999999998</v>
      </c>
      <c r="DE61" s="5">
        <f t="shared" si="17"/>
        <v>2.4060150375939853E-3</v>
      </c>
      <c r="DF61">
        <f t="shared" si="18"/>
        <v>-2.61870166264718</v>
      </c>
      <c r="DH61" s="4">
        <f>-SUM('Shannon-Weiner'!B60:Z60)</f>
        <v>7.8039777090394793E-2</v>
      </c>
      <c r="DI61" s="4">
        <f>SUM('p^2'!B60:Z60)</f>
        <v>0.97037707049578836</v>
      </c>
      <c r="DJ61" s="4">
        <f t="shared" si="19"/>
        <v>2.9622929504211637E-2</v>
      </c>
      <c r="DK61">
        <f t="shared" si="20"/>
        <v>1.030527235653947</v>
      </c>
      <c r="DL61" s="4">
        <f>SUM('Shannon-Weiner_B'!B60:Z60)</f>
        <v>-1.9281216814509158E-2</v>
      </c>
      <c r="DM61" s="4">
        <f>SUM('p_B^2'!B60:Z60)</f>
        <v>0.99440675593770544</v>
      </c>
      <c r="DN61" s="4">
        <f t="shared" si="21"/>
        <v>5.5932440622945556E-3</v>
      </c>
      <c r="DO61">
        <f t="shared" si="22"/>
        <v>1.0056247044068201</v>
      </c>
    </row>
    <row r="62" spans="1:119" x14ac:dyDescent="0.25">
      <c r="B62" t="str">
        <f>Raw!B63</f>
        <v>TB5</v>
      </c>
      <c r="C62">
        <v>1</v>
      </c>
      <c r="D62" s="9">
        <f>Raw!D63/Raw!$C63</f>
        <v>1181.2499999999998</v>
      </c>
      <c r="E62" s="9">
        <f>Raw!E63/Raw!$C63</f>
        <v>198.99999999999997</v>
      </c>
      <c r="F62" s="9">
        <f>Raw!F63/Raw!$C63</f>
        <v>0</v>
      </c>
      <c r="G62" s="9">
        <f>Raw!G63/Raw!$C63</f>
        <v>0</v>
      </c>
      <c r="H62" s="9">
        <f>Raw!H63/Raw!$C63</f>
        <v>0</v>
      </c>
      <c r="I62" s="9">
        <f>Raw!I63/Raw!$C63</f>
        <v>0</v>
      </c>
      <c r="J62" s="9">
        <f>Raw!J63/Raw!$C63</f>
        <v>0</v>
      </c>
      <c r="K62" s="9">
        <f>Raw!K63/Raw!$C63</f>
        <v>0</v>
      </c>
      <c r="L62" s="9">
        <f>Raw!L63/Raw!$C63</f>
        <v>0</v>
      </c>
      <c r="M62" s="9">
        <f>Raw!M63/Raw!$C63</f>
        <v>0</v>
      </c>
      <c r="N62" s="9">
        <f>Raw!N63/Raw!$C63</f>
        <v>0</v>
      </c>
      <c r="O62" s="9">
        <f>Raw!O63/Raw!$C63</f>
        <v>0</v>
      </c>
      <c r="P62" s="9">
        <f>Raw!P63/Raw!$C63</f>
        <v>0</v>
      </c>
      <c r="Q62" s="9">
        <f>Raw!Q63/Raw!$C63</f>
        <v>0</v>
      </c>
      <c r="R62" s="9">
        <f>Raw!R63/Raw!$C63</f>
        <v>0</v>
      </c>
      <c r="S62" s="9">
        <f>Raw!S63/Raw!$C63</f>
        <v>0</v>
      </c>
      <c r="T62" s="9">
        <f>Raw!T63/Raw!$C63</f>
        <v>0</v>
      </c>
      <c r="U62" s="9">
        <f>Raw!U63/Raw!$C63</f>
        <v>0</v>
      </c>
      <c r="V62" s="9">
        <f>Raw!V63/Raw!$C63</f>
        <v>0</v>
      </c>
      <c r="W62" s="9">
        <f>Raw!W63/Raw!$C63</f>
        <v>0</v>
      </c>
      <c r="X62" s="9">
        <f>Raw!X63/Raw!$C63</f>
        <v>6.2499999999999991</v>
      </c>
      <c r="Y62" s="9">
        <f>Raw!Y63/Raw!$C63</f>
        <v>2.7499999999999996</v>
      </c>
      <c r="Z62" s="9">
        <f>Raw!Z63/Raw!$C63</f>
        <v>0</v>
      </c>
      <c r="AA62" s="9">
        <f>Raw!AA63/Raw!$C63</f>
        <v>0</v>
      </c>
      <c r="AB62" s="9">
        <f>Raw!AB63/Raw!$C63</f>
        <v>0</v>
      </c>
      <c r="AC62" s="9">
        <f>Raw!AC63/Raw!$C63</f>
        <v>0</v>
      </c>
      <c r="AD62" s="9">
        <f>Raw!AD63/Raw!$C63</f>
        <v>0</v>
      </c>
      <c r="AE62" s="9">
        <f>Raw!AE63/Raw!$C63</f>
        <v>0</v>
      </c>
      <c r="AF62" s="9">
        <f>Raw!AF63/Raw!$C63</f>
        <v>0</v>
      </c>
      <c r="AG62" s="9">
        <f>Raw!AG63/Raw!$C63</f>
        <v>0</v>
      </c>
      <c r="AH62" s="9">
        <f>Raw!AH63/Raw!$C63</f>
        <v>0</v>
      </c>
      <c r="AI62" s="9">
        <f>Raw!AI63/Raw!$C63</f>
        <v>0</v>
      </c>
      <c r="AJ62" s="9">
        <f>Raw!AJ63/Raw!$C63</f>
        <v>0</v>
      </c>
      <c r="AK62" s="9">
        <f>Raw!AK63/Raw!$C63</f>
        <v>0</v>
      </c>
      <c r="AL62" s="9">
        <f>Raw!AL63/Raw!$C63</f>
        <v>0</v>
      </c>
      <c r="AM62" s="9">
        <f>Raw!AM63/Raw!$C63</f>
        <v>0</v>
      </c>
      <c r="AN62" s="9">
        <f>Raw!AN63/Raw!$C63</f>
        <v>0</v>
      </c>
      <c r="AO62" s="9">
        <f>Raw!AO63/Raw!$C63</f>
        <v>0</v>
      </c>
      <c r="AP62" s="9">
        <f>Raw!AP63/Raw!$C63</f>
        <v>0</v>
      </c>
      <c r="AQ62" s="9">
        <f>Raw!AQ63/Raw!$C63</f>
        <v>0</v>
      </c>
      <c r="AR62" s="9">
        <f>Raw!AR63/Raw!$C63</f>
        <v>0</v>
      </c>
      <c r="AS62" s="9">
        <f>Raw!AS63/Raw!$C63</f>
        <v>0</v>
      </c>
      <c r="AT62" s="9">
        <f>Raw!AT63/Raw!$C63</f>
        <v>0</v>
      </c>
      <c r="AU62" s="9">
        <f>Raw!AU63/Raw!$C63</f>
        <v>0</v>
      </c>
      <c r="AV62" s="9">
        <f>Raw!AV63/Raw!$C63</f>
        <v>0</v>
      </c>
      <c r="AW62" s="9">
        <f>Raw!AW63/Raw!$C63</f>
        <v>0</v>
      </c>
      <c r="AX62" s="9">
        <f>Raw!AX63/Raw!$C63</f>
        <v>0</v>
      </c>
      <c r="AY62" s="9">
        <f>Raw!AY63/Raw!$C63</f>
        <v>0</v>
      </c>
      <c r="AZ62" s="9">
        <f>Raw!AZ63/Raw!$C63</f>
        <v>0</v>
      </c>
      <c r="BA62" s="9">
        <f>Raw!BA63/Raw!$C63</f>
        <v>0</v>
      </c>
      <c r="BB62" s="9">
        <f>Raw!BB63/Raw!$C63</f>
        <v>0</v>
      </c>
      <c r="BC62" s="9">
        <f>Raw!BC63/Raw!$C63</f>
        <v>0</v>
      </c>
      <c r="BD62" s="9">
        <f>Raw!BD63/Raw!$C63</f>
        <v>0</v>
      </c>
      <c r="BE62" s="9">
        <f>Raw!BE63/Raw!$C63</f>
        <v>0</v>
      </c>
      <c r="BF62" s="9">
        <f>Raw!BF63/Raw!$C63</f>
        <v>0</v>
      </c>
      <c r="BG62" s="9">
        <f>Raw!BG63/Raw!$C63</f>
        <v>0</v>
      </c>
      <c r="BH62" s="9">
        <f>Raw!BH63/Raw!$C63</f>
        <v>0</v>
      </c>
      <c r="BI62" s="9">
        <f>Raw!BI63/Raw!$C63</f>
        <v>0</v>
      </c>
      <c r="BJ62" s="9">
        <f>Raw!BJ63/Raw!$C63</f>
        <v>0</v>
      </c>
      <c r="BK62" s="9">
        <f>Raw!BK63/Raw!$C63</f>
        <v>0</v>
      </c>
      <c r="BL62" s="9">
        <f>Raw!BL63/Raw!$C63</f>
        <v>0</v>
      </c>
      <c r="BM62" s="9">
        <f>Raw!BM63/Raw!$C63</f>
        <v>0</v>
      </c>
      <c r="BN62" s="9">
        <f>Raw!BN63/Raw!$C63</f>
        <v>0</v>
      </c>
      <c r="BO62" s="9">
        <f>Raw!BO63/Raw!$C63</f>
        <v>0</v>
      </c>
      <c r="BP62" s="9">
        <f>Raw!BP63/Raw!$C63</f>
        <v>0</v>
      </c>
      <c r="BQ62" s="9">
        <f>Raw!BQ63/Raw!$C63</f>
        <v>0</v>
      </c>
      <c r="BR62" s="9">
        <f>Raw!BR63/Raw!$C63</f>
        <v>0</v>
      </c>
      <c r="BS62" s="9">
        <f>Raw!BS63/Raw!$C63</f>
        <v>0</v>
      </c>
      <c r="BT62" s="9">
        <f>Raw!BT63/Raw!$C63</f>
        <v>0</v>
      </c>
      <c r="BU62" s="9">
        <f>Raw!BU63/Raw!$C63</f>
        <v>0</v>
      </c>
      <c r="BV62" s="9">
        <f>Raw!BV63/Raw!$C63</f>
        <v>0</v>
      </c>
      <c r="BW62" s="9">
        <f>Raw!BW63/Raw!$C63</f>
        <v>0</v>
      </c>
      <c r="BX62" s="9">
        <f>Raw!BX63/Raw!$C63</f>
        <v>0</v>
      </c>
      <c r="BY62" s="9">
        <f>Raw!BY63/Raw!$C63</f>
        <v>0</v>
      </c>
      <c r="BZ62" s="9">
        <f>Raw!BZ63/Raw!$C63</f>
        <v>0</v>
      </c>
      <c r="CA62" s="9">
        <f>Raw!CA63/Raw!$C63</f>
        <v>0</v>
      </c>
      <c r="CB62" s="9">
        <f>Raw!CB63/Raw!$C63</f>
        <v>0</v>
      </c>
      <c r="CC62" s="9">
        <f>Raw!CC63/Raw!$C63</f>
        <v>0</v>
      </c>
      <c r="CD62" s="9">
        <f>Raw!CD63/Raw!$C63</f>
        <v>0</v>
      </c>
      <c r="CE62" s="9">
        <f>Raw!CE63/Raw!$C63</f>
        <v>0</v>
      </c>
      <c r="CF62" s="9">
        <f>Raw!CF63/Raw!$C63</f>
        <v>0</v>
      </c>
      <c r="CG62" s="9">
        <f>Raw!CG63/Raw!$C63</f>
        <v>0</v>
      </c>
      <c r="CH62" s="9">
        <f>Raw!CH63/Raw!$C63</f>
        <v>0</v>
      </c>
      <c r="CI62" s="9">
        <f>Raw!CI63/Raw!$C63</f>
        <v>0</v>
      </c>
      <c r="CJ62" s="9">
        <f>Raw!CJ63/Raw!$C63</f>
        <v>0</v>
      </c>
      <c r="CK62" s="9">
        <f>Raw!CK63/Raw!$C63</f>
        <v>0</v>
      </c>
      <c r="CL62" s="9">
        <f>Raw!CL63/Raw!$C63</f>
        <v>0</v>
      </c>
      <c r="CM62" s="9">
        <f>Raw!CM63/Raw!$C63</f>
        <v>0</v>
      </c>
      <c r="CN62" s="9">
        <f>Raw!CN63/Raw!$C63</f>
        <v>0</v>
      </c>
      <c r="CO62" s="9">
        <f>Raw!CO63/Raw!$C63</f>
        <v>0</v>
      </c>
      <c r="CP62" s="9">
        <f>Raw!CP63/Raw!$C63</f>
        <v>0</v>
      </c>
      <c r="CQ62" s="9">
        <f>Raw!CQ63/Raw!$C63</f>
        <v>0</v>
      </c>
      <c r="CR62" s="2">
        <f t="shared" si="8"/>
        <v>1187.4999999999998</v>
      </c>
      <c r="CS62" s="2">
        <f t="shared" si="9"/>
        <v>201.74999999999997</v>
      </c>
      <c r="CT62" s="3">
        <f t="shared" si="37"/>
        <v>3.0746336182969043</v>
      </c>
      <c r="CU62" s="3">
        <f t="shared" si="38"/>
        <v>2.3048135433941082</v>
      </c>
      <c r="CV62" s="3"/>
      <c r="CW62" s="3"/>
      <c r="CX62" s="3"/>
      <c r="CY62" s="3"/>
      <c r="CZ62" s="3">
        <f t="shared" si="25"/>
        <v>3.0746336182969043</v>
      </c>
      <c r="DA62" s="3">
        <f t="shared" si="26"/>
        <v>2.3048135433941082</v>
      </c>
      <c r="DB62" s="6">
        <f t="shared" si="27"/>
        <v>0.91530486502537733</v>
      </c>
      <c r="DC62" s="3">
        <v>2</v>
      </c>
      <c r="DD62" s="3">
        <f>DC62/Raw!C63</f>
        <v>12.499999999999998</v>
      </c>
      <c r="DE62" s="5">
        <f t="shared" si="17"/>
        <v>1.6842105263157898E-3</v>
      </c>
      <c r="DF62">
        <f t="shared" si="18"/>
        <v>-2.773603622632923</v>
      </c>
      <c r="DH62" s="4">
        <f>-SUM('Shannon-Weiner'!B61:Z61)</f>
        <v>3.2865199285368213E-2</v>
      </c>
      <c r="DI62" s="4">
        <f>SUM('p^2'!B61:Z61)</f>
        <v>0.98952908587257604</v>
      </c>
      <c r="DJ62" s="4">
        <f t="shared" si="19"/>
        <v>1.0470914127423958E-2</v>
      </c>
      <c r="DK62">
        <f t="shared" si="20"/>
        <v>1.0105817143497007</v>
      </c>
      <c r="DL62" s="4">
        <f>SUM('Shannon-Weiner_B'!B61:Z61)</f>
        <v>-7.20872371263169E-2</v>
      </c>
      <c r="DM62" s="4">
        <f>SUM('p_B^2'!B61:Z61)</f>
        <v>0.97311013145509628</v>
      </c>
      <c r="DN62" s="4">
        <f t="shared" si="21"/>
        <v>2.6889868544903717E-2</v>
      </c>
      <c r="DO62">
        <f t="shared" si="22"/>
        <v>1.0276329139690439</v>
      </c>
    </row>
    <row r="63" spans="1:119" x14ac:dyDescent="0.25">
      <c r="B63" t="str">
        <f>Raw!B64</f>
        <v>TB6</v>
      </c>
      <c r="C63">
        <v>1</v>
      </c>
      <c r="D63" s="9">
        <f>Raw!D64/Raw!$C64</f>
        <v>1862.4999999999995</v>
      </c>
      <c r="E63" s="9">
        <f>Raw!E64/Raw!$C64</f>
        <v>243.99999999999994</v>
      </c>
      <c r="F63" s="9">
        <f>Raw!F64/Raw!$C64</f>
        <v>0</v>
      </c>
      <c r="G63" s="9">
        <f>Raw!G64/Raw!$C64</f>
        <v>0</v>
      </c>
      <c r="H63" s="9">
        <f>Raw!H64/Raw!$C64</f>
        <v>0</v>
      </c>
      <c r="I63" s="9">
        <f>Raw!I64/Raw!$C64</f>
        <v>0</v>
      </c>
      <c r="J63" s="9">
        <f>Raw!J64/Raw!$C64</f>
        <v>0</v>
      </c>
      <c r="K63" s="9">
        <f>Raw!K64/Raw!$C64</f>
        <v>0</v>
      </c>
      <c r="L63" s="9">
        <f>Raw!L64/Raw!$C64</f>
        <v>0</v>
      </c>
      <c r="M63" s="9">
        <f>Raw!M64/Raw!$C64</f>
        <v>0</v>
      </c>
      <c r="N63" s="9">
        <f>Raw!N64/Raw!$C64</f>
        <v>0</v>
      </c>
      <c r="O63" s="9">
        <f>Raw!O64/Raw!$C64</f>
        <v>0</v>
      </c>
      <c r="P63" s="9">
        <f>Raw!P64/Raw!$C64</f>
        <v>0</v>
      </c>
      <c r="Q63" s="9">
        <f>Raw!Q64/Raw!$C64</f>
        <v>0</v>
      </c>
      <c r="R63" s="9">
        <f>Raw!R64/Raw!$C64</f>
        <v>0</v>
      </c>
      <c r="S63" s="9">
        <f>Raw!S64/Raw!$C64</f>
        <v>0</v>
      </c>
      <c r="T63" s="9">
        <f>Raw!T64/Raw!$C64</f>
        <v>0</v>
      </c>
      <c r="U63" s="9">
        <f>Raw!U64/Raw!$C64</f>
        <v>0</v>
      </c>
      <c r="V63" s="9">
        <f>Raw!V64/Raw!$C64</f>
        <v>0</v>
      </c>
      <c r="W63" s="9">
        <f>Raw!W64/Raw!$C64</f>
        <v>0</v>
      </c>
      <c r="X63" s="9">
        <f>Raw!X64/Raw!$C64</f>
        <v>0</v>
      </c>
      <c r="Y63" s="9">
        <f>Raw!Y64/Raw!$C64</f>
        <v>0</v>
      </c>
      <c r="Z63" s="9">
        <f>Raw!Z64/Raw!$C64</f>
        <v>0</v>
      </c>
      <c r="AA63" s="9">
        <f>Raw!AA64/Raw!$C64</f>
        <v>0</v>
      </c>
      <c r="AB63" s="9">
        <f>Raw!AB64/Raw!$C64</f>
        <v>0</v>
      </c>
      <c r="AC63" s="9">
        <f>Raw!AC64/Raw!$C64</f>
        <v>0</v>
      </c>
      <c r="AD63" s="9">
        <f>Raw!AD64/Raw!$C64</f>
        <v>0</v>
      </c>
      <c r="AE63" s="9">
        <f>Raw!AE64/Raw!$C64</f>
        <v>0</v>
      </c>
      <c r="AF63" s="9">
        <f>Raw!AF64/Raw!$C64</f>
        <v>0</v>
      </c>
      <c r="AG63" s="9">
        <f>Raw!AG64/Raw!$C64</f>
        <v>0</v>
      </c>
      <c r="AH63" s="9">
        <f>Raw!AH64/Raw!$C64</f>
        <v>0</v>
      </c>
      <c r="AI63" s="9">
        <f>Raw!AI64/Raw!$C64</f>
        <v>0</v>
      </c>
      <c r="AJ63" s="9">
        <f>Raw!AJ64/Raw!$C64</f>
        <v>12.499999999999998</v>
      </c>
      <c r="AK63" s="9">
        <f>Raw!AK64/Raw!$C64</f>
        <v>19.937499999999996</v>
      </c>
      <c r="AL63" s="9">
        <f>Raw!AL64/Raw!$C64</f>
        <v>93.749999999999986</v>
      </c>
      <c r="AM63" s="9">
        <f>Raw!AM64/Raw!$C64</f>
        <v>28.124999999999993</v>
      </c>
      <c r="AN63" s="9">
        <f>Raw!AN64/Raw!$C64</f>
        <v>0</v>
      </c>
      <c r="AO63" s="9">
        <f>Raw!AO64/Raw!$C64</f>
        <v>0</v>
      </c>
      <c r="AP63" s="9">
        <f>Raw!AP64/Raw!$C64</f>
        <v>0</v>
      </c>
      <c r="AQ63" s="9">
        <f>Raw!AQ64/Raw!$C64</f>
        <v>0</v>
      </c>
      <c r="AR63" s="9">
        <f>Raw!AR64/Raw!$C64</f>
        <v>0</v>
      </c>
      <c r="AS63" s="9">
        <f>Raw!AS64/Raw!$C64</f>
        <v>0</v>
      </c>
      <c r="AT63" s="9">
        <f>Raw!AT64/Raw!$C64</f>
        <v>0</v>
      </c>
      <c r="AU63" s="9">
        <f>Raw!AU64/Raw!$C64</f>
        <v>0</v>
      </c>
      <c r="AV63" s="9">
        <f>Raw!AV64/Raw!$C64</f>
        <v>0</v>
      </c>
      <c r="AW63" s="9">
        <f>Raw!AW64/Raw!$C64</f>
        <v>0</v>
      </c>
      <c r="AX63" s="9">
        <f>Raw!AX64/Raw!$C64</f>
        <v>0</v>
      </c>
      <c r="AY63" s="9">
        <f>Raw!AY64/Raw!$C64</f>
        <v>0</v>
      </c>
      <c r="AZ63" s="9">
        <f>Raw!AZ64/Raw!$C64</f>
        <v>0</v>
      </c>
      <c r="BA63" s="9">
        <f>Raw!BA64/Raw!$C64</f>
        <v>0</v>
      </c>
      <c r="BB63" s="9">
        <f>Raw!BB64/Raw!$C64</f>
        <v>0</v>
      </c>
      <c r="BC63" s="9">
        <f>Raw!BC64/Raw!$C64</f>
        <v>0</v>
      </c>
      <c r="BD63" s="9">
        <f>Raw!BD64/Raw!$C64</f>
        <v>0</v>
      </c>
      <c r="BE63" s="9">
        <f>Raw!BE64/Raw!$C64</f>
        <v>0</v>
      </c>
      <c r="BF63" s="9">
        <f>Raw!BF64/Raw!$C64</f>
        <v>0</v>
      </c>
      <c r="BG63" s="9">
        <f>Raw!BG64/Raw!$C64</f>
        <v>0</v>
      </c>
      <c r="BH63" s="9">
        <f>Raw!BH64/Raw!$C64</f>
        <v>0</v>
      </c>
      <c r="BI63" s="9">
        <f>Raw!BI64/Raw!$C64</f>
        <v>0</v>
      </c>
      <c r="BJ63" s="9">
        <f>Raw!BJ64/Raw!$C64</f>
        <v>0</v>
      </c>
      <c r="BK63" s="9">
        <f>Raw!BK64/Raw!$C64</f>
        <v>0</v>
      </c>
      <c r="BL63" s="9">
        <f>Raw!BL64/Raw!$C64</f>
        <v>0</v>
      </c>
      <c r="BM63" s="9">
        <f>Raw!BM64/Raw!$C64</f>
        <v>0</v>
      </c>
      <c r="BN63" s="9">
        <f>Raw!BN64/Raw!$C64</f>
        <v>0</v>
      </c>
      <c r="BO63" s="9">
        <f>Raw!BO64/Raw!$C64</f>
        <v>0</v>
      </c>
      <c r="BP63" s="9">
        <f>Raw!BP64/Raw!$C64</f>
        <v>0</v>
      </c>
      <c r="BQ63" s="9">
        <f>Raw!BQ64/Raw!$C64</f>
        <v>0</v>
      </c>
      <c r="BR63" s="9">
        <f>Raw!BR64/Raw!$C64</f>
        <v>0</v>
      </c>
      <c r="BS63" s="9">
        <f>Raw!BS64/Raw!$C64</f>
        <v>0</v>
      </c>
      <c r="BT63" s="9">
        <f>Raw!BT64/Raw!$C64</f>
        <v>0</v>
      </c>
      <c r="BU63" s="9">
        <f>Raw!BU64/Raw!$C64</f>
        <v>0</v>
      </c>
      <c r="BV63" s="9">
        <f>Raw!BV64/Raw!$C64</f>
        <v>0</v>
      </c>
      <c r="BW63" s="9">
        <f>Raw!BW64/Raw!$C64</f>
        <v>0</v>
      </c>
      <c r="BX63" s="9">
        <f>Raw!BX64/Raw!$C64</f>
        <v>0</v>
      </c>
      <c r="BY63" s="9">
        <f>Raw!BY64/Raw!$C64</f>
        <v>0</v>
      </c>
      <c r="BZ63" s="9">
        <f>Raw!BZ64/Raw!$C64</f>
        <v>0</v>
      </c>
      <c r="CA63" s="9">
        <f>Raw!CA64/Raw!$C64</f>
        <v>0</v>
      </c>
      <c r="CB63" s="9">
        <f>Raw!CB64/Raw!$C64</f>
        <v>0</v>
      </c>
      <c r="CC63" s="9">
        <f>Raw!CC64/Raw!$C64</f>
        <v>0</v>
      </c>
      <c r="CD63" s="9">
        <f>Raw!CD64/Raw!$C64</f>
        <v>0</v>
      </c>
      <c r="CE63" s="9">
        <f>Raw!CE64/Raw!$C64</f>
        <v>0</v>
      </c>
      <c r="CF63" s="9">
        <f>Raw!CF64/Raw!$C64</f>
        <v>0</v>
      </c>
      <c r="CG63" s="9">
        <f>Raw!CG64/Raw!$C64</f>
        <v>0</v>
      </c>
      <c r="CH63" s="9">
        <f>Raw!CH64/Raw!$C64</f>
        <v>0</v>
      </c>
      <c r="CI63" s="9">
        <f>Raw!CI64/Raw!$C64</f>
        <v>0</v>
      </c>
      <c r="CJ63" s="9">
        <f>Raw!CJ64/Raw!$C64</f>
        <v>0</v>
      </c>
      <c r="CK63" s="9">
        <f>Raw!CK64/Raw!$C64</f>
        <v>0</v>
      </c>
      <c r="CL63" s="9">
        <f>Raw!CL64/Raw!$C64</f>
        <v>0</v>
      </c>
      <c r="CM63" s="9">
        <f>Raw!CM64/Raw!$C64</f>
        <v>0</v>
      </c>
      <c r="CN63" s="9">
        <f>Raw!CN64/Raw!$C64</f>
        <v>0</v>
      </c>
      <c r="CO63" s="9">
        <f>Raw!CO64/Raw!$C64</f>
        <v>0</v>
      </c>
      <c r="CP63" s="9">
        <f>Raw!CP64/Raw!$C64</f>
        <v>0</v>
      </c>
      <c r="CQ63" s="9">
        <f>Raw!CQ64/Raw!$C64</f>
        <v>0</v>
      </c>
      <c r="CR63" s="2">
        <f t="shared" si="8"/>
        <v>1968.7499999999995</v>
      </c>
      <c r="CS63" s="2">
        <f t="shared" si="9"/>
        <v>292.06249999999994</v>
      </c>
      <c r="CT63" s="3">
        <f t="shared" si="37"/>
        <v>3.2941905711336754</v>
      </c>
      <c r="CU63" s="3">
        <f t="shared" si="38"/>
        <v>2.4654757983683884</v>
      </c>
      <c r="CV63" s="3"/>
      <c r="CW63" s="3"/>
      <c r="CX63" s="3"/>
      <c r="CY63" s="3"/>
      <c r="CZ63" s="3">
        <f t="shared" si="25"/>
        <v>3.2941905711336754</v>
      </c>
      <c r="DA63" s="3">
        <f t="shared" si="26"/>
        <v>2.4654757983683884</v>
      </c>
      <c r="DB63" s="6">
        <f t="shared" si="27"/>
        <v>0.77769482924606392</v>
      </c>
      <c r="DC63" s="3">
        <v>3</v>
      </c>
      <c r="DD63" s="3">
        <f>DC63/Raw!C64</f>
        <v>18.749999999999996</v>
      </c>
      <c r="DE63" s="5">
        <f t="shared" si="17"/>
        <v>1.5238095238095241E-3</v>
      </c>
      <c r="DF63">
        <f t="shared" si="18"/>
        <v>-2.8170693164140133</v>
      </c>
      <c r="DH63" s="4">
        <f>-SUM('Shannon-Weiner'!B62:Z62)</f>
        <v>0.22958563452003447</v>
      </c>
      <c r="DI63" s="4">
        <f>SUM('p^2'!B62:Z62)</f>
        <v>0.89728395061728394</v>
      </c>
      <c r="DJ63" s="4">
        <f t="shared" si="19"/>
        <v>0.10271604938271606</v>
      </c>
      <c r="DK63">
        <f t="shared" si="20"/>
        <v>1.1144744083654377</v>
      </c>
      <c r="DL63" s="4">
        <f>SUM('Shannon-Weiner_B'!B62:Z62)</f>
        <v>-0.55882500039332239</v>
      </c>
      <c r="DM63" s="4">
        <f>SUM('p_B^2'!B62:Z62)</f>
        <v>0.7118893412164321</v>
      </c>
      <c r="DN63" s="4">
        <f t="shared" si="21"/>
        <v>0.2881106587835679</v>
      </c>
      <c r="DO63">
        <f t="shared" si="22"/>
        <v>1.4047127019646934</v>
      </c>
    </row>
    <row r="64" spans="1:119" x14ac:dyDescent="0.25">
      <c r="B64" t="str">
        <f>Raw!B65</f>
        <v>TB7</v>
      </c>
      <c r="C64">
        <v>1</v>
      </c>
      <c r="D64" s="9">
        <f>Raw!D65/Raw!$C65</f>
        <v>1568.7499999999998</v>
      </c>
      <c r="E64" s="9">
        <f>Raw!E65/Raw!$C65</f>
        <v>228.49999999999997</v>
      </c>
      <c r="F64" s="9">
        <f>Raw!F65/Raw!$C65</f>
        <v>0</v>
      </c>
      <c r="G64" s="9">
        <f>Raw!G65/Raw!$C65</f>
        <v>0</v>
      </c>
      <c r="H64" s="9">
        <f>Raw!H65/Raw!$C65</f>
        <v>0</v>
      </c>
      <c r="I64" s="9">
        <f>Raw!I65/Raw!$C65</f>
        <v>0</v>
      </c>
      <c r="J64" s="9">
        <f>Raw!J65/Raw!$C65</f>
        <v>0</v>
      </c>
      <c r="K64" s="9">
        <f>Raw!K65/Raw!$C65</f>
        <v>0</v>
      </c>
      <c r="L64" s="9">
        <f>Raw!L65/Raw!$C65</f>
        <v>0</v>
      </c>
      <c r="M64" s="9">
        <f>Raw!M65/Raw!$C65</f>
        <v>0</v>
      </c>
      <c r="N64" s="9">
        <f>Raw!N65/Raw!$C65</f>
        <v>0</v>
      </c>
      <c r="O64" s="9">
        <f>Raw!O65/Raw!$C65</f>
        <v>0</v>
      </c>
      <c r="P64" s="9">
        <f>Raw!P65/Raw!$C65</f>
        <v>0</v>
      </c>
      <c r="Q64" s="9">
        <f>Raw!Q65/Raw!$C65</f>
        <v>0</v>
      </c>
      <c r="R64" s="9">
        <f>Raw!R65/Raw!$C65</f>
        <v>0</v>
      </c>
      <c r="S64" s="9">
        <f>Raw!S65/Raw!$C65</f>
        <v>0</v>
      </c>
      <c r="T64" s="9">
        <f>Raw!T65/Raw!$C65</f>
        <v>0</v>
      </c>
      <c r="U64" s="9">
        <f>Raw!U65/Raw!$C65</f>
        <v>0</v>
      </c>
      <c r="V64" s="9">
        <f>Raw!V65/Raw!$C65</f>
        <v>0</v>
      </c>
      <c r="W64" s="9">
        <f>Raw!W65/Raw!$C65</f>
        <v>0</v>
      </c>
      <c r="X64" s="9">
        <f>Raw!X65/Raw!$C65</f>
        <v>12.499999999999998</v>
      </c>
      <c r="Y64" s="9">
        <f>Raw!Y65/Raw!$C65</f>
        <v>0.25000000000000017</v>
      </c>
      <c r="Z64" s="9">
        <f>Raw!Z65/Raw!$C65</f>
        <v>0</v>
      </c>
      <c r="AA64" s="9">
        <f>Raw!AA65/Raw!$C65</f>
        <v>0</v>
      </c>
      <c r="AB64" s="9">
        <f>Raw!AB65/Raw!$C65</f>
        <v>0</v>
      </c>
      <c r="AC64" s="9">
        <f>Raw!AC65/Raw!$C65</f>
        <v>0</v>
      </c>
      <c r="AD64" s="9">
        <f>Raw!AD65/Raw!$C65</f>
        <v>0</v>
      </c>
      <c r="AE64" s="9">
        <f>Raw!AE65/Raw!$C65</f>
        <v>0</v>
      </c>
      <c r="AF64" s="9">
        <f>Raw!AF65/Raw!$C65</f>
        <v>0</v>
      </c>
      <c r="AG64" s="9">
        <f>Raw!AG65/Raw!$C65</f>
        <v>0</v>
      </c>
      <c r="AH64" s="9">
        <f>Raw!AH65/Raw!$C65</f>
        <v>0</v>
      </c>
      <c r="AI64" s="9">
        <f>Raw!AI65/Raw!$C65</f>
        <v>0</v>
      </c>
      <c r="AJ64" s="9">
        <f>Raw!AJ65/Raw!$C65</f>
        <v>0</v>
      </c>
      <c r="AK64" s="9">
        <f>Raw!AK65/Raw!$C65</f>
        <v>0</v>
      </c>
      <c r="AL64" s="9">
        <f>Raw!AL65/Raw!$C65</f>
        <v>37.499999999999993</v>
      </c>
      <c r="AM64" s="9">
        <f>Raw!AM65/Raw!$C65</f>
        <v>48.687499999999993</v>
      </c>
      <c r="AN64" s="9">
        <f>Raw!AN65/Raw!$C65</f>
        <v>0</v>
      </c>
      <c r="AO64" s="9">
        <f>Raw!AO65/Raw!$C65</f>
        <v>0</v>
      </c>
      <c r="AP64" s="9">
        <f>Raw!AP65/Raw!$C65</f>
        <v>0</v>
      </c>
      <c r="AQ64" s="9">
        <f>Raw!AQ65/Raw!$C65</f>
        <v>0</v>
      </c>
      <c r="AR64" s="9">
        <f>Raw!AR65/Raw!$C65</f>
        <v>6.2499999999999991</v>
      </c>
      <c r="AS64" s="9">
        <f>Raw!AS65/Raw!$C65</f>
        <v>15.249999999999996</v>
      </c>
      <c r="AT64" s="9">
        <f>Raw!AT65/Raw!$C65</f>
        <v>0</v>
      </c>
      <c r="AU64" s="9">
        <f>Raw!AU65/Raw!$C65</f>
        <v>0</v>
      </c>
      <c r="AV64" s="9">
        <f>Raw!AV65/Raw!$C65</f>
        <v>0</v>
      </c>
      <c r="AW64" s="9">
        <f>Raw!AW65/Raw!$C65</f>
        <v>0</v>
      </c>
      <c r="AX64" s="9">
        <f>Raw!AX65/Raw!$C65</f>
        <v>0</v>
      </c>
      <c r="AY64" s="9">
        <f>Raw!AY65/Raw!$C65</f>
        <v>0</v>
      </c>
      <c r="AZ64" s="9">
        <f>Raw!AZ65/Raw!$C65</f>
        <v>0</v>
      </c>
      <c r="BA64" s="9">
        <f>Raw!BA65/Raw!$C65</f>
        <v>0</v>
      </c>
      <c r="BB64" s="9">
        <f>Raw!BB65/Raw!$C65</f>
        <v>0</v>
      </c>
      <c r="BC64" s="9">
        <f>Raw!BC65/Raw!$C65</f>
        <v>0</v>
      </c>
      <c r="BD64" s="9">
        <f>Raw!BD65/Raw!$C65</f>
        <v>0</v>
      </c>
      <c r="BE64" s="9">
        <f>Raw!BE65/Raw!$C65</f>
        <v>0</v>
      </c>
      <c r="BF64" s="9">
        <f>Raw!BF65/Raw!$C65</f>
        <v>0</v>
      </c>
      <c r="BG64" s="9">
        <f>Raw!BG65/Raw!$C65</f>
        <v>0</v>
      </c>
      <c r="BH64" s="9">
        <f>Raw!BH65/Raw!$C65</f>
        <v>0</v>
      </c>
      <c r="BI64" s="9">
        <f>Raw!BI65/Raw!$C65</f>
        <v>0</v>
      </c>
      <c r="BJ64" s="9">
        <f>Raw!BJ65/Raw!$C65</f>
        <v>0</v>
      </c>
      <c r="BK64" s="9">
        <f>Raw!BK65/Raw!$C65</f>
        <v>0</v>
      </c>
      <c r="BL64" s="9">
        <f>Raw!BL65/Raw!$C65</f>
        <v>0</v>
      </c>
      <c r="BM64" s="9">
        <f>Raw!BM65/Raw!$C65</f>
        <v>0</v>
      </c>
      <c r="BN64" s="9">
        <f>Raw!BN65/Raw!$C65</f>
        <v>0</v>
      </c>
      <c r="BO64" s="9">
        <f>Raw!BO65/Raw!$C65</f>
        <v>0</v>
      </c>
      <c r="BP64" s="9">
        <f>Raw!BP65/Raw!$C65</f>
        <v>0</v>
      </c>
      <c r="BQ64" s="9">
        <f>Raw!BQ65/Raw!$C65</f>
        <v>0</v>
      </c>
      <c r="BR64" s="9">
        <f>Raw!BR65/Raw!$C65</f>
        <v>0</v>
      </c>
      <c r="BS64" s="9">
        <f>Raw!BS65/Raw!$C65</f>
        <v>0</v>
      </c>
      <c r="BT64" s="9">
        <f>Raw!BT65/Raw!$C65</f>
        <v>0</v>
      </c>
      <c r="BU64" s="9">
        <f>Raw!BU65/Raw!$C65</f>
        <v>0</v>
      </c>
      <c r="BV64" s="9">
        <f>Raw!BV65/Raw!$C65</f>
        <v>0</v>
      </c>
      <c r="BW64" s="9">
        <f>Raw!BW65/Raw!$C65</f>
        <v>0</v>
      </c>
      <c r="BX64" s="9">
        <f>Raw!BX65/Raw!$C65</f>
        <v>0</v>
      </c>
      <c r="BY64" s="9">
        <f>Raw!BY65/Raw!$C65</f>
        <v>0</v>
      </c>
      <c r="BZ64" s="9">
        <f>Raw!BZ65/Raw!$C65</f>
        <v>0</v>
      </c>
      <c r="CA64" s="9">
        <f>Raw!CA65/Raw!$C65</f>
        <v>0</v>
      </c>
      <c r="CB64" s="9">
        <f>Raw!CB65/Raw!$C65</f>
        <v>0</v>
      </c>
      <c r="CC64" s="9">
        <f>Raw!CC65/Raw!$C65</f>
        <v>0</v>
      </c>
      <c r="CD64" s="9">
        <f>Raw!CD65/Raw!$C65</f>
        <v>0</v>
      </c>
      <c r="CE64" s="9">
        <f>Raw!CE65/Raw!$C65</f>
        <v>0</v>
      </c>
      <c r="CF64" s="9">
        <f>Raw!CF65/Raw!$C65</f>
        <v>0</v>
      </c>
      <c r="CG64" s="9">
        <f>Raw!CG65/Raw!$C65</f>
        <v>0</v>
      </c>
      <c r="CH64" s="9">
        <f>Raw!CH65/Raw!$C65</f>
        <v>0</v>
      </c>
      <c r="CI64" s="9">
        <f>Raw!CI65/Raw!$C65</f>
        <v>0</v>
      </c>
      <c r="CJ64" s="9">
        <f>Raw!CJ65/Raw!$C65</f>
        <v>0</v>
      </c>
      <c r="CK64" s="9">
        <f>Raw!CK65/Raw!$C65</f>
        <v>0</v>
      </c>
      <c r="CL64" s="9">
        <f>Raw!CL65/Raw!$C65</f>
        <v>0</v>
      </c>
      <c r="CM64" s="9">
        <f>Raw!CM65/Raw!$C65</f>
        <v>0</v>
      </c>
      <c r="CN64" s="9">
        <f>Raw!CN65/Raw!$C65</f>
        <v>0</v>
      </c>
      <c r="CO64" s="9">
        <f>Raw!CO65/Raw!$C65</f>
        <v>0</v>
      </c>
      <c r="CP64" s="9">
        <f>Raw!CP65/Raw!$C65</f>
        <v>0</v>
      </c>
      <c r="CQ64" s="9">
        <f>Raw!CQ65/Raw!$C65</f>
        <v>0</v>
      </c>
      <c r="CR64" s="2">
        <f t="shared" si="8"/>
        <v>1624.9999999999998</v>
      </c>
      <c r="CS64" s="2">
        <f t="shared" si="9"/>
        <v>292.68749999999994</v>
      </c>
      <c r="CT64" s="3">
        <f t="shared" si="37"/>
        <v>3.2108533653148932</v>
      </c>
      <c r="CU64" s="3">
        <f t="shared" si="38"/>
        <v>2.4664041751261552</v>
      </c>
      <c r="CV64" s="3"/>
      <c r="CW64" s="3"/>
      <c r="CX64" s="3"/>
      <c r="CY64" s="3"/>
      <c r="CZ64" s="3">
        <f t="shared" si="25"/>
        <v>3.2108533653148932</v>
      </c>
      <c r="DA64" s="3">
        <f t="shared" si="26"/>
        <v>2.4664041751261552</v>
      </c>
      <c r="DB64" s="6">
        <f t="shared" si="27"/>
        <v>0.79338099881255508</v>
      </c>
      <c r="DC64" s="3">
        <v>4</v>
      </c>
      <c r="DD64" s="3">
        <f>DC64/Raw!C65</f>
        <v>24.999999999999996</v>
      </c>
      <c r="DE64" s="5">
        <f t="shared" si="17"/>
        <v>2.4615384615384621E-3</v>
      </c>
      <c r="DF64">
        <f t="shared" si="18"/>
        <v>-2.6087933739869307</v>
      </c>
      <c r="DH64" s="4">
        <f>-SUM('Shannon-Weiner'!B63:Z63)</f>
        <v>0.17981417371335087</v>
      </c>
      <c r="DI64" s="4">
        <f>SUM('p^2'!B63:Z63)</f>
        <v>0.93257396449704144</v>
      </c>
      <c r="DJ64" s="4">
        <f t="shared" si="19"/>
        <v>6.7426035502958559E-2</v>
      </c>
      <c r="DK64">
        <f t="shared" si="20"/>
        <v>1.0723010056787539</v>
      </c>
      <c r="DL64" s="4">
        <f>SUM('Shannon-Weiner_B'!B63:Z63)</f>
        <v>-0.65162468481027114</v>
      </c>
      <c r="DM64" s="4">
        <f>SUM('p_B^2'!B63:Z63)</f>
        <v>0.63987305527022231</v>
      </c>
      <c r="DN64" s="4">
        <f t="shared" si="21"/>
        <v>0.36012694472977769</v>
      </c>
      <c r="DO64">
        <f t="shared" si="22"/>
        <v>1.5628099851425903</v>
      </c>
    </row>
    <row r="65" spans="2:119" x14ac:dyDescent="0.25">
      <c r="B65" t="str">
        <f>Raw!B66</f>
        <v>TB8</v>
      </c>
      <c r="C65">
        <v>1</v>
      </c>
      <c r="D65" s="9">
        <f>Raw!D66/Raw!$C66</f>
        <v>993.74999999999977</v>
      </c>
      <c r="E65" s="9">
        <f>Raw!E66/Raw!$C66</f>
        <v>179.62499999999994</v>
      </c>
      <c r="F65" s="9">
        <f>Raw!F66/Raw!$C66</f>
        <v>0</v>
      </c>
      <c r="G65" s="9">
        <f>Raw!G66/Raw!$C66</f>
        <v>0</v>
      </c>
      <c r="H65" s="9">
        <f>Raw!H66/Raw!$C66</f>
        <v>0</v>
      </c>
      <c r="I65" s="9">
        <f>Raw!I66/Raw!$C66</f>
        <v>0</v>
      </c>
      <c r="J65" s="9">
        <f>Raw!J66/Raw!$C66</f>
        <v>0</v>
      </c>
      <c r="K65" s="9">
        <f>Raw!K66/Raw!$C66</f>
        <v>0</v>
      </c>
      <c r="L65" s="9">
        <f>Raw!L66/Raw!$C66</f>
        <v>0</v>
      </c>
      <c r="M65" s="9">
        <f>Raw!M66/Raw!$C66</f>
        <v>0</v>
      </c>
      <c r="N65" s="9">
        <f>Raw!N66/Raw!$C66</f>
        <v>0</v>
      </c>
      <c r="O65" s="9">
        <f>Raw!O66/Raw!$C66</f>
        <v>0</v>
      </c>
      <c r="P65" s="9">
        <f>Raw!P66/Raw!$C66</f>
        <v>0</v>
      </c>
      <c r="Q65" s="9">
        <f>Raw!Q66/Raw!$C66</f>
        <v>0</v>
      </c>
      <c r="R65" s="9">
        <f>Raw!R66/Raw!$C66</f>
        <v>0</v>
      </c>
      <c r="S65" s="9">
        <f>Raw!S66/Raw!$C66</f>
        <v>0</v>
      </c>
      <c r="T65" s="9">
        <f>Raw!T66/Raw!$C66</f>
        <v>0</v>
      </c>
      <c r="U65" s="9">
        <f>Raw!U66/Raw!$C66</f>
        <v>0</v>
      </c>
      <c r="V65" s="9">
        <f>Raw!V66/Raw!$C66</f>
        <v>0</v>
      </c>
      <c r="W65" s="9">
        <f>Raw!W66/Raw!$C66</f>
        <v>0</v>
      </c>
      <c r="X65" s="9">
        <f>Raw!X66/Raw!$C66</f>
        <v>0</v>
      </c>
      <c r="Y65" s="9">
        <f>Raw!Y66/Raw!$C66</f>
        <v>0</v>
      </c>
      <c r="Z65" s="9">
        <f>Raw!Z66/Raw!$C66</f>
        <v>0</v>
      </c>
      <c r="AA65" s="9">
        <f>Raw!AA66/Raw!$C66</f>
        <v>0</v>
      </c>
      <c r="AB65" s="9">
        <f>Raw!AB66/Raw!$C66</f>
        <v>0</v>
      </c>
      <c r="AC65" s="9">
        <f>Raw!AC66/Raw!$C66</f>
        <v>0</v>
      </c>
      <c r="AD65" s="9">
        <f>Raw!AD66/Raw!$C66</f>
        <v>0</v>
      </c>
      <c r="AE65" s="9">
        <f>Raw!AE66/Raw!$C66</f>
        <v>0</v>
      </c>
      <c r="AF65" s="9">
        <f>Raw!AF66/Raw!$C66</f>
        <v>0</v>
      </c>
      <c r="AG65" s="9">
        <f>Raw!AG66/Raw!$C66</f>
        <v>0</v>
      </c>
      <c r="AH65" s="9">
        <f>Raw!AH66/Raw!$C66</f>
        <v>0</v>
      </c>
      <c r="AI65" s="9">
        <f>Raw!AI66/Raw!$C66</f>
        <v>0</v>
      </c>
      <c r="AJ65" s="9">
        <f>Raw!AJ66/Raw!$C66</f>
        <v>0</v>
      </c>
      <c r="AK65" s="9">
        <f>Raw!AK66/Raw!$C66</f>
        <v>0</v>
      </c>
      <c r="AL65" s="9">
        <f>Raw!AL66/Raw!$C66</f>
        <v>31.249999999999993</v>
      </c>
      <c r="AM65" s="9">
        <f>Raw!AM66/Raw!$C66</f>
        <v>260.12499999999994</v>
      </c>
      <c r="AN65" s="9">
        <f>Raw!AN66/Raw!$C66</f>
        <v>0</v>
      </c>
      <c r="AO65" s="9">
        <f>Raw!AO66/Raw!$C66</f>
        <v>0</v>
      </c>
      <c r="AP65" s="9">
        <f>Raw!AP66/Raw!$C66</f>
        <v>0</v>
      </c>
      <c r="AQ65" s="9">
        <f>Raw!AQ66/Raw!$C66</f>
        <v>0</v>
      </c>
      <c r="AR65" s="9">
        <f>Raw!AR66/Raw!$C66</f>
        <v>0</v>
      </c>
      <c r="AS65" s="9">
        <f>Raw!AS66/Raw!$C66</f>
        <v>0</v>
      </c>
      <c r="AT65" s="9">
        <f>Raw!AT66/Raw!$C66</f>
        <v>0</v>
      </c>
      <c r="AU65" s="9">
        <f>Raw!AU66/Raw!$C66</f>
        <v>0</v>
      </c>
      <c r="AV65" s="9">
        <f>Raw!AV66/Raw!$C66</f>
        <v>0</v>
      </c>
      <c r="AW65" s="9">
        <f>Raw!AW66/Raw!$C66</f>
        <v>0</v>
      </c>
      <c r="AX65" s="9">
        <f>Raw!AX66/Raw!$C66</f>
        <v>0</v>
      </c>
      <c r="AY65" s="9">
        <f>Raw!AY66/Raw!$C66</f>
        <v>0</v>
      </c>
      <c r="AZ65" s="9">
        <f>Raw!AZ66/Raw!$C66</f>
        <v>0</v>
      </c>
      <c r="BA65" s="9">
        <f>Raw!BA66/Raw!$C66</f>
        <v>0</v>
      </c>
      <c r="BB65" s="9">
        <f>Raw!BB66/Raw!$C66</f>
        <v>0</v>
      </c>
      <c r="BC65" s="9">
        <f>Raw!BC66/Raw!$C66</f>
        <v>0</v>
      </c>
      <c r="BD65" s="9">
        <f>Raw!BD66/Raw!$C66</f>
        <v>0</v>
      </c>
      <c r="BE65" s="9">
        <f>Raw!BE66/Raw!$C66</f>
        <v>0</v>
      </c>
      <c r="BF65" s="9">
        <f>Raw!BF66/Raw!$C66</f>
        <v>0</v>
      </c>
      <c r="BG65" s="9">
        <f>Raw!BG66/Raw!$C66</f>
        <v>0</v>
      </c>
      <c r="BH65" s="9">
        <f>Raw!BH66/Raw!$C66</f>
        <v>0</v>
      </c>
      <c r="BI65" s="9">
        <f>Raw!BI66/Raw!$C66</f>
        <v>0</v>
      </c>
      <c r="BJ65" s="9">
        <f>Raw!BJ66/Raw!$C66</f>
        <v>0</v>
      </c>
      <c r="BK65" s="9">
        <f>Raw!BK66/Raw!$C66</f>
        <v>0</v>
      </c>
      <c r="BL65" s="9">
        <f>Raw!BL66/Raw!$C66</f>
        <v>0</v>
      </c>
      <c r="BM65" s="9">
        <f>Raw!BM66/Raw!$C66</f>
        <v>0</v>
      </c>
      <c r="BN65" s="9">
        <f>Raw!BN66/Raw!$C66</f>
        <v>0</v>
      </c>
      <c r="BO65" s="9">
        <f>Raw!BO66/Raw!$C66</f>
        <v>0</v>
      </c>
      <c r="BP65" s="9">
        <f>Raw!BP66/Raw!$C66</f>
        <v>0</v>
      </c>
      <c r="BQ65" s="9">
        <f>Raw!BQ66/Raw!$C66</f>
        <v>0</v>
      </c>
      <c r="BR65" s="9">
        <f>Raw!BR66/Raw!$C66</f>
        <v>0</v>
      </c>
      <c r="BS65" s="9">
        <f>Raw!BS66/Raw!$C66</f>
        <v>0</v>
      </c>
      <c r="BT65" s="9">
        <f>Raw!BT66/Raw!$C66</f>
        <v>0</v>
      </c>
      <c r="BU65" s="9">
        <f>Raw!BU66/Raw!$C66</f>
        <v>0</v>
      </c>
      <c r="BV65" s="9">
        <f>Raw!BV66/Raw!$C66</f>
        <v>0</v>
      </c>
      <c r="BW65" s="9">
        <f>Raw!BW66/Raw!$C66</f>
        <v>0</v>
      </c>
      <c r="BX65" s="9">
        <f>Raw!BX66/Raw!$C66</f>
        <v>0</v>
      </c>
      <c r="BY65" s="9">
        <f>Raw!BY66/Raw!$C66</f>
        <v>0</v>
      </c>
      <c r="BZ65" s="9">
        <f>Raw!BZ66/Raw!$C66</f>
        <v>0</v>
      </c>
      <c r="CA65" s="9">
        <f>Raw!CA66/Raw!$C66</f>
        <v>0</v>
      </c>
      <c r="CB65" s="9">
        <f>Raw!CB66/Raw!$C66</f>
        <v>0</v>
      </c>
      <c r="CC65" s="9">
        <f>Raw!CC66/Raw!$C66</f>
        <v>0</v>
      </c>
      <c r="CD65" s="9">
        <f>Raw!CD66/Raw!$C66</f>
        <v>0</v>
      </c>
      <c r="CE65" s="9">
        <f>Raw!CE66/Raw!$C66</f>
        <v>0</v>
      </c>
      <c r="CF65" s="9">
        <f>Raw!CF66/Raw!$C66</f>
        <v>0</v>
      </c>
      <c r="CG65" s="9">
        <f>Raw!CG66/Raw!$C66</f>
        <v>0</v>
      </c>
      <c r="CH65" s="9">
        <f>Raw!CH66/Raw!$C66</f>
        <v>0</v>
      </c>
      <c r="CI65" s="9">
        <f>Raw!CI66/Raw!$C66</f>
        <v>0</v>
      </c>
      <c r="CJ65" s="9">
        <f>Raw!CJ66/Raw!$C66</f>
        <v>0</v>
      </c>
      <c r="CK65" s="9">
        <f>Raw!CK66/Raw!$C66</f>
        <v>0</v>
      </c>
      <c r="CL65" s="9">
        <f>Raw!CL66/Raw!$C66</f>
        <v>0</v>
      </c>
      <c r="CM65" s="9">
        <f>Raw!CM66/Raw!$C66</f>
        <v>0</v>
      </c>
      <c r="CN65" s="9">
        <f>Raw!CN66/Raw!$C66</f>
        <v>0</v>
      </c>
      <c r="CO65" s="9">
        <f>Raw!CO66/Raw!$C66</f>
        <v>0</v>
      </c>
      <c r="CP65" s="9">
        <f>Raw!CP66/Raw!$C66</f>
        <v>0</v>
      </c>
      <c r="CQ65" s="9">
        <f>Raw!CQ66/Raw!$C66</f>
        <v>0</v>
      </c>
      <c r="CR65" s="2">
        <f t="shared" si="8"/>
        <v>1024.9999999999998</v>
      </c>
      <c r="CS65" s="2">
        <f t="shared" si="9"/>
        <v>439.74999999999989</v>
      </c>
      <c r="CT65" s="3">
        <f t="shared" si="37"/>
        <v>3.0107238653917729</v>
      </c>
      <c r="CU65" s="3">
        <f t="shared" si="38"/>
        <v>2.6432058481294987</v>
      </c>
      <c r="CV65" s="3"/>
      <c r="CW65" s="3"/>
      <c r="CX65" s="3"/>
      <c r="CY65" s="3"/>
      <c r="CZ65" s="3">
        <f t="shared" si="25"/>
        <v>3.0107238653917729</v>
      </c>
      <c r="DA65" s="3">
        <f t="shared" si="26"/>
        <v>2.6432058481294987</v>
      </c>
      <c r="DB65" s="6">
        <f t="shared" si="27"/>
        <v>0.72799922238163906</v>
      </c>
      <c r="DC65" s="3">
        <v>2</v>
      </c>
      <c r="DD65" s="3">
        <f>DC65/Raw!C66</f>
        <v>12.499999999999998</v>
      </c>
      <c r="DE65" s="5">
        <f t="shared" si="17"/>
        <v>1.9512195121951224E-3</v>
      </c>
      <c r="DF65">
        <f t="shared" si="18"/>
        <v>-2.7096938697277917</v>
      </c>
      <c r="DH65" s="4">
        <f>-SUM('Shannon-Weiner'!B64:Z64)</f>
        <v>0.13643375882915385</v>
      </c>
      <c r="DI65" s="4">
        <f>SUM('p^2'!B64:Z64)</f>
        <v>0.94088340273646631</v>
      </c>
      <c r="DJ65" s="4">
        <f t="shared" si="19"/>
        <v>5.9116597263533688E-2</v>
      </c>
      <c r="DK65">
        <f t="shared" si="20"/>
        <v>1.0628309491820123</v>
      </c>
      <c r="DL65" s="4">
        <f>SUM('Shannon-Weiner_B'!B64:Z64)</f>
        <v>-0.67629710664465748</v>
      </c>
      <c r="DM65" s="4">
        <f>SUM('p_B^2'!B64:Z64)</f>
        <v>0.51675521746198627</v>
      </c>
      <c r="DN65" s="4">
        <f t="shared" si="21"/>
        <v>0.48324478253801373</v>
      </c>
      <c r="DO65">
        <f t="shared" si="22"/>
        <v>1.9351522078701844</v>
      </c>
    </row>
    <row r="66" spans="2:119" x14ac:dyDescent="0.25">
      <c r="B66" t="str">
        <f>Raw!B67</f>
        <v>TB9</v>
      </c>
      <c r="C66">
        <v>1</v>
      </c>
      <c r="D66" s="9">
        <f>Raw!D67/Raw!$C67</f>
        <v>837.49999999999989</v>
      </c>
      <c r="E66" s="9">
        <f>Raw!E67/Raw!$C67</f>
        <v>143.12499999999997</v>
      </c>
      <c r="F66" s="9">
        <f>Raw!F67/Raw!$C67</f>
        <v>0</v>
      </c>
      <c r="G66" s="9">
        <f>Raw!G67/Raw!$C67</f>
        <v>0</v>
      </c>
      <c r="H66" s="9">
        <f>Raw!H67/Raw!$C67</f>
        <v>0</v>
      </c>
      <c r="I66" s="9">
        <f>Raw!I67/Raw!$C67</f>
        <v>0</v>
      </c>
      <c r="J66" s="9">
        <f>Raw!J67/Raw!$C67</f>
        <v>0</v>
      </c>
      <c r="K66" s="9">
        <f>Raw!K67/Raw!$C67</f>
        <v>0</v>
      </c>
      <c r="L66" s="9">
        <f>Raw!L67/Raw!$C67</f>
        <v>0</v>
      </c>
      <c r="M66" s="9">
        <f>Raw!M67/Raw!$C67</f>
        <v>0</v>
      </c>
      <c r="N66" s="9">
        <f>Raw!N67/Raw!$C67</f>
        <v>0</v>
      </c>
      <c r="O66" s="9">
        <f>Raw!O67/Raw!$C67</f>
        <v>0</v>
      </c>
      <c r="P66" s="9">
        <f>Raw!P67/Raw!$C67</f>
        <v>0</v>
      </c>
      <c r="Q66" s="9">
        <f>Raw!Q67/Raw!$C67</f>
        <v>0</v>
      </c>
      <c r="R66" s="9">
        <f>Raw!R67/Raw!$C67</f>
        <v>0</v>
      </c>
      <c r="S66" s="9">
        <f>Raw!S67/Raw!$C67</f>
        <v>0</v>
      </c>
      <c r="T66" s="9">
        <f>Raw!T67/Raw!$C67</f>
        <v>0</v>
      </c>
      <c r="U66" s="9">
        <f>Raw!U67/Raw!$C67</f>
        <v>0</v>
      </c>
      <c r="V66" s="9">
        <f>Raw!V67/Raw!$C67</f>
        <v>0</v>
      </c>
      <c r="W66" s="9">
        <f>Raw!W67/Raw!$C67</f>
        <v>0</v>
      </c>
      <c r="X66" s="9">
        <f>Raw!X67/Raw!$C67</f>
        <v>0</v>
      </c>
      <c r="Y66" s="9">
        <f>Raw!Y67/Raw!$C67</f>
        <v>0</v>
      </c>
      <c r="Z66" s="9">
        <f>Raw!Z67/Raw!$C67</f>
        <v>0</v>
      </c>
      <c r="AA66" s="9">
        <f>Raw!AA67/Raw!$C67</f>
        <v>0</v>
      </c>
      <c r="AB66" s="9">
        <f>Raw!AB67/Raw!$C67</f>
        <v>0</v>
      </c>
      <c r="AC66" s="9">
        <f>Raw!AC67/Raw!$C67</f>
        <v>0</v>
      </c>
      <c r="AD66" s="9">
        <f>Raw!AD67/Raw!$C67</f>
        <v>0</v>
      </c>
      <c r="AE66" s="9">
        <f>Raw!AE67/Raw!$C67</f>
        <v>0</v>
      </c>
      <c r="AF66" s="9">
        <f>Raw!AF67/Raw!$C67</f>
        <v>0</v>
      </c>
      <c r="AG66" s="9">
        <f>Raw!AG67/Raw!$C67</f>
        <v>0</v>
      </c>
      <c r="AH66" s="9">
        <f>Raw!AH67/Raw!$C67</f>
        <v>0</v>
      </c>
      <c r="AI66" s="9">
        <f>Raw!AI67/Raw!$C67</f>
        <v>0</v>
      </c>
      <c r="AJ66" s="9">
        <f>Raw!AJ67/Raw!$C67</f>
        <v>0</v>
      </c>
      <c r="AK66" s="9">
        <f>Raw!AK67/Raw!$C67</f>
        <v>0</v>
      </c>
      <c r="AL66" s="9">
        <f>Raw!AL67/Raw!$C67</f>
        <v>6.2499999999999991</v>
      </c>
      <c r="AM66" s="9">
        <f>Raw!AM67/Raw!$C67</f>
        <v>17.562499999999993</v>
      </c>
      <c r="AN66" s="9">
        <f>Raw!AN67/Raw!$C67</f>
        <v>0</v>
      </c>
      <c r="AO66" s="9">
        <f>Raw!AO67/Raw!$C67</f>
        <v>0</v>
      </c>
      <c r="AP66" s="9">
        <f>Raw!AP67/Raw!$C67</f>
        <v>0</v>
      </c>
      <c r="AQ66" s="9">
        <f>Raw!AQ67/Raw!$C67</f>
        <v>0</v>
      </c>
      <c r="AR66" s="9">
        <f>Raw!AR67/Raw!$C67</f>
        <v>0</v>
      </c>
      <c r="AS66" s="9">
        <f>Raw!AS67/Raw!$C67</f>
        <v>0</v>
      </c>
      <c r="AT66" s="9">
        <f>Raw!AT67/Raw!$C67</f>
        <v>0</v>
      </c>
      <c r="AU66" s="9">
        <f>Raw!AU67/Raw!$C67</f>
        <v>0</v>
      </c>
      <c r="AV66" s="9">
        <f>Raw!AV67/Raw!$C67</f>
        <v>0</v>
      </c>
      <c r="AW66" s="9">
        <f>Raw!AW67/Raw!$C67</f>
        <v>0</v>
      </c>
      <c r="AX66" s="9">
        <f>Raw!AX67/Raw!$C67</f>
        <v>0</v>
      </c>
      <c r="AY66" s="9">
        <f>Raw!AY67/Raw!$C67</f>
        <v>0</v>
      </c>
      <c r="AZ66" s="9">
        <f>Raw!AZ67/Raw!$C67</f>
        <v>0</v>
      </c>
      <c r="BA66" s="9">
        <f>Raw!BA67/Raw!$C67</f>
        <v>0</v>
      </c>
      <c r="BB66" s="9">
        <f>Raw!BB67/Raw!$C67</f>
        <v>0</v>
      </c>
      <c r="BC66" s="9">
        <f>Raw!BC67/Raw!$C67</f>
        <v>0</v>
      </c>
      <c r="BD66" s="9">
        <f>Raw!BD67/Raw!$C67</f>
        <v>0</v>
      </c>
      <c r="BE66" s="9">
        <f>Raw!BE67/Raw!$C67</f>
        <v>0</v>
      </c>
      <c r="BF66" s="9">
        <f>Raw!BF67/Raw!$C67</f>
        <v>0</v>
      </c>
      <c r="BG66" s="9">
        <f>Raw!BG67/Raw!$C67</f>
        <v>0</v>
      </c>
      <c r="BH66" s="9">
        <f>Raw!BH67/Raw!$C67</f>
        <v>0</v>
      </c>
      <c r="BI66" s="9">
        <f>Raw!BI67/Raw!$C67</f>
        <v>0</v>
      </c>
      <c r="BJ66" s="9">
        <f>Raw!BJ67/Raw!$C67</f>
        <v>0</v>
      </c>
      <c r="BK66" s="9">
        <f>Raw!BK67/Raw!$C67</f>
        <v>0</v>
      </c>
      <c r="BL66" s="9">
        <f>Raw!BL67/Raw!$C67</f>
        <v>0</v>
      </c>
      <c r="BM66" s="9">
        <f>Raw!BM67/Raw!$C67</f>
        <v>0</v>
      </c>
      <c r="BN66" s="9">
        <f>Raw!BN67/Raw!$C67</f>
        <v>0</v>
      </c>
      <c r="BO66" s="9">
        <f>Raw!BO67/Raw!$C67</f>
        <v>0</v>
      </c>
      <c r="BP66" s="9">
        <f>Raw!BP67/Raw!$C67</f>
        <v>0</v>
      </c>
      <c r="BQ66" s="9">
        <f>Raw!BQ67/Raw!$C67</f>
        <v>0</v>
      </c>
      <c r="BR66" s="9">
        <f>Raw!BR67/Raw!$C67</f>
        <v>0</v>
      </c>
      <c r="BS66" s="9">
        <f>Raw!BS67/Raw!$C67</f>
        <v>0</v>
      </c>
      <c r="BT66" s="9">
        <f>Raw!BT67/Raw!$C67</f>
        <v>0</v>
      </c>
      <c r="BU66" s="9">
        <f>Raw!BU67/Raw!$C67</f>
        <v>0</v>
      </c>
      <c r="BV66" s="9">
        <f>Raw!BV67/Raw!$C67</f>
        <v>0</v>
      </c>
      <c r="BW66" s="9">
        <f>Raw!BW67/Raw!$C67</f>
        <v>0</v>
      </c>
      <c r="BX66" s="9">
        <f>Raw!BX67/Raw!$C67</f>
        <v>0</v>
      </c>
      <c r="BY66" s="9">
        <f>Raw!BY67/Raw!$C67</f>
        <v>0</v>
      </c>
      <c r="BZ66" s="9">
        <f>Raw!BZ67/Raw!$C67</f>
        <v>0</v>
      </c>
      <c r="CA66" s="9">
        <f>Raw!CA67/Raw!$C67</f>
        <v>0</v>
      </c>
      <c r="CB66" s="9">
        <f>Raw!CB67/Raw!$C67</f>
        <v>0</v>
      </c>
      <c r="CC66" s="9">
        <f>Raw!CC67/Raw!$C67</f>
        <v>0</v>
      </c>
      <c r="CD66" s="9">
        <f>Raw!CD67/Raw!$C67</f>
        <v>0</v>
      </c>
      <c r="CE66" s="9">
        <f>Raw!CE67/Raw!$C67</f>
        <v>0</v>
      </c>
      <c r="CF66" s="9">
        <f>Raw!CF67/Raw!$C67</f>
        <v>0</v>
      </c>
      <c r="CG66" s="9">
        <f>Raw!CG67/Raw!$C67</f>
        <v>0</v>
      </c>
      <c r="CH66" s="9">
        <f>Raw!CH67/Raw!$C67</f>
        <v>0</v>
      </c>
      <c r="CI66" s="9">
        <f>Raw!CI67/Raw!$C67</f>
        <v>0</v>
      </c>
      <c r="CJ66" s="9">
        <f>Raw!CJ67/Raw!$C67</f>
        <v>0</v>
      </c>
      <c r="CK66" s="9">
        <f>Raw!CK67/Raw!$C67</f>
        <v>0</v>
      </c>
      <c r="CL66" s="9">
        <f>Raw!CL67/Raw!$C67</f>
        <v>0</v>
      </c>
      <c r="CM66" s="9">
        <f>Raw!CM67/Raw!$C67</f>
        <v>0</v>
      </c>
      <c r="CN66" s="9">
        <f>Raw!CN67/Raw!$C67</f>
        <v>0</v>
      </c>
      <c r="CO66" s="9">
        <f>Raw!CO67/Raw!$C67</f>
        <v>0</v>
      </c>
      <c r="CP66" s="9">
        <f>Raw!CP67/Raw!$C67</f>
        <v>0</v>
      </c>
      <c r="CQ66" s="9">
        <f>Raw!CQ67/Raw!$C67</f>
        <v>0</v>
      </c>
      <c r="CR66" s="2">
        <f t="shared" si="8"/>
        <v>843.74999999999989</v>
      </c>
      <c r="CS66" s="2">
        <f t="shared" si="9"/>
        <v>160.68749999999997</v>
      </c>
      <c r="CT66" s="3">
        <f t="shared" si="37"/>
        <v>2.9262137858390811</v>
      </c>
      <c r="CU66" s="3">
        <f t="shared" si="38"/>
        <v>2.2059820939869357</v>
      </c>
      <c r="CV66" s="3"/>
      <c r="CW66" s="3"/>
      <c r="CX66" s="3"/>
      <c r="CY66" s="3"/>
      <c r="CZ66" s="3">
        <f t="shared" si="25"/>
        <v>2.9262137858390811</v>
      </c>
      <c r="DA66" s="3">
        <f t="shared" si="26"/>
        <v>2.2059820939869357</v>
      </c>
      <c r="DB66" s="6">
        <f t="shared" si="27"/>
        <v>1.0025581392233416</v>
      </c>
      <c r="DC66" s="3">
        <v>2</v>
      </c>
      <c r="DD66" s="3">
        <f>DC66/Raw!C67</f>
        <v>12.499999999999998</v>
      </c>
      <c r="DE66" s="5">
        <f t="shared" si="17"/>
        <v>2.3703703703703708E-3</v>
      </c>
      <c r="DF66">
        <f t="shared" si="18"/>
        <v>-2.6251837901751003</v>
      </c>
      <c r="DH66" s="4">
        <f>-SUM('Shannon-Weiner'!B65:Z65)</f>
        <v>4.3715273301969289E-2</v>
      </c>
      <c r="DI66" s="4">
        <f>SUM('p^2'!B65:Z65)</f>
        <v>0.98529492455418377</v>
      </c>
      <c r="DJ66" s="4">
        <f t="shared" si="19"/>
        <v>1.4705075445816229E-2</v>
      </c>
      <c r="DK66">
        <f t="shared" si="20"/>
        <v>1.0149245419613522</v>
      </c>
      <c r="DL66" s="4">
        <f>SUM('Shannon-Weiner_B'!B65:Z65)</f>
        <v>-0.34504090614634225</v>
      </c>
      <c r="DM66" s="4">
        <f>SUM('p_B^2'!B65:Z65)</f>
        <v>0.80529924095780947</v>
      </c>
      <c r="DN66" s="4">
        <f t="shared" si="21"/>
        <v>0.19470075904219053</v>
      </c>
      <c r="DO66">
        <f t="shared" si="22"/>
        <v>1.2417744226489233</v>
      </c>
    </row>
    <row r="67" spans="2:119" x14ac:dyDescent="0.25">
      <c r="B67" t="str">
        <f>Raw!B68</f>
        <v>TB10</v>
      </c>
      <c r="C67">
        <v>1</v>
      </c>
      <c r="D67" s="9">
        <f>Raw!D68/Raw!$C68</f>
        <v>531.24999999999989</v>
      </c>
      <c r="E67" s="9">
        <f>Raw!E68/Raw!$C68</f>
        <v>145.31249999999997</v>
      </c>
      <c r="F67" s="9">
        <f>Raw!F68/Raw!$C68</f>
        <v>0</v>
      </c>
      <c r="G67" s="9">
        <f>Raw!G68/Raw!$C68</f>
        <v>0</v>
      </c>
      <c r="H67" s="9">
        <f>Raw!H68/Raw!$C68</f>
        <v>0</v>
      </c>
      <c r="I67" s="9">
        <f>Raw!I68/Raw!$C68</f>
        <v>0</v>
      </c>
      <c r="J67" s="9">
        <f>Raw!J68/Raw!$C68</f>
        <v>0</v>
      </c>
      <c r="K67" s="9">
        <f>Raw!K68/Raw!$C68</f>
        <v>0</v>
      </c>
      <c r="L67" s="9">
        <f>Raw!L68/Raw!$C68</f>
        <v>0</v>
      </c>
      <c r="M67" s="9">
        <f>Raw!M68/Raw!$C68</f>
        <v>0</v>
      </c>
      <c r="N67" s="9">
        <f>Raw!N68/Raw!$C68</f>
        <v>56.249999999999986</v>
      </c>
      <c r="O67" s="9">
        <f>Raw!O68/Raw!$C68</f>
        <v>246.06249999999994</v>
      </c>
      <c r="P67" s="9">
        <f>Raw!P68/Raw!$C68</f>
        <v>0</v>
      </c>
      <c r="Q67" s="9">
        <f>Raw!Q68/Raw!$C68</f>
        <v>0</v>
      </c>
      <c r="R67" s="9">
        <f>Raw!R68/Raw!$C68</f>
        <v>0</v>
      </c>
      <c r="S67" s="9">
        <f>Raw!S68/Raw!$C68</f>
        <v>0</v>
      </c>
      <c r="T67" s="9">
        <f>Raw!T68/Raw!$C68</f>
        <v>0</v>
      </c>
      <c r="U67" s="9">
        <f>Raw!U68/Raw!$C68</f>
        <v>0</v>
      </c>
      <c r="V67" s="9">
        <f>Raw!V68/Raw!$C68</f>
        <v>0</v>
      </c>
      <c r="W67" s="9">
        <f>Raw!W68/Raw!$C68</f>
        <v>0</v>
      </c>
      <c r="X67" s="9">
        <f>Raw!X68/Raw!$C68</f>
        <v>6.2499999999999991</v>
      </c>
      <c r="Y67" s="9">
        <f>Raw!Y68/Raw!$C68</f>
        <v>0.18749999999999875</v>
      </c>
      <c r="Z67" s="9">
        <f>Raw!Z68/Raw!$C68</f>
        <v>0</v>
      </c>
      <c r="AA67" s="9">
        <f>Raw!AA68/Raw!$C68</f>
        <v>0</v>
      </c>
      <c r="AB67" s="9">
        <f>Raw!AB68/Raw!$C68</f>
        <v>0</v>
      </c>
      <c r="AC67" s="9">
        <f>Raw!AC68/Raw!$C68</f>
        <v>0</v>
      </c>
      <c r="AD67" s="9">
        <f>Raw!AD68/Raw!$C68</f>
        <v>0</v>
      </c>
      <c r="AE67" s="9">
        <f>Raw!AE68/Raw!$C68</f>
        <v>0</v>
      </c>
      <c r="AF67" s="9">
        <f>Raw!AF68/Raw!$C68</f>
        <v>0</v>
      </c>
      <c r="AG67" s="9">
        <f>Raw!AG68/Raw!$C68</f>
        <v>0</v>
      </c>
      <c r="AH67" s="9">
        <f>Raw!AH68/Raw!$C68</f>
        <v>0</v>
      </c>
      <c r="AI67" s="9">
        <f>Raw!AI68/Raw!$C68</f>
        <v>0</v>
      </c>
      <c r="AJ67" s="9">
        <f>Raw!AJ68/Raw!$C68</f>
        <v>0</v>
      </c>
      <c r="AK67" s="9">
        <f>Raw!AK68/Raw!$C68</f>
        <v>0</v>
      </c>
      <c r="AL67" s="9">
        <f>Raw!AL68/Raw!$C68</f>
        <v>81.249999999999986</v>
      </c>
      <c r="AM67" s="9">
        <f>Raw!AM68/Raw!$C68</f>
        <v>539.87499999999989</v>
      </c>
      <c r="AN67" s="9">
        <f>Raw!AN68/Raw!$C68</f>
        <v>0</v>
      </c>
      <c r="AO67" s="9">
        <f>Raw!AO68/Raw!$C68</f>
        <v>0</v>
      </c>
      <c r="AP67" s="9">
        <f>Raw!AP68/Raw!$C68</f>
        <v>0</v>
      </c>
      <c r="AQ67" s="9">
        <f>Raw!AQ68/Raw!$C68</f>
        <v>0</v>
      </c>
      <c r="AR67" s="9">
        <f>Raw!AR68/Raw!$C68</f>
        <v>0</v>
      </c>
      <c r="AS67" s="9">
        <f>Raw!AS68/Raw!$C68</f>
        <v>0</v>
      </c>
      <c r="AT67" s="9">
        <f>Raw!AT68/Raw!$C68</f>
        <v>0</v>
      </c>
      <c r="AU67" s="9">
        <f>Raw!AU68/Raw!$C68</f>
        <v>0</v>
      </c>
      <c r="AV67" s="9">
        <f>Raw!AV68/Raw!$C68</f>
        <v>0</v>
      </c>
      <c r="AW67" s="9">
        <f>Raw!AW68/Raw!$C68</f>
        <v>0</v>
      </c>
      <c r="AX67" s="9">
        <f>Raw!AX68/Raw!$C68</f>
        <v>0</v>
      </c>
      <c r="AY67" s="9">
        <f>Raw!AY68/Raw!$C68</f>
        <v>0</v>
      </c>
      <c r="AZ67" s="9">
        <f>Raw!AZ68/Raw!$C68</f>
        <v>0</v>
      </c>
      <c r="BA67" s="9">
        <f>Raw!BA68/Raw!$C68</f>
        <v>0</v>
      </c>
      <c r="BB67" s="9">
        <f>Raw!BB68/Raw!$C68</f>
        <v>0</v>
      </c>
      <c r="BC67" s="9">
        <f>Raw!BC68/Raw!$C68</f>
        <v>0</v>
      </c>
      <c r="BD67" s="9">
        <f>Raw!BD68/Raw!$C68</f>
        <v>0</v>
      </c>
      <c r="BE67" s="9">
        <f>Raw!BE68/Raw!$C68</f>
        <v>0</v>
      </c>
      <c r="BF67" s="9">
        <f>Raw!BF68/Raw!$C68</f>
        <v>0</v>
      </c>
      <c r="BG67" s="9">
        <f>Raw!BG68/Raw!$C68</f>
        <v>0</v>
      </c>
      <c r="BH67" s="9">
        <f>Raw!BH68/Raw!$C68</f>
        <v>0</v>
      </c>
      <c r="BI67" s="9">
        <f>Raw!BI68/Raw!$C68</f>
        <v>0</v>
      </c>
      <c r="BJ67" s="9">
        <f>Raw!BJ68/Raw!$C68</f>
        <v>0</v>
      </c>
      <c r="BK67" s="9">
        <f>Raw!BK68/Raw!$C68</f>
        <v>0</v>
      </c>
      <c r="BL67" s="9">
        <f>Raw!BL68/Raw!$C68</f>
        <v>0</v>
      </c>
      <c r="BM67" s="9">
        <f>Raw!BM68/Raw!$C68</f>
        <v>0</v>
      </c>
      <c r="BN67" s="9">
        <f>Raw!BN68/Raw!$C68</f>
        <v>0</v>
      </c>
      <c r="BO67" s="9">
        <f>Raw!BO68/Raw!$C68</f>
        <v>0</v>
      </c>
      <c r="BP67" s="9">
        <f>Raw!BP68/Raw!$C68</f>
        <v>0</v>
      </c>
      <c r="BQ67" s="9">
        <f>Raw!BQ68/Raw!$C68</f>
        <v>0</v>
      </c>
      <c r="BR67" s="9">
        <f>Raw!BR68/Raw!$C68</f>
        <v>0</v>
      </c>
      <c r="BS67" s="9">
        <f>Raw!BS68/Raw!$C68</f>
        <v>0</v>
      </c>
      <c r="BT67" s="9">
        <f>Raw!BT68/Raw!$C68</f>
        <v>0</v>
      </c>
      <c r="BU67" s="9">
        <f>Raw!BU68/Raw!$C68</f>
        <v>0</v>
      </c>
      <c r="BV67" s="9">
        <f>Raw!BV68/Raw!$C68</f>
        <v>0</v>
      </c>
      <c r="BW67" s="9">
        <f>Raw!BW68/Raw!$C68</f>
        <v>0</v>
      </c>
      <c r="BX67" s="9">
        <f>Raw!BX68/Raw!$C68</f>
        <v>0</v>
      </c>
      <c r="BY67" s="9">
        <f>Raw!BY68/Raw!$C68</f>
        <v>0</v>
      </c>
      <c r="BZ67" s="9">
        <f>Raw!BZ68/Raw!$C68</f>
        <v>0</v>
      </c>
      <c r="CA67" s="9">
        <f>Raw!CA68/Raw!$C68</f>
        <v>0</v>
      </c>
      <c r="CB67" s="9">
        <f>Raw!CB68/Raw!$C68</f>
        <v>0</v>
      </c>
      <c r="CC67" s="9">
        <f>Raw!CC68/Raw!$C68</f>
        <v>0</v>
      </c>
      <c r="CD67" s="9">
        <f>Raw!CD68/Raw!$C68</f>
        <v>0</v>
      </c>
      <c r="CE67" s="9">
        <f>Raw!CE68/Raw!$C68</f>
        <v>0</v>
      </c>
      <c r="CF67" s="9">
        <f>Raw!CF68/Raw!$C68</f>
        <v>0</v>
      </c>
      <c r="CG67" s="9">
        <f>Raw!CG68/Raw!$C68</f>
        <v>0</v>
      </c>
      <c r="CH67" s="9">
        <f>Raw!CH68/Raw!$C68</f>
        <v>0</v>
      </c>
      <c r="CI67" s="9">
        <f>Raw!CI68/Raw!$C68</f>
        <v>0</v>
      </c>
      <c r="CJ67" s="9">
        <f>Raw!CJ68/Raw!$C68</f>
        <v>0</v>
      </c>
      <c r="CK67" s="9">
        <f>Raw!CK68/Raw!$C68</f>
        <v>0</v>
      </c>
      <c r="CL67" s="9">
        <f>Raw!CL68/Raw!$C68</f>
        <v>0</v>
      </c>
      <c r="CM67" s="9">
        <f>Raw!CM68/Raw!$C68</f>
        <v>0</v>
      </c>
      <c r="CN67" s="9">
        <f>Raw!CN68/Raw!$C68</f>
        <v>0</v>
      </c>
      <c r="CO67" s="9">
        <f>Raw!CO68/Raw!$C68</f>
        <v>0</v>
      </c>
      <c r="CP67" s="9">
        <f>Raw!CP68/Raw!$C68</f>
        <v>0</v>
      </c>
      <c r="CQ67" s="9">
        <f>Raw!CQ68/Raw!$C68</f>
        <v>0</v>
      </c>
      <c r="CR67" s="2">
        <f t="shared" si="8"/>
        <v>674.99999999999989</v>
      </c>
      <c r="CS67" s="2">
        <f t="shared" si="9"/>
        <v>931.43749999999977</v>
      </c>
      <c r="CT67" s="3">
        <f t="shared" si="37"/>
        <v>2.8293037728310249</v>
      </c>
      <c r="CU67" s="3">
        <f t="shared" si="38"/>
        <v>2.9691537187966546</v>
      </c>
      <c r="CV67" s="3"/>
      <c r="CW67" s="3"/>
      <c r="CX67" s="3"/>
      <c r="CY67" s="3"/>
      <c r="CZ67" s="3">
        <f t="shared" si="25"/>
        <v>2.8293037728310249</v>
      </c>
      <c r="DA67" s="3">
        <f t="shared" si="26"/>
        <v>2.9691537187966546</v>
      </c>
      <c r="DB67" s="6">
        <f t="shared" si="27"/>
        <v>0.57093078438287714</v>
      </c>
      <c r="DC67" s="3">
        <v>4</v>
      </c>
      <c r="DD67" s="3">
        <f>DC67/Raw!C68</f>
        <v>24.999999999999996</v>
      </c>
      <c r="DE67" s="5">
        <f t="shared" si="17"/>
        <v>5.9259259259259265E-3</v>
      </c>
      <c r="DF67">
        <f t="shared" si="18"/>
        <v>-2.2272437815030623</v>
      </c>
      <c r="DH67" s="4">
        <f>-SUM('Shannon-Weiner'!B66:Z66)</f>
        <v>0.69375419337697108</v>
      </c>
      <c r="DI67" s="4">
        <f>SUM('p^2'!B66:Z66)</f>
        <v>0.64094650205761294</v>
      </c>
      <c r="DJ67" s="4">
        <f t="shared" si="19"/>
        <v>0.35905349794238706</v>
      </c>
      <c r="DK67">
        <f t="shared" si="20"/>
        <v>1.5601926163723923</v>
      </c>
      <c r="DL67" s="4">
        <f>SUM('Shannon-Weiner_B'!B66:Z66)</f>
        <v>-0.95932492819272164</v>
      </c>
      <c r="DM67" s="4">
        <f>SUM('p_B^2'!B66:Z66)</f>
        <v>0.43008059962915085</v>
      </c>
      <c r="DN67" s="4">
        <f t="shared" si="21"/>
        <v>0.56991940037084921</v>
      </c>
      <c r="DO67">
        <f t="shared" si="22"/>
        <v>2.3251455677430655</v>
      </c>
    </row>
    <row r="68" spans="2:119" x14ac:dyDescent="0.25">
      <c r="B68" t="str">
        <f>Raw!B69</f>
        <v>TB11</v>
      </c>
      <c r="C68">
        <v>1</v>
      </c>
      <c r="D68" s="9">
        <f>Raw!D69/Raw!$C69</f>
        <v>1081.2499999999998</v>
      </c>
      <c r="E68" s="9">
        <f>Raw!E69/Raw!$C69</f>
        <v>305.93749999999994</v>
      </c>
      <c r="F68" s="9">
        <f>Raw!F69/Raw!$C69</f>
        <v>0</v>
      </c>
      <c r="G68" s="9">
        <f>Raw!G69/Raw!$C69</f>
        <v>0</v>
      </c>
      <c r="H68" s="9">
        <f>Raw!H69/Raw!$C69</f>
        <v>0</v>
      </c>
      <c r="I68" s="9">
        <f>Raw!I69/Raw!$C69</f>
        <v>0</v>
      </c>
      <c r="J68" s="9">
        <f>Raw!J69/Raw!$C69</f>
        <v>0</v>
      </c>
      <c r="K68" s="9">
        <f>Raw!K69/Raw!$C69</f>
        <v>0</v>
      </c>
      <c r="L68" s="9">
        <f>Raw!L69/Raw!$C69</f>
        <v>0</v>
      </c>
      <c r="M68" s="9">
        <f>Raw!M69/Raw!$C69</f>
        <v>0</v>
      </c>
      <c r="N68" s="9">
        <f>Raw!N69/Raw!$C69</f>
        <v>0</v>
      </c>
      <c r="O68" s="9">
        <f>Raw!O69/Raw!$C69</f>
        <v>0</v>
      </c>
      <c r="P68" s="9">
        <f>Raw!P69/Raw!$C69</f>
        <v>0</v>
      </c>
      <c r="Q68" s="9">
        <f>Raw!Q69/Raw!$C69</f>
        <v>0</v>
      </c>
      <c r="R68" s="9">
        <f>Raw!R69/Raw!$C69</f>
        <v>0</v>
      </c>
      <c r="S68" s="9">
        <f>Raw!S69/Raw!$C69</f>
        <v>0</v>
      </c>
      <c r="T68" s="9">
        <f>Raw!T69/Raw!$C69</f>
        <v>0</v>
      </c>
      <c r="U68" s="9">
        <f>Raw!U69/Raw!$C69</f>
        <v>0</v>
      </c>
      <c r="V68" s="9">
        <f>Raw!V69/Raw!$C69</f>
        <v>0</v>
      </c>
      <c r="W68" s="9">
        <f>Raw!W69/Raw!$C69</f>
        <v>0</v>
      </c>
      <c r="X68" s="9">
        <f>Raw!X69/Raw!$C69</f>
        <v>112.49999999999997</v>
      </c>
      <c r="Y68" s="9">
        <f>Raw!Y69/Raw!$C69</f>
        <v>1.6874999999999998</v>
      </c>
      <c r="Z68" s="9">
        <f>Raw!Z69/Raw!$C69</f>
        <v>0</v>
      </c>
      <c r="AA68" s="9">
        <f>Raw!AA69/Raw!$C69</f>
        <v>0</v>
      </c>
      <c r="AB68" s="9">
        <f>Raw!AB69/Raw!$C69</f>
        <v>0</v>
      </c>
      <c r="AC68" s="9">
        <f>Raw!AC69/Raw!$C69</f>
        <v>0</v>
      </c>
      <c r="AD68" s="9">
        <f>Raw!AD69/Raw!$C69</f>
        <v>0</v>
      </c>
      <c r="AE68" s="9">
        <f>Raw!AE69/Raw!$C69</f>
        <v>0</v>
      </c>
      <c r="AF68" s="9">
        <f>Raw!AF69/Raw!$C69</f>
        <v>0</v>
      </c>
      <c r="AG68" s="9">
        <f>Raw!AG69/Raw!$C69</f>
        <v>0</v>
      </c>
      <c r="AH68" s="9">
        <f>Raw!AH69/Raw!$C69</f>
        <v>0</v>
      </c>
      <c r="AI68" s="9">
        <f>Raw!AI69/Raw!$C69</f>
        <v>0</v>
      </c>
      <c r="AJ68" s="9">
        <f>Raw!AJ69/Raw!$C69</f>
        <v>0</v>
      </c>
      <c r="AK68" s="9">
        <f>Raw!AK69/Raw!$C69</f>
        <v>0</v>
      </c>
      <c r="AL68" s="9">
        <f>Raw!AL69/Raw!$C69</f>
        <v>0</v>
      </c>
      <c r="AM68" s="9">
        <f>Raw!AM69/Raw!$C69</f>
        <v>0</v>
      </c>
      <c r="AN68" s="9">
        <f>Raw!AN69/Raw!$C69</f>
        <v>0</v>
      </c>
      <c r="AO68" s="9">
        <f>Raw!AO69/Raw!$C69</f>
        <v>0</v>
      </c>
      <c r="AP68" s="9">
        <f>Raw!AP69/Raw!$C69</f>
        <v>0</v>
      </c>
      <c r="AQ68" s="9">
        <f>Raw!AQ69/Raw!$C69</f>
        <v>0</v>
      </c>
      <c r="AR68" s="9">
        <f>Raw!AR69/Raw!$C69</f>
        <v>0</v>
      </c>
      <c r="AS68" s="9">
        <f>Raw!AS69/Raw!$C69</f>
        <v>0</v>
      </c>
      <c r="AT68" s="9">
        <f>Raw!AT69/Raw!$C69</f>
        <v>0</v>
      </c>
      <c r="AU68" s="9">
        <f>Raw!AU69/Raw!$C69</f>
        <v>0</v>
      </c>
      <c r="AV68" s="9">
        <f>Raw!AV69/Raw!$C69</f>
        <v>0</v>
      </c>
      <c r="AW68" s="9">
        <f>Raw!AW69/Raw!$C69</f>
        <v>0</v>
      </c>
      <c r="AX68" s="9">
        <f>Raw!AX69/Raw!$C69</f>
        <v>0</v>
      </c>
      <c r="AY68" s="9">
        <f>Raw!AY69/Raw!$C69</f>
        <v>0</v>
      </c>
      <c r="AZ68" s="9">
        <f>Raw!AZ69/Raw!$C69</f>
        <v>0</v>
      </c>
      <c r="BA68" s="9">
        <f>Raw!BA69/Raw!$C69</f>
        <v>0</v>
      </c>
      <c r="BB68" s="9">
        <f>Raw!BB69/Raw!$C69</f>
        <v>0</v>
      </c>
      <c r="BC68" s="9">
        <f>Raw!BC69/Raw!$C69</f>
        <v>0</v>
      </c>
      <c r="BD68" s="9">
        <f>Raw!BD69/Raw!$C69</f>
        <v>0</v>
      </c>
      <c r="BE68" s="9">
        <f>Raw!BE69/Raw!$C69</f>
        <v>0</v>
      </c>
      <c r="BF68" s="9">
        <f>Raw!BF69/Raw!$C69</f>
        <v>0</v>
      </c>
      <c r="BG68" s="9">
        <f>Raw!BG69/Raw!$C69</f>
        <v>0</v>
      </c>
      <c r="BH68" s="9">
        <f>Raw!BH69/Raw!$C69</f>
        <v>0</v>
      </c>
      <c r="BI68" s="9">
        <f>Raw!BI69/Raw!$C69</f>
        <v>0</v>
      </c>
      <c r="BJ68" s="9">
        <f>Raw!BJ69/Raw!$C69</f>
        <v>0</v>
      </c>
      <c r="BK68" s="9">
        <f>Raw!BK69/Raw!$C69</f>
        <v>0</v>
      </c>
      <c r="BL68" s="9">
        <f>Raw!BL69/Raw!$C69</f>
        <v>0</v>
      </c>
      <c r="BM68" s="9">
        <f>Raw!BM69/Raw!$C69</f>
        <v>0</v>
      </c>
      <c r="BN68" s="9">
        <f>Raw!BN69/Raw!$C69</f>
        <v>0</v>
      </c>
      <c r="BO68" s="9">
        <f>Raw!BO69/Raw!$C69</f>
        <v>0</v>
      </c>
      <c r="BP68" s="9">
        <f>Raw!BP69/Raw!$C69</f>
        <v>0</v>
      </c>
      <c r="BQ68" s="9">
        <f>Raw!BQ69/Raw!$C69</f>
        <v>0</v>
      </c>
      <c r="BR68" s="9">
        <f>Raw!BR69/Raw!$C69</f>
        <v>0</v>
      </c>
      <c r="BS68" s="9">
        <f>Raw!BS69/Raw!$C69</f>
        <v>0</v>
      </c>
      <c r="BT68" s="9">
        <f>Raw!BT69/Raw!$C69</f>
        <v>0</v>
      </c>
      <c r="BU68" s="9">
        <f>Raw!BU69/Raw!$C69</f>
        <v>0</v>
      </c>
      <c r="BV68" s="9">
        <f>Raw!BV69/Raw!$C69</f>
        <v>0</v>
      </c>
      <c r="BW68" s="9">
        <f>Raw!BW69/Raw!$C69</f>
        <v>0</v>
      </c>
      <c r="BX68" s="9">
        <f>Raw!BX69/Raw!$C69</f>
        <v>0</v>
      </c>
      <c r="BY68" s="9">
        <f>Raw!BY69/Raw!$C69</f>
        <v>0</v>
      </c>
      <c r="BZ68" s="9">
        <f>Raw!BZ69/Raw!$C69</f>
        <v>0</v>
      </c>
      <c r="CA68" s="9">
        <f>Raw!CA69/Raw!$C69</f>
        <v>0</v>
      </c>
      <c r="CB68" s="9">
        <f>Raw!CB69/Raw!$C69</f>
        <v>0</v>
      </c>
      <c r="CC68" s="9">
        <f>Raw!CC69/Raw!$C69</f>
        <v>0</v>
      </c>
      <c r="CD68" s="9">
        <f>Raw!CD69/Raw!$C69</f>
        <v>0</v>
      </c>
      <c r="CE68" s="9">
        <f>Raw!CE69/Raw!$C69</f>
        <v>0</v>
      </c>
      <c r="CF68" s="9">
        <f>Raw!CF69/Raw!$C69</f>
        <v>0</v>
      </c>
      <c r="CG68" s="9">
        <f>Raw!CG69/Raw!$C69</f>
        <v>0</v>
      </c>
      <c r="CH68" s="9">
        <f>Raw!CH69/Raw!$C69</f>
        <v>0</v>
      </c>
      <c r="CI68" s="9">
        <f>Raw!CI69/Raw!$C69</f>
        <v>0</v>
      </c>
      <c r="CJ68" s="9">
        <f>Raw!CJ69/Raw!$C69</f>
        <v>0</v>
      </c>
      <c r="CK68" s="9">
        <f>Raw!CK69/Raw!$C69</f>
        <v>0</v>
      </c>
      <c r="CL68" s="9">
        <f>Raw!CL69/Raw!$C69</f>
        <v>0</v>
      </c>
      <c r="CM68" s="9">
        <f>Raw!CM69/Raw!$C69</f>
        <v>0</v>
      </c>
      <c r="CN68" s="9">
        <f>Raw!CN69/Raw!$C69</f>
        <v>0</v>
      </c>
      <c r="CO68" s="9">
        <f>Raw!CO69/Raw!$C69</f>
        <v>0</v>
      </c>
      <c r="CP68" s="9">
        <f>Raw!CP69/Raw!$C69</f>
        <v>0</v>
      </c>
      <c r="CQ68" s="9">
        <f>Raw!CQ69/Raw!$C69</f>
        <v>0</v>
      </c>
      <c r="CR68" s="2">
        <f t="shared" ref="CR68:CR131" si="39">D68+F68+H68+J68+L68+N68+P68+R68+T68+V68+X68+Z68+AB68+AD68+AF68+AH68+AJ68+AL68+AN68+AP68+AR68+AT68+AV68+AX68+AZ68+AZ68+BB68+BD68+BF68+BH68+BJ68+BL68+BN68+BP68+BR68+BT68+BV68+BX68+BZ68+CB68+CD68+CF68+CH68+CJ68+CL68+CN68+CP68</f>
        <v>1193.7499999999998</v>
      </c>
      <c r="CS68" s="2">
        <f t="shared" ref="CS68:CS131" si="40">E68+G68+I68+K68+M68+O68+Q68+S68+U68+W68+Y68+AA68+AC68+AE68+AG68+AI68+AK68+AM68+AO68+AQ68+AS68+AU68+AW68+AY68+BA68+BA68+BC68+BE68+BG68+BI68+BK68+BM68+BO68+BQ68+BS68+BU68+BW68+BY68+CA68+CC68+CE68+CG68+CI68+CK68+CM68+CO68+CQ68</f>
        <v>307.62499999999994</v>
      </c>
      <c r="CT68" s="3">
        <f t="shared" si="37"/>
        <v>3.0769133845918026</v>
      </c>
      <c r="CU68" s="3">
        <f t="shared" si="38"/>
        <v>2.488021626710859</v>
      </c>
      <c r="CZ68" s="3">
        <f t="shared" si="25"/>
        <v>3.0769133845918026</v>
      </c>
      <c r="DA68" s="3">
        <f t="shared" si="26"/>
        <v>2.488021626710859</v>
      </c>
      <c r="DB68" s="6">
        <f t="shared" si="27"/>
        <v>0.80671174952617608</v>
      </c>
      <c r="DC68" s="3">
        <v>2</v>
      </c>
      <c r="DD68" s="3">
        <f>DC68/Raw!C69</f>
        <v>12.499999999999998</v>
      </c>
      <c r="DE68" s="5">
        <f t="shared" si="17"/>
        <v>1.6753926701570685E-3</v>
      </c>
      <c r="DF68">
        <f t="shared" si="18"/>
        <v>-2.7758833889278214</v>
      </c>
      <c r="DH68" s="4">
        <f>-SUM('Shannon-Weiner'!B67:Z67)</f>
        <v>0.31224129458984073</v>
      </c>
      <c r="DI68" s="4">
        <f>SUM('p^2'!B67:Z67)</f>
        <v>0.82928099558674373</v>
      </c>
      <c r="DJ68" s="4">
        <f t="shared" si="19"/>
        <v>0.17071900441325627</v>
      </c>
      <c r="DK68">
        <f t="shared" si="20"/>
        <v>1.2058638812679736</v>
      </c>
      <c r="DL68" s="4">
        <f>SUM('Shannon-Weiner_B'!B67:Z67)</f>
        <v>-3.4026393703157541E-2</v>
      </c>
      <c r="DM68" s="4">
        <f>SUM('p_B^2'!B67:Z67)</f>
        <v>0.98908903312644325</v>
      </c>
      <c r="DN68" s="4">
        <f t="shared" si="21"/>
        <v>1.0910966873556749E-2</v>
      </c>
      <c r="DO68">
        <f t="shared" si="22"/>
        <v>1.011031329342585</v>
      </c>
    </row>
    <row r="69" spans="2:119" x14ac:dyDescent="0.25">
      <c r="B69" t="str">
        <f>Raw!B70</f>
        <v>TB12</v>
      </c>
      <c r="C69">
        <v>1</v>
      </c>
      <c r="D69" s="9">
        <f>Raw!D70/Raw!$C70</f>
        <v>1018.7499999999998</v>
      </c>
      <c r="E69" s="9">
        <f>Raw!E70/Raw!$C70</f>
        <v>313.49999999999994</v>
      </c>
      <c r="F69" s="9">
        <f>Raw!F70/Raw!$C70</f>
        <v>0</v>
      </c>
      <c r="G69" s="9">
        <f>Raw!G70/Raw!$C70</f>
        <v>0</v>
      </c>
      <c r="H69" s="9">
        <f>Raw!H70/Raw!$C70</f>
        <v>0</v>
      </c>
      <c r="I69" s="9">
        <f>Raw!I70/Raw!$C70</f>
        <v>0</v>
      </c>
      <c r="J69" s="9">
        <f>Raw!J70/Raw!$C70</f>
        <v>0</v>
      </c>
      <c r="K69" s="9">
        <f>Raw!K70/Raw!$C70</f>
        <v>0</v>
      </c>
      <c r="L69" s="9">
        <f>Raw!L70/Raw!$C70</f>
        <v>0</v>
      </c>
      <c r="M69" s="9">
        <f>Raw!M70/Raw!$C70</f>
        <v>0</v>
      </c>
      <c r="N69" s="9">
        <f>Raw!N70/Raw!$C70</f>
        <v>31.249999999999993</v>
      </c>
      <c r="O69" s="9">
        <f>Raw!O70/Raw!$C70</f>
        <v>187.56249999999997</v>
      </c>
      <c r="P69" s="9">
        <f>Raw!P70/Raw!$C70</f>
        <v>0</v>
      </c>
      <c r="Q69" s="9">
        <f>Raw!Q70/Raw!$C70</f>
        <v>0</v>
      </c>
      <c r="R69" s="9">
        <f>Raw!R70/Raw!$C70</f>
        <v>0</v>
      </c>
      <c r="S69" s="9">
        <f>Raw!S70/Raw!$C70</f>
        <v>0</v>
      </c>
      <c r="T69" s="9">
        <f>Raw!T70/Raw!$C70</f>
        <v>0</v>
      </c>
      <c r="U69" s="9">
        <f>Raw!U70/Raw!$C70</f>
        <v>0</v>
      </c>
      <c r="V69" s="9">
        <f>Raw!V70/Raw!$C70</f>
        <v>0</v>
      </c>
      <c r="W69" s="9">
        <f>Raw!W70/Raw!$C70</f>
        <v>0</v>
      </c>
      <c r="X69" s="9">
        <f>Raw!X70/Raw!$C70</f>
        <v>6.2499999999999991</v>
      </c>
      <c r="Y69" s="9">
        <f>Raw!Y70/Raw!$C70</f>
        <v>6.2499999999999986E-2</v>
      </c>
      <c r="Z69" s="9">
        <f>Raw!Z70/Raw!$C70</f>
        <v>0</v>
      </c>
      <c r="AA69" s="9">
        <f>Raw!AA70/Raw!$C70</f>
        <v>0</v>
      </c>
      <c r="AB69" s="9">
        <f>Raw!AB70/Raw!$C70</f>
        <v>0</v>
      </c>
      <c r="AC69" s="9">
        <f>Raw!AC70/Raw!$C70</f>
        <v>0</v>
      </c>
      <c r="AD69" s="9">
        <f>Raw!AD70/Raw!$C70</f>
        <v>0</v>
      </c>
      <c r="AE69" s="9">
        <f>Raw!AE70/Raw!$C70</f>
        <v>0</v>
      </c>
      <c r="AF69" s="9">
        <f>Raw!AF70/Raw!$C70</f>
        <v>0</v>
      </c>
      <c r="AG69" s="9">
        <f>Raw!AG70/Raw!$C70</f>
        <v>0</v>
      </c>
      <c r="AH69" s="9">
        <f>Raw!AH70/Raw!$C70</f>
        <v>0</v>
      </c>
      <c r="AI69" s="9">
        <f>Raw!AI70/Raw!$C70</f>
        <v>0</v>
      </c>
      <c r="AJ69" s="9">
        <f>Raw!AJ70/Raw!$C70</f>
        <v>0</v>
      </c>
      <c r="AK69" s="9">
        <f>Raw!AK70/Raw!$C70</f>
        <v>0</v>
      </c>
      <c r="AL69" s="9">
        <f>Raw!AL70/Raw!$C70</f>
        <v>18.749999999999996</v>
      </c>
      <c r="AM69" s="9">
        <f>Raw!AM70/Raw!$C70</f>
        <v>74.749999999999986</v>
      </c>
      <c r="AN69" s="9">
        <f>Raw!AN70/Raw!$C70</f>
        <v>0</v>
      </c>
      <c r="AO69" s="9">
        <f>Raw!AO70/Raw!$C70</f>
        <v>0</v>
      </c>
      <c r="AP69" s="9">
        <f>Raw!AP70/Raw!$C70</f>
        <v>0</v>
      </c>
      <c r="AQ69" s="9">
        <f>Raw!AQ70/Raw!$C70</f>
        <v>0</v>
      </c>
      <c r="AR69" s="9">
        <f>Raw!AR70/Raw!$C70</f>
        <v>0</v>
      </c>
      <c r="AS69" s="9">
        <f>Raw!AS70/Raw!$C70</f>
        <v>0</v>
      </c>
      <c r="AT69" s="9">
        <f>Raw!AT70/Raw!$C70</f>
        <v>6.2499999999999991</v>
      </c>
      <c r="AU69" s="9">
        <f>Raw!AU70/Raw!$C70</f>
        <v>16.249999999999996</v>
      </c>
      <c r="AV69" s="9">
        <f>Raw!AV70/Raw!$C70</f>
        <v>0</v>
      </c>
      <c r="AW69" s="9">
        <f>Raw!AW70/Raw!$C70</f>
        <v>0</v>
      </c>
      <c r="AX69" s="9">
        <f>Raw!AX70/Raw!$C70</f>
        <v>0</v>
      </c>
      <c r="AY69" s="9">
        <f>Raw!AY70/Raw!$C70</f>
        <v>0</v>
      </c>
      <c r="AZ69" s="9">
        <f>Raw!AZ70/Raw!$C70</f>
        <v>0</v>
      </c>
      <c r="BA69" s="9">
        <f>Raw!BA70/Raw!$C70</f>
        <v>0</v>
      </c>
      <c r="BB69" s="9">
        <f>Raw!BB70/Raw!$C70</f>
        <v>0</v>
      </c>
      <c r="BC69" s="9">
        <f>Raw!BC70/Raw!$C70</f>
        <v>0</v>
      </c>
      <c r="BD69" s="9">
        <f>Raw!BD70/Raw!$C70</f>
        <v>0</v>
      </c>
      <c r="BE69" s="9">
        <f>Raw!BE70/Raw!$C70</f>
        <v>0</v>
      </c>
      <c r="BF69" s="9">
        <f>Raw!BF70/Raw!$C70</f>
        <v>0</v>
      </c>
      <c r="BG69" s="9">
        <f>Raw!BG70/Raw!$C70</f>
        <v>0</v>
      </c>
      <c r="BH69" s="9">
        <f>Raw!BH70/Raw!$C70</f>
        <v>0</v>
      </c>
      <c r="BI69" s="9">
        <f>Raw!BI70/Raw!$C70</f>
        <v>0</v>
      </c>
      <c r="BJ69" s="9">
        <f>Raw!BJ70/Raw!$C70</f>
        <v>0</v>
      </c>
      <c r="BK69" s="9">
        <f>Raw!BK70/Raw!$C70</f>
        <v>0</v>
      </c>
      <c r="BL69" s="9">
        <f>Raw!BL70/Raw!$C70</f>
        <v>0</v>
      </c>
      <c r="BM69" s="9">
        <f>Raw!BM70/Raw!$C70</f>
        <v>0</v>
      </c>
      <c r="BN69" s="9">
        <f>Raw!BN70/Raw!$C70</f>
        <v>0</v>
      </c>
      <c r="BO69" s="9">
        <f>Raw!BO70/Raw!$C70</f>
        <v>0</v>
      </c>
      <c r="BP69" s="9">
        <f>Raw!BP70/Raw!$C70</f>
        <v>0</v>
      </c>
      <c r="BQ69" s="9">
        <f>Raw!BQ70/Raw!$C70</f>
        <v>0</v>
      </c>
      <c r="BR69" s="9">
        <f>Raw!BR70/Raw!$C70</f>
        <v>0</v>
      </c>
      <c r="BS69" s="9">
        <f>Raw!BS70/Raw!$C70</f>
        <v>0</v>
      </c>
      <c r="BT69" s="9">
        <f>Raw!BT70/Raw!$C70</f>
        <v>0</v>
      </c>
      <c r="BU69" s="9">
        <f>Raw!BU70/Raw!$C70</f>
        <v>0</v>
      </c>
      <c r="BV69" s="9">
        <f>Raw!BV70/Raw!$C70</f>
        <v>0</v>
      </c>
      <c r="BW69" s="9">
        <f>Raw!BW70/Raw!$C70</f>
        <v>0</v>
      </c>
      <c r="BX69" s="9">
        <f>Raw!BX70/Raw!$C70</f>
        <v>0</v>
      </c>
      <c r="BY69" s="9">
        <f>Raw!BY70/Raw!$C70</f>
        <v>0</v>
      </c>
      <c r="BZ69" s="9">
        <f>Raw!BZ70/Raw!$C70</f>
        <v>0</v>
      </c>
      <c r="CA69" s="9">
        <f>Raw!CA70/Raw!$C70</f>
        <v>0</v>
      </c>
      <c r="CB69" s="9">
        <f>Raw!CB70/Raw!$C70</f>
        <v>0</v>
      </c>
      <c r="CC69" s="9">
        <f>Raw!CC70/Raw!$C70</f>
        <v>0</v>
      </c>
      <c r="CD69" s="9">
        <f>Raw!CD70/Raw!$C70</f>
        <v>0</v>
      </c>
      <c r="CE69" s="9">
        <f>Raw!CE70/Raw!$C70</f>
        <v>0</v>
      </c>
      <c r="CF69" s="9">
        <f>Raw!CF70/Raw!$C70</f>
        <v>0</v>
      </c>
      <c r="CG69" s="9">
        <f>Raw!CG70/Raw!$C70</f>
        <v>0</v>
      </c>
      <c r="CH69" s="9">
        <f>Raw!CH70/Raw!$C70</f>
        <v>0</v>
      </c>
      <c r="CI69" s="9">
        <f>Raw!CI70/Raw!$C70</f>
        <v>0</v>
      </c>
      <c r="CJ69" s="9">
        <f>Raw!CJ70/Raw!$C70</f>
        <v>0</v>
      </c>
      <c r="CK69" s="9">
        <f>Raw!CK70/Raw!$C70</f>
        <v>0</v>
      </c>
      <c r="CL69" s="9">
        <f>Raw!CL70/Raw!$C70</f>
        <v>0</v>
      </c>
      <c r="CM69" s="9">
        <f>Raw!CM70/Raw!$C70</f>
        <v>0</v>
      </c>
      <c r="CN69" s="9">
        <f>Raw!CN70/Raw!$C70</f>
        <v>0</v>
      </c>
      <c r="CO69" s="9">
        <f>Raw!CO70/Raw!$C70</f>
        <v>0</v>
      </c>
      <c r="CP69" s="9">
        <f>Raw!CP70/Raw!$C70</f>
        <v>0</v>
      </c>
      <c r="CQ69" s="9">
        <f>Raw!CQ70/Raw!$C70</f>
        <v>0</v>
      </c>
      <c r="CR69" s="2">
        <f t="shared" si="39"/>
        <v>1081.2499999999998</v>
      </c>
      <c r="CS69" s="2">
        <f t="shared" si="40"/>
        <v>592.12499999999989</v>
      </c>
      <c r="CT69" s="3">
        <f t="shared" si="37"/>
        <v>3.0339261204728705</v>
      </c>
      <c r="CU69" s="3">
        <f t="shared" si="38"/>
        <v>2.7724133977360128</v>
      </c>
      <c r="CZ69" s="3">
        <f t="shared" si="25"/>
        <v>3.0339261204728705</v>
      </c>
      <c r="DA69" s="3">
        <f t="shared" si="26"/>
        <v>2.7724133977360128</v>
      </c>
      <c r="DB69" s="6">
        <f t="shared" si="27"/>
        <v>0.64720727171131454</v>
      </c>
      <c r="DC69" s="3">
        <v>5</v>
      </c>
      <c r="DD69" s="3">
        <f>DC69/Raw!C70</f>
        <v>31.249999999999993</v>
      </c>
      <c r="DE69" s="5">
        <f t="shared" si="17"/>
        <v>4.6242774566474E-3</v>
      </c>
      <c r="DF69">
        <f t="shared" si="18"/>
        <v>-2.3349561161368517</v>
      </c>
      <c r="DH69" s="4">
        <f>-SUM('Shannon-Weiner'!B68:Z68)</f>
        <v>0.28841119473085935</v>
      </c>
      <c r="DI69" s="4">
        <f>SUM('p^2'!B68:Z68)</f>
        <v>0.88893715125797723</v>
      </c>
      <c r="DJ69" s="4">
        <f t="shared" si="19"/>
        <v>0.11106284874202277</v>
      </c>
      <c r="DK69">
        <f t="shared" si="20"/>
        <v>1.1249389212554031</v>
      </c>
      <c r="DL69" s="4">
        <f>SUM('Shannon-Weiner_B'!B68:Z68)</f>
        <v>-1.0617432945681371</v>
      </c>
      <c r="DM69" s="4">
        <f>SUM('p_B^2'!B68:Z68)</f>
        <v>0.39734397026913082</v>
      </c>
      <c r="DN69" s="4">
        <f t="shared" si="21"/>
        <v>0.60265602973086918</v>
      </c>
      <c r="DO69">
        <f t="shared" si="22"/>
        <v>2.5167111490899825</v>
      </c>
    </row>
    <row r="70" spans="2:119" x14ac:dyDescent="0.25">
      <c r="B70" t="str">
        <f>Raw!B71</f>
        <v>TB13</v>
      </c>
      <c r="C70">
        <v>1</v>
      </c>
      <c r="D70" s="9">
        <f>Raw!D71/Raw!$C71</f>
        <v>187.49999999999997</v>
      </c>
      <c r="E70" s="9">
        <f>Raw!E71/Raw!$C71</f>
        <v>46.374999999999993</v>
      </c>
      <c r="F70" s="9">
        <f>Raw!F71/Raw!$C71</f>
        <v>0</v>
      </c>
      <c r="G70" s="9">
        <f>Raw!G71/Raw!$C71</f>
        <v>0</v>
      </c>
      <c r="H70" s="9">
        <f>Raw!H71/Raw!$C71</f>
        <v>0</v>
      </c>
      <c r="I70" s="9">
        <f>Raw!I71/Raw!$C71</f>
        <v>0</v>
      </c>
      <c r="J70" s="9">
        <f>Raw!J71/Raw!$C71</f>
        <v>0</v>
      </c>
      <c r="K70" s="9">
        <f>Raw!K71/Raw!$C71</f>
        <v>0</v>
      </c>
      <c r="L70" s="9">
        <f>Raw!L71/Raw!$C71</f>
        <v>0</v>
      </c>
      <c r="M70" s="9">
        <f>Raw!M71/Raw!$C71</f>
        <v>0</v>
      </c>
      <c r="N70" s="9">
        <f>Raw!N71/Raw!$C71</f>
        <v>12.499999999999998</v>
      </c>
      <c r="O70" s="9">
        <f>Raw!O71/Raw!$C71</f>
        <v>76.562499999999986</v>
      </c>
      <c r="P70" s="9">
        <f>Raw!P71/Raw!$C71</f>
        <v>0</v>
      </c>
      <c r="Q70" s="9">
        <f>Raw!Q71/Raw!$C71</f>
        <v>0</v>
      </c>
      <c r="R70" s="9">
        <f>Raw!R71/Raw!$C71</f>
        <v>0</v>
      </c>
      <c r="S70" s="9">
        <f>Raw!S71/Raw!$C71</f>
        <v>0</v>
      </c>
      <c r="T70" s="9">
        <f>Raw!T71/Raw!$C71</f>
        <v>0</v>
      </c>
      <c r="U70" s="9">
        <f>Raw!U71/Raw!$C71</f>
        <v>0</v>
      </c>
      <c r="V70" s="9">
        <f>Raw!V71/Raw!$C71</f>
        <v>0</v>
      </c>
      <c r="W70" s="9">
        <f>Raw!W71/Raw!$C71</f>
        <v>0</v>
      </c>
      <c r="X70" s="9">
        <f>Raw!X71/Raw!$C71</f>
        <v>12.499999999999998</v>
      </c>
      <c r="Y70" s="9">
        <f>Raw!Y71/Raw!$C71</f>
        <v>0.50000000000000033</v>
      </c>
      <c r="Z70" s="9">
        <f>Raw!Z71/Raw!$C71</f>
        <v>0</v>
      </c>
      <c r="AA70" s="9">
        <f>Raw!AA71/Raw!$C71</f>
        <v>0</v>
      </c>
      <c r="AB70" s="9">
        <f>Raw!AB71/Raw!$C71</f>
        <v>0</v>
      </c>
      <c r="AC70" s="9">
        <f>Raw!AC71/Raw!$C71</f>
        <v>0</v>
      </c>
      <c r="AD70" s="9">
        <f>Raw!AD71/Raw!$C71</f>
        <v>0</v>
      </c>
      <c r="AE70" s="9">
        <f>Raw!AE71/Raw!$C71</f>
        <v>0</v>
      </c>
      <c r="AF70" s="9">
        <f>Raw!AF71/Raw!$C71</f>
        <v>0</v>
      </c>
      <c r="AG70" s="9">
        <f>Raw!AG71/Raw!$C71</f>
        <v>0</v>
      </c>
      <c r="AH70" s="9">
        <f>Raw!AH71/Raw!$C71</f>
        <v>6.2499999999999991</v>
      </c>
      <c r="AI70" s="9">
        <f>Raw!AI71/Raw!$C71</f>
        <v>49.124999999999986</v>
      </c>
      <c r="AJ70" s="9">
        <f>Raw!AJ71/Raw!$C71</f>
        <v>0</v>
      </c>
      <c r="AK70" s="9">
        <f>Raw!AK71/Raw!$C71</f>
        <v>0</v>
      </c>
      <c r="AL70" s="9">
        <f>Raw!AL71/Raw!$C71</f>
        <v>43.749999999999993</v>
      </c>
      <c r="AM70" s="9">
        <f>Raw!AM71/Raw!$C71</f>
        <v>680.5625</v>
      </c>
      <c r="AN70" s="9">
        <f>Raw!AN71/Raw!$C71</f>
        <v>0</v>
      </c>
      <c r="AO70" s="9">
        <f>Raw!AO71/Raw!$C71</f>
        <v>0</v>
      </c>
      <c r="AP70" s="9">
        <f>Raw!AP71/Raw!$C71</f>
        <v>0</v>
      </c>
      <c r="AQ70" s="9">
        <f>Raw!AQ71/Raw!$C71</f>
        <v>0</v>
      </c>
      <c r="AR70" s="9">
        <f>Raw!AR71/Raw!$C71</f>
        <v>0</v>
      </c>
      <c r="AS70" s="9">
        <f>Raw!AS71/Raw!$C71</f>
        <v>0</v>
      </c>
      <c r="AT70" s="9">
        <f>Raw!AT71/Raw!$C71</f>
        <v>0</v>
      </c>
      <c r="AU70" s="9">
        <f>Raw!AU71/Raw!$C71</f>
        <v>0</v>
      </c>
      <c r="AV70" s="9">
        <f>Raw!AV71/Raw!$C71</f>
        <v>0</v>
      </c>
      <c r="AW70" s="9">
        <f>Raw!AW71/Raw!$C71</f>
        <v>0</v>
      </c>
      <c r="AX70" s="9">
        <f>Raw!AX71/Raw!$C71</f>
        <v>0</v>
      </c>
      <c r="AY70" s="9">
        <f>Raw!AY71/Raw!$C71</f>
        <v>0</v>
      </c>
      <c r="AZ70" s="9">
        <f>Raw!AZ71/Raw!$C71</f>
        <v>0</v>
      </c>
      <c r="BA70" s="9">
        <f>Raw!BA71/Raw!$C71</f>
        <v>0</v>
      </c>
      <c r="BB70" s="9">
        <f>Raw!BB71/Raw!$C71</f>
        <v>0</v>
      </c>
      <c r="BC70" s="9">
        <f>Raw!BC71/Raw!$C71</f>
        <v>0</v>
      </c>
      <c r="BD70" s="9">
        <f>Raw!BD71/Raw!$C71</f>
        <v>0</v>
      </c>
      <c r="BE70" s="9">
        <f>Raw!BE71/Raw!$C71</f>
        <v>0</v>
      </c>
      <c r="BF70" s="9">
        <f>Raw!BF71/Raw!$C71</f>
        <v>0</v>
      </c>
      <c r="BG70" s="9">
        <f>Raw!BG71/Raw!$C71</f>
        <v>0</v>
      </c>
      <c r="BH70" s="9">
        <f>Raw!BH71/Raw!$C71</f>
        <v>0</v>
      </c>
      <c r="BI70" s="9">
        <f>Raw!BI71/Raw!$C71</f>
        <v>0</v>
      </c>
      <c r="BJ70" s="9">
        <f>Raw!BJ71/Raw!$C71</f>
        <v>0</v>
      </c>
      <c r="BK70" s="9">
        <f>Raw!BK71/Raw!$C71</f>
        <v>0</v>
      </c>
      <c r="BL70" s="9">
        <f>Raw!BL71/Raw!$C71</f>
        <v>0</v>
      </c>
      <c r="BM70" s="9">
        <f>Raw!BM71/Raw!$C71</f>
        <v>0</v>
      </c>
      <c r="BN70" s="9">
        <f>Raw!BN71/Raw!$C71</f>
        <v>0</v>
      </c>
      <c r="BO70" s="9">
        <f>Raw!BO71/Raw!$C71</f>
        <v>0</v>
      </c>
      <c r="BP70" s="9">
        <f>Raw!BP71/Raw!$C71</f>
        <v>0</v>
      </c>
      <c r="BQ70" s="9">
        <f>Raw!BQ71/Raw!$C71</f>
        <v>0</v>
      </c>
      <c r="BR70" s="9">
        <f>Raw!BR71/Raw!$C71</f>
        <v>0</v>
      </c>
      <c r="BS70" s="9">
        <f>Raw!BS71/Raw!$C71</f>
        <v>0</v>
      </c>
      <c r="BT70" s="9">
        <f>Raw!BT71/Raw!$C71</f>
        <v>0</v>
      </c>
      <c r="BU70" s="9">
        <f>Raw!BU71/Raw!$C71</f>
        <v>0</v>
      </c>
      <c r="BV70" s="9">
        <f>Raw!BV71/Raw!$C71</f>
        <v>0</v>
      </c>
      <c r="BW70" s="9">
        <f>Raw!BW71/Raw!$C71</f>
        <v>0</v>
      </c>
      <c r="BX70" s="9">
        <f>Raw!BX71/Raw!$C71</f>
        <v>0</v>
      </c>
      <c r="BY70" s="9">
        <f>Raw!BY71/Raw!$C71</f>
        <v>0</v>
      </c>
      <c r="BZ70" s="9">
        <f>Raw!BZ71/Raw!$C71</f>
        <v>0</v>
      </c>
      <c r="CA70" s="9">
        <f>Raw!CA71/Raw!$C71</f>
        <v>0</v>
      </c>
      <c r="CB70" s="9">
        <f>Raw!CB71/Raw!$C71</f>
        <v>0</v>
      </c>
      <c r="CC70" s="9">
        <f>Raw!CC71/Raw!$C71</f>
        <v>0</v>
      </c>
      <c r="CD70" s="9">
        <f>Raw!CD71/Raw!$C71</f>
        <v>0</v>
      </c>
      <c r="CE70" s="9">
        <f>Raw!CE71/Raw!$C71</f>
        <v>0</v>
      </c>
      <c r="CF70" s="9">
        <f>Raw!CF71/Raw!$C71</f>
        <v>0</v>
      </c>
      <c r="CG70" s="9">
        <f>Raw!CG71/Raw!$C71</f>
        <v>0</v>
      </c>
      <c r="CH70" s="9">
        <f>Raw!CH71/Raw!$C71</f>
        <v>0</v>
      </c>
      <c r="CI70" s="9">
        <f>Raw!CI71/Raw!$C71</f>
        <v>0</v>
      </c>
      <c r="CJ70" s="9">
        <f>Raw!CJ71/Raw!$C71</f>
        <v>0</v>
      </c>
      <c r="CK70" s="9">
        <f>Raw!CK71/Raw!$C71</f>
        <v>0</v>
      </c>
      <c r="CL70" s="9">
        <f>Raw!CL71/Raw!$C71</f>
        <v>0</v>
      </c>
      <c r="CM70" s="9">
        <f>Raw!CM71/Raw!$C71</f>
        <v>0</v>
      </c>
      <c r="CN70" s="9">
        <f>Raw!CN71/Raw!$C71</f>
        <v>0</v>
      </c>
      <c r="CO70" s="9">
        <f>Raw!CO71/Raw!$C71</f>
        <v>0</v>
      </c>
      <c r="CP70" s="9">
        <f>Raw!CP71/Raw!$C71</f>
        <v>0</v>
      </c>
      <c r="CQ70" s="9">
        <f>Raw!CQ71/Raw!$C71</f>
        <v>0</v>
      </c>
      <c r="CR70" s="2">
        <f t="shared" si="39"/>
        <v>262.49999999999994</v>
      </c>
      <c r="CS70" s="2">
        <f t="shared" si="40"/>
        <v>853.125</v>
      </c>
      <c r="CT70" s="3">
        <f t="shared" si="37"/>
        <v>2.4191293077419758</v>
      </c>
      <c r="CU70" s="3">
        <f t="shared" si="38"/>
        <v>2.9310126687208502</v>
      </c>
      <c r="CZ70" s="3">
        <f t="shared" si="25"/>
        <v>2.4191293077419758</v>
      </c>
      <c r="DA70" s="3">
        <f t="shared" si="26"/>
        <v>2.9310126687208502</v>
      </c>
      <c r="DB70" s="6">
        <f t="shared" si="27"/>
        <v>0.67334823635787122</v>
      </c>
      <c r="DC70" s="3">
        <v>5</v>
      </c>
      <c r="DD70" s="3">
        <f>DC70/Raw!C71</f>
        <v>31.249999999999993</v>
      </c>
      <c r="DE70" s="5">
        <f t="shared" si="17"/>
        <v>1.9047619047619053E-2</v>
      </c>
      <c r="DF70">
        <f t="shared" si="18"/>
        <v>-1.7201593034059568</v>
      </c>
      <c r="DH70" s="4">
        <f>-SUM('Shannon-Weiner'!B69:Z69)</f>
        <v>0.91791054172404374</v>
      </c>
      <c r="DI70" s="4">
        <f>SUM('p^2'!B69:Z69)</f>
        <v>0.54308390022675745</v>
      </c>
      <c r="DJ70" s="4">
        <f t="shared" si="19"/>
        <v>0.45691609977324255</v>
      </c>
      <c r="DK70">
        <f t="shared" si="20"/>
        <v>1.8413361169102294</v>
      </c>
      <c r="DL70" s="4">
        <f>SUM('Shannon-Weiner_B'!B69:Z69)</f>
        <v>-0.72366371948443819</v>
      </c>
      <c r="DM70" s="4">
        <f>SUM('p_B^2'!B69:Z69)</f>
        <v>0.65069634638865403</v>
      </c>
      <c r="DN70" s="4">
        <f t="shared" si="21"/>
        <v>0.34930365361134597</v>
      </c>
      <c r="DO70">
        <f t="shared" si="22"/>
        <v>1.5368151451133407</v>
      </c>
    </row>
    <row r="71" spans="2:119" x14ac:dyDescent="0.25">
      <c r="B71" t="str">
        <f>Raw!B72</f>
        <v>TB14</v>
      </c>
      <c r="C71">
        <v>1</v>
      </c>
      <c r="D71" s="9">
        <f>Raw!D72/Raw!$C72</f>
        <v>62.499999999999986</v>
      </c>
      <c r="E71" s="9">
        <f>Raw!E72/Raw!$C72</f>
        <v>5.6250000000000009</v>
      </c>
      <c r="F71" s="9">
        <f>Raw!F72/Raw!$C72</f>
        <v>0</v>
      </c>
      <c r="G71" s="9">
        <f>Raw!G72/Raw!$C72</f>
        <v>0</v>
      </c>
      <c r="H71" s="9">
        <f>Raw!H72/Raw!$C72</f>
        <v>0</v>
      </c>
      <c r="I71" s="9">
        <f>Raw!I72/Raw!$C72</f>
        <v>0</v>
      </c>
      <c r="J71" s="9">
        <f>Raw!J72/Raw!$C72</f>
        <v>0</v>
      </c>
      <c r="K71" s="9">
        <f>Raw!K72/Raw!$C72</f>
        <v>0</v>
      </c>
      <c r="L71" s="9">
        <f>Raw!L72/Raw!$C72</f>
        <v>0</v>
      </c>
      <c r="M71" s="9">
        <f>Raw!M72/Raw!$C72</f>
        <v>0</v>
      </c>
      <c r="N71" s="9">
        <f>Raw!N72/Raw!$C72</f>
        <v>6.2499999999999991</v>
      </c>
      <c r="O71" s="9">
        <f>Raw!O72/Raw!$C72</f>
        <v>72.312499999999986</v>
      </c>
      <c r="P71" s="9">
        <f>Raw!P72/Raw!$C72</f>
        <v>0</v>
      </c>
      <c r="Q71" s="9">
        <f>Raw!Q72/Raw!$C72</f>
        <v>0</v>
      </c>
      <c r="R71" s="9">
        <f>Raw!R72/Raw!$C72</f>
        <v>0</v>
      </c>
      <c r="S71" s="9">
        <f>Raw!S72/Raw!$C72</f>
        <v>0</v>
      </c>
      <c r="T71" s="9">
        <f>Raw!T72/Raw!$C72</f>
        <v>0</v>
      </c>
      <c r="U71" s="9">
        <f>Raw!U72/Raw!$C72</f>
        <v>0</v>
      </c>
      <c r="V71" s="9">
        <f>Raw!V72/Raw!$C72</f>
        <v>0</v>
      </c>
      <c r="W71" s="9">
        <f>Raw!W72/Raw!$C72</f>
        <v>0</v>
      </c>
      <c r="X71" s="9">
        <f>Raw!X72/Raw!$C72</f>
        <v>0</v>
      </c>
      <c r="Y71" s="9">
        <f>Raw!Y72/Raw!$C72</f>
        <v>0</v>
      </c>
      <c r="Z71" s="9">
        <f>Raw!Z72/Raw!$C72</f>
        <v>0</v>
      </c>
      <c r="AA71" s="9">
        <f>Raw!AA72/Raw!$C72</f>
        <v>0</v>
      </c>
      <c r="AB71" s="9">
        <f>Raw!AB72/Raw!$C72</f>
        <v>0</v>
      </c>
      <c r="AC71" s="9">
        <f>Raw!AC72/Raw!$C72</f>
        <v>0</v>
      </c>
      <c r="AD71" s="9">
        <f>Raw!AD72/Raw!$C72</f>
        <v>0</v>
      </c>
      <c r="AE71" s="9">
        <f>Raw!AE72/Raw!$C72</f>
        <v>0</v>
      </c>
      <c r="AF71" s="9">
        <f>Raw!AF72/Raw!$C72</f>
        <v>0</v>
      </c>
      <c r="AG71" s="9">
        <f>Raw!AG72/Raw!$C72</f>
        <v>0</v>
      </c>
      <c r="AH71" s="9">
        <f>Raw!AH72/Raw!$C72</f>
        <v>6.2499999999999991</v>
      </c>
      <c r="AI71" s="9">
        <f>Raw!AI72/Raw!$C72</f>
        <v>12.499999999999998</v>
      </c>
      <c r="AJ71" s="9">
        <f>Raw!AJ72/Raw!$C72</f>
        <v>6.2499999999999991</v>
      </c>
      <c r="AK71" s="9">
        <f>Raw!AK72/Raw!$C72</f>
        <v>19.124999999999993</v>
      </c>
      <c r="AL71" s="9">
        <f>Raw!AL72/Raw!$C72</f>
        <v>37.499999999999993</v>
      </c>
      <c r="AM71" s="9">
        <f>Raw!AM72/Raw!$C72</f>
        <v>386.06249999999989</v>
      </c>
      <c r="AN71" s="9">
        <f>Raw!AN72/Raw!$C72</f>
        <v>0</v>
      </c>
      <c r="AO71" s="9">
        <f>Raw!AO72/Raw!$C72</f>
        <v>0</v>
      </c>
      <c r="AP71" s="9">
        <f>Raw!AP72/Raw!$C72</f>
        <v>0</v>
      </c>
      <c r="AQ71" s="9">
        <f>Raw!AQ72/Raw!$C72</f>
        <v>0</v>
      </c>
      <c r="AR71" s="9">
        <f>Raw!AR72/Raw!$C72</f>
        <v>0</v>
      </c>
      <c r="AS71" s="9">
        <f>Raw!AS72/Raw!$C72</f>
        <v>0</v>
      </c>
      <c r="AT71" s="9">
        <f>Raw!AT72/Raw!$C72</f>
        <v>0</v>
      </c>
      <c r="AU71" s="9">
        <f>Raw!AU72/Raw!$C72</f>
        <v>0</v>
      </c>
      <c r="AV71" s="9">
        <f>Raw!AV72/Raw!$C72</f>
        <v>0</v>
      </c>
      <c r="AW71" s="9">
        <f>Raw!AW72/Raw!$C72</f>
        <v>0</v>
      </c>
      <c r="AX71" s="9">
        <f>Raw!AX72/Raw!$C72</f>
        <v>0</v>
      </c>
      <c r="AY71" s="9">
        <f>Raw!AY72/Raw!$C72</f>
        <v>0</v>
      </c>
      <c r="AZ71" s="9">
        <f>Raw!AZ72/Raw!$C72</f>
        <v>0</v>
      </c>
      <c r="BA71" s="9">
        <f>Raw!BA72/Raw!$C72</f>
        <v>0</v>
      </c>
      <c r="BB71" s="9">
        <f>Raw!BB72/Raw!$C72</f>
        <v>0</v>
      </c>
      <c r="BC71" s="9">
        <f>Raw!BC72/Raw!$C72</f>
        <v>0</v>
      </c>
      <c r="BD71" s="9">
        <f>Raw!BD72/Raw!$C72</f>
        <v>0</v>
      </c>
      <c r="BE71" s="9">
        <f>Raw!BE72/Raw!$C72</f>
        <v>0</v>
      </c>
      <c r="BF71" s="9">
        <f>Raw!BF72/Raw!$C72</f>
        <v>0</v>
      </c>
      <c r="BG71" s="9">
        <f>Raw!BG72/Raw!$C72</f>
        <v>0</v>
      </c>
      <c r="BH71" s="9">
        <f>Raw!BH72/Raw!$C72</f>
        <v>0</v>
      </c>
      <c r="BI71" s="9">
        <f>Raw!BI72/Raw!$C72</f>
        <v>0</v>
      </c>
      <c r="BJ71" s="9">
        <f>Raw!BJ72/Raw!$C72</f>
        <v>0</v>
      </c>
      <c r="BK71" s="9">
        <f>Raw!BK72/Raw!$C72</f>
        <v>0</v>
      </c>
      <c r="BL71" s="9">
        <f>Raw!BL72/Raw!$C72</f>
        <v>0</v>
      </c>
      <c r="BM71" s="9">
        <f>Raw!BM72/Raw!$C72</f>
        <v>0</v>
      </c>
      <c r="BN71" s="9">
        <f>Raw!BN72/Raw!$C72</f>
        <v>0</v>
      </c>
      <c r="BO71" s="9">
        <f>Raw!BO72/Raw!$C72</f>
        <v>0</v>
      </c>
      <c r="BP71" s="9">
        <f>Raw!BP72/Raw!$C72</f>
        <v>0</v>
      </c>
      <c r="BQ71" s="9">
        <f>Raw!BQ72/Raw!$C72</f>
        <v>0</v>
      </c>
      <c r="BR71" s="9">
        <f>Raw!BR72/Raw!$C72</f>
        <v>0</v>
      </c>
      <c r="BS71" s="9">
        <f>Raw!BS72/Raw!$C72</f>
        <v>0</v>
      </c>
      <c r="BT71" s="9">
        <f>Raw!BT72/Raw!$C72</f>
        <v>0</v>
      </c>
      <c r="BU71" s="9">
        <f>Raw!BU72/Raw!$C72</f>
        <v>0</v>
      </c>
      <c r="BV71" s="9">
        <f>Raw!BV72/Raw!$C72</f>
        <v>0</v>
      </c>
      <c r="BW71" s="9">
        <f>Raw!BW72/Raw!$C72</f>
        <v>0</v>
      </c>
      <c r="BX71" s="9">
        <f>Raw!BX72/Raw!$C72</f>
        <v>0</v>
      </c>
      <c r="BY71" s="9">
        <f>Raw!BY72/Raw!$C72</f>
        <v>0</v>
      </c>
      <c r="BZ71" s="9">
        <f>Raw!BZ72/Raw!$C72</f>
        <v>0</v>
      </c>
      <c r="CA71" s="9">
        <f>Raw!CA72/Raw!$C72</f>
        <v>0</v>
      </c>
      <c r="CB71" s="9">
        <f>Raw!CB72/Raw!$C72</f>
        <v>0</v>
      </c>
      <c r="CC71" s="9">
        <f>Raw!CC72/Raw!$C72</f>
        <v>0</v>
      </c>
      <c r="CD71" s="9">
        <f>Raw!CD72/Raw!$C72</f>
        <v>0</v>
      </c>
      <c r="CE71" s="9">
        <f>Raw!CE72/Raw!$C72</f>
        <v>0</v>
      </c>
      <c r="CF71" s="9">
        <f>Raw!CF72/Raw!$C72</f>
        <v>0</v>
      </c>
      <c r="CG71" s="9">
        <f>Raw!CG72/Raw!$C72</f>
        <v>0</v>
      </c>
      <c r="CH71" s="9">
        <f>Raw!CH72/Raw!$C72</f>
        <v>0</v>
      </c>
      <c r="CI71" s="9">
        <f>Raw!CI72/Raw!$C72</f>
        <v>0</v>
      </c>
      <c r="CJ71" s="9">
        <f>Raw!CJ72/Raw!$C72</f>
        <v>0</v>
      </c>
      <c r="CK71" s="9">
        <f>Raw!CK72/Raw!$C72</f>
        <v>0</v>
      </c>
      <c r="CL71" s="9">
        <f>Raw!CL72/Raw!$C72</f>
        <v>0</v>
      </c>
      <c r="CM71" s="9">
        <f>Raw!CM72/Raw!$C72</f>
        <v>0</v>
      </c>
      <c r="CN71" s="9">
        <f>Raw!CN72/Raw!$C72</f>
        <v>0</v>
      </c>
      <c r="CO71" s="9">
        <f>Raw!CO72/Raw!$C72</f>
        <v>0</v>
      </c>
      <c r="CP71" s="9">
        <f>Raw!CP72/Raw!$C72</f>
        <v>0</v>
      </c>
      <c r="CQ71" s="9">
        <f>Raw!CQ72/Raw!$C72</f>
        <v>0</v>
      </c>
      <c r="CR71" s="2">
        <f t="shared" si="39"/>
        <v>118.74999999999997</v>
      </c>
      <c r="CS71" s="2">
        <f t="shared" si="40"/>
        <v>495.62499999999989</v>
      </c>
      <c r="CT71" s="3">
        <f t="shared" si="37"/>
        <v>2.0746336182969043</v>
      </c>
      <c r="CU71" s="3">
        <f t="shared" si="38"/>
        <v>2.6951532046616791</v>
      </c>
      <c r="CZ71" s="3">
        <f t="shared" si="25"/>
        <v>2.0746336182969043</v>
      </c>
      <c r="DA71" s="3">
        <f t="shared" si="26"/>
        <v>2.6951532046616791</v>
      </c>
      <c r="DB71" s="6">
        <f t="shared" si="27"/>
        <v>0.8796859406015014</v>
      </c>
      <c r="DC71" s="3">
        <v>5</v>
      </c>
      <c r="DD71" s="3">
        <f>DC71/Raw!C72</f>
        <v>31.249999999999993</v>
      </c>
      <c r="DE71" s="5">
        <f t="shared" ref="DE71:DE91" si="41">DC71/CR71</f>
        <v>4.210526315789475E-2</v>
      </c>
      <c r="DF71">
        <f t="shared" ref="DF71:DF91" si="42">LOG(DE71)</f>
        <v>-1.3756636139608853</v>
      </c>
      <c r="DH71" s="4">
        <f>-SUM('Shannon-Weiner'!B70:Z70)</f>
        <v>1.1667333083607148</v>
      </c>
      <c r="DI71" s="4">
        <f>SUM('p^2'!B70:Z70)</f>
        <v>0.38504155124653727</v>
      </c>
      <c r="DJ71" s="4">
        <f t="shared" ref="DJ71:DJ91" si="43">1-DI71</f>
        <v>0.61495844875346273</v>
      </c>
      <c r="DK71">
        <f t="shared" ref="DK71:DK91" si="44">1/DI71</f>
        <v>2.5971223021582741</v>
      </c>
      <c r="DL71" s="4">
        <f>SUM('Shannon-Weiner_B'!B70:Z70)</f>
        <v>-0.74466933346705111</v>
      </c>
      <c r="DM71" s="4">
        <f>SUM('p_B^2'!B70:Z70)</f>
        <v>0.63028984700619695</v>
      </c>
      <c r="DN71" s="4">
        <f t="shared" ref="DN71:DN91" si="45">1-DM71</f>
        <v>0.36971015299380305</v>
      </c>
      <c r="DO71">
        <f t="shared" ref="DO71:DO91" si="46">1/DM71</f>
        <v>1.5865716459655554</v>
      </c>
    </row>
    <row r="72" spans="2:119" x14ac:dyDescent="0.25">
      <c r="B72" t="str">
        <f>Raw!B73</f>
        <v>TB15</v>
      </c>
      <c r="C72">
        <v>1</v>
      </c>
      <c r="D72" s="9">
        <f>Raw!D73/Raw!$C73</f>
        <v>293.74999999999994</v>
      </c>
      <c r="E72" s="9">
        <f>Raw!E73/Raw!$C73</f>
        <v>56.562499999999993</v>
      </c>
      <c r="F72" s="9">
        <f>Raw!F73/Raw!$C73</f>
        <v>0</v>
      </c>
      <c r="G72" s="9">
        <f>Raw!G73/Raw!$C73</f>
        <v>0</v>
      </c>
      <c r="H72" s="9">
        <f>Raw!H73/Raw!$C73</f>
        <v>0</v>
      </c>
      <c r="I72" s="9">
        <f>Raw!I73/Raw!$C73</f>
        <v>0</v>
      </c>
      <c r="J72" s="9">
        <f>Raw!J73/Raw!$C73</f>
        <v>0</v>
      </c>
      <c r="K72" s="9">
        <f>Raw!K73/Raw!$C73</f>
        <v>0</v>
      </c>
      <c r="L72" s="9">
        <f>Raw!L73/Raw!$C73</f>
        <v>0</v>
      </c>
      <c r="M72" s="9">
        <f>Raw!M73/Raw!$C73</f>
        <v>0</v>
      </c>
      <c r="N72" s="9">
        <f>Raw!N73/Raw!$C73</f>
        <v>6.2499999999999991</v>
      </c>
      <c r="O72" s="9">
        <f>Raw!O73/Raw!$C73</f>
        <v>32.625</v>
      </c>
      <c r="P72" s="9">
        <f>Raw!P73/Raw!$C73</f>
        <v>0</v>
      </c>
      <c r="Q72" s="9">
        <f>Raw!Q73/Raw!$C73</f>
        <v>0</v>
      </c>
      <c r="R72" s="9">
        <f>Raw!R73/Raw!$C73</f>
        <v>0</v>
      </c>
      <c r="S72" s="9">
        <f>Raw!S73/Raw!$C73</f>
        <v>0</v>
      </c>
      <c r="T72" s="9">
        <f>Raw!T73/Raw!$C73</f>
        <v>0</v>
      </c>
      <c r="U72" s="9">
        <f>Raw!U73/Raw!$C73</f>
        <v>0</v>
      </c>
      <c r="V72" s="9">
        <f>Raw!V73/Raw!$C73</f>
        <v>0</v>
      </c>
      <c r="W72" s="9">
        <f>Raw!W73/Raw!$C73</f>
        <v>0</v>
      </c>
      <c r="X72" s="9">
        <f>Raw!X73/Raw!$C73</f>
        <v>0</v>
      </c>
      <c r="Y72" s="9">
        <f>Raw!Y73/Raw!$C73</f>
        <v>0</v>
      </c>
      <c r="Z72" s="9">
        <f>Raw!Z73/Raw!$C73</f>
        <v>0</v>
      </c>
      <c r="AA72" s="9">
        <f>Raw!AA73/Raw!$C73</f>
        <v>0</v>
      </c>
      <c r="AB72" s="9">
        <f>Raw!AB73/Raw!$C73</f>
        <v>0</v>
      </c>
      <c r="AC72" s="9">
        <f>Raw!AC73/Raw!$C73</f>
        <v>0</v>
      </c>
      <c r="AD72" s="9">
        <f>Raw!AD73/Raw!$C73</f>
        <v>0</v>
      </c>
      <c r="AE72" s="9">
        <f>Raw!AE73/Raw!$C73</f>
        <v>0</v>
      </c>
      <c r="AF72" s="9">
        <f>Raw!AF73/Raw!$C73</f>
        <v>0</v>
      </c>
      <c r="AG72" s="9">
        <f>Raw!AG73/Raw!$C73</f>
        <v>0</v>
      </c>
      <c r="AH72" s="9">
        <f>Raw!AH73/Raw!$C73</f>
        <v>0</v>
      </c>
      <c r="AI72" s="9">
        <f>Raw!AI73/Raw!$C73</f>
        <v>0</v>
      </c>
      <c r="AJ72" s="9">
        <f>Raw!AJ73/Raw!$C73</f>
        <v>24.999999999999996</v>
      </c>
      <c r="AK72" s="9">
        <f>Raw!AK73/Raw!$C73</f>
        <v>162.24999999999997</v>
      </c>
      <c r="AL72" s="9">
        <f>Raw!AL73/Raw!$C73</f>
        <v>12.499999999999998</v>
      </c>
      <c r="AM72" s="9">
        <f>Raw!AM73/Raw!$C73</f>
        <v>136.06249999999994</v>
      </c>
      <c r="AN72" s="9">
        <f>Raw!AN73/Raw!$C73</f>
        <v>0</v>
      </c>
      <c r="AO72" s="9">
        <f>Raw!AO73/Raw!$C73</f>
        <v>0</v>
      </c>
      <c r="AP72" s="9">
        <f>Raw!AP73/Raw!$C73</f>
        <v>0</v>
      </c>
      <c r="AQ72" s="9">
        <f>Raw!AQ73/Raw!$C73</f>
        <v>0</v>
      </c>
      <c r="AR72" s="9">
        <f>Raw!AR73/Raw!$C73</f>
        <v>0</v>
      </c>
      <c r="AS72" s="9">
        <f>Raw!AS73/Raw!$C73</f>
        <v>0</v>
      </c>
      <c r="AT72" s="9">
        <f>Raw!AT73/Raw!$C73</f>
        <v>0</v>
      </c>
      <c r="AU72" s="9">
        <f>Raw!AU73/Raw!$C73</f>
        <v>0</v>
      </c>
      <c r="AV72" s="9">
        <f>Raw!AV73/Raw!$C73</f>
        <v>0</v>
      </c>
      <c r="AW72" s="9">
        <f>Raw!AW73/Raw!$C73</f>
        <v>0</v>
      </c>
      <c r="AX72" s="9">
        <f>Raw!AX73/Raw!$C73</f>
        <v>0</v>
      </c>
      <c r="AY72" s="9">
        <f>Raw!AY73/Raw!$C73</f>
        <v>0</v>
      </c>
      <c r="AZ72" s="9">
        <f>Raw!AZ73/Raw!$C73</f>
        <v>0</v>
      </c>
      <c r="BA72" s="9">
        <f>Raw!BA73/Raw!$C73</f>
        <v>0</v>
      </c>
      <c r="BB72" s="9">
        <f>Raw!BB73/Raw!$C73</f>
        <v>0</v>
      </c>
      <c r="BC72" s="9">
        <f>Raw!BC73/Raw!$C73</f>
        <v>0</v>
      </c>
      <c r="BD72" s="9">
        <f>Raw!BD73/Raw!$C73</f>
        <v>0</v>
      </c>
      <c r="BE72" s="9">
        <f>Raw!BE73/Raw!$C73</f>
        <v>0</v>
      </c>
      <c r="BF72" s="9">
        <f>Raw!BF73/Raw!$C73</f>
        <v>0</v>
      </c>
      <c r="BG72" s="9">
        <f>Raw!BG73/Raw!$C73</f>
        <v>0</v>
      </c>
      <c r="BH72" s="9">
        <f>Raw!BH73/Raw!$C73</f>
        <v>0</v>
      </c>
      <c r="BI72" s="9">
        <f>Raw!BI73/Raw!$C73</f>
        <v>0</v>
      </c>
      <c r="BJ72" s="9">
        <f>Raw!BJ73/Raw!$C73</f>
        <v>0</v>
      </c>
      <c r="BK72" s="9">
        <f>Raw!BK73/Raw!$C73</f>
        <v>0</v>
      </c>
      <c r="BL72" s="9">
        <f>Raw!BL73/Raw!$C73</f>
        <v>0</v>
      </c>
      <c r="BM72" s="9">
        <f>Raw!BM73/Raw!$C73</f>
        <v>0</v>
      </c>
      <c r="BN72" s="9">
        <f>Raw!BN73/Raw!$C73</f>
        <v>0</v>
      </c>
      <c r="BO72" s="9">
        <f>Raw!BO73/Raw!$C73</f>
        <v>0</v>
      </c>
      <c r="BP72" s="9">
        <f>Raw!BP73/Raw!$C73</f>
        <v>0</v>
      </c>
      <c r="BQ72" s="9">
        <f>Raw!BQ73/Raw!$C73</f>
        <v>0</v>
      </c>
      <c r="BR72" s="9">
        <f>Raw!BR73/Raw!$C73</f>
        <v>0</v>
      </c>
      <c r="BS72" s="9">
        <f>Raw!BS73/Raw!$C73</f>
        <v>0</v>
      </c>
      <c r="BT72" s="9">
        <f>Raw!BT73/Raw!$C73</f>
        <v>0</v>
      </c>
      <c r="BU72" s="9">
        <f>Raw!BU73/Raw!$C73</f>
        <v>0</v>
      </c>
      <c r="BV72" s="9">
        <f>Raw!BV73/Raw!$C73</f>
        <v>0</v>
      </c>
      <c r="BW72" s="9">
        <f>Raw!BW73/Raw!$C73</f>
        <v>0</v>
      </c>
      <c r="BX72" s="9">
        <f>Raw!BX73/Raw!$C73</f>
        <v>0</v>
      </c>
      <c r="BY72" s="9">
        <f>Raw!BY73/Raw!$C73</f>
        <v>0</v>
      </c>
      <c r="BZ72" s="9">
        <f>Raw!BZ73/Raw!$C73</f>
        <v>0</v>
      </c>
      <c r="CA72" s="9">
        <f>Raw!CA73/Raw!$C73</f>
        <v>0</v>
      </c>
      <c r="CB72" s="9">
        <f>Raw!CB73/Raw!$C73</f>
        <v>0</v>
      </c>
      <c r="CC72" s="9">
        <f>Raw!CC73/Raw!$C73</f>
        <v>0</v>
      </c>
      <c r="CD72" s="9">
        <f>Raw!CD73/Raw!$C73</f>
        <v>0</v>
      </c>
      <c r="CE72" s="9">
        <f>Raw!CE73/Raw!$C73</f>
        <v>0</v>
      </c>
      <c r="CF72" s="9">
        <f>Raw!CF73/Raw!$C73</f>
        <v>0</v>
      </c>
      <c r="CG72" s="9">
        <f>Raw!CG73/Raw!$C73</f>
        <v>0</v>
      </c>
      <c r="CH72" s="9">
        <f>Raw!CH73/Raw!$C73</f>
        <v>0</v>
      </c>
      <c r="CI72" s="9">
        <f>Raw!CI73/Raw!$C73</f>
        <v>0</v>
      </c>
      <c r="CJ72" s="9">
        <f>Raw!CJ73/Raw!$C73</f>
        <v>0</v>
      </c>
      <c r="CK72" s="9">
        <f>Raw!CK73/Raw!$C73</f>
        <v>0</v>
      </c>
      <c r="CL72" s="9">
        <f>Raw!CL73/Raw!$C73</f>
        <v>0</v>
      </c>
      <c r="CM72" s="9">
        <f>Raw!CM73/Raw!$C73</f>
        <v>0</v>
      </c>
      <c r="CN72" s="9">
        <f>Raw!CN73/Raw!$C73</f>
        <v>0</v>
      </c>
      <c r="CO72" s="9">
        <f>Raw!CO73/Raw!$C73</f>
        <v>0</v>
      </c>
      <c r="CP72" s="9">
        <f>Raw!CP73/Raw!$C73</f>
        <v>0</v>
      </c>
      <c r="CQ72" s="9">
        <f>Raw!CQ73/Raw!$C73</f>
        <v>0</v>
      </c>
      <c r="CR72" s="2">
        <f t="shared" si="39"/>
        <v>337.49999999999994</v>
      </c>
      <c r="CS72" s="2">
        <f t="shared" si="40"/>
        <v>387.49999999999989</v>
      </c>
      <c r="CT72" s="3">
        <f t="shared" si="37"/>
        <v>2.5282737771670436</v>
      </c>
      <c r="CU72" s="3">
        <f t="shared" si="38"/>
        <v>2.5882717068423289</v>
      </c>
      <c r="CZ72" s="3">
        <f t="shared" si="25"/>
        <v>2.5282737771670436</v>
      </c>
      <c r="DA72" s="3">
        <f t="shared" si="26"/>
        <v>2.5882717068423289</v>
      </c>
      <c r="DB72" s="6">
        <f t="shared" si="27"/>
        <v>0.85440913971823718</v>
      </c>
      <c r="DC72" s="3">
        <v>4</v>
      </c>
      <c r="DD72" s="3">
        <f>DC72/Raw!C73</f>
        <v>24.999999999999996</v>
      </c>
      <c r="DE72" s="5">
        <f t="shared" si="41"/>
        <v>1.1851851851851853E-2</v>
      </c>
      <c r="DF72">
        <f t="shared" si="42"/>
        <v>-1.9262137858390813</v>
      </c>
      <c r="DH72" s="4">
        <f>-SUM('Shannon-Weiner'!B71:Z71)</f>
        <v>0.50956906349071496</v>
      </c>
      <c r="DI72" s="4">
        <f>SUM('p^2'!B71:Z71)</f>
        <v>0.76474622770919065</v>
      </c>
      <c r="DJ72" s="4">
        <f t="shared" si="43"/>
        <v>0.23525377229080935</v>
      </c>
      <c r="DK72">
        <f t="shared" si="44"/>
        <v>1.3076233183856503</v>
      </c>
      <c r="DL72" s="4">
        <f>SUM('Shannon-Weiner_B'!B71:Z71)</f>
        <v>-1.2212557543780485</v>
      </c>
      <c r="DM72" s="4">
        <f>SUM('p_B^2'!B71:Z71)</f>
        <v>0.32700452653485951</v>
      </c>
      <c r="DN72" s="4">
        <f t="shared" si="45"/>
        <v>0.67299547346514044</v>
      </c>
      <c r="DO72">
        <f t="shared" si="46"/>
        <v>3.0580616439674801</v>
      </c>
    </row>
    <row r="73" spans="2:119" x14ac:dyDescent="0.25">
      <c r="B73" t="str">
        <f>Raw!B74</f>
        <v>TB16</v>
      </c>
      <c r="C73">
        <v>1</v>
      </c>
      <c r="D73" s="9">
        <f>Raw!D74/Raw!$C74</f>
        <v>249.99999999999994</v>
      </c>
      <c r="E73" s="9">
        <f>Raw!E74/Raw!$C74</f>
        <v>44.375</v>
      </c>
      <c r="F73" s="9">
        <f>Raw!F74/Raw!$C74</f>
        <v>0</v>
      </c>
      <c r="G73" s="9">
        <f>Raw!G74/Raw!$C74</f>
        <v>0</v>
      </c>
      <c r="H73" s="9">
        <f>Raw!H74/Raw!$C74</f>
        <v>0</v>
      </c>
      <c r="I73" s="9">
        <f>Raw!I74/Raw!$C74</f>
        <v>0</v>
      </c>
      <c r="J73" s="9">
        <f>Raw!J74/Raw!$C74</f>
        <v>0</v>
      </c>
      <c r="K73" s="9">
        <f>Raw!K74/Raw!$C74</f>
        <v>0</v>
      </c>
      <c r="L73" s="9">
        <f>Raw!L74/Raw!$C74</f>
        <v>0</v>
      </c>
      <c r="M73" s="9">
        <f>Raw!M74/Raw!$C74</f>
        <v>0</v>
      </c>
      <c r="N73" s="9">
        <f>Raw!N74/Raw!$C74</f>
        <v>6.2499999999999991</v>
      </c>
      <c r="O73" s="9">
        <f>Raw!O74/Raw!$C74</f>
        <v>4.625</v>
      </c>
      <c r="P73" s="9">
        <f>Raw!P74/Raw!$C74</f>
        <v>0</v>
      </c>
      <c r="Q73" s="9">
        <f>Raw!Q74/Raw!$C74</f>
        <v>0</v>
      </c>
      <c r="R73" s="9">
        <f>Raw!R74/Raw!$C74</f>
        <v>0</v>
      </c>
      <c r="S73" s="9">
        <f>Raw!S74/Raw!$C74</f>
        <v>0</v>
      </c>
      <c r="T73" s="9">
        <f>Raw!T74/Raw!$C74</f>
        <v>0</v>
      </c>
      <c r="U73" s="9">
        <f>Raw!U74/Raw!$C74</f>
        <v>0</v>
      </c>
      <c r="V73" s="9">
        <f>Raw!V74/Raw!$C74</f>
        <v>0</v>
      </c>
      <c r="W73" s="9">
        <f>Raw!W74/Raw!$C74</f>
        <v>0</v>
      </c>
      <c r="X73" s="9">
        <f>Raw!X74/Raw!$C74</f>
        <v>74.999999999999986</v>
      </c>
      <c r="Y73" s="9">
        <f>Raw!Y74/Raw!$C74</f>
        <v>0.81249999999999922</v>
      </c>
      <c r="Z73" s="9">
        <f>Raw!Z74/Raw!$C74</f>
        <v>0</v>
      </c>
      <c r="AA73" s="9">
        <f>Raw!AA74/Raw!$C74</f>
        <v>0</v>
      </c>
      <c r="AB73" s="9">
        <f>Raw!AB74/Raw!$C74</f>
        <v>0</v>
      </c>
      <c r="AC73" s="9">
        <f>Raw!AC74/Raw!$C74</f>
        <v>0</v>
      </c>
      <c r="AD73" s="9">
        <f>Raw!AD74/Raw!$C74</f>
        <v>0</v>
      </c>
      <c r="AE73" s="9">
        <f>Raw!AE74/Raw!$C74</f>
        <v>0</v>
      </c>
      <c r="AF73" s="9">
        <f>Raw!AF74/Raw!$C74</f>
        <v>0</v>
      </c>
      <c r="AG73" s="9">
        <f>Raw!AG74/Raw!$C74</f>
        <v>0</v>
      </c>
      <c r="AH73" s="9">
        <f>Raw!AH74/Raw!$C74</f>
        <v>0</v>
      </c>
      <c r="AI73" s="9">
        <f>Raw!AI74/Raw!$C74</f>
        <v>0</v>
      </c>
      <c r="AJ73" s="9">
        <f>Raw!AJ74/Raw!$C74</f>
        <v>12.499999999999998</v>
      </c>
      <c r="AK73" s="9">
        <f>Raw!AK74/Raw!$C74</f>
        <v>87.437499999999972</v>
      </c>
      <c r="AL73" s="9">
        <f>Raw!AL74/Raw!$C74</f>
        <v>31.249999999999993</v>
      </c>
      <c r="AM73" s="9">
        <f>Raw!AM74/Raw!$C74</f>
        <v>523.12499999999977</v>
      </c>
      <c r="AN73" s="9">
        <f>Raw!AN74/Raw!$C74</f>
        <v>0</v>
      </c>
      <c r="AO73" s="9">
        <f>Raw!AO74/Raw!$C74</f>
        <v>0</v>
      </c>
      <c r="AP73" s="9">
        <f>Raw!AP74/Raw!$C74</f>
        <v>0</v>
      </c>
      <c r="AQ73" s="9">
        <f>Raw!AQ74/Raw!$C74</f>
        <v>0</v>
      </c>
      <c r="AR73" s="9">
        <f>Raw!AR74/Raw!$C74</f>
        <v>0</v>
      </c>
      <c r="AS73" s="9">
        <f>Raw!AS74/Raw!$C74</f>
        <v>0</v>
      </c>
      <c r="AT73" s="9">
        <f>Raw!AT74/Raw!$C74</f>
        <v>6.2499999999999991</v>
      </c>
      <c r="AU73" s="9">
        <f>Raw!AU74/Raw!$C74</f>
        <v>6.9374999999999982</v>
      </c>
      <c r="AV73" s="9">
        <f>Raw!AV74/Raw!$C74</f>
        <v>0</v>
      </c>
      <c r="AW73" s="9">
        <f>Raw!AW74/Raw!$C74</f>
        <v>0</v>
      </c>
      <c r="AX73" s="9">
        <f>Raw!AX74/Raw!$C74</f>
        <v>0</v>
      </c>
      <c r="AY73" s="9">
        <f>Raw!AY74/Raw!$C74</f>
        <v>0</v>
      </c>
      <c r="AZ73" s="9">
        <f>Raw!AZ74/Raw!$C74</f>
        <v>0</v>
      </c>
      <c r="BA73" s="9">
        <f>Raw!BA74/Raw!$C74</f>
        <v>0</v>
      </c>
      <c r="BB73" s="9">
        <f>Raw!BB74/Raw!$C74</f>
        <v>0</v>
      </c>
      <c r="BC73" s="9">
        <f>Raw!BC74/Raw!$C74</f>
        <v>0</v>
      </c>
      <c r="BD73" s="9">
        <f>Raw!BD74/Raw!$C74</f>
        <v>0</v>
      </c>
      <c r="BE73" s="9">
        <f>Raw!BE74/Raw!$C74</f>
        <v>0</v>
      </c>
      <c r="BF73" s="9">
        <f>Raw!BF74/Raw!$C74</f>
        <v>0</v>
      </c>
      <c r="BG73" s="9">
        <f>Raw!BG74/Raw!$C74</f>
        <v>0</v>
      </c>
      <c r="BH73" s="9">
        <f>Raw!BH74/Raw!$C74</f>
        <v>0</v>
      </c>
      <c r="BI73" s="9">
        <f>Raw!BI74/Raw!$C74</f>
        <v>0</v>
      </c>
      <c r="BJ73" s="9">
        <f>Raw!BJ74/Raw!$C74</f>
        <v>0</v>
      </c>
      <c r="BK73" s="9">
        <f>Raw!BK74/Raw!$C74</f>
        <v>0</v>
      </c>
      <c r="BL73" s="9">
        <f>Raw!BL74/Raw!$C74</f>
        <v>0</v>
      </c>
      <c r="BM73" s="9">
        <f>Raw!BM74/Raw!$C74</f>
        <v>0</v>
      </c>
      <c r="BN73" s="9">
        <f>Raw!BN74/Raw!$C74</f>
        <v>0</v>
      </c>
      <c r="BO73" s="9">
        <f>Raw!BO74/Raw!$C74</f>
        <v>0</v>
      </c>
      <c r="BP73" s="9">
        <f>Raw!BP74/Raw!$C74</f>
        <v>0</v>
      </c>
      <c r="BQ73" s="9">
        <f>Raw!BQ74/Raw!$C74</f>
        <v>0</v>
      </c>
      <c r="BR73" s="9">
        <f>Raw!BR74/Raw!$C74</f>
        <v>0</v>
      </c>
      <c r="BS73" s="9">
        <f>Raw!BS74/Raw!$C74</f>
        <v>0</v>
      </c>
      <c r="BT73" s="9">
        <f>Raw!BT74/Raw!$C74</f>
        <v>0</v>
      </c>
      <c r="BU73" s="9">
        <f>Raw!BU74/Raw!$C74</f>
        <v>0</v>
      </c>
      <c r="BV73" s="9">
        <f>Raw!BV74/Raw!$C74</f>
        <v>0</v>
      </c>
      <c r="BW73" s="9">
        <f>Raw!BW74/Raw!$C74</f>
        <v>0</v>
      </c>
      <c r="BX73" s="9">
        <f>Raw!BX74/Raw!$C74</f>
        <v>0</v>
      </c>
      <c r="BY73" s="9">
        <f>Raw!BY74/Raw!$C74</f>
        <v>0</v>
      </c>
      <c r="BZ73" s="9">
        <f>Raw!BZ74/Raw!$C74</f>
        <v>0</v>
      </c>
      <c r="CA73" s="9">
        <f>Raw!CA74/Raw!$C74</f>
        <v>0</v>
      </c>
      <c r="CB73" s="9">
        <f>Raw!CB74/Raw!$C74</f>
        <v>0</v>
      </c>
      <c r="CC73" s="9">
        <f>Raw!CC74/Raw!$C74</f>
        <v>0</v>
      </c>
      <c r="CD73" s="9">
        <f>Raw!CD74/Raw!$C74</f>
        <v>0</v>
      </c>
      <c r="CE73" s="9">
        <f>Raw!CE74/Raw!$C74</f>
        <v>0</v>
      </c>
      <c r="CF73" s="9">
        <f>Raw!CF74/Raw!$C74</f>
        <v>0</v>
      </c>
      <c r="CG73" s="9">
        <f>Raw!CG74/Raw!$C74</f>
        <v>0</v>
      </c>
      <c r="CH73" s="9">
        <f>Raw!CH74/Raw!$C74</f>
        <v>0</v>
      </c>
      <c r="CI73" s="9">
        <f>Raw!CI74/Raw!$C74</f>
        <v>0</v>
      </c>
      <c r="CJ73" s="9">
        <f>Raw!CJ74/Raw!$C74</f>
        <v>0</v>
      </c>
      <c r="CK73" s="9">
        <f>Raw!CK74/Raw!$C74</f>
        <v>0</v>
      </c>
      <c r="CL73" s="9">
        <f>Raw!CL74/Raw!$C74</f>
        <v>0</v>
      </c>
      <c r="CM73" s="9">
        <f>Raw!CM74/Raw!$C74</f>
        <v>0</v>
      </c>
      <c r="CN73" s="9">
        <f>Raw!CN74/Raw!$C74</f>
        <v>0</v>
      </c>
      <c r="CO73" s="9">
        <f>Raw!CO74/Raw!$C74</f>
        <v>0</v>
      </c>
      <c r="CP73" s="9">
        <f>Raw!CP74/Raw!$C74</f>
        <v>0</v>
      </c>
      <c r="CQ73" s="9">
        <f>Raw!CQ74/Raw!$C74</f>
        <v>0</v>
      </c>
      <c r="CR73" s="2">
        <f t="shared" si="39"/>
        <v>381.24999999999994</v>
      </c>
      <c r="CS73" s="2">
        <f t="shared" si="40"/>
        <v>667.31249999999977</v>
      </c>
      <c r="CT73" s="3">
        <f t="shared" si="37"/>
        <v>2.5812098523548421</v>
      </c>
      <c r="CU73" s="3">
        <f t="shared" si="38"/>
        <v>2.8243292600675836</v>
      </c>
      <c r="CZ73" s="3">
        <f t="shared" si="25"/>
        <v>2.5812098523548421</v>
      </c>
      <c r="DA73" s="3">
        <f t="shared" si="26"/>
        <v>2.8243292600675836</v>
      </c>
      <c r="DB73" s="6">
        <f t="shared" si="27"/>
        <v>0.70475069685365543</v>
      </c>
      <c r="DC73" s="3">
        <v>6</v>
      </c>
      <c r="DD73" s="3">
        <f>DC73/Raw!C74</f>
        <v>37.499999999999993</v>
      </c>
      <c r="DE73" s="5">
        <f t="shared" si="41"/>
        <v>1.573770491803279E-2</v>
      </c>
      <c r="DF73">
        <f t="shared" si="42"/>
        <v>-1.8030586019711985</v>
      </c>
      <c r="DH73" s="4">
        <f>-SUM('Shannon-Weiner'!B72:Z72)</f>
        <v>1.0484551447421007</v>
      </c>
      <c r="DI73" s="4">
        <f>SUM('p^2'!B72:Z72)</f>
        <v>0.47702230583176558</v>
      </c>
      <c r="DJ73" s="4">
        <f t="shared" si="43"/>
        <v>0.52297769416823447</v>
      </c>
      <c r="DK73">
        <f t="shared" si="44"/>
        <v>2.0963380281690145</v>
      </c>
      <c r="DL73" s="4">
        <f>SUM('Shannon-Weiner_B'!B72:Z72)</f>
        <v>-0.72748335573408007</v>
      </c>
      <c r="DM73" s="4">
        <f>SUM('p_B^2'!B72:Z72)</f>
        <v>0.63629149336039814</v>
      </c>
      <c r="DN73" s="4">
        <f t="shared" si="45"/>
        <v>0.36370850663960186</v>
      </c>
      <c r="DO73">
        <f t="shared" si="46"/>
        <v>1.5716067406759999</v>
      </c>
    </row>
    <row r="74" spans="2:119" x14ac:dyDescent="0.25">
      <c r="B74" t="str">
        <f>Raw!B75</f>
        <v>TB17</v>
      </c>
      <c r="C74">
        <v>1</v>
      </c>
      <c r="D74" s="9">
        <f>Raw!D75/Raw!$C75</f>
        <v>762.49999999999989</v>
      </c>
      <c r="E74" s="9">
        <f>Raw!E75/Raw!$C75</f>
        <v>175.24999999999997</v>
      </c>
      <c r="F74" s="9">
        <f>Raw!F75/Raw!$C75</f>
        <v>0</v>
      </c>
      <c r="G74" s="9">
        <f>Raw!G75/Raw!$C75</f>
        <v>0</v>
      </c>
      <c r="H74" s="9">
        <f>Raw!H75/Raw!$C75</f>
        <v>0</v>
      </c>
      <c r="I74" s="9">
        <f>Raw!I75/Raw!$C75</f>
        <v>0</v>
      </c>
      <c r="J74" s="9">
        <f>Raw!J75/Raw!$C75</f>
        <v>0</v>
      </c>
      <c r="K74" s="9">
        <f>Raw!K75/Raw!$C75</f>
        <v>0</v>
      </c>
      <c r="L74" s="9">
        <f>Raw!L75/Raw!$C75</f>
        <v>0</v>
      </c>
      <c r="M74" s="9">
        <f>Raw!M75/Raw!$C75</f>
        <v>0</v>
      </c>
      <c r="N74" s="9">
        <f>Raw!N75/Raw!$C75</f>
        <v>0</v>
      </c>
      <c r="O74" s="9">
        <f>Raw!O75/Raw!$C75</f>
        <v>0</v>
      </c>
      <c r="P74" s="9">
        <f>Raw!P75/Raw!$C75</f>
        <v>0</v>
      </c>
      <c r="Q74" s="9">
        <f>Raw!Q75/Raw!$C75</f>
        <v>0</v>
      </c>
      <c r="R74" s="9">
        <f>Raw!R75/Raw!$C75</f>
        <v>0</v>
      </c>
      <c r="S74" s="9">
        <f>Raw!S75/Raw!$C75</f>
        <v>0</v>
      </c>
      <c r="T74" s="9">
        <f>Raw!T75/Raw!$C75</f>
        <v>0</v>
      </c>
      <c r="U74" s="9">
        <f>Raw!U75/Raw!$C75</f>
        <v>0</v>
      </c>
      <c r="V74" s="9">
        <f>Raw!V75/Raw!$C75</f>
        <v>0</v>
      </c>
      <c r="W74" s="9">
        <f>Raw!W75/Raw!$C75</f>
        <v>0</v>
      </c>
      <c r="X74" s="9">
        <f>Raw!X75/Raw!$C75</f>
        <v>18.749999999999996</v>
      </c>
      <c r="Y74" s="9">
        <f>Raw!Y75/Raw!$C75</f>
        <v>0.25000000000000017</v>
      </c>
      <c r="Z74" s="9">
        <f>Raw!Z75/Raw!$C75</f>
        <v>0</v>
      </c>
      <c r="AA74" s="9">
        <f>Raw!AA75/Raw!$C75</f>
        <v>0</v>
      </c>
      <c r="AB74" s="9">
        <f>Raw!AB75/Raw!$C75</f>
        <v>0</v>
      </c>
      <c r="AC74" s="9">
        <f>Raw!AC75/Raw!$C75</f>
        <v>0</v>
      </c>
      <c r="AD74" s="9">
        <f>Raw!AD75/Raw!$C75</f>
        <v>0</v>
      </c>
      <c r="AE74" s="9">
        <f>Raw!AE75/Raw!$C75</f>
        <v>0</v>
      </c>
      <c r="AF74" s="9">
        <f>Raw!AF75/Raw!$C75</f>
        <v>0</v>
      </c>
      <c r="AG74" s="9">
        <f>Raw!AG75/Raw!$C75</f>
        <v>0</v>
      </c>
      <c r="AH74" s="9">
        <f>Raw!AH75/Raw!$C75</f>
        <v>0</v>
      </c>
      <c r="AI74" s="9">
        <f>Raw!AI75/Raw!$C75</f>
        <v>0</v>
      </c>
      <c r="AJ74" s="9">
        <f>Raw!AJ75/Raw!$C75</f>
        <v>24.999999999999996</v>
      </c>
      <c r="AK74" s="9">
        <f>Raw!AK75/Raw!$C75</f>
        <v>228.49999999999997</v>
      </c>
      <c r="AL74" s="9">
        <f>Raw!AL75/Raw!$C75</f>
        <v>18.749999999999996</v>
      </c>
      <c r="AM74" s="9">
        <f>Raw!AM75/Raw!$C75</f>
        <v>152.375</v>
      </c>
      <c r="AN74" s="9">
        <f>Raw!AN75/Raw!$C75</f>
        <v>0</v>
      </c>
      <c r="AO74" s="9">
        <f>Raw!AO75/Raw!$C75</f>
        <v>0</v>
      </c>
      <c r="AP74" s="9">
        <f>Raw!AP75/Raw!$C75</f>
        <v>0</v>
      </c>
      <c r="AQ74" s="9">
        <f>Raw!AQ75/Raw!$C75</f>
        <v>0</v>
      </c>
      <c r="AR74" s="9">
        <f>Raw!AR75/Raw!$C75</f>
        <v>0</v>
      </c>
      <c r="AS74" s="9">
        <f>Raw!AS75/Raw!$C75</f>
        <v>0</v>
      </c>
      <c r="AT74" s="9">
        <f>Raw!AT75/Raw!$C75</f>
        <v>0</v>
      </c>
      <c r="AU74" s="9">
        <f>Raw!AU75/Raw!$C75</f>
        <v>0</v>
      </c>
      <c r="AV74" s="9">
        <f>Raw!AV75/Raw!$C75</f>
        <v>0</v>
      </c>
      <c r="AW74" s="9">
        <f>Raw!AW75/Raw!$C75</f>
        <v>0</v>
      </c>
      <c r="AX74" s="9">
        <f>Raw!AX75/Raw!$C75</f>
        <v>0</v>
      </c>
      <c r="AY74" s="9">
        <f>Raw!AY75/Raw!$C75</f>
        <v>0</v>
      </c>
      <c r="AZ74" s="9">
        <f>Raw!AZ75/Raw!$C75</f>
        <v>0</v>
      </c>
      <c r="BA74" s="9">
        <f>Raw!BA75/Raw!$C75</f>
        <v>0</v>
      </c>
      <c r="BB74" s="9">
        <f>Raw!BB75/Raw!$C75</f>
        <v>0</v>
      </c>
      <c r="BC74" s="9">
        <f>Raw!BC75/Raw!$C75</f>
        <v>0</v>
      </c>
      <c r="BD74" s="9">
        <f>Raw!BD75/Raw!$C75</f>
        <v>0</v>
      </c>
      <c r="BE74" s="9">
        <f>Raw!BE75/Raw!$C75</f>
        <v>0</v>
      </c>
      <c r="BF74" s="9">
        <f>Raw!BF75/Raw!$C75</f>
        <v>0</v>
      </c>
      <c r="BG74" s="9">
        <f>Raw!BG75/Raw!$C75</f>
        <v>0</v>
      </c>
      <c r="BH74" s="9">
        <f>Raw!BH75/Raw!$C75</f>
        <v>0</v>
      </c>
      <c r="BI74" s="9">
        <f>Raw!BI75/Raw!$C75</f>
        <v>0</v>
      </c>
      <c r="BJ74" s="9">
        <f>Raw!BJ75/Raw!$C75</f>
        <v>0</v>
      </c>
      <c r="BK74" s="9">
        <f>Raw!BK75/Raw!$C75</f>
        <v>0</v>
      </c>
      <c r="BL74" s="9">
        <f>Raw!BL75/Raw!$C75</f>
        <v>0</v>
      </c>
      <c r="BM74" s="9">
        <f>Raw!BM75/Raw!$C75</f>
        <v>0</v>
      </c>
      <c r="BN74" s="9">
        <f>Raw!BN75/Raw!$C75</f>
        <v>0</v>
      </c>
      <c r="BO74" s="9">
        <f>Raw!BO75/Raw!$C75</f>
        <v>0</v>
      </c>
      <c r="BP74" s="9">
        <f>Raw!BP75/Raw!$C75</f>
        <v>0</v>
      </c>
      <c r="BQ74" s="9">
        <f>Raw!BQ75/Raw!$C75</f>
        <v>0</v>
      </c>
      <c r="BR74" s="9">
        <f>Raw!BR75/Raw!$C75</f>
        <v>0</v>
      </c>
      <c r="BS74" s="9">
        <f>Raw!BS75/Raw!$C75</f>
        <v>0</v>
      </c>
      <c r="BT74" s="9">
        <f>Raw!BT75/Raw!$C75</f>
        <v>0</v>
      </c>
      <c r="BU74" s="9">
        <f>Raw!BU75/Raw!$C75</f>
        <v>0</v>
      </c>
      <c r="BV74" s="9">
        <f>Raw!BV75/Raw!$C75</f>
        <v>0</v>
      </c>
      <c r="BW74" s="9">
        <f>Raw!BW75/Raw!$C75</f>
        <v>0</v>
      </c>
      <c r="BX74" s="9">
        <f>Raw!BX75/Raw!$C75</f>
        <v>0</v>
      </c>
      <c r="BY74" s="9">
        <f>Raw!BY75/Raw!$C75</f>
        <v>0</v>
      </c>
      <c r="BZ74" s="9">
        <f>Raw!BZ75/Raw!$C75</f>
        <v>0</v>
      </c>
      <c r="CA74" s="9">
        <f>Raw!CA75/Raw!$C75</f>
        <v>0</v>
      </c>
      <c r="CB74" s="9">
        <f>Raw!CB75/Raw!$C75</f>
        <v>0</v>
      </c>
      <c r="CC74" s="9">
        <f>Raw!CC75/Raw!$C75</f>
        <v>0</v>
      </c>
      <c r="CD74" s="9">
        <f>Raw!CD75/Raw!$C75</f>
        <v>0</v>
      </c>
      <c r="CE74" s="9">
        <f>Raw!CE75/Raw!$C75</f>
        <v>0</v>
      </c>
      <c r="CF74" s="9">
        <f>Raw!CF75/Raw!$C75</f>
        <v>0</v>
      </c>
      <c r="CG74" s="9">
        <f>Raw!CG75/Raw!$C75</f>
        <v>0</v>
      </c>
      <c r="CH74" s="9">
        <f>Raw!CH75/Raw!$C75</f>
        <v>0</v>
      </c>
      <c r="CI74" s="9">
        <f>Raw!CI75/Raw!$C75</f>
        <v>0</v>
      </c>
      <c r="CJ74" s="9">
        <f>Raw!CJ75/Raw!$C75</f>
        <v>0</v>
      </c>
      <c r="CK74" s="9">
        <f>Raw!CK75/Raw!$C75</f>
        <v>0</v>
      </c>
      <c r="CL74" s="9">
        <f>Raw!CL75/Raw!$C75</f>
        <v>0</v>
      </c>
      <c r="CM74" s="9">
        <f>Raw!CM75/Raw!$C75</f>
        <v>0</v>
      </c>
      <c r="CN74" s="9">
        <f>Raw!CN75/Raw!$C75</f>
        <v>0</v>
      </c>
      <c r="CO74" s="9">
        <f>Raw!CO75/Raw!$C75</f>
        <v>0</v>
      </c>
      <c r="CP74" s="9">
        <f>Raw!CP75/Raw!$C75</f>
        <v>0</v>
      </c>
      <c r="CQ74" s="9">
        <f>Raw!CQ75/Raw!$C75</f>
        <v>0</v>
      </c>
      <c r="CR74" s="2">
        <f t="shared" si="39"/>
        <v>824.99999999999989</v>
      </c>
      <c r="CS74" s="2">
        <f t="shared" si="40"/>
        <v>556.375</v>
      </c>
      <c r="CT74" s="3">
        <f t="shared" si="37"/>
        <v>2.916453948549925</v>
      </c>
      <c r="CU74" s="3">
        <f t="shared" si="38"/>
        <v>2.745367607290579</v>
      </c>
      <c r="CZ74" s="3">
        <f t="shared" si="25"/>
        <v>2.916453948549925</v>
      </c>
      <c r="DA74" s="3">
        <f t="shared" si="26"/>
        <v>2.745367607290579</v>
      </c>
      <c r="DB74" s="6">
        <f t="shared" si="27"/>
        <v>0.68605632411092221</v>
      </c>
      <c r="DC74" s="3">
        <v>4</v>
      </c>
      <c r="DD74" s="3">
        <f>DC74/Raw!C75</f>
        <v>24.999999999999996</v>
      </c>
      <c r="DE74" s="5">
        <f t="shared" si="41"/>
        <v>4.8484848484848493E-3</v>
      </c>
      <c r="DF74">
        <f t="shared" si="42"/>
        <v>-2.3143939572219625</v>
      </c>
      <c r="DH74" s="4">
        <f>-SUM('Shannon-Weiner'!B73:Z73)</f>
        <v>0.35077602384435935</v>
      </c>
      <c r="DI74" s="4">
        <f>SUM('p^2'!B73:Z73)</f>
        <v>0.8561753902662993</v>
      </c>
      <c r="DJ74" s="4">
        <f t="shared" si="43"/>
        <v>0.1438246097337007</v>
      </c>
      <c r="DK74">
        <f t="shared" si="44"/>
        <v>1.1679849845823838</v>
      </c>
      <c r="DL74" s="4">
        <f>SUM('Shannon-Weiner_B'!B73:Z73)</f>
        <v>-1.087512844201634</v>
      </c>
      <c r="DM74" s="4">
        <f>SUM('p_B^2'!B73:Z73)</f>
        <v>0.34289109588968486</v>
      </c>
      <c r="DN74" s="4">
        <f t="shared" si="45"/>
        <v>0.65710890411031508</v>
      </c>
      <c r="DO74">
        <f t="shared" si="46"/>
        <v>2.9163778587056708</v>
      </c>
    </row>
    <row r="75" spans="2:119" x14ac:dyDescent="0.25">
      <c r="B75" t="str">
        <f>Raw!B76</f>
        <v>TB18</v>
      </c>
      <c r="C75">
        <v>1</v>
      </c>
      <c r="D75" s="9">
        <f>Raw!D76/Raw!$C76</f>
        <v>337.49999999999994</v>
      </c>
      <c r="E75" s="9">
        <f>Raw!E76/Raw!$C76</f>
        <v>48.687499999999993</v>
      </c>
      <c r="F75" s="9">
        <f>Raw!F76/Raw!$C76</f>
        <v>0</v>
      </c>
      <c r="G75" s="9">
        <f>Raw!G76/Raw!$C76</f>
        <v>0</v>
      </c>
      <c r="H75" s="9">
        <f>Raw!H76/Raw!$C76</f>
        <v>0</v>
      </c>
      <c r="I75" s="9">
        <f>Raw!I76/Raw!$C76</f>
        <v>0</v>
      </c>
      <c r="J75" s="9">
        <f>Raw!J76/Raw!$C76</f>
        <v>0</v>
      </c>
      <c r="K75" s="9">
        <f>Raw!K76/Raw!$C76</f>
        <v>0</v>
      </c>
      <c r="L75" s="9">
        <f>Raw!L76/Raw!$C76</f>
        <v>6.2499999999999991</v>
      </c>
      <c r="M75" s="9">
        <f>Raw!M76/Raw!$C76</f>
        <v>1167.5624999999998</v>
      </c>
      <c r="N75" s="9">
        <f>Raw!N76/Raw!$C76</f>
        <v>0</v>
      </c>
      <c r="O75" s="9">
        <f>Raw!O76/Raw!$C76</f>
        <v>0</v>
      </c>
      <c r="P75" s="9">
        <f>Raw!P76/Raw!$C76</f>
        <v>0</v>
      </c>
      <c r="Q75" s="9">
        <f>Raw!Q76/Raw!$C76</f>
        <v>0</v>
      </c>
      <c r="R75" s="9">
        <f>Raw!R76/Raw!$C76</f>
        <v>0</v>
      </c>
      <c r="S75" s="9">
        <f>Raw!S76/Raw!$C76</f>
        <v>0</v>
      </c>
      <c r="T75" s="9">
        <f>Raw!T76/Raw!$C76</f>
        <v>0</v>
      </c>
      <c r="U75" s="9">
        <f>Raw!U76/Raw!$C76</f>
        <v>0</v>
      </c>
      <c r="V75" s="9">
        <f>Raw!V76/Raw!$C76</f>
        <v>0</v>
      </c>
      <c r="W75" s="9">
        <f>Raw!W76/Raw!$C76</f>
        <v>0</v>
      </c>
      <c r="X75" s="9">
        <f>Raw!X76/Raw!$C76</f>
        <v>0</v>
      </c>
      <c r="Y75" s="9">
        <f>Raw!Y76/Raw!$C76</f>
        <v>0</v>
      </c>
      <c r="Z75" s="9">
        <f>Raw!Z76/Raw!$C76</f>
        <v>0</v>
      </c>
      <c r="AA75" s="9">
        <f>Raw!AA76/Raw!$C76</f>
        <v>0</v>
      </c>
      <c r="AB75" s="9">
        <f>Raw!AB76/Raw!$C76</f>
        <v>0</v>
      </c>
      <c r="AC75" s="9">
        <f>Raw!AC76/Raw!$C76</f>
        <v>0</v>
      </c>
      <c r="AD75" s="9">
        <f>Raw!AD76/Raw!$C76</f>
        <v>0</v>
      </c>
      <c r="AE75" s="9">
        <f>Raw!AE76/Raw!$C76</f>
        <v>0</v>
      </c>
      <c r="AF75" s="9">
        <f>Raw!AF76/Raw!$C76</f>
        <v>0</v>
      </c>
      <c r="AG75" s="9">
        <f>Raw!AG76/Raw!$C76</f>
        <v>0</v>
      </c>
      <c r="AH75" s="9">
        <f>Raw!AH76/Raw!$C76</f>
        <v>0</v>
      </c>
      <c r="AI75" s="9">
        <f>Raw!AI76/Raw!$C76</f>
        <v>0</v>
      </c>
      <c r="AJ75" s="9">
        <f>Raw!AJ76/Raw!$C76</f>
        <v>18.749999999999996</v>
      </c>
      <c r="AK75" s="9">
        <f>Raw!AK76/Raw!$C76</f>
        <v>31.624999999999993</v>
      </c>
      <c r="AL75" s="9">
        <f>Raw!AL76/Raw!$C76</f>
        <v>0</v>
      </c>
      <c r="AM75" s="9">
        <f>Raw!AM76/Raw!$C76</f>
        <v>0</v>
      </c>
      <c r="AN75" s="9">
        <f>Raw!AN76/Raw!$C76</f>
        <v>0</v>
      </c>
      <c r="AO75" s="9">
        <f>Raw!AO76/Raw!$C76</f>
        <v>0</v>
      </c>
      <c r="AP75" s="9">
        <f>Raw!AP76/Raw!$C76</f>
        <v>0</v>
      </c>
      <c r="AQ75" s="9">
        <f>Raw!AQ76/Raw!$C76</f>
        <v>0</v>
      </c>
      <c r="AR75" s="9">
        <f>Raw!AR76/Raw!$C76</f>
        <v>0</v>
      </c>
      <c r="AS75" s="9">
        <f>Raw!AS76/Raw!$C76</f>
        <v>0</v>
      </c>
      <c r="AT75" s="9">
        <f>Raw!AT76/Raw!$C76</f>
        <v>0</v>
      </c>
      <c r="AU75" s="9">
        <f>Raw!AU76/Raw!$C76</f>
        <v>0</v>
      </c>
      <c r="AV75" s="9">
        <f>Raw!AV76/Raw!$C76</f>
        <v>0</v>
      </c>
      <c r="AW75" s="9">
        <f>Raw!AW76/Raw!$C76</f>
        <v>0</v>
      </c>
      <c r="AX75" s="9">
        <f>Raw!AX76/Raw!$C76</f>
        <v>0</v>
      </c>
      <c r="AY75" s="9">
        <f>Raw!AY76/Raw!$C76</f>
        <v>0</v>
      </c>
      <c r="AZ75" s="9">
        <f>Raw!AZ76/Raw!$C76</f>
        <v>0</v>
      </c>
      <c r="BA75" s="9">
        <f>Raw!BA76/Raw!$C76</f>
        <v>0</v>
      </c>
      <c r="BB75" s="9">
        <f>Raw!BB76/Raw!$C76</f>
        <v>0</v>
      </c>
      <c r="BC75" s="9">
        <f>Raw!BC76/Raw!$C76</f>
        <v>0</v>
      </c>
      <c r="BD75" s="9">
        <f>Raw!BD76/Raw!$C76</f>
        <v>0</v>
      </c>
      <c r="BE75" s="9">
        <f>Raw!BE76/Raw!$C76</f>
        <v>0</v>
      </c>
      <c r="BF75" s="9">
        <f>Raw!BF76/Raw!$C76</f>
        <v>0</v>
      </c>
      <c r="BG75" s="9">
        <f>Raw!BG76/Raw!$C76</f>
        <v>0</v>
      </c>
      <c r="BH75" s="9">
        <f>Raw!BH76/Raw!$C76</f>
        <v>0</v>
      </c>
      <c r="BI75" s="9">
        <f>Raw!BI76/Raw!$C76</f>
        <v>0</v>
      </c>
      <c r="BJ75" s="9">
        <f>Raw!BJ76/Raw!$C76</f>
        <v>0</v>
      </c>
      <c r="BK75" s="9">
        <f>Raw!BK76/Raw!$C76</f>
        <v>0</v>
      </c>
      <c r="BL75" s="9">
        <f>Raw!BL76/Raw!$C76</f>
        <v>0</v>
      </c>
      <c r="BM75" s="9">
        <f>Raw!BM76/Raw!$C76</f>
        <v>0</v>
      </c>
      <c r="BN75" s="9">
        <f>Raw!BN76/Raw!$C76</f>
        <v>0</v>
      </c>
      <c r="BO75" s="9">
        <f>Raw!BO76/Raw!$C76</f>
        <v>0</v>
      </c>
      <c r="BP75" s="9">
        <f>Raw!BP76/Raw!$C76</f>
        <v>0</v>
      </c>
      <c r="BQ75" s="9">
        <f>Raw!BQ76/Raw!$C76</f>
        <v>0</v>
      </c>
      <c r="BR75" s="9">
        <f>Raw!BR76/Raw!$C76</f>
        <v>0</v>
      </c>
      <c r="BS75" s="9">
        <f>Raw!BS76/Raw!$C76</f>
        <v>0</v>
      </c>
      <c r="BT75" s="9">
        <f>Raw!BT76/Raw!$C76</f>
        <v>0</v>
      </c>
      <c r="BU75" s="9">
        <f>Raw!BU76/Raw!$C76</f>
        <v>0</v>
      </c>
      <c r="BV75" s="9">
        <f>Raw!BV76/Raw!$C76</f>
        <v>0</v>
      </c>
      <c r="BW75" s="9">
        <f>Raw!BW76/Raw!$C76</f>
        <v>0</v>
      </c>
      <c r="BX75" s="9">
        <f>Raw!BX76/Raw!$C76</f>
        <v>0</v>
      </c>
      <c r="BY75" s="9">
        <f>Raw!BY76/Raw!$C76</f>
        <v>0</v>
      </c>
      <c r="BZ75" s="9">
        <f>Raw!BZ76/Raw!$C76</f>
        <v>0</v>
      </c>
      <c r="CA75" s="9">
        <f>Raw!CA76/Raw!$C76</f>
        <v>0</v>
      </c>
      <c r="CB75" s="9">
        <f>Raw!CB76/Raw!$C76</f>
        <v>0</v>
      </c>
      <c r="CC75" s="9">
        <f>Raw!CC76/Raw!$C76</f>
        <v>0</v>
      </c>
      <c r="CD75" s="9">
        <f>Raw!CD76/Raw!$C76</f>
        <v>0</v>
      </c>
      <c r="CE75" s="9">
        <f>Raw!CE76/Raw!$C76</f>
        <v>0</v>
      </c>
      <c r="CF75" s="9">
        <f>Raw!CF76/Raw!$C76</f>
        <v>0</v>
      </c>
      <c r="CG75" s="9">
        <f>Raw!CG76/Raw!$C76</f>
        <v>0</v>
      </c>
      <c r="CH75" s="9">
        <f>Raw!CH76/Raw!$C76</f>
        <v>0</v>
      </c>
      <c r="CI75" s="9">
        <f>Raw!CI76/Raw!$C76</f>
        <v>0</v>
      </c>
      <c r="CJ75" s="9">
        <f>Raw!CJ76/Raw!$C76</f>
        <v>0</v>
      </c>
      <c r="CK75" s="9">
        <f>Raw!CK76/Raw!$C76</f>
        <v>0</v>
      </c>
      <c r="CL75" s="9">
        <f>Raw!CL76/Raw!$C76</f>
        <v>0</v>
      </c>
      <c r="CM75" s="9">
        <f>Raw!CM76/Raw!$C76</f>
        <v>0</v>
      </c>
      <c r="CN75" s="9">
        <f>Raw!CN76/Raw!$C76</f>
        <v>0</v>
      </c>
      <c r="CO75" s="9">
        <f>Raw!CO76/Raw!$C76</f>
        <v>0</v>
      </c>
      <c r="CP75" s="9">
        <f>Raw!CP76/Raw!$C76</f>
        <v>0</v>
      </c>
      <c r="CQ75" s="9">
        <f>Raw!CQ76/Raw!$C76</f>
        <v>0</v>
      </c>
      <c r="CR75" s="2">
        <f t="shared" si="39"/>
        <v>362.49999999999994</v>
      </c>
      <c r="CS75" s="2">
        <f t="shared" si="40"/>
        <v>1247.8749999999998</v>
      </c>
      <c r="CT75" s="3">
        <f t="shared" si="37"/>
        <v>2.5593080109070123</v>
      </c>
      <c r="CU75" s="3">
        <f t="shared" si="38"/>
        <v>3.0961710841211567</v>
      </c>
      <c r="CZ75" s="3">
        <f t="shared" si="25"/>
        <v>2.5593080109070123</v>
      </c>
      <c r="DA75" s="3">
        <f t="shared" si="26"/>
        <v>3.0961710841211567</v>
      </c>
      <c r="DB75" s="6">
        <f t="shared" si="27"/>
        <v>0.5485470726275119</v>
      </c>
      <c r="DC75" s="3">
        <v>3</v>
      </c>
      <c r="DD75" s="3">
        <f>DC75/Raw!C76</f>
        <v>18.749999999999996</v>
      </c>
      <c r="DE75" s="5">
        <f t="shared" si="41"/>
        <v>8.2758620689655192E-3</v>
      </c>
      <c r="DF75">
        <f t="shared" si="42"/>
        <v>-2.0821867561873502</v>
      </c>
      <c r="DH75" s="4">
        <f>-SUM('Shannon-Weiner'!B74:Z74)</f>
        <v>0.28973653846926162</v>
      </c>
      <c r="DI75" s="4">
        <f>SUM('p^2'!B74:Z74)</f>
        <v>0.86979785969084422</v>
      </c>
      <c r="DJ75" s="4">
        <f t="shared" si="43"/>
        <v>0.13020214030915578</v>
      </c>
      <c r="DK75">
        <f t="shared" si="44"/>
        <v>1.1496924128503077</v>
      </c>
      <c r="DL75" s="4">
        <f>SUM('Shannon-Weiner_B'!B74:Z74)</f>
        <v>-0.28194476907507415</v>
      </c>
      <c r="DM75" s="4">
        <f>SUM('p_B^2'!B74:Z74)</f>
        <v>0.87758785748654611</v>
      </c>
      <c r="DN75" s="4">
        <f t="shared" si="45"/>
        <v>0.12241214251345389</v>
      </c>
      <c r="DO75">
        <f t="shared" si="46"/>
        <v>1.1394870513181987</v>
      </c>
    </row>
    <row r="76" spans="2:119" x14ac:dyDescent="0.25">
      <c r="B76" t="str">
        <f>Raw!B77</f>
        <v>TB19</v>
      </c>
      <c r="C76">
        <v>1</v>
      </c>
      <c r="D76" s="9">
        <f>Raw!D77/Raw!$C77</f>
        <v>56.249999999999986</v>
      </c>
      <c r="E76" s="9">
        <f>Raw!E77/Raw!$C77</f>
        <v>11.375</v>
      </c>
      <c r="F76" s="9">
        <f>Raw!F77/Raw!$C77</f>
        <v>0</v>
      </c>
      <c r="G76" s="9">
        <f>Raw!G77/Raw!$C77</f>
        <v>0</v>
      </c>
      <c r="H76" s="9">
        <f>Raw!H77/Raw!$C77</f>
        <v>0</v>
      </c>
      <c r="I76" s="9">
        <f>Raw!I77/Raw!$C77</f>
        <v>0</v>
      </c>
      <c r="J76" s="9">
        <f>Raw!J77/Raw!$C77</f>
        <v>0</v>
      </c>
      <c r="K76" s="9">
        <f>Raw!K77/Raw!$C77</f>
        <v>0</v>
      </c>
      <c r="L76" s="9">
        <f>Raw!L77/Raw!$C77</f>
        <v>0</v>
      </c>
      <c r="M76" s="9">
        <f>Raw!M77/Raw!$C77</f>
        <v>0</v>
      </c>
      <c r="N76" s="9">
        <f>Raw!N77/Raw!$C77</f>
        <v>0</v>
      </c>
      <c r="O76" s="9">
        <f>Raw!O77/Raw!$C77</f>
        <v>0</v>
      </c>
      <c r="P76" s="9">
        <f>Raw!P77/Raw!$C77</f>
        <v>0</v>
      </c>
      <c r="Q76" s="9">
        <f>Raw!Q77/Raw!$C77</f>
        <v>0</v>
      </c>
      <c r="R76" s="9">
        <f>Raw!R77/Raw!$C77</f>
        <v>0</v>
      </c>
      <c r="S76" s="9">
        <f>Raw!S77/Raw!$C77</f>
        <v>0</v>
      </c>
      <c r="T76" s="9">
        <f>Raw!T77/Raw!$C77</f>
        <v>0</v>
      </c>
      <c r="U76" s="9">
        <f>Raw!U77/Raw!$C77</f>
        <v>0</v>
      </c>
      <c r="V76" s="9">
        <f>Raw!V77/Raw!$C77</f>
        <v>0</v>
      </c>
      <c r="W76" s="9">
        <f>Raw!W77/Raw!$C77</f>
        <v>0</v>
      </c>
      <c r="X76" s="9">
        <f>Raw!X77/Raw!$C77</f>
        <v>12.499999999999998</v>
      </c>
      <c r="Y76" s="9">
        <f>Raw!Y77/Raw!$C77</f>
        <v>0.12500000000000008</v>
      </c>
      <c r="Z76" s="9">
        <f>Raw!Z77/Raw!$C77</f>
        <v>0</v>
      </c>
      <c r="AA76" s="9">
        <f>Raw!AA77/Raw!$C77</f>
        <v>0</v>
      </c>
      <c r="AB76" s="9">
        <f>Raw!AB77/Raw!$C77</f>
        <v>0</v>
      </c>
      <c r="AC76" s="9">
        <f>Raw!AC77/Raw!$C77</f>
        <v>0</v>
      </c>
      <c r="AD76" s="9">
        <f>Raw!AD77/Raw!$C77</f>
        <v>0</v>
      </c>
      <c r="AE76" s="9">
        <f>Raw!AE77/Raw!$C77</f>
        <v>0</v>
      </c>
      <c r="AF76" s="9">
        <f>Raw!AF77/Raw!$C77</f>
        <v>0</v>
      </c>
      <c r="AG76" s="9">
        <f>Raw!AG77/Raw!$C77</f>
        <v>0</v>
      </c>
      <c r="AH76" s="9">
        <f>Raw!AH77/Raw!$C77</f>
        <v>0</v>
      </c>
      <c r="AI76" s="9">
        <f>Raw!AI77/Raw!$C77</f>
        <v>0</v>
      </c>
      <c r="AJ76" s="9">
        <f>Raw!AJ77/Raw!$C77</f>
        <v>0</v>
      </c>
      <c r="AK76" s="9">
        <f>Raw!AK77/Raw!$C77</f>
        <v>0</v>
      </c>
      <c r="AL76" s="9">
        <f>Raw!AL77/Raw!$C77</f>
        <v>24.999999999999996</v>
      </c>
      <c r="AM76" s="9">
        <f>Raw!AM77/Raw!$C77</f>
        <v>574.12499999999989</v>
      </c>
      <c r="AN76" s="9">
        <f>Raw!AN77/Raw!$C77</f>
        <v>0</v>
      </c>
      <c r="AO76" s="9">
        <f>Raw!AO77/Raw!$C77</f>
        <v>0</v>
      </c>
      <c r="AP76" s="9">
        <f>Raw!AP77/Raw!$C77</f>
        <v>0</v>
      </c>
      <c r="AQ76" s="9">
        <f>Raw!AQ77/Raw!$C77</f>
        <v>0</v>
      </c>
      <c r="AR76" s="9">
        <f>Raw!AR77/Raw!$C77</f>
        <v>0</v>
      </c>
      <c r="AS76" s="9">
        <f>Raw!AS77/Raw!$C77</f>
        <v>0</v>
      </c>
      <c r="AT76" s="9">
        <f>Raw!AT77/Raw!$C77</f>
        <v>0</v>
      </c>
      <c r="AU76" s="9">
        <f>Raw!AU77/Raw!$C77</f>
        <v>0</v>
      </c>
      <c r="AV76" s="9">
        <f>Raw!AV77/Raw!$C77</f>
        <v>0</v>
      </c>
      <c r="AW76" s="9">
        <f>Raw!AW77/Raw!$C77</f>
        <v>0</v>
      </c>
      <c r="AX76" s="9">
        <f>Raw!AX77/Raw!$C77</f>
        <v>0</v>
      </c>
      <c r="AY76" s="9">
        <f>Raw!AY77/Raw!$C77</f>
        <v>0</v>
      </c>
      <c r="AZ76" s="9">
        <f>Raw!AZ77/Raw!$C77</f>
        <v>0</v>
      </c>
      <c r="BA76" s="9">
        <f>Raw!BA77/Raw!$C77</f>
        <v>0</v>
      </c>
      <c r="BB76" s="9">
        <f>Raw!BB77/Raw!$C77</f>
        <v>0</v>
      </c>
      <c r="BC76" s="9">
        <f>Raw!BC77/Raw!$C77</f>
        <v>0</v>
      </c>
      <c r="BD76" s="9">
        <f>Raw!BD77/Raw!$C77</f>
        <v>0</v>
      </c>
      <c r="BE76" s="9">
        <f>Raw!BE77/Raw!$C77</f>
        <v>0</v>
      </c>
      <c r="BF76" s="9">
        <f>Raw!BF77/Raw!$C77</f>
        <v>0</v>
      </c>
      <c r="BG76" s="9">
        <f>Raw!BG77/Raw!$C77</f>
        <v>0</v>
      </c>
      <c r="BH76" s="9">
        <f>Raw!BH77/Raw!$C77</f>
        <v>0</v>
      </c>
      <c r="BI76" s="9">
        <f>Raw!BI77/Raw!$C77</f>
        <v>0</v>
      </c>
      <c r="BJ76" s="9">
        <f>Raw!BJ77/Raw!$C77</f>
        <v>0</v>
      </c>
      <c r="BK76" s="9">
        <f>Raw!BK77/Raw!$C77</f>
        <v>0</v>
      </c>
      <c r="BL76" s="9">
        <f>Raw!BL77/Raw!$C77</f>
        <v>0</v>
      </c>
      <c r="BM76" s="9">
        <f>Raw!BM77/Raw!$C77</f>
        <v>0</v>
      </c>
      <c r="BN76" s="9">
        <f>Raw!BN77/Raw!$C77</f>
        <v>0</v>
      </c>
      <c r="BO76" s="9">
        <f>Raw!BO77/Raw!$C77</f>
        <v>0</v>
      </c>
      <c r="BP76" s="9">
        <f>Raw!BP77/Raw!$C77</f>
        <v>0</v>
      </c>
      <c r="BQ76" s="9">
        <f>Raw!BQ77/Raw!$C77</f>
        <v>0</v>
      </c>
      <c r="BR76" s="9">
        <f>Raw!BR77/Raw!$C77</f>
        <v>0</v>
      </c>
      <c r="BS76" s="9">
        <f>Raw!BS77/Raw!$C77</f>
        <v>0</v>
      </c>
      <c r="BT76" s="9">
        <f>Raw!BT77/Raw!$C77</f>
        <v>0</v>
      </c>
      <c r="BU76" s="9">
        <f>Raw!BU77/Raw!$C77</f>
        <v>0</v>
      </c>
      <c r="BV76" s="9">
        <f>Raw!BV77/Raw!$C77</f>
        <v>0</v>
      </c>
      <c r="BW76" s="9">
        <f>Raw!BW77/Raw!$C77</f>
        <v>0</v>
      </c>
      <c r="BX76" s="9">
        <f>Raw!BX77/Raw!$C77</f>
        <v>0</v>
      </c>
      <c r="BY76" s="9">
        <f>Raw!BY77/Raw!$C77</f>
        <v>0</v>
      </c>
      <c r="BZ76" s="9">
        <f>Raw!BZ77/Raw!$C77</f>
        <v>0</v>
      </c>
      <c r="CA76" s="9">
        <f>Raw!CA77/Raw!$C77</f>
        <v>0</v>
      </c>
      <c r="CB76" s="9">
        <f>Raw!CB77/Raw!$C77</f>
        <v>0</v>
      </c>
      <c r="CC76" s="9">
        <f>Raw!CC77/Raw!$C77</f>
        <v>0</v>
      </c>
      <c r="CD76" s="9">
        <f>Raw!CD77/Raw!$C77</f>
        <v>0</v>
      </c>
      <c r="CE76" s="9">
        <f>Raw!CE77/Raw!$C77</f>
        <v>0</v>
      </c>
      <c r="CF76" s="9">
        <f>Raw!CF77/Raw!$C77</f>
        <v>0</v>
      </c>
      <c r="CG76" s="9">
        <f>Raw!CG77/Raw!$C77</f>
        <v>0</v>
      </c>
      <c r="CH76" s="9">
        <f>Raw!CH77/Raw!$C77</f>
        <v>0</v>
      </c>
      <c r="CI76" s="9">
        <f>Raw!CI77/Raw!$C77</f>
        <v>0</v>
      </c>
      <c r="CJ76" s="9">
        <f>Raw!CJ77/Raw!$C77</f>
        <v>0</v>
      </c>
      <c r="CK76" s="9">
        <f>Raw!CK77/Raw!$C77</f>
        <v>0</v>
      </c>
      <c r="CL76" s="9">
        <f>Raw!CL77/Raw!$C77</f>
        <v>0</v>
      </c>
      <c r="CM76" s="9">
        <f>Raw!CM77/Raw!$C77</f>
        <v>0</v>
      </c>
      <c r="CN76" s="9">
        <f>Raw!CN77/Raw!$C77</f>
        <v>0</v>
      </c>
      <c r="CO76" s="9">
        <f>Raw!CO77/Raw!$C77</f>
        <v>0</v>
      </c>
      <c r="CP76" s="9">
        <f>Raw!CP77/Raw!$C77</f>
        <v>0</v>
      </c>
      <c r="CQ76" s="9">
        <f>Raw!CQ77/Raw!$C77</f>
        <v>0</v>
      </c>
      <c r="CR76" s="2">
        <f t="shared" si="39"/>
        <v>93.749999999999986</v>
      </c>
      <c r="CS76" s="2">
        <f t="shared" si="40"/>
        <v>585.62499999999989</v>
      </c>
      <c r="CT76" s="3">
        <f t="shared" si="37"/>
        <v>1.9719712763997563</v>
      </c>
      <c r="CU76" s="3">
        <f t="shared" si="38"/>
        <v>2.7676196082318536</v>
      </c>
      <c r="CZ76" s="3">
        <f t="shared" si="25"/>
        <v>1.9719712763997563</v>
      </c>
      <c r="DA76" s="3">
        <f t="shared" si="26"/>
        <v>2.7676196082318536</v>
      </c>
      <c r="DB76" s="6">
        <f t="shared" si="27"/>
        <v>0.8569072739984348</v>
      </c>
      <c r="DC76" s="3">
        <v>3</v>
      </c>
      <c r="DD76" s="3">
        <f>DC76/Raw!C77</f>
        <v>18.749999999999996</v>
      </c>
      <c r="DE76" s="5">
        <f t="shared" si="41"/>
        <v>3.2000000000000008E-2</v>
      </c>
      <c r="DF76">
        <f t="shared" si="42"/>
        <v>-1.494850021680094</v>
      </c>
      <c r="DH76" s="4">
        <f>-SUM('Shannon-Weiner'!B75:Z75)</f>
        <v>0.92761733432718163</v>
      </c>
      <c r="DI76" s="4">
        <f>SUM('p^2'!B75:Z75)</f>
        <v>0.44888888888888889</v>
      </c>
      <c r="DJ76" s="4">
        <f t="shared" si="43"/>
        <v>0.55111111111111111</v>
      </c>
      <c r="DK76">
        <f t="shared" si="44"/>
        <v>2.2277227722772279</v>
      </c>
      <c r="DL76" s="4">
        <f>SUM('Shannon-Weiner_B'!B75:Z75)</f>
        <v>-9.780099356229785E-2</v>
      </c>
      <c r="DM76" s="4">
        <f>SUM('p_B^2'!B75:Z75)</f>
        <v>0.96148866303935565</v>
      </c>
      <c r="DN76" s="4">
        <f t="shared" si="45"/>
        <v>3.8511336960644349E-2</v>
      </c>
      <c r="DO76">
        <f t="shared" si="46"/>
        <v>1.0400538648463169</v>
      </c>
    </row>
    <row r="77" spans="2:119" x14ac:dyDescent="0.25">
      <c r="B77" t="str">
        <f>Raw!B78</f>
        <v>TB20</v>
      </c>
      <c r="C77">
        <v>1</v>
      </c>
      <c r="D77" s="9">
        <f>Raw!D78/Raw!$C78</f>
        <v>199.99999999999997</v>
      </c>
      <c r="E77" s="9">
        <f>Raw!E78/Raw!$C78</f>
        <v>34.374999999999993</v>
      </c>
      <c r="F77" s="9">
        <f>Raw!F78/Raw!$C78</f>
        <v>0</v>
      </c>
      <c r="G77" s="9">
        <f>Raw!G78/Raw!$C78</f>
        <v>0</v>
      </c>
      <c r="H77" s="9">
        <f>Raw!H78/Raw!$C78</f>
        <v>0</v>
      </c>
      <c r="I77" s="9">
        <f>Raw!I78/Raw!$C78</f>
        <v>0</v>
      </c>
      <c r="J77" s="9">
        <f>Raw!J78/Raw!$C78</f>
        <v>0</v>
      </c>
      <c r="K77" s="9">
        <f>Raw!K78/Raw!$C78</f>
        <v>0</v>
      </c>
      <c r="L77" s="9">
        <f>Raw!L78/Raw!$C78</f>
        <v>0</v>
      </c>
      <c r="M77" s="9">
        <f>Raw!M78/Raw!$C78</f>
        <v>0</v>
      </c>
      <c r="N77" s="9">
        <f>Raw!N78/Raw!$C78</f>
        <v>6.2499999999999991</v>
      </c>
      <c r="O77" s="9">
        <f>Raw!O78/Raw!$C78</f>
        <v>39.187499999999993</v>
      </c>
      <c r="P77" s="9">
        <f>Raw!P78/Raw!$C78</f>
        <v>0</v>
      </c>
      <c r="Q77" s="9">
        <f>Raw!Q78/Raw!$C78</f>
        <v>0</v>
      </c>
      <c r="R77" s="9">
        <f>Raw!R78/Raw!$C78</f>
        <v>0</v>
      </c>
      <c r="S77" s="9">
        <f>Raw!S78/Raw!$C78</f>
        <v>0</v>
      </c>
      <c r="T77" s="9">
        <f>Raw!T78/Raw!$C78</f>
        <v>0</v>
      </c>
      <c r="U77" s="9">
        <f>Raw!U78/Raw!$C78</f>
        <v>0</v>
      </c>
      <c r="V77" s="9">
        <f>Raw!V78/Raw!$C78</f>
        <v>0</v>
      </c>
      <c r="W77" s="9">
        <f>Raw!W78/Raw!$C78</f>
        <v>0</v>
      </c>
      <c r="X77" s="9">
        <f>Raw!X78/Raw!$C78</f>
        <v>6.2499999999999991</v>
      </c>
      <c r="Y77" s="9">
        <f>Raw!Y78/Raw!$C78</f>
        <v>6.2499999999998654E-2</v>
      </c>
      <c r="Z77" s="9">
        <f>Raw!Z78/Raw!$C78</f>
        <v>0</v>
      </c>
      <c r="AA77" s="9">
        <f>Raw!AA78/Raw!$C78</f>
        <v>0</v>
      </c>
      <c r="AB77" s="9">
        <f>Raw!AB78/Raw!$C78</f>
        <v>0</v>
      </c>
      <c r="AC77" s="9">
        <f>Raw!AC78/Raw!$C78</f>
        <v>0</v>
      </c>
      <c r="AD77" s="9">
        <f>Raw!AD78/Raw!$C78</f>
        <v>0</v>
      </c>
      <c r="AE77" s="9">
        <f>Raw!AE78/Raw!$C78</f>
        <v>0</v>
      </c>
      <c r="AF77" s="9">
        <f>Raw!AF78/Raw!$C78</f>
        <v>0</v>
      </c>
      <c r="AG77" s="9">
        <f>Raw!AG78/Raw!$C78</f>
        <v>0</v>
      </c>
      <c r="AH77" s="9">
        <f>Raw!AH78/Raw!$C78</f>
        <v>0</v>
      </c>
      <c r="AI77" s="9">
        <f>Raw!AI78/Raw!$C78</f>
        <v>0</v>
      </c>
      <c r="AJ77" s="9">
        <f>Raw!AJ78/Raw!$C78</f>
        <v>6.2499999999999991</v>
      </c>
      <c r="AK77" s="9">
        <f>Raw!AK78/Raw!$C78</f>
        <v>3.8125000000000013</v>
      </c>
      <c r="AL77" s="9">
        <f>Raw!AL78/Raw!$C78</f>
        <v>24.999999999999996</v>
      </c>
      <c r="AM77" s="9">
        <f>Raw!AM78/Raw!$C78</f>
        <v>789.93749999999977</v>
      </c>
      <c r="AN77" s="9">
        <f>Raw!AN78/Raw!$C78</f>
        <v>0</v>
      </c>
      <c r="AO77" s="9">
        <f>Raw!AO78/Raw!$C78</f>
        <v>0</v>
      </c>
      <c r="AP77" s="9">
        <f>Raw!AP78/Raw!$C78</f>
        <v>0</v>
      </c>
      <c r="AQ77" s="9">
        <f>Raw!AQ78/Raw!$C78</f>
        <v>0</v>
      </c>
      <c r="AR77" s="9">
        <f>Raw!AR78/Raw!$C78</f>
        <v>0</v>
      </c>
      <c r="AS77" s="9">
        <f>Raw!AS78/Raw!$C78</f>
        <v>0</v>
      </c>
      <c r="AT77" s="9">
        <f>Raw!AT78/Raw!$C78</f>
        <v>0</v>
      </c>
      <c r="AU77" s="9">
        <f>Raw!AU78/Raw!$C78</f>
        <v>0</v>
      </c>
      <c r="AV77" s="9">
        <f>Raw!AV78/Raw!$C78</f>
        <v>0</v>
      </c>
      <c r="AW77" s="9">
        <f>Raw!AW78/Raw!$C78</f>
        <v>0</v>
      </c>
      <c r="AX77" s="9">
        <f>Raw!AX78/Raw!$C78</f>
        <v>0</v>
      </c>
      <c r="AY77" s="9">
        <f>Raw!AY78/Raw!$C78</f>
        <v>0</v>
      </c>
      <c r="AZ77" s="9">
        <f>Raw!AZ78/Raw!$C78</f>
        <v>0</v>
      </c>
      <c r="BA77" s="9">
        <f>Raw!BA78/Raw!$C78</f>
        <v>0</v>
      </c>
      <c r="BB77" s="9">
        <f>Raw!BB78/Raw!$C78</f>
        <v>0</v>
      </c>
      <c r="BC77" s="9">
        <f>Raw!BC78/Raw!$C78</f>
        <v>0</v>
      </c>
      <c r="BD77" s="9">
        <f>Raw!BD78/Raw!$C78</f>
        <v>0</v>
      </c>
      <c r="BE77" s="9">
        <f>Raw!BE78/Raw!$C78</f>
        <v>0</v>
      </c>
      <c r="BF77" s="9">
        <f>Raw!BF78/Raw!$C78</f>
        <v>0</v>
      </c>
      <c r="BG77" s="9">
        <f>Raw!BG78/Raw!$C78</f>
        <v>0</v>
      </c>
      <c r="BH77" s="9">
        <f>Raw!BH78/Raw!$C78</f>
        <v>0</v>
      </c>
      <c r="BI77" s="9">
        <f>Raw!BI78/Raw!$C78</f>
        <v>0</v>
      </c>
      <c r="BJ77" s="9">
        <f>Raw!BJ78/Raw!$C78</f>
        <v>0</v>
      </c>
      <c r="BK77" s="9">
        <f>Raw!BK78/Raw!$C78</f>
        <v>0</v>
      </c>
      <c r="BL77" s="9">
        <f>Raw!BL78/Raw!$C78</f>
        <v>0</v>
      </c>
      <c r="BM77" s="9">
        <f>Raw!BM78/Raw!$C78</f>
        <v>0</v>
      </c>
      <c r="BN77" s="9">
        <f>Raw!BN78/Raw!$C78</f>
        <v>0</v>
      </c>
      <c r="BO77" s="9">
        <f>Raw!BO78/Raw!$C78</f>
        <v>0</v>
      </c>
      <c r="BP77" s="9">
        <f>Raw!BP78/Raw!$C78</f>
        <v>0</v>
      </c>
      <c r="BQ77" s="9">
        <f>Raw!BQ78/Raw!$C78</f>
        <v>0</v>
      </c>
      <c r="BR77" s="9">
        <f>Raw!BR78/Raw!$C78</f>
        <v>0</v>
      </c>
      <c r="BS77" s="9">
        <f>Raw!BS78/Raw!$C78</f>
        <v>0</v>
      </c>
      <c r="BT77" s="9">
        <f>Raw!BT78/Raw!$C78</f>
        <v>0</v>
      </c>
      <c r="BU77" s="9">
        <f>Raw!BU78/Raw!$C78</f>
        <v>0</v>
      </c>
      <c r="BV77" s="9">
        <f>Raw!BV78/Raw!$C78</f>
        <v>0</v>
      </c>
      <c r="BW77" s="9">
        <f>Raw!BW78/Raw!$C78</f>
        <v>0</v>
      </c>
      <c r="BX77" s="9">
        <f>Raw!BX78/Raw!$C78</f>
        <v>0</v>
      </c>
      <c r="BY77" s="9">
        <f>Raw!BY78/Raw!$C78</f>
        <v>0</v>
      </c>
      <c r="BZ77" s="9">
        <f>Raw!BZ78/Raw!$C78</f>
        <v>0</v>
      </c>
      <c r="CA77" s="9">
        <f>Raw!CA78/Raw!$C78</f>
        <v>0</v>
      </c>
      <c r="CB77" s="9">
        <f>Raw!CB78/Raw!$C78</f>
        <v>0</v>
      </c>
      <c r="CC77" s="9">
        <f>Raw!CC78/Raw!$C78</f>
        <v>0</v>
      </c>
      <c r="CD77" s="9">
        <f>Raw!CD78/Raw!$C78</f>
        <v>0</v>
      </c>
      <c r="CE77" s="9">
        <f>Raw!CE78/Raw!$C78</f>
        <v>0</v>
      </c>
      <c r="CF77" s="9">
        <f>Raw!CF78/Raw!$C78</f>
        <v>0</v>
      </c>
      <c r="CG77" s="9">
        <f>Raw!CG78/Raw!$C78</f>
        <v>0</v>
      </c>
      <c r="CH77" s="9">
        <f>Raw!CH78/Raw!$C78</f>
        <v>0</v>
      </c>
      <c r="CI77" s="9">
        <f>Raw!CI78/Raw!$C78</f>
        <v>0</v>
      </c>
      <c r="CJ77" s="9">
        <f>Raw!CJ78/Raw!$C78</f>
        <v>0</v>
      </c>
      <c r="CK77" s="9">
        <f>Raw!CK78/Raw!$C78</f>
        <v>0</v>
      </c>
      <c r="CL77" s="9">
        <f>Raw!CL78/Raw!$C78</f>
        <v>0</v>
      </c>
      <c r="CM77" s="9">
        <f>Raw!CM78/Raw!$C78</f>
        <v>0</v>
      </c>
      <c r="CN77" s="9">
        <f>Raw!CN78/Raw!$C78</f>
        <v>0</v>
      </c>
      <c r="CO77" s="9">
        <f>Raw!CO78/Raw!$C78</f>
        <v>0</v>
      </c>
      <c r="CP77" s="9">
        <f>Raw!CP78/Raw!$C78</f>
        <v>0</v>
      </c>
      <c r="CQ77" s="9">
        <f>Raw!CQ78/Raw!$C78</f>
        <v>0</v>
      </c>
      <c r="CR77" s="2">
        <f t="shared" si="39"/>
        <v>243.74999999999997</v>
      </c>
      <c r="CS77" s="2">
        <f t="shared" si="40"/>
        <v>867.37499999999977</v>
      </c>
      <c r="CT77" s="3">
        <f t="shared" si="37"/>
        <v>2.3869446243705745</v>
      </c>
      <c r="CU77" s="3">
        <f t="shared" si="38"/>
        <v>2.9382069004983382</v>
      </c>
      <c r="CZ77" s="3">
        <f t="shared" si="25"/>
        <v>2.3869446243705745</v>
      </c>
      <c r="DA77" s="3">
        <f t="shared" si="26"/>
        <v>2.9382069004983382</v>
      </c>
      <c r="DB77" s="6">
        <f t="shared" si="27"/>
        <v>0.67537104946268145</v>
      </c>
      <c r="DC77" s="3">
        <v>5</v>
      </c>
      <c r="DD77" s="3">
        <f>DC77/Raw!C78</f>
        <v>31.249999999999993</v>
      </c>
      <c r="DE77" s="5">
        <f t="shared" si="41"/>
        <v>2.0512820512820516E-2</v>
      </c>
      <c r="DF77">
        <f t="shared" si="42"/>
        <v>-1.6879746200345556</v>
      </c>
      <c r="DH77" s="4">
        <f>-SUM('Shannon-Weiner'!B76:Z76)</f>
        <v>0.67769686833295895</v>
      </c>
      <c r="DI77" s="4">
        <f>SUM('p^2'!B76:Z76)</f>
        <v>0.68573307034845499</v>
      </c>
      <c r="DJ77" s="4">
        <f t="shared" si="43"/>
        <v>0.31426692965154501</v>
      </c>
      <c r="DK77">
        <f t="shared" si="44"/>
        <v>1.4582933844678811</v>
      </c>
      <c r="DL77" s="4">
        <f>SUM('Shannon-Weiner_B'!B76:Z76)</f>
        <v>-0.37757121826270601</v>
      </c>
      <c r="DM77" s="4">
        <f>SUM('p_B^2'!B76:Z76)</f>
        <v>0.83304569926791472</v>
      </c>
      <c r="DN77" s="4">
        <f t="shared" si="45"/>
        <v>0.16695430073208528</v>
      </c>
      <c r="DO77">
        <f t="shared" si="46"/>
        <v>1.2004143360668036</v>
      </c>
    </row>
    <row r="78" spans="2:119" x14ac:dyDescent="0.25">
      <c r="B78" t="str">
        <f>Raw!B79</f>
        <v>TB21</v>
      </c>
      <c r="C78">
        <v>1</v>
      </c>
      <c r="D78" s="9">
        <f>Raw!D79/Raw!$C79</f>
        <v>81.249999999999986</v>
      </c>
      <c r="E78" s="9">
        <f>Raw!E79/Raw!$C79</f>
        <v>11.624999999999995</v>
      </c>
      <c r="F78" s="9">
        <f>Raw!F79/Raw!$C79</f>
        <v>0</v>
      </c>
      <c r="G78" s="9">
        <f>Raw!G79/Raw!$C79</f>
        <v>0</v>
      </c>
      <c r="H78" s="9">
        <f>Raw!H79/Raw!$C79</f>
        <v>0</v>
      </c>
      <c r="I78" s="9">
        <f>Raw!I79/Raw!$C79</f>
        <v>0</v>
      </c>
      <c r="J78" s="9">
        <f>Raw!J79/Raw!$C79</f>
        <v>0</v>
      </c>
      <c r="K78" s="9">
        <f>Raw!K79/Raw!$C79</f>
        <v>0</v>
      </c>
      <c r="L78" s="9">
        <f>Raw!L79/Raw!$C79</f>
        <v>0</v>
      </c>
      <c r="M78" s="9">
        <f>Raw!M79/Raw!$C79</f>
        <v>0</v>
      </c>
      <c r="N78" s="9">
        <f>Raw!N79/Raw!$C79</f>
        <v>0</v>
      </c>
      <c r="O78" s="9">
        <f>Raw!O79/Raw!$C79</f>
        <v>0</v>
      </c>
      <c r="P78" s="9">
        <f>Raw!P79/Raw!$C79</f>
        <v>0</v>
      </c>
      <c r="Q78" s="9">
        <f>Raw!Q79/Raw!$C79</f>
        <v>0</v>
      </c>
      <c r="R78" s="9">
        <f>Raw!R79/Raw!$C79</f>
        <v>0</v>
      </c>
      <c r="S78" s="9">
        <f>Raw!S79/Raw!$C79</f>
        <v>0</v>
      </c>
      <c r="T78" s="9">
        <f>Raw!T79/Raw!$C79</f>
        <v>0</v>
      </c>
      <c r="U78" s="9">
        <f>Raw!U79/Raw!$C79</f>
        <v>0</v>
      </c>
      <c r="V78" s="9">
        <f>Raw!V79/Raw!$C79</f>
        <v>0</v>
      </c>
      <c r="W78" s="9">
        <f>Raw!W79/Raw!$C79</f>
        <v>0</v>
      </c>
      <c r="X78" s="9">
        <f>Raw!X79/Raw!$C79</f>
        <v>24.999999999999996</v>
      </c>
      <c r="Y78" s="9">
        <f>Raw!Y79/Raw!$C79</f>
        <v>0.25000000000000017</v>
      </c>
      <c r="Z78" s="9">
        <f>Raw!Z79/Raw!$C79</f>
        <v>0</v>
      </c>
      <c r="AA78" s="9">
        <f>Raw!AA79/Raw!$C79</f>
        <v>0</v>
      </c>
      <c r="AB78" s="9">
        <f>Raw!AB79/Raw!$C79</f>
        <v>0</v>
      </c>
      <c r="AC78" s="9">
        <f>Raw!AC79/Raw!$C79</f>
        <v>0</v>
      </c>
      <c r="AD78" s="9">
        <f>Raw!AD79/Raw!$C79</f>
        <v>0</v>
      </c>
      <c r="AE78" s="9">
        <f>Raw!AE79/Raw!$C79</f>
        <v>0</v>
      </c>
      <c r="AF78" s="9">
        <f>Raw!AF79/Raw!$C79</f>
        <v>0</v>
      </c>
      <c r="AG78" s="9">
        <f>Raw!AG79/Raw!$C79</f>
        <v>0</v>
      </c>
      <c r="AH78" s="9">
        <f>Raw!AH79/Raw!$C79</f>
        <v>0</v>
      </c>
      <c r="AI78" s="9">
        <f>Raw!AI79/Raw!$C79</f>
        <v>0</v>
      </c>
      <c r="AJ78" s="9">
        <f>Raw!AJ79/Raw!$C79</f>
        <v>12.499999999999998</v>
      </c>
      <c r="AK78" s="9">
        <f>Raw!AK79/Raw!$C79</f>
        <v>13.749999999999998</v>
      </c>
      <c r="AL78" s="9">
        <f>Raw!AL79/Raw!$C79</f>
        <v>37.499999999999993</v>
      </c>
      <c r="AM78" s="9">
        <f>Raw!AM79/Raw!$C79</f>
        <v>775.93749999999989</v>
      </c>
      <c r="AN78" s="9">
        <f>Raw!AN79/Raw!$C79</f>
        <v>0</v>
      </c>
      <c r="AO78" s="9">
        <f>Raw!AO79/Raw!$C79</f>
        <v>0</v>
      </c>
      <c r="AP78" s="9">
        <f>Raw!AP79/Raw!$C79</f>
        <v>0</v>
      </c>
      <c r="AQ78" s="9">
        <f>Raw!AQ79/Raw!$C79</f>
        <v>0</v>
      </c>
      <c r="AR78" s="9">
        <f>Raw!AR79/Raw!$C79</f>
        <v>0</v>
      </c>
      <c r="AS78" s="9">
        <f>Raw!AS79/Raw!$C79</f>
        <v>0</v>
      </c>
      <c r="AT78" s="9">
        <f>Raw!AT79/Raw!$C79</f>
        <v>0</v>
      </c>
      <c r="AU78" s="9">
        <f>Raw!AU79/Raw!$C79</f>
        <v>0</v>
      </c>
      <c r="AV78" s="9">
        <f>Raw!AV79/Raw!$C79</f>
        <v>0</v>
      </c>
      <c r="AW78" s="9">
        <f>Raw!AW79/Raw!$C79</f>
        <v>0</v>
      </c>
      <c r="AX78" s="9">
        <f>Raw!AX79/Raw!$C79</f>
        <v>0</v>
      </c>
      <c r="AY78" s="9">
        <f>Raw!AY79/Raw!$C79</f>
        <v>0</v>
      </c>
      <c r="AZ78" s="9">
        <f>Raw!AZ79/Raw!$C79</f>
        <v>0</v>
      </c>
      <c r="BA78" s="9">
        <f>Raw!BA79/Raw!$C79</f>
        <v>0</v>
      </c>
      <c r="BB78" s="9">
        <f>Raw!BB79/Raw!$C79</f>
        <v>0</v>
      </c>
      <c r="BC78" s="9">
        <f>Raw!BC79/Raw!$C79</f>
        <v>0</v>
      </c>
      <c r="BD78" s="9">
        <f>Raw!BD79/Raw!$C79</f>
        <v>0</v>
      </c>
      <c r="BE78" s="9">
        <f>Raw!BE79/Raw!$C79</f>
        <v>0</v>
      </c>
      <c r="BF78" s="9">
        <f>Raw!BF79/Raw!$C79</f>
        <v>0</v>
      </c>
      <c r="BG78" s="9">
        <f>Raw!BG79/Raw!$C79</f>
        <v>0</v>
      </c>
      <c r="BH78" s="9">
        <f>Raw!BH79/Raw!$C79</f>
        <v>0</v>
      </c>
      <c r="BI78" s="9">
        <f>Raw!BI79/Raw!$C79</f>
        <v>0</v>
      </c>
      <c r="BJ78" s="9">
        <f>Raw!BJ79/Raw!$C79</f>
        <v>0</v>
      </c>
      <c r="BK78" s="9">
        <f>Raw!BK79/Raw!$C79</f>
        <v>0</v>
      </c>
      <c r="BL78" s="9">
        <f>Raw!BL79/Raw!$C79</f>
        <v>0</v>
      </c>
      <c r="BM78" s="9">
        <f>Raw!BM79/Raw!$C79</f>
        <v>0</v>
      </c>
      <c r="BN78" s="9">
        <f>Raw!BN79/Raw!$C79</f>
        <v>0</v>
      </c>
      <c r="BO78" s="9">
        <f>Raw!BO79/Raw!$C79</f>
        <v>0</v>
      </c>
      <c r="BP78" s="9">
        <f>Raw!BP79/Raw!$C79</f>
        <v>0</v>
      </c>
      <c r="BQ78" s="9">
        <f>Raw!BQ79/Raw!$C79</f>
        <v>0</v>
      </c>
      <c r="BR78" s="9">
        <f>Raw!BR79/Raw!$C79</f>
        <v>0</v>
      </c>
      <c r="BS78" s="9">
        <f>Raw!BS79/Raw!$C79</f>
        <v>0</v>
      </c>
      <c r="BT78" s="9">
        <f>Raw!BT79/Raw!$C79</f>
        <v>0</v>
      </c>
      <c r="BU78" s="9">
        <f>Raw!BU79/Raw!$C79</f>
        <v>0</v>
      </c>
      <c r="BV78" s="9">
        <f>Raw!BV79/Raw!$C79</f>
        <v>0</v>
      </c>
      <c r="BW78" s="9">
        <f>Raw!BW79/Raw!$C79</f>
        <v>0</v>
      </c>
      <c r="BX78" s="9">
        <f>Raw!BX79/Raw!$C79</f>
        <v>0</v>
      </c>
      <c r="BY78" s="9">
        <f>Raw!BY79/Raw!$C79</f>
        <v>0</v>
      </c>
      <c r="BZ78" s="9">
        <f>Raw!BZ79/Raw!$C79</f>
        <v>0</v>
      </c>
      <c r="CA78" s="9">
        <f>Raw!CA79/Raw!$C79</f>
        <v>0</v>
      </c>
      <c r="CB78" s="9">
        <f>Raw!CB79/Raw!$C79</f>
        <v>0</v>
      </c>
      <c r="CC78" s="9">
        <f>Raw!CC79/Raw!$C79</f>
        <v>0</v>
      </c>
      <c r="CD78" s="9">
        <f>Raw!CD79/Raw!$C79</f>
        <v>0</v>
      </c>
      <c r="CE78" s="9">
        <f>Raw!CE79/Raw!$C79</f>
        <v>0</v>
      </c>
      <c r="CF78" s="9">
        <f>Raw!CF79/Raw!$C79</f>
        <v>0</v>
      </c>
      <c r="CG78" s="9">
        <f>Raw!CG79/Raw!$C79</f>
        <v>0</v>
      </c>
      <c r="CH78" s="9">
        <f>Raw!CH79/Raw!$C79</f>
        <v>0</v>
      </c>
      <c r="CI78" s="9">
        <f>Raw!CI79/Raw!$C79</f>
        <v>0</v>
      </c>
      <c r="CJ78" s="9">
        <f>Raw!CJ79/Raw!$C79</f>
        <v>0</v>
      </c>
      <c r="CK78" s="9">
        <f>Raw!CK79/Raw!$C79</f>
        <v>0</v>
      </c>
      <c r="CL78" s="9">
        <f>Raw!CL79/Raw!$C79</f>
        <v>0</v>
      </c>
      <c r="CM78" s="9">
        <f>Raw!CM79/Raw!$C79</f>
        <v>0</v>
      </c>
      <c r="CN78" s="9">
        <f>Raw!CN79/Raw!$C79</f>
        <v>0</v>
      </c>
      <c r="CO78" s="9">
        <f>Raw!CO79/Raw!$C79</f>
        <v>0</v>
      </c>
      <c r="CP78" s="9">
        <f>Raw!CP79/Raw!$C79</f>
        <v>0</v>
      </c>
      <c r="CQ78" s="9">
        <f>Raw!CQ79/Raw!$C79</f>
        <v>0</v>
      </c>
      <c r="CR78" s="2">
        <f t="shared" si="39"/>
        <v>156.24999999999997</v>
      </c>
      <c r="CS78" s="2">
        <f t="shared" si="40"/>
        <v>801.56249999999989</v>
      </c>
      <c r="CT78" s="3">
        <f t="shared" si="37"/>
        <v>2.1938200260161129</v>
      </c>
      <c r="CU78" s="3">
        <f t="shared" si="38"/>
        <v>2.9039373911279291</v>
      </c>
      <c r="CZ78" s="3">
        <f t="shared" si="25"/>
        <v>2.1938200260161129</v>
      </c>
      <c r="DA78" s="3">
        <f t="shared" si="26"/>
        <v>2.9039373911279291</v>
      </c>
      <c r="DB78" s="6">
        <f t="shared" si="27"/>
        <v>0.73322150548327281</v>
      </c>
      <c r="DC78" s="3">
        <v>4</v>
      </c>
      <c r="DD78" s="3">
        <f>DC78/Raw!C79</f>
        <v>24.999999999999996</v>
      </c>
      <c r="DE78" s="5">
        <f t="shared" si="41"/>
        <v>2.5600000000000005E-2</v>
      </c>
      <c r="DF78">
        <f t="shared" si="42"/>
        <v>-1.5917600346881504</v>
      </c>
      <c r="DH78" s="4">
        <f>-SUM('Shannon-Weiner'!B77:Z77)</f>
        <v>1.1778210141494905</v>
      </c>
      <c r="DI78" s="4">
        <f>SUM('p^2'!B77:Z77)</f>
        <v>0.36000000000000004</v>
      </c>
      <c r="DJ78" s="4">
        <f t="shared" si="43"/>
        <v>0.6399999999999999</v>
      </c>
      <c r="DK78">
        <f t="shared" si="44"/>
        <v>2.7777777777777772</v>
      </c>
      <c r="DL78" s="4">
        <f>SUM('Shannon-Weiner_B'!B77:Z77)</f>
        <v>-0.16510686037769157</v>
      </c>
      <c r="DM78" s="4">
        <f>SUM('p_B^2'!B77:Z77)</f>
        <v>0.93758907470104769</v>
      </c>
      <c r="DN78" s="4">
        <f t="shared" si="45"/>
        <v>6.2410925298952313E-2</v>
      </c>
      <c r="DO78">
        <f t="shared" si="46"/>
        <v>1.066565329079642</v>
      </c>
    </row>
    <row r="79" spans="2:119" x14ac:dyDescent="0.25">
      <c r="B79" t="str">
        <f>Raw!B80</f>
        <v>TB22</v>
      </c>
      <c r="C79">
        <v>1</v>
      </c>
      <c r="D79" s="9">
        <f>Raw!D80/Raw!$C80</f>
        <v>131.24999999999997</v>
      </c>
      <c r="E79" s="9">
        <f>Raw!E80/Raw!$C80</f>
        <v>26.187499999999993</v>
      </c>
      <c r="F79" s="9">
        <f>Raw!F80/Raw!$C80</f>
        <v>0</v>
      </c>
      <c r="G79" s="9">
        <f>Raw!G80/Raw!$C80</f>
        <v>0</v>
      </c>
      <c r="H79" s="9">
        <f>Raw!H80/Raw!$C80</f>
        <v>0</v>
      </c>
      <c r="I79" s="9">
        <f>Raw!I80/Raw!$C80</f>
        <v>0</v>
      </c>
      <c r="J79" s="9">
        <f>Raw!J80/Raw!$C80</f>
        <v>0</v>
      </c>
      <c r="K79" s="9">
        <f>Raw!K80/Raw!$C80</f>
        <v>0</v>
      </c>
      <c r="L79" s="9">
        <f>Raw!L80/Raw!$C80</f>
        <v>0</v>
      </c>
      <c r="M79" s="9">
        <f>Raw!M80/Raw!$C80</f>
        <v>0</v>
      </c>
      <c r="N79" s="9">
        <f>Raw!N80/Raw!$C80</f>
        <v>24.999999999999996</v>
      </c>
      <c r="O79" s="9">
        <f>Raw!O80/Raw!$C80</f>
        <v>246.93749999999994</v>
      </c>
      <c r="P79" s="9">
        <f>Raw!P80/Raw!$C80</f>
        <v>0</v>
      </c>
      <c r="Q79" s="9">
        <f>Raw!Q80/Raw!$C80</f>
        <v>0</v>
      </c>
      <c r="R79" s="9">
        <f>Raw!R80/Raw!$C80</f>
        <v>0</v>
      </c>
      <c r="S79" s="9">
        <f>Raw!S80/Raw!$C80</f>
        <v>0</v>
      </c>
      <c r="T79" s="9">
        <f>Raw!T80/Raw!$C80</f>
        <v>0</v>
      </c>
      <c r="U79" s="9">
        <f>Raw!U80/Raw!$C80</f>
        <v>0</v>
      </c>
      <c r="V79" s="9">
        <f>Raw!V80/Raw!$C80</f>
        <v>0</v>
      </c>
      <c r="W79" s="9">
        <f>Raw!W80/Raw!$C80</f>
        <v>0</v>
      </c>
      <c r="X79" s="9">
        <f>Raw!X80/Raw!$C80</f>
        <v>43.749999999999993</v>
      </c>
      <c r="Y79" s="9">
        <f>Raw!Y80/Raw!$C80</f>
        <v>0.43750000000000167</v>
      </c>
      <c r="Z79" s="9">
        <f>Raw!Z80/Raw!$C80</f>
        <v>0</v>
      </c>
      <c r="AA79" s="9">
        <f>Raw!AA80/Raw!$C80</f>
        <v>0</v>
      </c>
      <c r="AB79" s="9">
        <f>Raw!AB80/Raw!$C80</f>
        <v>0</v>
      </c>
      <c r="AC79" s="9">
        <f>Raw!AC80/Raw!$C80</f>
        <v>0</v>
      </c>
      <c r="AD79" s="9">
        <f>Raw!AD80/Raw!$C80</f>
        <v>0</v>
      </c>
      <c r="AE79" s="9">
        <f>Raw!AE80/Raw!$C80</f>
        <v>0</v>
      </c>
      <c r="AF79" s="9">
        <f>Raw!AF80/Raw!$C80</f>
        <v>0</v>
      </c>
      <c r="AG79" s="9">
        <f>Raw!AG80/Raw!$C80</f>
        <v>0</v>
      </c>
      <c r="AH79" s="9">
        <f>Raw!AH80/Raw!$C80</f>
        <v>0</v>
      </c>
      <c r="AI79" s="9">
        <f>Raw!AI80/Raw!$C80</f>
        <v>0</v>
      </c>
      <c r="AJ79" s="9">
        <f>Raw!AJ80/Raw!$C80</f>
        <v>0</v>
      </c>
      <c r="AK79" s="9">
        <f>Raw!AK80/Raw!$C80</f>
        <v>0</v>
      </c>
      <c r="AL79" s="9">
        <f>Raw!AL80/Raw!$C80</f>
        <v>68.749999999999986</v>
      </c>
      <c r="AM79" s="9">
        <f>Raw!AM80/Raw!$C80</f>
        <v>1300.125</v>
      </c>
      <c r="AN79" s="9">
        <f>Raw!AN80/Raw!$C80</f>
        <v>0</v>
      </c>
      <c r="AO79" s="9">
        <f>Raw!AO80/Raw!$C80</f>
        <v>0</v>
      </c>
      <c r="AP79" s="9">
        <f>Raw!AP80/Raw!$C80</f>
        <v>0</v>
      </c>
      <c r="AQ79" s="9">
        <f>Raw!AQ80/Raw!$C80</f>
        <v>0</v>
      </c>
      <c r="AR79" s="9">
        <f>Raw!AR80/Raw!$C80</f>
        <v>0</v>
      </c>
      <c r="AS79" s="9">
        <f>Raw!AS80/Raw!$C80</f>
        <v>0</v>
      </c>
      <c r="AT79" s="9">
        <f>Raw!AT80/Raw!$C80</f>
        <v>0</v>
      </c>
      <c r="AU79" s="9">
        <f>Raw!AU80/Raw!$C80</f>
        <v>0</v>
      </c>
      <c r="AV79" s="9">
        <f>Raw!AV80/Raw!$C80</f>
        <v>0</v>
      </c>
      <c r="AW79" s="9">
        <f>Raw!AW80/Raw!$C80</f>
        <v>0</v>
      </c>
      <c r="AX79" s="9">
        <f>Raw!AX80/Raw!$C80</f>
        <v>0</v>
      </c>
      <c r="AY79" s="9">
        <f>Raw!AY80/Raw!$C80</f>
        <v>0</v>
      </c>
      <c r="AZ79" s="9">
        <f>Raw!AZ80/Raw!$C80</f>
        <v>0</v>
      </c>
      <c r="BA79" s="9">
        <f>Raw!BA80/Raw!$C80</f>
        <v>0</v>
      </c>
      <c r="BB79" s="9">
        <f>Raw!BB80/Raw!$C80</f>
        <v>0</v>
      </c>
      <c r="BC79" s="9">
        <f>Raw!BC80/Raw!$C80</f>
        <v>0</v>
      </c>
      <c r="BD79" s="9">
        <f>Raw!BD80/Raw!$C80</f>
        <v>0</v>
      </c>
      <c r="BE79" s="9">
        <f>Raw!BE80/Raw!$C80</f>
        <v>0</v>
      </c>
      <c r="BF79" s="9">
        <f>Raw!BF80/Raw!$C80</f>
        <v>0</v>
      </c>
      <c r="BG79" s="9">
        <f>Raw!BG80/Raw!$C80</f>
        <v>0</v>
      </c>
      <c r="BH79" s="9">
        <f>Raw!BH80/Raw!$C80</f>
        <v>0</v>
      </c>
      <c r="BI79" s="9">
        <f>Raw!BI80/Raw!$C80</f>
        <v>0</v>
      </c>
      <c r="BJ79" s="9">
        <f>Raw!BJ80/Raw!$C80</f>
        <v>0</v>
      </c>
      <c r="BK79" s="9">
        <f>Raw!BK80/Raw!$C80</f>
        <v>0</v>
      </c>
      <c r="BL79" s="9">
        <f>Raw!BL80/Raw!$C80</f>
        <v>0</v>
      </c>
      <c r="BM79" s="9">
        <f>Raw!BM80/Raw!$C80</f>
        <v>0</v>
      </c>
      <c r="BN79" s="9">
        <f>Raw!BN80/Raw!$C80</f>
        <v>0</v>
      </c>
      <c r="BO79" s="9">
        <f>Raw!BO80/Raw!$C80</f>
        <v>0</v>
      </c>
      <c r="BP79" s="9">
        <f>Raw!BP80/Raw!$C80</f>
        <v>0</v>
      </c>
      <c r="BQ79" s="9">
        <f>Raw!BQ80/Raw!$C80</f>
        <v>0</v>
      </c>
      <c r="BR79" s="9">
        <f>Raw!BR80/Raw!$C80</f>
        <v>0</v>
      </c>
      <c r="BS79" s="9">
        <f>Raw!BS80/Raw!$C80</f>
        <v>0</v>
      </c>
      <c r="BT79" s="9">
        <f>Raw!BT80/Raw!$C80</f>
        <v>0</v>
      </c>
      <c r="BU79" s="9">
        <f>Raw!BU80/Raw!$C80</f>
        <v>0</v>
      </c>
      <c r="BV79" s="9">
        <f>Raw!BV80/Raw!$C80</f>
        <v>0</v>
      </c>
      <c r="BW79" s="9">
        <f>Raw!BW80/Raw!$C80</f>
        <v>0</v>
      </c>
      <c r="BX79" s="9">
        <f>Raw!BX80/Raw!$C80</f>
        <v>0</v>
      </c>
      <c r="BY79" s="9">
        <f>Raw!BY80/Raw!$C80</f>
        <v>0</v>
      </c>
      <c r="BZ79" s="9">
        <f>Raw!BZ80/Raw!$C80</f>
        <v>0</v>
      </c>
      <c r="CA79" s="9">
        <f>Raw!CA80/Raw!$C80</f>
        <v>0</v>
      </c>
      <c r="CB79" s="9">
        <f>Raw!CB80/Raw!$C80</f>
        <v>0</v>
      </c>
      <c r="CC79" s="9">
        <f>Raw!CC80/Raw!$C80</f>
        <v>0</v>
      </c>
      <c r="CD79" s="9">
        <f>Raw!CD80/Raw!$C80</f>
        <v>0</v>
      </c>
      <c r="CE79" s="9">
        <f>Raw!CE80/Raw!$C80</f>
        <v>0</v>
      </c>
      <c r="CF79" s="9">
        <f>Raw!CF80/Raw!$C80</f>
        <v>0</v>
      </c>
      <c r="CG79" s="9">
        <f>Raw!CG80/Raw!$C80</f>
        <v>0</v>
      </c>
      <c r="CH79" s="9">
        <f>Raw!CH80/Raw!$C80</f>
        <v>0</v>
      </c>
      <c r="CI79" s="9">
        <f>Raw!CI80/Raw!$C80</f>
        <v>0</v>
      </c>
      <c r="CJ79" s="9">
        <f>Raw!CJ80/Raw!$C80</f>
        <v>0</v>
      </c>
      <c r="CK79" s="9">
        <f>Raw!CK80/Raw!$C80</f>
        <v>0</v>
      </c>
      <c r="CL79" s="9">
        <f>Raw!CL80/Raw!$C80</f>
        <v>0</v>
      </c>
      <c r="CM79" s="9">
        <f>Raw!CM80/Raw!$C80</f>
        <v>0</v>
      </c>
      <c r="CN79" s="9">
        <f>Raw!CN80/Raw!$C80</f>
        <v>0</v>
      </c>
      <c r="CO79" s="9">
        <f>Raw!CO80/Raw!$C80</f>
        <v>0</v>
      </c>
      <c r="CP79" s="9">
        <f>Raw!CP80/Raw!$C80</f>
        <v>0</v>
      </c>
      <c r="CQ79" s="9">
        <f>Raw!CQ80/Raw!$C80</f>
        <v>0</v>
      </c>
      <c r="CR79" s="2">
        <f t="shared" si="39"/>
        <v>268.74999999999994</v>
      </c>
      <c r="CS79" s="2">
        <f t="shared" si="40"/>
        <v>1573.6875</v>
      </c>
      <c r="CT79" s="3">
        <f t="shared" si="37"/>
        <v>2.4293484729236616</v>
      </c>
      <c r="CU79" s="3">
        <f t="shared" si="38"/>
        <v>3.1969184951768432</v>
      </c>
      <c r="CZ79" s="3">
        <f t="shared" si="25"/>
        <v>2.4293484729236616</v>
      </c>
      <c r="DA79" s="3">
        <f t="shared" si="26"/>
        <v>3.1969184951768432</v>
      </c>
      <c r="DB79" s="6">
        <f t="shared" si="27"/>
        <v>0.51439145889561455</v>
      </c>
      <c r="DC79" s="3">
        <v>4</v>
      </c>
      <c r="DD79" s="3">
        <f>DC79/Raw!C80</f>
        <v>24.999999999999996</v>
      </c>
      <c r="DE79" s="5">
        <f t="shared" si="41"/>
        <v>1.4883720930232561E-2</v>
      </c>
      <c r="DF79">
        <f t="shared" si="42"/>
        <v>-1.8272884815956993</v>
      </c>
      <c r="DH79" s="4">
        <f>-SUM('Shannon-Weiner'!B78:Z78)</f>
        <v>1.2151915649763367</v>
      </c>
      <c r="DI79" s="4">
        <f>SUM('p^2'!B78:Z78)</f>
        <v>0.33910221741481883</v>
      </c>
      <c r="DJ79" s="4">
        <f t="shared" si="43"/>
        <v>0.66089778258518117</v>
      </c>
      <c r="DK79">
        <f t="shared" si="44"/>
        <v>2.9489633173843699</v>
      </c>
      <c r="DL79" s="4">
        <f>SUM('Shannon-Weiner_B'!B78:Z78)</f>
        <v>-0.51881669836958666</v>
      </c>
      <c r="DM79" s="4">
        <f>SUM('p_B^2'!B78:Z78)</f>
        <v>0.70744782343132639</v>
      </c>
      <c r="DN79" s="4">
        <f t="shared" si="45"/>
        <v>0.29255217656867361</v>
      </c>
      <c r="DO79">
        <f t="shared" si="46"/>
        <v>1.4135318066987768</v>
      </c>
    </row>
    <row r="80" spans="2:119" x14ac:dyDescent="0.25">
      <c r="B80" t="str">
        <f>Raw!B81</f>
        <v>TB23</v>
      </c>
      <c r="C80">
        <v>1</v>
      </c>
      <c r="D80" s="9">
        <f>Raw!D81/Raw!$C81</f>
        <v>49.999999999999993</v>
      </c>
      <c r="E80" s="9">
        <f>Raw!E81/Raw!$C81</f>
        <v>9.3125</v>
      </c>
      <c r="F80" s="9">
        <f>Raw!F81/Raw!$C81</f>
        <v>0</v>
      </c>
      <c r="G80" s="9">
        <f>Raw!G81/Raw!$C81</f>
        <v>0</v>
      </c>
      <c r="H80" s="9">
        <f>Raw!H81/Raw!$C81</f>
        <v>0</v>
      </c>
      <c r="I80" s="9">
        <f>Raw!I81/Raw!$C81</f>
        <v>0</v>
      </c>
      <c r="J80" s="9">
        <f>Raw!J81/Raw!$C81</f>
        <v>0</v>
      </c>
      <c r="K80" s="9">
        <f>Raw!K81/Raw!$C81</f>
        <v>0</v>
      </c>
      <c r="L80" s="9">
        <f>Raw!L81/Raw!$C81</f>
        <v>0</v>
      </c>
      <c r="M80" s="9">
        <f>Raw!M81/Raw!$C81</f>
        <v>0</v>
      </c>
      <c r="N80" s="9">
        <f>Raw!N81/Raw!$C81</f>
        <v>37.499999999999993</v>
      </c>
      <c r="O80" s="9">
        <f>Raw!O81/Raw!$C81</f>
        <v>109.68749999999996</v>
      </c>
      <c r="P80" s="9">
        <f>Raw!P81/Raw!$C81</f>
        <v>0</v>
      </c>
      <c r="Q80" s="9">
        <f>Raw!Q81/Raw!$C81</f>
        <v>0</v>
      </c>
      <c r="R80" s="9">
        <f>Raw!R81/Raw!$C81</f>
        <v>0</v>
      </c>
      <c r="S80" s="9">
        <f>Raw!S81/Raw!$C81</f>
        <v>0</v>
      </c>
      <c r="T80" s="9">
        <f>Raw!T81/Raw!$C81</f>
        <v>0</v>
      </c>
      <c r="U80" s="9">
        <f>Raw!U81/Raw!$C81</f>
        <v>0</v>
      </c>
      <c r="V80" s="9">
        <f>Raw!V81/Raw!$C81</f>
        <v>0</v>
      </c>
      <c r="W80" s="9">
        <f>Raw!W81/Raw!$C81</f>
        <v>0</v>
      </c>
      <c r="X80" s="9">
        <f>Raw!X81/Raw!$C81</f>
        <v>24.999999999999996</v>
      </c>
      <c r="Y80" s="9">
        <f>Raw!Y81/Raw!$C81</f>
        <v>0.562499999999999</v>
      </c>
      <c r="Z80" s="9">
        <f>Raw!Z81/Raw!$C81</f>
        <v>0</v>
      </c>
      <c r="AA80" s="9">
        <f>Raw!AA81/Raw!$C81</f>
        <v>0</v>
      </c>
      <c r="AB80" s="9">
        <f>Raw!AB81/Raw!$C81</f>
        <v>0</v>
      </c>
      <c r="AC80" s="9">
        <f>Raw!AC81/Raw!$C81</f>
        <v>0</v>
      </c>
      <c r="AD80" s="9">
        <f>Raw!AD81/Raw!$C81</f>
        <v>0</v>
      </c>
      <c r="AE80" s="9">
        <f>Raw!AE81/Raw!$C81</f>
        <v>0</v>
      </c>
      <c r="AF80" s="9">
        <f>Raw!AF81/Raw!$C81</f>
        <v>0</v>
      </c>
      <c r="AG80" s="9">
        <f>Raw!AG81/Raw!$C81</f>
        <v>0</v>
      </c>
      <c r="AH80" s="9">
        <f>Raw!AH81/Raw!$C81</f>
        <v>0</v>
      </c>
      <c r="AI80" s="9">
        <f>Raw!AI81/Raw!$C81</f>
        <v>0</v>
      </c>
      <c r="AJ80" s="9">
        <f>Raw!AJ81/Raw!$C81</f>
        <v>6.2499999999999991</v>
      </c>
      <c r="AK80" s="9">
        <f>Raw!AK81/Raw!$C81</f>
        <v>35.499999999999993</v>
      </c>
      <c r="AL80" s="9">
        <f>Raw!AL81/Raw!$C81</f>
        <v>18.749999999999996</v>
      </c>
      <c r="AM80" s="9">
        <f>Raw!AM81/Raw!$C81</f>
        <v>396.12499999999989</v>
      </c>
      <c r="AN80" s="9">
        <f>Raw!AN81/Raw!$C81</f>
        <v>0</v>
      </c>
      <c r="AO80" s="9">
        <f>Raw!AO81/Raw!$C81</f>
        <v>0</v>
      </c>
      <c r="AP80" s="9">
        <f>Raw!AP81/Raw!$C81</f>
        <v>0</v>
      </c>
      <c r="AQ80" s="9">
        <f>Raw!AQ81/Raw!$C81</f>
        <v>0</v>
      </c>
      <c r="AR80" s="9">
        <f>Raw!AR81/Raw!$C81</f>
        <v>0</v>
      </c>
      <c r="AS80" s="9">
        <f>Raw!AS81/Raw!$C81</f>
        <v>0</v>
      </c>
      <c r="AT80" s="9">
        <f>Raw!AT81/Raw!$C81</f>
        <v>0</v>
      </c>
      <c r="AU80" s="9">
        <f>Raw!AU81/Raw!$C81</f>
        <v>0</v>
      </c>
      <c r="AV80" s="9">
        <f>Raw!AV81/Raw!$C81</f>
        <v>0</v>
      </c>
      <c r="AW80" s="9">
        <f>Raw!AW81/Raw!$C81</f>
        <v>0</v>
      </c>
      <c r="AX80" s="9">
        <f>Raw!AX81/Raw!$C81</f>
        <v>0</v>
      </c>
      <c r="AY80" s="9">
        <f>Raw!AY81/Raw!$C81</f>
        <v>0</v>
      </c>
      <c r="AZ80" s="9">
        <f>Raw!AZ81/Raw!$C81</f>
        <v>0</v>
      </c>
      <c r="BA80" s="9">
        <f>Raw!BA81/Raw!$C81</f>
        <v>0</v>
      </c>
      <c r="BB80" s="9">
        <f>Raw!BB81/Raw!$C81</f>
        <v>0</v>
      </c>
      <c r="BC80" s="9">
        <f>Raw!BC81/Raw!$C81</f>
        <v>0</v>
      </c>
      <c r="BD80" s="9">
        <f>Raw!BD81/Raw!$C81</f>
        <v>0</v>
      </c>
      <c r="BE80" s="9">
        <f>Raw!BE81/Raw!$C81</f>
        <v>0</v>
      </c>
      <c r="BF80" s="9">
        <f>Raw!BF81/Raw!$C81</f>
        <v>0</v>
      </c>
      <c r="BG80" s="9">
        <f>Raw!BG81/Raw!$C81</f>
        <v>0</v>
      </c>
      <c r="BH80" s="9">
        <f>Raw!BH81/Raw!$C81</f>
        <v>0</v>
      </c>
      <c r="BI80" s="9">
        <f>Raw!BI81/Raw!$C81</f>
        <v>0</v>
      </c>
      <c r="BJ80" s="9">
        <f>Raw!BJ81/Raw!$C81</f>
        <v>0</v>
      </c>
      <c r="BK80" s="9">
        <f>Raw!BK81/Raw!$C81</f>
        <v>0</v>
      </c>
      <c r="BL80" s="9">
        <f>Raw!BL81/Raw!$C81</f>
        <v>0</v>
      </c>
      <c r="BM80" s="9">
        <f>Raw!BM81/Raw!$C81</f>
        <v>0</v>
      </c>
      <c r="BN80" s="9">
        <f>Raw!BN81/Raw!$C81</f>
        <v>0</v>
      </c>
      <c r="BO80" s="9">
        <f>Raw!BO81/Raw!$C81</f>
        <v>0</v>
      </c>
      <c r="BP80" s="9">
        <f>Raw!BP81/Raw!$C81</f>
        <v>0</v>
      </c>
      <c r="BQ80" s="9">
        <f>Raw!BQ81/Raw!$C81</f>
        <v>0</v>
      </c>
      <c r="BR80" s="9">
        <f>Raw!BR81/Raw!$C81</f>
        <v>0</v>
      </c>
      <c r="BS80" s="9">
        <f>Raw!BS81/Raw!$C81</f>
        <v>0</v>
      </c>
      <c r="BT80" s="9">
        <f>Raw!BT81/Raw!$C81</f>
        <v>0</v>
      </c>
      <c r="BU80" s="9">
        <f>Raw!BU81/Raw!$C81</f>
        <v>0</v>
      </c>
      <c r="BV80" s="9">
        <f>Raw!BV81/Raw!$C81</f>
        <v>0</v>
      </c>
      <c r="BW80" s="9">
        <f>Raw!BW81/Raw!$C81</f>
        <v>0</v>
      </c>
      <c r="BX80" s="9">
        <f>Raw!BX81/Raw!$C81</f>
        <v>0</v>
      </c>
      <c r="BY80" s="9">
        <f>Raw!BY81/Raw!$C81</f>
        <v>0</v>
      </c>
      <c r="BZ80" s="9">
        <f>Raw!BZ81/Raw!$C81</f>
        <v>0</v>
      </c>
      <c r="CA80" s="9">
        <f>Raw!CA81/Raw!$C81</f>
        <v>0</v>
      </c>
      <c r="CB80" s="9">
        <f>Raw!CB81/Raw!$C81</f>
        <v>0</v>
      </c>
      <c r="CC80" s="9">
        <f>Raw!CC81/Raw!$C81</f>
        <v>0</v>
      </c>
      <c r="CD80" s="9">
        <f>Raw!CD81/Raw!$C81</f>
        <v>0</v>
      </c>
      <c r="CE80" s="9">
        <f>Raw!CE81/Raw!$C81</f>
        <v>0</v>
      </c>
      <c r="CF80" s="9">
        <f>Raw!CF81/Raw!$C81</f>
        <v>0</v>
      </c>
      <c r="CG80" s="9">
        <f>Raw!CG81/Raw!$C81</f>
        <v>0</v>
      </c>
      <c r="CH80" s="9">
        <f>Raw!CH81/Raw!$C81</f>
        <v>0</v>
      </c>
      <c r="CI80" s="9">
        <f>Raw!CI81/Raw!$C81</f>
        <v>0</v>
      </c>
      <c r="CJ80" s="9">
        <f>Raw!CJ81/Raw!$C81</f>
        <v>0</v>
      </c>
      <c r="CK80" s="9">
        <f>Raw!CK81/Raw!$C81</f>
        <v>0</v>
      </c>
      <c r="CL80" s="9">
        <f>Raw!CL81/Raw!$C81</f>
        <v>0</v>
      </c>
      <c r="CM80" s="9">
        <f>Raw!CM81/Raw!$C81</f>
        <v>0</v>
      </c>
      <c r="CN80" s="9">
        <f>Raw!CN81/Raw!$C81</f>
        <v>0</v>
      </c>
      <c r="CO80" s="9">
        <f>Raw!CO81/Raw!$C81</f>
        <v>0</v>
      </c>
      <c r="CP80" s="9">
        <f>Raw!CP81/Raw!$C81</f>
        <v>0</v>
      </c>
      <c r="CQ80" s="9">
        <f>Raw!CQ81/Raw!$C81</f>
        <v>0</v>
      </c>
      <c r="CR80" s="2">
        <f t="shared" si="39"/>
        <v>137.49999999999997</v>
      </c>
      <c r="CS80" s="2">
        <f t="shared" si="40"/>
        <v>551.18749999999977</v>
      </c>
      <c r="CT80" s="3">
        <f t="shared" si="37"/>
        <v>2.1383026981662812</v>
      </c>
      <c r="CU80" s="3">
        <f t="shared" si="38"/>
        <v>2.741299359947138</v>
      </c>
      <c r="CZ80" s="3">
        <f t="shared" si="25"/>
        <v>2.1383026981662812</v>
      </c>
      <c r="DA80" s="3">
        <f t="shared" si="26"/>
        <v>2.741299359947138</v>
      </c>
      <c r="DB80" s="6">
        <f t="shared" si="27"/>
        <v>0.84004272194835861</v>
      </c>
      <c r="DC80" s="3">
        <v>5</v>
      </c>
      <c r="DD80" s="3">
        <f>DC80/Raw!C81</f>
        <v>31.249999999999993</v>
      </c>
      <c r="DE80" s="5">
        <f t="shared" si="41"/>
        <v>3.6363636363636369E-2</v>
      </c>
      <c r="DF80">
        <f t="shared" si="42"/>
        <v>-1.4393326938302626</v>
      </c>
      <c r="DH80" s="4">
        <f>-SUM('Shannon-Weiner'!B79:Z79)</f>
        <v>1.4443559324814563</v>
      </c>
      <c r="DI80" s="4">
        <f>SUM('p^2'!B79:Z79)</f>
        <v>0.26033057851239666</v>
      </c>
      <c r="DJ80" s="4">
        <f t="shared" si="43"/>
        <v>0.7396694214876034</v>
      </c>
      <c r="DK80">
        <f t="shared" si="44"/>
        <v>3.8412698412698418</v>
      </c>
      <c r="DL80" s="4">
        <f>SUM('Shannon-Weiner_B'!B79:Z79)</f>
        <v>-0.81129918136976109</v>
      </c>
      <c r="DM80" s="4">
        <f>SUM('p_B^2'!B79:Z79)</f>
        <v>0.56053113425832324</v>
      </c>
      <c r="DN80" s="4">
        <f t="shared" si="45"/>
        <v>0.43946886574167676</v>
      </c>
      <c r="DO80">
        <f t="shared" si="46"/>
        <v>1.784022222642758</v>
      </c>
    </row>
    <row r="81" spans="2:119" x14ac:dyDescent="0.25">
      <c r="B81" t="str">
        <f>Raw!B82</f>
        <v>TB24</v>
      </c>
      <c r="C81">
        <v>1</v>
      </c>
      <c r="D81" s="9">
        <f>Raw!D82/Raw!$C82</f>
        <v>49.999999999999993</v>
      </c>
      <c r="E81" s="9">
        <f>Raw!E82/Raw!$C82</f>
        <v>11.749999999999996</v>
      </c>
      <c r="F81" s="9">
        <f>Raw!F82/Raw!$C82</f>
        <v>0</v>
      </c>
      <c r="G81" s="9">
        <f>Raw!G82/Raw!$C82</f>
        <v>0</v>
      </c>
      <c r="H81" s="9">
        <f>Raw!H82/Raw!$C82</f>
        <v>0</v>
      </c>
      <c r="I81" s="9">
        <f>Raw!I82/Raw!$C82</f>
        <v>0</v>
      </c>
      <c r="J81" s="9">
        <f>Raw!J82/Raw!$C82</f>
        <v>0</v>
      </c>
      <c r="K81" s="9">
        <f>Raw!K82/Raw!$C82</f>
        <v>0</v>
      </c>
      <c r="L81" s="9">
        <f>Raw!L82/Raw!$C82</f>
        <v>0</v>
      </c>
      <c r="M81" s="9">
        <f>Raw!M82/Raw!$C82</f>
        <v>0</v>
      </c>
      <c r="N81" s="9">
        <f>Raw!N82/Raw!$C82</f>
        <v>31.249999999999993</v>
      </c>
      <c r="O81" s="9">
        <f>Raw!O82/Raw!$C82</f>
        <v>256.37499999999994</v>
      </c>
      <c r="P81" s="9">
        <f>Raw!P82/Raw!$C82</f>
        <v>0</v>
      </c>
      <c r="Q81" s="9">
        <f>Raw!Q82/Raw!$C82</f>
        <v>0</v>
      </c>
      <c r="R81" s="9">
        <f>Raw!R82/Raw!$C82</f>
        <v>0</v>
      </c>
      <c r="S81" s="9">
        <f>Raw!S82/Raw!$C82</f>
        <v>0</v>
      </c>
      <c r="T81" s="9">
        <f>Raw!T82/Raw!$C82</f>
        <v>0</v>
      </c>
      <c r="U81" s="9">
        <f>Raw!U82/Raw!$C82</f>
        <v>0</v>
      </c>
      <c r="V81" s="9">
        <f>Raw!V82/Raw!$C82</f>
        <v>0</v>
      </c>
      <c r="W81" s="9">
        <f>Raw!W82/Raw!$C82</f>
        <v>0</v>
      </c>
      <c r="X81" s="9">
        <f>Raw!X82/Raw!$C82</f>
        <v>381.24999999999994</v>
      </c>
      <c r="Y81" s="9">
        <f>Raw!Y82/Raw!$C82</f>
        <v>7.4375000000000009</v>
      </c>
      <c r="Z81" s="9">
        <f>Raw!Z82/Raw!$C82</f>
        <v>0</v>
      </c>
      <c r="AA81" s="9">
        <f>Raw!AA82/Raw!$C82</f>
        <v>0</v>
      </c>
      <c r="AB81" s="9">
        <f>Raw!AB82/Raw!$C82</f>
        <v>0</v>
      </c>
      <c r="AC81" s="9">
        <f>Raw!AC82/Raw!$C82</f>
        <v>0</v>
      </c>
      <c r="AD81" s="9">
        <f>Raw!AD82/Raw!$C82</f>
        <v>0</v>
      </c>
      <c r="AE81" s="9">
        <f>Raw!AE82/Raw!$C82</f>
        <v>0</v>
      </c>
      <c r="AF81" s="9">
        <f>Raw!AF82/Raw!$C82</f>
        <v>0</v>
      </c>
      <c r="AG81" s="9">
        <f>Raw!AG82/Raw!$C82</f>
        <v>0</v>
      </c>
      <c r="AH81" s="9">
        <f>Raw!AH82/Raw!$C82</f>
        <v>6.2499999999999991</v>
      </c>
      <c r="AI81" s="9">
        <f>Raw!AI82/Raw!$C82</f>
        <v>89.124999999999986</v>
      </c>
      <c r="AJ81" s="9">
        <f>Raw!AJ82/Raw!$C82</f>
        <v>0</v>
      </c>
      <c r="AK81" s="9">
        <f>Raw!AK82/Raw!$C82</f>
        <v>0</v>
      </c>
      <c r="AL81" s="9">
        <f>Raw!AL82/Raw!$C82</f>
        <v>62.499999999999986</v>
      </c>
      <c r="AM81" s="9">
        <f>Raw!AM82/Raw!$C82</f>
        <v>551.93749999999989</v>
      </c>
      <c r="AN81" s="9">
        <f>Raw!AN82/Raw!$C82</f>
        <v>0</v>
      </c>
      <c r="AO81" s="9">
        <f>Raw!AO82/Raw!$C82</f>
        <v>0</v>
      </c>
      <c r="AP81" s="9">
        <f>Raw!AP82/Raw!$C82</f>
        <v>0</v>
      </c>
      <c r="AQ81" s="9">
        <f>Raw!AQ82/Raw!$C82</f>
        <v>0</v>
      </c>
      <c r="AR81" s="9">
        <f>Raw!AR82/Raw!$C82</f>
        <v>0</v>
      </c>
      <c r="AS81" s="9">
        <f>Raw!AS82/Raw!$C82</f>
        <v>0</v>
      </c>
      <c r="AT81" s="9">
        <f>Raw!AT82/Raw!$C82</f>
        <v>0</v>
      </c>
      <c r="AU81" s="9">
        <f>Raw!AU82/Raw!$C82</f>
        <v>0</v>
      </c>
      <c r="AV81" s="9">
        <f>Raw!AV82/Raw!$C82</f>
        <v>0</v>
      </c>
      <c r="AW81" s="9">
        <f>Raw!AW82/Raw!$C82</f>
        <v>0</v>
      </c>
      <c r="AX81" s="9">
        <f>Raw!AX82/Raw!$C82</f>
        <v>0</v>
      </c>
      <c r="AY81" s="9">
        <f>Raw!AY82/Raw!$C82</f>
        <v>0</v>
      </c>
      <c r="AZ81" s="9">
        <f>Raw!AZ82/Raw!$C82</f>
        <v>0</v>
      </c>
      <c r="BA81" s="9">
        <f>Raw!BA82/Raw!$C82</f>
        <v>0</v>
      </c>
      <c r="BB81" s="9">
        <f>Raw!BB82/Raw!$C82</f>
        <v>0</v>
      </c>
      <c r="BC81" s="9">
        <f>Raw!BC82/Raw!$C82</f>
        <v>0</v>
      </c>
      <c r="BD81" s="9">
        <f>Raw!BD82/Raw!$C82</f>
        <v>0</v>
      </c>
      <c r="BE81" s="9">
        <f>Raw!BE82/Raw!$C82</f>
        <v>0</v>
      </c>
      <c r="BF81" s="9">
        <f>Raw!BF82/Raw!$C82</f>
        <v>0</v>
      </c>
      <c r="BG81" s="9">
        <f>Raw!BG82/Raw!$C82</f>
        <v>0</v>
      </c>
      <c r="BH81" s="9">
        <f>Raw!BH82/Raw!$C82</f>
        <v>0</v>
      </c>
      <c r="BI81" s="9">
        <f>Raw!BI82/Raw!$C82</f>
        <v>0</v>
      </c>
      <c r="BJ81" s="9">
        <f>Raw!BJ82/Raw!$C82</f>
        <v>0</v>
      </c>
      <c r="BK81" s="9">
        <f>Raw!BK82/Raw!$C82</f>
        <v>0</v>
      </c>
      <c r="BL81" s="9">
        <f>Raw!BL82/Raw!$C82</f>
        <v>0</v>
      </c>
      <c r="BM81" s="9">
        <f>Raw!BM82/Raw!$C82</f>
        <v>0</v>
      </c>
      <c r="BN81" s="9">
        <f>Raw!BN82/Raw!$C82</f>
        <v>0</v>
      </c>
      <c r="BO81" s="9">
        <f>Raw!BO82/Raw!$C82</f>
        <v>0</v>
      </c>
      <c r="BP81" s="9">
        <f>Raw!BP82/Raw!$C82</f>
        <v>0</v>
      </c>
      <c r="BQ81" s="9">
        <f>Raw!BQ82/Raw!$C82</f>
        <v>0</v>
      </c>
      <c r="BR81" s="9">
        <f>Raw!BR82/Raw!$C82</f>
        <v>0</v>
      </c>
      <c r="BS81" s="9">
        <f>Raw!BS82/Raw!$C82</f>
        <v>0</v>
      </c>
      <c r="BT81" s="9">
        <f>Raw!BT82/Raw!$C82</f>
        <v>0</v>
      </c>
      <c r="BU81" s="9">
        <f>Raw!BU82/Raw!$C82</f>
        <v>0</v>
      </c>
      <c r="BV81" s="9">
        <f>Raw!BV82/Raw!$C82</f>
        <v>0</v>
      </c>
      <c r="BW81" s="9">
        <f>Raw!BW82/Raw!$C82</f>
        <v>0</v>
      </c>
      <c r="BX81" s="9">
        <f>Raw!BX82/Raw!$C82</f>
        <v>0</v>
      </c>
      <c r="BY81" s="9">
        <f>Raw!BY82/Raw!$C82</f>
        <v>0</v>
      </c>
      <c r="BZ81" s="9">
        <f>Raw!BZ82/Raw!$C82</f>
        <v>0</v>
      </c>
      <c r="CA81" s="9">
        <f>Raw!CA82/Raw!$C82</f>
        <v>0</v>
      </c>
      <c r="CB81" s="9">
        <f>Raw!CB82/Raw!$C82</f>
        <v>0</v>
      </c>
      <c r="CC81" s="9">
        <f>Raw!CC82/Raw!$C82</f>
        <v>0</v>
      </c>
      <c r="CD81" s="9">
        <f>Raw!CD82/Raw!$C82</f>
        <v>0</v>
      </c>
      <c r="CE81" s="9">
        <f>Raw!CE82/Raw!$C82</f>
        <v>0</v>
      </c>
      <c r="CF81" s="9">
        <f>Raw!CF82/Raw!$C82</f>
        <v>0</v>
      </c>
      <c r="CG81" s="9">
        <f>Raw!CG82/Raw!$C82</f>
        <v>0</v>
      </c>
      <c r="CH81" s="9">
        <f>Raw!CH82/Raw!$C82</f>
        <v>0</v>
      </c>
      <c r="CI81" s="9">
        <f>Raw!CI82/Raw!$C82</f>
        <v>0</v>
      </c>
      <c r="CJ81" s="9">
        <f>Raw!CJ82/Raw!$C82</f>
        <v>0</v>
      </c>
      <c r="CK81" s="9">
        <f>Raw!CK82/Raw!$C82</f>
        <v>0</v>
      </c>
      <c r="CL81" s="9">
        <f>Raw!CL82/Raw!$C82</f>
        <v>0</v>
      </c>
      <c r="CM81" s="9">
        <f>Raw!CM82/Raw!$C82</f>
        <v>0</v>
      </c>
      <c r="CN81" s="9">
        <f>Raw!CN82/Raw!$C82</f>
        <v>0</v>
      </c>
      <c r="CO81" s="9">
        <f>Raw!CO82/Raw!$C82</f>
        <v>0</v>
      </c>
      <c r="CP81" s="9">
        <f>Raw!CP82/Raw!$C82</f>
        <v>0</v>
      </c>
      <c r="CQ81" s="9">
        <f>Raw!CQ82/Raw!$C82</f>
        <v>0</v>
      </c>
      <c r="CR81" s="2">
        <f t="shared" si="39"/>
        <v>531.24999999999989</v>
      </c>
      <c r="CS81" s="2">
        <f t="shared" si="40"/>
        <v>916.62499999999977</v>
      </c>
      <c r="CT81" s="3">
        <f t="shared" si="37"/>
        <v>2.7252989430583678</v>
      </c>
      <c r="CU81" s="3">
        <f t="shared" si="38"/>
        <v>2.9621916980036667</v>
      </c>
      <c r="CZ81" s="3">
        <f t="shared" si="25"/>
        <v>2.7252989430583678</v>
      </c>
      <c r="DA81" s="3">
        <f t="shared" si="26"/>
        <v>2.9621916980036667</v>
      </c>
      <c r="DB81" s="6">
        <f t="shared" si="27"/>
        <v>0.59530079107716416</v>
      </c>
      <c r="DC81" s="3">
        <v>5</v>
      </c>
      <c r="DD81" s="3">
        <f>DC81/Raw!C82</f>
        <v>31.249999999999993</v>
      </c>
      <c r="DE81" s="5">
        <f t="shared" si="41"/>
        <v>9.4117647058823556E-3</v>
      </c>
      <c r="DF81">
        <f t="shared" si="42"/>
        <v>-2.0263289387223491</v>
      </c>
      <c r="DH81" s="4">
        <f>-SUM('Shannon-Weiner'!B80:Z80)</f>
        <v>0.93121739131241488</v>
      </c>
      <c r="DI81" s="4">
        <f>SUM('p^2'!B80:Z80)</f>
        <v>0.54131487889273366</v>
      </c>
      <c r="DJ81" s="4">
        <f t="shared" si="43"/>
        <v>0.45868512110726634</v>
      </c>
      <c r="DK81">
        <f t="shared" si="44"/>
        <v>1.847353618000511</v>
      </c>
      <c r="DL81" s="4">
        <f>SUM('Shannon-Weiner_B'!B80:Z80)</f>
        <v>-0.98331647198537142</v>
      </c>
      <c r="DM81" s="4">
        <f>SUM('p_B^2'!B80:Z80)</f>
        <v>0.45048698238995499</v>
      </c>
      <c r="DN81" s="4">
        <f t="shared" si="45"/>
        <v>0.54951301761004501</v>
      </c>
      <c r="DO81">
        <f t="shared" si="46"/>
        <v>2.219819970589894</v>
      </c>
    </row>
    <row r="82" spans="2:119" x14ac:dyDescent="0.25">
      <c r="B82" t="str">
        <f>Raw!B83</f>
        <v>TB25</v>
      </c>
      <c r="C82">
        <v>1</v>
      </c>
      <c r="D82" s="9">
        <f>Raw!D83/Raw!$C83</f>
        <v>87.499999999999986</v>
      </c>
      <c r="E82" s="9">
        <f>Raw!E83/Raw!$C83</f>
        <v>36.374999999999993</v>
      </c>
      <c r="F82" s="9">
        <f>Raw!F83/Raw!$C83</f>
        <v>0</v>
      </c>
      <c r="G82" s="9">
        <f>Raw!G83/Raw!$C83</f>
        <v>0</v>
      </c>
      <c r="H82" s="9">
        <f>Raw!H83/Raw!$C83</f>
        <v>0</v>
      </c>
      <c r="I82" s="9">
        <f>Raw!I83/Raw!$C83</f>
        <v>0</v>
      </c>
      <c r="J82" s="9">
        <f>Raw!J83/Raw!$C83</f>
        <v>0</v>
      </c>
      <c r="K82" s="9">
        <f>Raw!K83/Raw!$C83</f>
        <v>0</v>
      </c>
      <c r="L82" s="9">
        <f>Raw!L83/Raw!$C83</f>
        <v>0</v>
      </c>
      <c r="M82" s="9">
        <f>Raw!M83/Raw!$C83</f>
        <v>0</v>
      </c>
      <c r="N82" s="9">
        <f>Raw!N83/Raw!$C83</f>
        <v>24.999999999999996</v>
      </c>
      <c r="O82" s="9">
        <f>Raw!O83/Raw!$C83</f>
        <v>176.43749999999997</v>
      </c>
      <c r="P82" s="9">
        <f>Raw!P83/Raw!$C83</f>
        <v>0</v>
      </c>
      <c r="Q82" s="9">
        <f>Raw!Q83/Raw!$C83</f>
        <v>0</v>
      </c>
      <c r="R82" s="9">
        <f>Raw!R83/Raw!$C83</f>
        <v>0</v>
      </c>
      <c r="S82" s="9">
        <f>Raw!S83/Raw!$C83</f>
        <v>0</v>
      </c>
      <c r="T82" s="9">
        <f>Raw!T83/Raw!$C83</f>
        <v>0</v>
      </c>
      <c r="U82" s="9">
        <f>Raw!U83/Raw!$C83</f>
        <v>0</v>
      </c>
      <c r="V82" s="9">
        <f>Raw!V83/Raw!$C83</f>
        <v>0</v>
      </c>
      <c r="W82" s="9">
        <f>Raw!W83/Raw!$C83</f>
        <v>0</v>
      </c>
      <c r="X82" s="9">
        <f>Raw!X83/Raw!$C83</f>
        <v>6.2499999999999991</v>
      </c>
      <c r="Y82" s="9">
        <f>Raw!Y83/Raw!$C83</f>
        <v>0.25000000000000017</v>
      </c>
      <c r="Z82" s="9">
        <f>Raw!Z83/Raw!$C83</f>
        <v>0</v>
      </c>
      <c r="AA82" s="9">
        <f>Raw!AA83/Raw!$C83</f>
        <v>0</v>
      </c>
      <c r="AB82" s="9">
        <f>Raw!AB83/Raw!$C83</f>
        <v>0</v>
      </c>
      <c r="AC82" s="9">
        <f>Raw!AC83/Raw!$C83</f>
        <v>0</v>
      </c>
      <c r="AD82" s="9">
        <f>Raw!AD83/Raw!$C83</f>
        <v>0</v>
      </c>
      <c r="AE82" s="9">
        <f>Raw!AE83/Raw!$C83</f>
        <v>0</v>
      </c>
      <c r="AF82" s="9">
        <f>Raw!AF83/Raw!$C83</f>
        <v>0</v>
      </c>
      <c r="AG82" s="9">
        <f>Raw!AG83/Raw!$C83</f>
        <v>0</v>
      </c>
      <c r="AH82" s="9">
        <f>Raw!AH83/Raw!$C83</f>
        <v>6.2499999999999991</v>
      </c>
      <c r="AI82" s="9">
        <f>Raw!AI83/Raw!$C83</f>
        <v>12.9375</v>
      </c>
      <c r="AJ82" s="9">
        <f>Raw!AJ83/Raw!$C83</f>
        <v>0</v>
      </c>
      <c r="AK82" s="9">
        <f>Raw!AK83/Raw!$C83</f>
        <v>0</v>
      </c>
      <c r="AL82" s="9">
        <f>Raw!AL83/Raw!$C83</f>
        <v>56.249999999999986</v>
      </c>
      <c r="AM82" s="9">
        <f>Raw!AM83/Raw!$C83</f>
        <v>813.62499999999989</v>
      </c>
      <c r="AN82" s="9">
        <f>Raw!AN83/Raw!$C83</f>
        <v>0</v>
      </c>
      <c r="AO82" s="9">
        <f>Raw!AO83/Raw!$C83</f>
        <v>0</v>
      </c>
      <c r="AP82" s="9">
        <f>Raw!AP83/Raw!$C83</f>
        <v>0</v>
      </c>
      <c r="AQ82" s="9">
        <f>Raw!AQ83/Raw!$C83</f>
        <v>0</v>
      </c>
      <c r="AR82" s="9">
        <f>Raw!AR83/Raw!$C83</f>
        <v>0</v>
      </c>
      <c r="AS82" s="9">
        <f>Raw!AS83/Raw!$C83</f>
        <v>0</v>
      </c>
      <c r="AT82" s="9">
        <f>Raw!AT83/Raw!$C83</f>
        <v>0</v>
      </c>
      <c r="AU82" s="9">
        <f>Raw!AU83/Raw!$C83</f>
        <v>0</v>
      </c>
      <c r="AV82" s="9">
        <f>Raw!AV83/Raw!$C83</f>
        <v>0</v>
      </c>
      <c r="AW82" s="9">
        <f>Raw!AW83/Raw!$C83</f>
        <v>0</v>
      </c>
      <c r="AX82" s="9">
        <f>Raw!AX83/Raw!$C83</f>
        <v>0</v>
      </c>
      <c r="AY82" s="9">
        <f>Raw!AY83/Raw!$C83</f>
        <v>0</v>
      </c>
      <c r="AZ82" s="9">
        <f>Raw!AZ83/Raw!$C83</f>
        <v>0</v>
      </c>
      <c r="BA82" s="9">
        <f>Raw!BA83/Raw!$C83</f>
        <v>0</v>
      </c>
      <c r="BB82" s="9">
        <f>Raw!BB83/Raw!$C83</f>
        <v>0</v>
      </c>
      <c r="BC82" s="9">
        <f>Raw!BC83/Raw!$C83</f>
        <v>0</v>
      </c>
      <c r="BD82" s="9">
        <f>Raw!BD83/Raw!$C83</f>
        <v>0</v>
      </c>
      <c r="BE82" s="9">
        <f>Raw!BE83/Raw!$C83</f>
        <v>0</v>
      </c>
      <c r="BF82" s="9">
        <f>Raw!BF83/Raw!$C83</f>
        <v>0</v>
      </c>
      <c r="BG82" s="9">
        <f>Raw!BG83/Raw!$C83</f>
        <v>0</v>
      </c>
      <c r="BH82" s="9">
        <f>Raw!BH83/Raw!$C83</f>
        <v>0</v>
      </c>
      <c r="BI82" s="9">
        <f>Raw!BI83/Raw!$C83</f>
        <v>0</v>
      </c>
      <c r="BJ82" s="9">
        <f>Raw!BJ83/Raw!$C83</f>
        <v>0</v>
      </c>
      <c r="BK82" s="9">
        <f>Raw!BK83/Raw!$C83</f>
        <v>0</v>
      </c>
      <c r="BL82" s="9">
        <f>Raw!BL83/Raw!$C83</f>
        <v>0</v>
      </c>
      <c r="BM82" s="9">
        <f>Raw!BM83/Raw!$C83</f>
        <v>0</v>
      </c>
      <c r="BN82" s="9">
        <f>Raw!BN83/Raw!$C83</f>
        <v>0</v>
      </c>
      <c r="BO82" s="9">
        <f>Raw!BO83/Raw!$C83</f>
        <v>0</v>
      </c>
      <c r="BP82" s="9">
        <f>Raw!BP83/Raw!$C83</f>
        <v>0</v>
      </c>
      <c r="BQ82" s="9">
        <f>Raw!BQ83/Raw!$C83</f>
        <v>0</v>
      </c>
      <c r="BR82" s="9">
        <f>Raw!BR83/Raw!$C83</f>
        <v>0</v>
      </c>
      <c r="BS82" s="9">
        <f>Raw!BS83/Raw!$C83</f>
        <v>0</v>
      </c>
      <c r="BT82" s="9">
        <f>Raw!BT83/Raw!$C83</f>
        <v>0</v>
      </c>
      <c r="BU82" s="9">
        <f>Raw!BU83/Raw!$C83</f>
        <v>0</v>
      </c>
      <c r="BV82" s="9">
        <f>Raw!BV83/Raw!$C83</f>
        <v>0</v>
      </c>
      <c r="BW82" s="9">
        <f>Raw!BW83/Raw!$C83</f>
        <v>0</v>
      </c>
      <c r="BX82" s="9">
        <f>Raw!BX83/Raw!$C83</f>
        <v>0</v>
      </c>
      <c r="BY82" s="9">
        <f>Raw!BY83/Raw!$C83</f>
        <v>0</v>
      </c>
      <c r="BZ82" s="9">
        <f>Raw!BZ83/Raw!$C83</f>
        <v>0</v>
      </c>
      <c r="CA82" s="9">
        <f>Raw!CA83/Raw!$C83</f>
        <v>0</v>
      </c>
      <c r="CB82" s="9">
        <f>Raw!CB83/Raw!$C83</f>
        <v>0</v>
      </c>
      <c r="CC82" s="9">
        <f>Raw!CC83/Raw!$C83</f>
        <v>0</v>
      </c>
      <c r="CD82" s="9">
        <f>Raw!CD83/Raw!$C83</f>
        <v>0</v>
      </c>
      <c r="CE82" s="9">
        <f>Raw!CE83/Raw!$C83</f>
        <v>0</v>
      </c>
      <c r="CF82" s="9">
        <f>Raw!CF83/Raw!$C83</f>
        <v>0</v>
      </c>
      <c r="CG82" s="9">
        <f>Raw!CG83/Raw!$C83</f>
        <v>0</v>
      </c>
      <c r="CH82" s="9">
        <f>Raw!CH83/Raw!$C83</f>
        <v>0</v>
      </c>
      <c r="CI82" s="9">
        <f>Raw!CI83/Raw!$C83</f>
        <v>0</v>
      </c>
      <c r="CJ82" s="9">
        <f>Raw!CJ83/Raw!$C83</f>
        <v>0</v>
      </c>
      <c r="CK82" s="9">
        <f>Raw!CK83/Raw!$C83</f>
        <v>0</v>
      </c>
      <c r="CL82" s="9">
        <f>Raw!CL83/Raw!$C83</f>
        <v>0</v>
      </c>
      <c r="CM82" s="9">
        <f>Raw!CM83/Raw!$C83</f>
        <v>0</v>
      </c>
      <c r="CN82" s="9">
        <f>Raw!CN83/Raw!$C83</f>
        <v>0</v>
      </c>
      <c r="CO82" s="9">
        <f>Raw!CO83/Raw!$C83</f>
        <v>0</v>
      </c>
      <c r="CP82" s="9">
        <f>Raw!CP83/Raw!$C83</f>
        <v>0</v>
      </c>
      <c r="CQ82" s="9">
        <f>Raw!CQ83/Raw!$C83</f>
        <v>0</v>
      </c>
      <c r="CR82" s="2">
        <f t="shared" si="39"/>
        <v>181.24999999999997</v>
      </c>
      <c r="CS82" s="2">
        <f t="shared" si="40"/>
        <v>1039.6249999999998</v>
      </c>
      <c r="CT82" s="3">
        <f t="shared" si="37"/>
        <v>2.2582780152430311</v>
      </c>
      <c r="CU82" s="3">
        <f t="shared" si="38"/>
        <v>3.0168767144914437</v>
      </c>
      <c r="CZ82" s="3">
        <f t="shared" si="25"/>
        <v>2.2582780152430311</v>
      </c>
      <c r="DA82" s="3">
        <f t="shared" si="26"/>
        <v>3.0168767144914437</v>
      </c>
      <c r="DB82" s="6">
        <f t="shared" si="27"/>
        <v>0.65399613158515679</v>
      </c>
      <c r="DC82" s="3">
        <v>4</v>
      </c>
      <c r="DD82" s="3">
        <f>DC82/Raw!C83</f>
        <v>24.999999999999996</v>
      </c>
      <c r="DE82" s="5">
        <f t="shared" si="41"/>
        <v>2.2068965517241381E-2</v>
      </c>
      <c r="DF82">
        <f t="shared" si="42"/>
        <v>-1.6562180239150688</v>
      </c>
      <c r="DH82" s="4">
        <f>-SUM('Shannon-Weiner'!B81:Z81)</f>
        <v>1.2201578556720203</v>
      </c>
      <c r="DI82" s="4">
        <f>SUM('p^2'!B81:Z81)</f>
        <v>0.35077288941736023</v>
      </c>
      <c r="DJ82" s="4">
        <f t="shared" si="43"/>
        <v>0.64922711058263971</v>
      </c>
      <c r="DK82">
        <f t="shared" si="44"/>
        <v>2.8508474576271192</v>
      </c>
      <c r="DL82" s="4">
        <f>SUM('Shannon-Weiner_B'!B81:Z81)</f>
        <v>-0.6667399534431564</v>
      </c>
      <c r="DM82" s="4">
        <f>SUM('p_B^2'!B81:Z81)</f>
        <v>0.64266605326288029</v>
      </c>
      <c r="DN82" s="4">
        <f t="shared" si="45"/>
        <v>0.35733394673711971</v>
      </c>
      <c r="DO82">
        <f t="shared" si="46"/>
        <v>1.5560180826774641</v>
      </c>
    </row>
    <row r="83" spans="2:119" x14ac:dyDescent="0.25">
      <c r="B83" t="str">
        <f>Raw!B84</f>
        <v>TB26</v>
      </c>
      <c r="C83">
        <v>1</v>
      </c>
      <c r="D83" s="9">
        <f>Raw!D84/Raw!$C84</f>
        <v>143.74999999999997</v>
      </c>
      <c r="E83" s="9">
        <f>Raw!E84/Raw!$C84</f>
        <v>49.562499999999986</v>
      </c>
      <c r="F83" s="9">
        <f>Raw!F84/Raw!$C84</f>
        <v>0</v>
      </c>
      <c r="G83" s="9">
        <f>Raw!G84/Raw!$C84</f>
        <v>0</v>
      </c>
      <c r="H83" s="9">
        <f>Raw!H84/Raw!$C84</f>
        <v>0</v>
      </c>
      <c r="I83" s="9">
        <f>Raw!I84/Raw!$C84</f>
        <v>0</v>
      </c>
      <c r="J83" s="9">
        <f>Raw!J84/Raw!$C84</f>
        <v>0</v>
      </c>
      <c r="K83" s="9">
        <f>Raw!K84/Raw!$C84</f>
        <v>0</v>
      </c>
      <c r="L83" s="9">
        <f>Raw!L84/Raw!$C84</f>
        <v>0</v>
      </c>
      <c r="M83" s="9">
        <f>Raw!M84/Raw!$C84</f>
        <v>0</v>
      </c>
      <c r="N83" s="9">
        <f>Raw!N84/Raw!$C84</f>
        <v>12.499999999999998</v>
      </c>
      <c r="O83" s="9">
        <f>Raw!O84/Raw!$C84</f>
        <v>248.37499999999991</v>
      </c>
      <c r="P83" s="9">
        <f>Raw!P84/Raw!$C84</f>
        <v>0</v>
      </c>
      <c r="Q83" s="9">
        <f>Raw!Q84/Raw!$C84</f>
        <v>0</v>
      </c>
      <c r="R83" s="9">
        <f>Raw!R84/Raw!$C84</f>
        <v>0</v>
      </c>
      <c r="S83" s="9">
        <f>Raw!S84/Raw!$C84</f>
        <v>0</v>
      </c>
      <c r="T83" s="9">
        <f>Raw!T84/Raw!$C84</f>
        <v>0</v>
      </c>
      <c r="U83" s="9">
        <f>Raw!U84/Raw!$C84</f>
        <v>0</v>
      </c>
      <c r="V83" s="9">
        <f>Raw!V84/Raw!$C84</f>
        <v>0</v>
      </c>
      <c r="W83" s="9">
        <f>Raw!W84/Raw!$C84</f>
        <v>0</v>
      </c>
      <c r="X83" s="9">
        <f>Raw!X84/Raw!$C84</f>
        <v>68.749999999999986</v>
      </c>
      <c r="Y83" s="9">
        <f>Raw!Y84/Raw!$C84</f>
        <v>0.49999999999999756</v>
      </c>
      <c r="Z83" s="9">
        <f>Raw!Z84/Raw!$C84</f>
        <v>0</v>
      </c>
      <c r="AA83" s="9">
        <f>Raw!AA84/Raw!$C84</f>
        <v>0</v>
      </c>
      <c r="AB83" s="9">
        <f>Raw!AB84/Raw!$C84</f>
        <v>0</v>
      </c>
      <c r="AC83" s="9">
        <f>Raw!AC84/Raw!$C84</f>
        <v>0</v>
      </c>
      <c r="AD83" s="9">
        <f>Raw!AD84/Raw!$C84</f>
        <v>0</v>
      </c>
      <c r="AE83" s="9">
        <f>Raw!AE84/Raw!$C84</f>
        <v>0</v>
      </c>
      <c r="AF83" s="9">
        <f>Raw!AF84/Raw!$C84</f>
        <v>0</v>
      </c>
      <c r="AG83" s="9">
        <f>Raw!AG84/Raw!$C84</f>
        <v>0</v>
      </c>
      <c r="AH83" s="9">
        <f>Raw!AH84/Raw!$C84</f>
        <v>0</v>
      </c>
      <c r="AI83" s="9">
        <f>Raw!AI84/Raw!$C84</f>
        <v>0</v>
      </c>
      <c r="AJ83" s="9">
        <f>Raw!AJ84/Raw!$C84</f>
        <v>0</v>
      </c>
      <c r="AK83" s="9">
        <f>Raw!AK84/Raw!$C84</f>
        <v>0</v>
      </c>
      <c r="AL83" s="9">
        <f>Raw!AL84/Raw!$C84</f>
        <v>6.2499999999999991</v>
      </c>
      <c r="AM83" s="9">
        <f>Raw!AM84/Raw!$C84</f>
        <v>439.62499999999994</v>
      </c>
      <c r="AN83" s="9">
        <f>Raw!AN84/Raw!$C84</f>
        <v>0</v>
      </c>
      <c r="AO83" s="9">
        <f>Raw!AO84/Raw!$C84</f>
        <v>0</v>
      </c>
      <c r="AP83" s="9">
        <f>Raw!AP84/Raw!$C84</f>
        <v>0</v>
      </c>
      <c r="AQ83" s="9">
        <f>Raw!AQ84/Raw!$C84</f>
        <v>0</v>
      </c>
      <c r="AR83" s="9">
        <f>Raw!AR84/Raw!$C84</f>
        <v>0</v>
      </c>
      <c r="AS83" s="9">
        <f>Raw!AS84/Raw!$C84</f>
        <v>0</v>
      </c>
      <c r="AT83" s="9">
        <f>Raw!AT84/Raw!$C84</f>
        <v>0</v>
      </c>
      <c r="AU83" s="9">
        <f>Raw!AU84/Raw!$C84</f>
        <v>0</v>
      </c>
      <c r="AV83" s="9">
        <f>Raw!AV84/Raw!$C84</f>
        <v>0</v>
      </c>
      <c r="AW83" s="9">
        <f>Raw!AW84/Raw!$C84</f>
        <v>0</v>
      </c>
      <c r="AX83" s="9">
        <f>Raw!AX84/Raw!$C84</f>
        <v>0</v>
      </c>
      <c r="AY83" s="9">
        <f>Raw!AY84/Raw!$C84</f>
        <v>0</v>
      </c>
      <c r="AZ83" s="9">
        <f>Raw!AZ84/Raw!$C84</f>
        <v>0</v>
      </c>
      <c r="BA83" s="9">
        <f>Raw!BA84/Raw!$C84</f>
        <v>0</v>
      </c>
      <c r="BB83" s="9">
        <f>Raw!BB84/Raw!$C84</f>
        <v>0</v>
      </c>
      <c r="BC83" s="9">
        <f>Raw!BC84/Raw!$C84</f>
        <v>0</v>
      </c>
      <c r="BD83" s="9">
        <f>Raw!BD84/Raw!$C84</f>
        <v>6.2499999999999991</v>
      </c>
      <c r="BE83" s="9">
        <f>Raw!BE84/Raw!$C84</f>
        <v>0.81249999999999922</v>
      </c>
      <c r="BF83" s="9">
        <f>Raw!BF84/Raw!$C84</f>
        <v>0</v>
      </c>
      <c r="BG83" s="9">
        <f>Raw!BG84/Raw!$C84</f>
        <v>0</v>
      </c>
      <c r="BH83" s="9">
        <f>Raw!BH84/Raw!$C84</f>
        <v>0</v>
      </c>
      <c r="BI83" s="9">
        <f>Raw!BI84/Raw!$C84</f>
        <v>0</v>
      </c>
      <c r="BJ83" s="9">
        <f>Raw!BJ84/Raw!$C84</f>
        <v>0</v>
      </c>
      <c r="BK83" s="9">
        <f>Raw!BK84/Raw!$C84</f>
        <v>0</v>
      </c>
      <c r="BL83" s="9">
        <f>Raw!BL84/Raw!$C84</f>
        <v>0</v>
      </c>
      <c r="BM83" s="9">
        <f>Raw!BM84/Raw!$C84</f>
        <v>0</v>
      </c>
      <c r="BN83" s="9">
        <f>Raw!BN84/Raw!$C84</f>
        <v>0</v>
      </c>
      <c r="BO83" s="9">
        <f>Raw!BO84/Raw!$C84</f>
        <v>0</v>
      </c>
      <c r="BP83" s="9">
        <f>Raw!BP84/Raw!$C84</f>
        <v>0</v>
      </c>
      <c r="BQ83" s="9">
        <f>Raw!BQ84/Raw!$C84</f>
        <v>0</v>
      </c>
      <c r="BR83" s="9">
        <f>Raw!BR84/Raw!$C84</f>
        <v>0</v>
      </c>
      <c r="BS83" s="9">
        <f>Raw!BS84/Raw!$C84</f>
        <v>0</v>
      </c>
      <c r="BT83" s="9">
        <f>Raw!BT84/Raw!$C84</f>
        <v>0</v>
      </c>
      <c r="BU83" s="9">
        <f>Raw!BU84/Raw!$C84</f>
        <v>0</v>
      </c>
      <c r="BV83" s="9">
        <f>Raw!BV84/Raw!$C84</f>
        <v>0</v>
      </c>
      <c r="BW83" s="9">
        <f>Raw!BW84/Raw!$C84</f>
        <v>0</v>
      </c>
      <c r="BX83" s="9">
        <f>Raw!BX84/Raw!$C84</f>
        <v>0</v>
      </c>
      <c r="BY83" s="9">
        <f>Raw!BY84/Raw!$C84</f>
        <v>0</v>
      </c>
      <c r="BZ83" s="9">
        <f>Raw!BZ84/Raw!$C84</f>
        <v>0</v>
      </c>
      <c r="CA83" s="9">
        <f>Raw!CA84/Raw!$C84</f>
        <v>0</v>
      </c>
      <c r="CB83" s="9">
        <f>Raw!CB84/Raw!$C84</f>
        <v>0</v>
      </c>
      <c r="CC83" s="9">
        <f>Raw!CC84/Raw!$C84</f>
        <v>0</v>
      </c>
      <c r="CD83" s="9">
        <f>Raw!CD84/Raw!$C84</f>
        <v>0</v>
      </c>
      <c r="CE83" s="9">
        <f>Raw!CE84/Raw!$C84</f>
        <v>0</v>
      </c>
      <c r="CF83" s="9">
        <f>Raw!CF84/Raw!$C84</f>
        <v>0</v>
      </c>
      <c r="CG83" s="9">
        <f>Raw!CG84/Raw!$C84</f>
        <v>0</v>
      </c>
      <c r="CH83" s="9">
        <f>Raw!CH84/Raw!$C84</f>
        <v>0</v>
      </c>
      <c r="CI83" s="9">
        <f>Raw!CI84/Raw!$C84</f>
        <v>0</v>
      </c>
      <c r="CJ83" s="9">
        <f>Raw!CJ84/Raw!$C84</f>
        <v>0</v>
      </c>
      <c r="CK83" s="9">
        <f>Raw!CK84/Raw!$C84</f>
        <v>0</v>
      </c>
      <c r="CL83" s="9">
        <f>Raw!CL84/Raw!$C84</f>
        <v>0</v>
      </c>
      <c r="CM83" s="9">
        <f>Raw!CM84/Raw!$C84</f>
        <v>0</v>
      </c>
      <c r="CN83" s="9">
        <f>Raw!CN84/Raw!$C84</f>
        <v>0</v>
      </c>
      <c r="CO83" s="9">
        <f>Raw!CO84/Raw!$C84</f>
        <v>0</v>
      </c>
      <c r="CP83" s="9">
        <f>Raw!CP84/Raw!$C84</f>
        <v>0</v>
      </c>
      <c r="CQ83" s="9">
        <f>Raw!CQ84/Raw!$C84</f>
        <v>0</v>
      </c>
      <c r="CR83" s="2">
        <f t="shared" si="39"/>
        <v>237.49999999999994</v>
      </c>
      <c r="CS83" s="2">
        <f t="shared" si="40"/>
        <v>738.87499999999977</v>
      </c>
      <c r="CT83" s="3">
        <f t="shared" si="37"/>
        <v>2.3756636139608851</v>
      </c>
      <c r="CU83" s="3">
        <f t="shared" si="38"/>
        <v>2.8685709723569439</v>
      </c>
      <c r="CZ83" s="3">
        <f t="shared" si="25"/>
        <v>2.3756636139608851</v>
      </c>
      <c r="DA83" s="3">
        <f t="shared" si="26"/>
        <v>2.8685709723569439</v>
      </c>
      <c r="DB83" s="6">
        <f t="shared" si="27"/>
        <v>0.7186751809019748</v>
      </c>
      <c r="DC83" s="3">
        <v>5</v>
      </c>
      <c r="DD83" s="3">
        <f>DC83/Raw!C84</f>
        <v>31.249999999999993</v>
      </c>
      <c r="DE83" s="5">
        <f t="shared" si="41"/>
        <v>2.1052631578947375E-2</v>
      </c>
      <c r="DF83">
        <f t="shared" si="42"/>
        <v>-1.6766936096248664</v>
      </c>
      <c r="DH83" s="4">
        <f>-SUM('Shannon-Weiner'!B82:Z82)</f>
        <v>1.0091780195086908</v>
      </c>
      <c r="DI83" s="4">
        <f>SUM('p^2'!B82:Z82)</f>
        <v>0.45429362880886426</v>
      </c>
      <c r="DJ83" s="4">
        <f t="shared" si="43"/>
        <v>0.54570637119113574</v>
      </c>
      <c r="DK83">
        <f t="shared" si="44"/>
        <v>2.2012195121951219</v>
      </c>
      <c r="DL83" s="4">
        <f>SUM('Shannon-Weiner_B'!B82:Z82)</f>
        <v>-0.86906321805631048</v>
      </c>
      <c r="DM83" s="4">
        <f>SUM('p_B^2'!B82:Z82)</f>
        <v>0.47151590583161324</v>
      </c>
      <c r="DN83" s="4">
        <f t="shared" si="45"/>
        <v>0.52848409416838682</v>
      </c>
      <c r="DO83">
        <f t="shared" si="46"/>
        <v>2.1208192292819872</v>
      </c>
    </row>
    <row r="84" spans="2:119" x14ac:dyDescent="0.25">
      <c r="B84" t="str">
        <f>Raw!B85</f>
        <v>TB27</v>
      </c>
      <c r="C84">
        <v>1</v>
      </c>
      <c r="D84" s="9">
        <f>Raw!D85/Raw!$C85</f>
        <v>96</v>
      </c>
      <c r="E84" s="9">
        <f>Raw!E85/Raw!$C85</f>
        <v>22.160000000000004</v>
      </c>
      <c r="F84" s="9">
        <f>Raw!F85/Raw!$C85</f>
        <v>0</v>
      </c>
      <c r="G84" s="9">
        <f>Raw!G85/Raw!$C85</f>
        <v>0</v>
      </c>
      <c r="H84" s="9">
        <f>Raw!H85/Raw!$C85</f>
        <v>0</v>
      </c>
      <c r="I84" s="9">
        <f>Raw!I85/Raw!$C85</f>
        <v>0</v>
      </c>
      <c r="J84" s="9">
        <f>Raw!J85/Raw!$C85</f>
        <v>0</v>
      </c>
      <c r="K84" s="9">
        <f>Raw!K85/Raw!$C85</f>
        <v>0</v>
      </c>
      <c r="L84" s="9">
        <f>Raw!L85/Raw!$C85</f>
        <v>0</v>
      </c>
      <c r="M84" s="9">
        <f>Raw!M85/Raw!$C85</f>
        <v>0</v>
      </c>
      <c r="N84" s="9">
        <f>Raw!N85/Raw!$C85</f>
        <v>8</v>
      </c>
      <c r="O84" s="9">
        <f>Raw!O85/Raw!$C85</f>
        <v>598.72</v>
      </c>
      <c r="P84" s="9">
        <f>Raw!P85/Raw!$C85</f>
        <v>0</v>
      </c>
      <c r="Q84" s="9">
        <f>Raw!Q85/Raw!$C85</f>
        <v>0</v>
      </c>
      <c r="R84" s="9">
        <f>Raw!R85/Raw!$C85</f>
        <v>0</v>
      </c>
      <c r="S84" s="9">
        <f>Raw!S85/Raw!$C85</f>
        <v>0</v>
      </c>
      <c r="T84" s="9">
        <f>Raw!T85/Raw!$C85</f>
        <v>0</v>
      </c>
      <c r="U84" s="9">
        <f>Raw!U85/Raw!$C85</f>
        <v>0</v>
      </c>
      <c r="V84" s="9">
        <f>Raw!V85/Raw!$C85</f>
        <v>0</v>
      </c>
      <c r="W84" s="9">
        <f>Raw!W85/Raw!$C85</f>
        <v>0</v>
      </c>
      <c r="X84" s="9">
        <f>Raw!X85/Raw!$C85</f>
        <v>552</v>
      </c>
      <c r="Y84" s="9">
        <f>Raw!Y85/Raw!$C85</f>
        <v>10.760000000000002</v>
      </c>
      <c r="Z84" s="9">
        <f>Raw!Z85/Raw!$C85</f>
        <v>0</v>
      </c>
      <c r="AA84" s="9">
        <f>Raw!AA85/Raw!$C85</f>
        <v>0</v>
      </c>
      <c r="AB84" s="9">
        <f>Raw!AB85/Raw!$C85</f>
        <v>0</v>
      </c>
      <c r="AC84" s="9">
        <f>Raw!AC85/Raw!$C85</f>
        <v>0</v>
      </c>
      <c r="AD84" s="9">
        <f>Raw!AD85/Raw!$C85</f>
        <v>0</v>
      </c>
      <c r="AE84" s="9">
        <f>Raw!AE85/Raw!$C85</f>
        <v>0</v>
      </c>
      <c r="AF84" s="9">
        <f>Raw!AF85/Raw!$C85</f>
        <v>0</v>
      </c>
      <c r="AG84" s="9">
        <f>Raw!AG85/Raw!$C85</f>
        <v>0</v>
      </c>
      <c r="AH84" s="9">
        <f>Raw!AH85/Raw!$C85</f>
        <v>0</v>
      </c>
      <c r="AI84" s="9">
        <f>Raw!AI85/Raw!$C85</f>
        <v>0</v>
      </c>
      <c r="AJ84" s="9">
        <f>Raw!AJ85/Raw!$C85</f>
        <v>0</v>
      </c>
      <c r="AK84" s="9">
        <f>Raw!AK85/Raw!$C85</f>
        <v>0</v>
      </c>
      <c r="AL84" s="9">
        <f>Raw!AL85/Raw!$C85</f>
        <v>12</v>
      </c>
      <c r="AM84" s="9">
        <f>Raw!AM85/Raw!$C85</f>
        <v>110.08000000000001</v>
      </c>
      <c r="AN84" s="9">
        <f>Raw!AN85/Raw!$C85</f>
        <v>0</v>
      </c>
      <c r="AO84" s="9">
        <f>Raw!AO85/Raw!$C85</f>
        <v>0</v>
      </c>
      <c r="AP84" s="9">
        <f>Raw!AP85/Raw!$C85</f>
        <v>0</v>
      </c>
      <c r="AQ84" s="9">
        <f>Raw!AQ85/Raw!$C85</f>
        <v>0</v>
      </c>
      <c r="AR84" s="9">
        <f>Raw!AR85/Raw!$C85</f>
        <v>0</v>
      </c>
      <c r="AS84" s="9">
        <f>Raw!AS85/Raw!$C85</f>
        <v>0</v>
      </c>
      <c r="AT84" s="9">
        <f>Raw!AT85/Raw!$C85</f>
        <v>0</v>
      </c>
      <c r="AU84" s="9">
        <f>Raw!AU85/Raw!$C85</f>
        <v>0</v>
      </c>
      <c r="AV84" s="9">
        <f>Raw!AV85/Raw!$C85</f>
        <v>0</v>
      </c>
      <c r="AW84" s="9">
        <f>Raw!AW85/Raw!$C85</f>
        <v>0</v>
      </c>
      <c r="AX84" s="9">
        <f>Raw!AX85/Raw!$C85</f>
        <v>0</v>
      </c>
      <c r="AY84" s="9">
        <f>Raw!AY85/Raw!$C85</f>
        <v>0</v>
      </c>
      <c r="AZ84" s="9">
        <f>Raw!AZ85/Raw!$C85</f>
        <v>0</v>
      </c>
      <c r="BA84" s="9">
        <f>Raw!BA85/Raw!$C85</f>
        <v>0</v>
      </c>
      <c r="BB84" s="9">
        <f>Raw!BB85/Raw!$C85</f>
        <v>0</v>
      </c>
      <c r="BC84" s="9">
        <f>Raw!BC85/Raw!$C85</f>
        <v>0</v>
      </c>
      <c r="BD84" s="9">
        <f>Raw!BD85/Raw!$C85</f>
        <v>12</v>
      </c>
      <c r="BE84" s="9">
        <f>Raw!BE85/Raw!$C85</f>
        <v>0.40000000000000213</v>
      </c>
      <c r="BF84" s="9">
        <f>Raw!BF85/Raw!$C85</f>
        <v>16</v>
      </c>
      <c r="BG84" s="9">
        <f>Raw!BG85/Raw!$C85</f>
        <v>3.0399999999999991</v>
      </c>
      <c r="BH84" s="9">
        <f>Raw!BH85/Raw!$C85</f>
        <v>0</v>
      </c>
      <c r="BI84" s="9">
        <f>Raw!BI85/Raw!$C85</f>
        <v>0</v>
      </c>
      <c r="BJ84" s="9">
        <f>Raw!BJ85/Raw!$C85</f>
        <v>0</v>
      </c>
      <c r="BK84" s="9">
        <f>Raw!BK85/Raw!$C85</f>
        <v>0</v>
      </c>
      <c r="BL84" s="9">
        <f>Raw!BL85/Raw!$C85</f>
        <v>0</v>
      </c>
      <c r="BM84" s="9">
        <f>Raw!BM85/Raw!$C85</f>
        <v>0</v>
      </c>
      <c r="BN84" s="9">
        <f>Raw!BN85/Raw!$C85</f>
        <v>0</v>
      </c>
      <c r="BO84" s="9">
        <f>Raw!BO85/Raw!$C85</f>
        <v>0</v>
      </c>
      <c r="BP84" s="9">
        <f>Raw!BP85/Raw!$C85</f>
        <v>0</v>
      </c>
      <c r="BQ84" s="9">
        <f>Raw!BQ85/Raw!$C85</f>
        <v>0</v>
      </c>
      <c r="BR84" s="9">
        <f>Raw!BR85/Raw!$C85</f>
        <v>0</v>
      </c>
      <c r="BS84" s="9">
        <f>Raw!BS85/Raw!$C85</f>
        <v>0</v>
      </c>
      <c r="BT84" s="9">
        <f>Raw!BT85/Raw!$C85</f>
        <v>0</v>
      </c>
      <c r="BU84" s="9">
        <f>Raw!BU85/Raw!$C85</f>
        <v>0</v>
      </c>
      <c r="BV84" s="9">
        <f>Raw!BV85/Raw!$C85</f>
        <v>0</v>
      </c>
      <c r="BW84" s="9">
        <f>Raw!BW85/Raw!$C85</f>
        <v>0</v>
      </c>
      <c r="BX84" s="9">
        <f>Raw!BX85/Raw!$C85</f>
        <v>0</v>
      </c>
      <c r="BY84" s="9">
        <f>Raw!BY85/Raw!$C85</f>
        <v>0</v>
      </c>
      <c r="BZ84" s="9">
        <f>Raw!BZ85/Raw!$C85</f>
        <v>0</v>
      </c>
      <c r="CA84" s="9">
        <f>Raw!CA85/Raw!$C85</f>
        <v>0</v>
      </c>
      <c r="CB84" s="9">
        <f>Raw!CB85/Raw!$C85</f>
        <v>0</v>
      </c>
      <c r="CC84" s="9">
        <f>Raw!CC85/Raw!$C85</f>
        <v>0</v>
      </c>
      <c r="CD84" s="9">
        <f>Raw!CD85/Raw!$C85</f>
        <v>0</v>
      </c>
      <c r="CE84" s="9">
        <f>Raw!CE85/Raw!$C85</f>
        <v>0</v>
      </c>
      <c r="CF84" s="9">
        <f>Raw!CF85/Raw!$C85</f>
        <v>0</v>
      </c>
      <c r="CG84" s="9">
        <f>Raw!CG85/Raw!$C85</f>
        <v>0</v>
      </c>
      <c r="CH84" s="9">
        <f>Raw!CH85/Raw!$C85</f>
        <v>0</v>
      </c>
      <c r="CI84" s="9">
        <f>Raw!CI85/Raw!$C85</f>
        <v>0</v>
      </c>
      <c r="CJ84" s="9">
        <f>Raw!CJ85/Raw!$C85</f>
        <v>0</v>
      </c>
      <c r="CK84" s="9">
        <f>Raw!CK85/Raw!$C85</f>
        <v>0</v>
      </c>
      <c r="CL84" s="9">
        <f>Raw!CL85/Raw!$C85</f>
        <v>0</v>
      </c>
      <c r="CM84" s="9">
        <f>Raw!CM85/Raw!$C85</f>
        <v>0</v>
      </c>
      <c r="CN84" s="9">
        <f>Raw!CN85/Raw!$C85</f>
        <v>0</v>
      </c>
      <c r="CO84" s="9">
        <f>Raw!CO85/Raw!$C85</f>
        <v>0</v>
      </c>
      <c r="CP84" s="9">
        <f>Raw!CP85/Raw!$C85</f>
        <v>0</v>
      </c>
      <c r="CQ84" s="9">
        <f>Raw!CQ85/Raw!$C85</f>
        <v>0</v>
      </c>
      <c r="CR84" s="2">
        <f t="shared" si="39"/>
        <v>696</v>
      </c>
      <c r="CS84" s="2">
        <f t="shared" si="40"/>
        <v>745.16</v>
      </c>
      <c r="CT84" s="3">
        <f t="shared" si="37"/>
        <v>2.842609239610562</v>
      </c>
      <c r="CU84" s="3">
        <f t="shared" si="38"/>
        <v>2.8722495340321434</v>
      </c>
      <c r="CZ84" s="3">
        <f t="shared" ref="CZ84:CZ87" si="47">LOG10(CR84+CV84)</f>
        <v>2.842609239610562</v>
      </c>
      <c r="DA84" s="3">
        <f t="shared" ref="DA84:DA87" si="48">LOG10(CS84+CW84)</f>
        <v>2.8722495340321434</v>
      </c>
      <c r="DB84" s="6">
        <f t="shared" ref="DB84:DB87" si="49">0.590307*(4.87-0.33*CT84-CU84)</f>
        <v>0.62554208061984629</v>
      </c>
      <c r="DC84" s="3">
        <v>6</v>
      </c>
      <c r="DD84" s="3">
        <f>DC84/Raw!C85</f>
        <v>24</v>
      </c>
      <c r="DE84" s="5">
        <f t="shared" si="41"/>
        <v>8.6206896551724137E-3</v>
      </c>
      <c r="DF84">
        <f t="shared" si="42"/>
        <v>-2.0644579892269186</v>
      </c>
      <c r="DH84" s="4">
        <f>-SUM('Shannon-Weiner'!B83:Z83)</f>
        <v>0.64843179478905988</v>
      </c>
      <c r="DI84" s="4">
        <f>SUM('p^2'!B83:Z83)</f>
        <v>0.64876469811071491</v>
      </c>
      <c r="DJ84" s="4">
        <f t="shared" si="43"/>
        <v>0.35123530188928509</v>
      </c>
      <c r="DK84">
        <f t="shared" si="44"/>
        <v>1.5413908970573258</v>
      </c>
      <c r="DL84" s="4">
        <f>SUM('Shannon-Weiner_B'!B83:Z83)</f>
        <v>-0.62809129291160426</v>
      </c>
      <c r="DM84" s="4">
        <f>SUM('p_B^2'!B83:Z83)</f>
        <v>0.66849396320116661</v>
      </c>
      <c r="DN84" s="4">
        <f t="shared" si="45"/>
        <v>0.33150603679883339</v>
      </c>
      <c r="DO84">
        <f t="shared" si="46"/>
        <v>1.4958998211612495</v>
      </c>
    </row>
    <row r="85" spans="2:119" x14ac:dyDescent="0.25">
      <c r="B85" t="str">
        <f>Raw!B86</f>
        <v>TB28</v>
      </c>
      <c r="C85">
        <v>1</v>
      </c>
      <c r="D85" s="9">
        <f>Raw!D86/Raw!$C86</f>
        <v>68</v>
      </c>
      <c r="E85" s="9">
        <f>Raw!E86/Raw!$C86</f>
        <v>15.119999999999997</v>
      </c>
      <c r="F85" s="9">
        <f>Raw!F86/Raw!$C86</f>
        <v>0</v>
      </c>
      <c r="G85" s="9">
        <f>Raw!G86/Raw!$C86</f>
        <v>0</v>
      </c>
      <c r="H85" s="9">
        <f>Raw!H86/Raw!$C86</f>
        <v>0</v>
      </c>
      <c r="I85" s="9">
        <f>Raw!I86/Raw!$C86</f>
        <v>0</v>
      </c>
      <c r="J85" s="9">
        <f>Raw!J86/Raw!$C86</f>
        <v>0</v>
      </c>
      <c r="K85" s="9">
        <f>Raw!K86/Raw!$C86</f>
        <v>0</v>
      </c>
      <c r="L85" s="9">
        <f>Raw!L86/Raw!$C86</f>
        <v>0</v>
      </c>
      <c r="M85" s="9">
        <f>Raw!M86/Raw!$C86</f>
        <v>0</v>
      </c>
      <c r="N85" s="9">
        <f>Raw!N86/Raw!$C86</f>
        <v>0</v>
      </c>
      <c r="O85" s="9">
        <f>Raw!O86/Raw!$C86</f>
        <v>0</v>
      </c>
      <c r="P85" s="9">
        <f>Raw!P86/Raw!$C86</f>
        <v>0</v>
      </c>
      <c r="Q85" s="9">
        <f>Raw!Q86/Raw!$C86</f>
        <v>0</v>
      </c>
      <c r="R85" s="9">
        <f>Raw!R86/Raw!$C86</f>
        <v>0</v>
      </c>
      <c r="S85" s="9">
        <f>Raw!S86/Raw!$C86</f>
        <v>0</v>
      </c>
      <c r="T85" s="9">
        <f>Raw!T86/Raw!$C86</f>
        <v>0</v>
      </c>
      <c r="U85" s="9">
        <f>Raw!U86/Raw!$C86</f>
        <v>0</v>
      </c>
      <c r="V85" s="9">
        <f>Raw!V86/Raw!$C86</f>
        <v>0</v>
      </c>
      <c r="W85" s="9">
        <f>Raw!W86/Raw!$C86</f>
        <v>0</v>
      </c>
      <c r="X85" s="9">
        <f>Raw!X86/Raw!$C86</f>
        <v>40</v>
      </c>
      <c r="Y85" s="9">
        <f>Raw!Y86/Raw!$C86</f>
        <v>0.67999999999999972</v>
      </c>
      <c r="Z85" s="9">
        <f>Raw!Z86/Raw!$C86</f>
        <v>0</v>
      </c>
      <c r="AA85" s="9">
        <f>Raw!AA86/Raw!$C86</f>
        <v>0</v>
      </c>
      <c r="AB85" s="9">
        <f>Raw!AB86/Raw!$C86</f>
        <v>0</v>
      </c>
      <c r="AC85" s="9">
        <f>Raw!AC86/Raw!$C86</f>
        <v>0</v>
      </c>
      <c r="AD85" s="9">
        <f>Raw!AD86/Raw!$C86</f>
        <v>0</v>
      </c>
      <c r="AE85" s="9">
        <f>Raw!AE86/Raw!$C86</f>
        <v>0</v>
      </c>
      <c r="AF85" s="9">
        <f>Raw!AF86/Raw!$C86</f>
        <v>0</v>
      </c>
      <c r="AG85" s="9">
        <f>Raw!AG86/Raw!$C86</f>
        <v>0</v>
      </c>
      <c r="AH85" s="9">
        <f>Raw!AH86/Raw!$C86</f>
        <v>0</v>
      </c>
      <c r="AI85" s="9">
        <f>Raw!AI86/Raw!$C86</f>
        <v>0</v>
      </c>
      <c r="AJ85" s="9">
        <f>Raw!AJ86/Raw!$C86</f>
        <v>4</v>
      </c>
      <c r="AK85" s="9">
        <f>Raw!AK86/Raw!$C86</f>
        <v>56.36</v>
      </c>
      <c r="AL85" s="9">
        <f>Raw!AL86/Raw!$C86</f>
        <v>8</v>
      </c>
      <c r="AM85" s="9">
        <f>Raw!AM86/Raw!$C86</f>
        <v>501.6</v>
      </c>
      <c r="AN85" s="9">
        <f>Raw!AN86/Raw!$C86</f>
        <v>0</v>
      </c>
      <c r="AO85" s="9">
        <f>Raw!AO86/Raw!$C86</f>
        <v>0</v>
      </c>
      <c r="AP85" s="9">
        <f>Raw!AP86/Raw!$C86</f>
        <v>0</v>
      </c>
      <c r="AQ85" s="9">
        <f>Raw!AQ86/Raw!$C86</f>
        <v>0</v>
      </c>
      <c r="AR85" s="9">
        <f>Raw!AR86/Raw!$C86</f>
        <v>0</v>
      </c>
      <c r="AS85" s="9">
        <f>Raw!AS86/Raw!$C86</f>
        <v>0</v>
      </c>
      <c r="AT85" s="9">
        <f>Raw!AT86/Raw!$C86</f>
        <v>0</v>
      </c>
      <c r="AU85" s="9">
        <f>Raw!AU86/Raw!$C86</f>
        <v>0</v>
      </c>
      <c r="AV85" s="9">
        <f>Raw!AV86/Raw!$C86</f>
        <v>0</v>
      </c>
      <c r="AW85" s="9">
        <f>Raw!AW86/Raw!$C86</f>
        <v>0</v>
      </c>
      <c r="AX85" s="9">
        <f>Raw!AX86/Raw!$C86</f>
        <v>0</v>
      </c>
      <c r="AY85" s="9">
        <f>Raw!AY86/Raw!$C86</f>
        <v>0</v>
      </c>
      <c r="AZ85" s="9">
        <f>Raw!AZ86/Raw!$C86</f>
        <v>0</v>
      </c>
      <c r="BA85" s="9">
        <f>Raw!BA86/Raw!$C86</f>
        <v>0</v>
      </c>
      <c r="BB85" s="9">
        <f>Raw!BB86/Raw!$C86</f>
        <v>0</v>
      </c>
      <c r="BC85" s="9">
        <f>Raw!BC86/Raw!$C86</f>
        <v>0</v>
      </c>
      <c r="BD85" s="9">
        <f>Raw!BD86/Raw!$C86</f>
        <v>0</v>
      </c>
      <c r="BE85" s="9">
        <f>Raw!BE86/Raw!$C86</f>
        <v>0</v>
      </c>
      <c r="BF85" s="9">
        <f>Raw!BF86/Raw!$C86</f>
        <v>0</v>
      </c>
      <c r="BG85" s="9">
        <f>Raw!BG86/Raw!$C86</f>
        <v>0</v>
      </c>
      <c r="BH85" s="9">
        <f>Raw!BH86/Raw!$C86</f>
        <v>0</v>
      </c>
      <c r="BI85" s="9">
        <f>Raw!BI86/Raw!$C86</f>
        <v>0</v>
      </c>
      <c r="BJ85" s="9">
        <f>Raw!BJ86/Raw!$C86</f>
        <v>0</v>
      </c>
      <c r="BK85" s="9">
        <f>Raw!BK86/Raw!$C86</f>
        <v>0</v>
      </c>
      <c r="BL85" s="9">
        <f>Raw!BL86/Raw!$C86</f>
        <v>0</v>
      </c>
      <c r="BM85" s="9">
        <f>Raw!BM86/Raw!$C86</f>
        <v>0</v>
      </c>
      <c r="BN85" s="9">
        <f>Raw!BN86/Raw!$C86</f>
        <v>0</v>
      </c>
      <c r="BO85" s="9">
        <f>Raw!BO86/Raw!$C86</f>
        <v>0</v>
      </c>
      <c r="BP85" s="9">
        <f>Raw!BP86/Raw!$C86</f>
        <v>0</v>
      </c>
      <c r="BQ85" s="9">
        <f>Raw!BQ86/Raw!$C86</f>
        <v>0</v>
      </c>
      <c r="BR85" s="9">
        <f>Raw!BR86/Raw!$C86</f>
        <v>0</v>
      </c>
      <c r="BS85" s="9">
        <f>Raw!BS86/Raw!$C86</f>
        <v>0</v>
      </c>
      <c r="BT85" s="9">
        <f>Raw!BT86/Raw!$C86</f>
        <v>0</v>
      </c>
      <c r="BU85" s="9">
        <f>Raw!BU86/Raw!$C86</f>
        <v>0</v>
      </c>
      <c r="BV85" s="9">
        <f>Raw!BV86/Raw!$C86</f>
        <v>0</v>
      </c>
      <c r="BW85" s="9">
        <f>Raw!BW86/Raw!$C86</f>
        <v>0</v>
      </c>
      <c r="BX85" s="9">
        <f>Raw!BX86/Raw!$C86</f>
        <v>0</v>
      </c>
      <c r="BY85" s="9">
        <f>Raw!BY86/Raw!$C86</f>
        <v>0</v>
      </c>
      <c r="BZ85" s="9">
        <f>Raw!BZ86/Raw!$C86</f>
        <v>0</v>
      </c>
      <c r="CA85" s="9">
        <f>Raw!CA86/Raw!$C86</f>
        <v>0</v>
      </c>
      <c r="CB85" s="9">
        <f>Raw!CB86/Raw!$C86</f>
        <v>0</v>
      </c>
      <c r="CC85" s="9">
        <f>Raw!CC86/Raw!$C86</f>
        <v>0</v>
      </c>
      <c r="CD85" s="9">
        <f>Raw!CD86/Raw!$C86</f>
        <v>0</v>
      </c>
      <c r="CE85" s="9">
        <f>Raw!CE86/Raw!$C86</f>
        <v>0</v>
      </c>
      <c r="CF85" s="9">
        <f>Raw!CF86/Raw!$C86</f>
        <v>0</v>
      </c>
      <c r="CG85" s="9">
        <f>Raw!CG86/Raw!$C86</f>
        <v>0</v>
      </c>
      <c r="CH85" s="9">
        <f>Raw!CH86/Raw!$C86</f>
        <v>0</v>
      </c>
      <c r="CI85" s="9">
        <f>Raw!CI86/Raw!$C86</f>
        <v>0</v>
      </c>
      <c r="CJ85" s="9">
        <f>Raw!CJ86/Raw!$C86</f>
        <v>0</v>
      </c>
      <c r="CK85" s="9">
        <f>Raw!CK86/Raw!$C86</f>
        <v>0</v>
      </c>
      <c r="CL85" s="9">
        <f>Raw!CL86/Raw!$C86</f>
        <v>0</v>
      </c>
      <c r="CM85" s="9">
        <f>Raw!CM86/Raw!$C86</f>
        <v>0</v>
      </c>
      <c r="CN85" s="9">
        <f>Raw!CN86/Raw!$C86</f>
        <v>0</v>
      </c>
      <c r="CO85" s="9">
        <f>Raw!CO86/Raw!$C86</f>
        <v>0</v>
      </c>
      <c r="CP85" s="9">
        <f>Raw!CP86/Raw!$C86</f>
        <v>0</v>
      </c>
      <c r="CQ85" s="9">
        <f>Raw!CQ86/Raw!$C86</f>
        <v>0</v>
      </c>
      <c r="CR85" s="2">
        <f t="shared" si="39"/>
        <v>120</v>
      </c>
      <c r="CS85" s="2">
        <f t="shared" si="40"/>
        <v>573.76</v>
      </c>
      <c r="CT85" s="3">
        <f t="shared" si="37"/>
        <v>2.0791812460476247</v>
      </c>
      <c r="CU85" s="3">
        <f t="shared" si="38"/>
        <v>2.7587302678820889</v>
      </c>
      <c r="CZ85" s="3">
        <f t="shared" si="47"/>
        <v>2.0791812460476247</v>
      </c>
      <c r="DA85" s="3">
        <f t="shared" si="48"/>
        <v>2.7587302678820889</v>
      </c>
      <c r="DB85" s="6">
        <f t="shared" si="49"/>
        <v>0.84127007129981823</v>
      </c>
      <c r="DC85" s="3">
        <v>4</v>
      </c>
      <c r="DD85" s="3">
        <f>DC85/Raw!C86</f>
        <v>16</v>
      </c>
      <c r="DE85" s="5">
        <f t="shared" si="41"/>
        <v>3.3333333333333333E-2</v>
      </c>
      <c r="DF85">
        <f t="shared" si="42"/>
        <v>-1.4771212547196624</v>
      </c>
      <c r="DH85" s="4">
        <f>-SUM('Shannon-Weiner'!B84:Z84)</f>
        <v>0.98197164366162137</v>
      </c>
      <c r="DI85" s="4">
        <f>SUM('p^2'!B84:Z84)</f>
        <v>0.43777777777777771</v>
      </c>
      <c r="DJ85" s="4">
        <f t="shared" si="43"/>
        <v>0.56222222222222229</v>
      </c>
      <c r="DK85">
        <f t="shared" si="44"/>
        <v>2.2842639593908634</v>
      </c>
      <c r="DL85" s="4">
        <f>SUM('Shannon-Weiner_B'!B84:Z84)</f>
        <v>-0.44924844870923863</v>
      </c>
      <c r="DM85" s="4">
        <f>SUM('p_B^2'!B84:Z84)</f>
        <v>0.77462840206491823</v>
      </c>
      <c r="DN85" s="4">
        <f t="shared" si="45"/>
        <v>0.22537159793508177</v>
      </c>
      <c r="DO85">
        <f t="shared" si="46"/>
        <v>1.2909415628633176</v>
      </c>
    </row>
    <row r="86" spans="2:119" x14ac:dyDescent="0.25">
      <c r="B86" t="str">
        <f>Raw!B87</f>
        <v>TB29</v>
      </c>
      <c r="C86">
        <v>1</v>
      </c>
      <c r="D86" s="9">
        <f>Raw!D87/Raw!$C87</f>
        <v>32</v>
      </c>
      <c r="E86" s="9">
        <f>Raw!E87/Raw!$C87</f>
        <v>4.76</v>
      </c>
      <c r="F86" s="9">
        <f>Raw!F87/Raw!$C87</f>
        <v>0</v>
      </c>
      <c r="G86" s="9">
        <f>Raw!G87/Raw!$C87</f>
        <v>0</v>
      </c>
      <c r="H86" s="9">
        <f>Raw!H87/Raw!$C87</f>
        <v>0</v>
      </c>
      <c r="I86" s="9">
        <f>Raw!I87/Raw!$C87</f>
        <v>0</v>
      </c>
      <c r="J86" s="9">
        <f>Raw!J87/Raw!$C87</f>
        <v>0</v>
      </c>
      <c r="K86" s="9">
        <f>Raw!K87/Raw!$C87</f>
        <v>0</v>
      </c>
      <c r="L86" s="9">
        <f>Raw!L87/Raw!$C87</f>
        <v>0</v>
      </c>
      <c r="M86" s="9">
        <f>Raw!M87/Raw!$C87</f>
        <v>0</v>
      </c>
      <c r="N86" s="9">
        <f>Raw!N87/Raw!$C87</f>
        <v>0</v>
      </c>
      <c r="O86" s="9">
        <f>Raw!O87/Raw!$C87</f>
        <v>0</v>
      </c>
      <c r="P86" s="9">
        <f>Raw!P87/Raw!$C87</f>
        <v>0</v>
      </c>
      <c r="Q86" s="9">
        <f>Raw!Q87/Raw!$C87</f>
        <v>0</v>
      </c>
      <c r="R86" s="9">
        <f>Raw!R87/Raw!$C87</f>
        <v>0</v>
      </c>
      <c r="S86" s="9">
        <f>Raw!S87/Raw!$C87</f>
        <v>0</v>
      </c>
      <c r="T86" s="9">
        <f>Raw!T87/Raw!$C87</f>
        <v>0</v>
      </c>
      <c r="U86" s="9">
        <f>Raw!U87/Raw!$C87</f>
        <v>0</v>
      </c>
      <c r="V86" s="9">
        <f>Raw!V87/Raw!$C87</f>
        <v>0</v>
      </c>
      <c r="W86" s="9">
        <f>Raw!W87/Raw!$C87</f>
        <v>0</v>
      </c>
      <c r="X86" s="9">
        <f>Raw!X87/Raw!$C87</f>
        <v>4</v>
      </c>
      <c r="Y86" s="9">
        <f>Raw!Y87/Raw!$C87</f>
        <v>0.23999999999999844</v>
      </c>
      <c r="Z86" s="9">
        <f>Raw!Z87/Raw!$C87</f>
        <v>0</v>
      </c>
      <c r="AA86" s="9">
        <f>Raw!AA87/Raw!$C87</f>
        <v>0</v>
      </c>
      <c r="AB86" s="9">
        <f>Raw!AB87/Raw!$C87</f>
        <v>0</v>
      </c>
      <c r="AC86" s="9">
        <f>Raw!AC87/Raw!$C87</f>
        <v>0</v>
      </c>
      <c r="AD86" s="9">
        <f>Raw!AD87/Raw!$C87</f>
        <v>0</v>
      </c>
      <c r="AE86" s="9">
        <f>Raw!AE87/Raw!$C87</f>
        <v>0</v>
      </c>
      <c r="AF86" s="9">
        <f>Raw!AF87/Raw!$C87</f>
        <v>0</v>
      </c>
      <c r="AG86" s="9">
        <f>Raw!AG87/Raw!$C87</f>
        <v>0</v>
      </c>
      <c r="AH86" s="9">
        <f>Raw!AH87/Raw!$C87</f>
        <v>0</v>
      </c>
      <c r="AI86" s="9">
        <f>Raw!AI87/Raw!$C87</f>
        <v>0</v>
      </c>
      <c r="AJ86" s="9">
        <f>Raw!AJ87/Raw!$C87</f>
        <v>4</v>
      </c>
      <c r="AK86" s="9">
        <f>Raw!AK87/Raw!$C87</f>
        <v>81.2</v>
      </c>
      <c r="AL86" s="9">
        <f>Raw!AL87/Raw!$C87</f>
        <v>8</v>
      </c>
      <c r="AM86" s="9">
        <f>Raw!AM87/Raw!$C87</f>
        <v>623.16</v>
      </c>
      <c r="AN86" s="9">
        <f>Raw!AN87/Raw!$C87</f>
        <v>0</v>
      </c>
      <c r="AO86" s="9">
        <f>Raw!AO87/Raw!$C87</f>
        <v>0</v>
      </c>
      <c r="AP86" s="9">
        <f>Raw!AP87/Raw!$C87</f>
        <v>0</v>
      </c>
      <c r="AQ86" s="9">
        <f>Raw!AQ87/Raw!$C87</f>
        <v>0</v>
      </c>
      <c r="AR86" s="9">
        <f>Raw!AR87/Raw!$C87</f>
        <v>0</v>
      </c>
      <c r="AS86" s="9">
        <f>Raw!AS87/Raw!$C87</f>
        <v>0</v>
      </c>
      <c r="AT86" s="9">
        <f>Raw!AT87/Raw!$C87</f>
        <v>0</v>
      </c>
      <c r="AU86" s="9">
        <f>Raw!AU87/Raw!$C87</f>
        <v>0</v>
      </c>
      <c r="AV86" s="9">
        <f>Raw!AV87/Raw!$C87</f>
        <v>0</v>
      </c>
      <c r="AW86" s="9">
        <f>Raw!AW87/Raw!$C87</f>
        <v>0</v>
      </c>
      <c r="AX86" s="9">
        <f>Raw!AX87/Raw!$C87</f>
        <v>0</v>
      </c>
      <c r="AY86" s="9">
        <f>Raw!AY87/Raw!$C87</f>
        <v>0</v>
      </c>
      <c r="AZ86" s="9">
        <f>Raw!AZ87/Raw!$C87</f>
        <v>0</v>
      </c>
      <c r="BA86" s="9">
        <f>Raw!BA87/Raw!$C87</f>
        <v>0</v>
      </c>
      <c r="BB86" s="9">
        <f>Raw!BB87/Raw!$C87</f>
        <v>0</v>
      </c>
      <c r="BC86" s="9">
        <f>Raw!BC87/Raw!$C87</f>
        <v>0</v>
      </c>
      <c r="BD86" s="9">
        <f>Raw!BD87/Raw!$C87</f>
        <v>0</v>
      </c>
      <c r="BE86" s="9">
        <f>Raw!BE87/Raw!$C87</f>
        <v>0</v>
      </c>
      <c r="BF86" s="9">
        <f>Raw!BF87/Raw!$C87</f>
        <v>0</v>
      </c>
      <c r="BG86" s="9">
        <f>Raw!BG87/Raw!$C87</f>
        <v>0</v>
      </c>
      <c r="BH86" s="9">
        <f>Raw!BH87/Raw!$C87</f>
        <v>0</v>
      </c>
      <c r="BI86" s="9">
        <f>Raw!BI87/Raw!$C87</f>
        <v>0</v>
      </c>
      <c r="BJ86" s="9">
        <f>Raw!BJ87/Raw!$C87</f>
        <v>0</v>
      </c>
      <c r="BK86" s="9">
        <f>Raw!BK87/Raw!$C87</f>
        <v>0</v>
      </c>
      <c r="BL86" s="9">
        <f>Raw!BL87/Raw!$C87</f>
        <v>0</v>
      </c>
      <c r="BM86" s="9">
        <f>Raw!BM87/Raw!$C87</f>
        <v>0</v>
      </c>
      <c r="BN86" s="9">
        <f>Raw!BN87/Raw!$C87</f>
        <v>0</v>
      </c>
      <c r="BO86" s="9">
        <f>Raw!BO87/Raw!$C87</f>
        <v>0</v>
      </c>
      <c r="BP86" s="9">
        <f>Raw!BP87/Raw!$C87</f>
        <v>0</v>
      </c>
      <c r="BQ86" s="9">
        <f>Raw!BQ87/Raw!$C87</f>
        <v>0</v>
      </c>
      <c r="BR86" s="9">
        <f>Raw!BR87/Raw!$C87</f>
        <v>0</v>
      </c>
      <c r="BS86" s="9">
        <f>Raw!BS87/Raw!$C87</f>
        <v>0</v>
      </c>
      <c r="BT86" s="9">
        <f>Raw!BT87/Raw!$C87</f>
        <v>0</v>
      </c>
      <c r="BU86" s="9">
        <f>Raw!BU87/Raw!$C87</f>
        <v>0</v>
      </c>
      <c r="BV86" s="9">
        <f>Raw!BV87/Raw!$C87</f>
        <v>0</v>
      </c>
      <c r="BW86" s="9">
        <f>Raw!BW87/Raw!$C87</f>
        <v>0</v>
      </c>
      <c r="BX86" s="9">
        <f>Raw!BX87/Raw!$C87</f>
        <v>0</v>
      </c>
      <c r="BY86" s="9">
        <f>Raw!BY87/Raw!$C87</f>
        <v>0</v>
      </c>
      <c r="BZ86" s="9">
        <f>Raw!BZ87/Raw!$C87</f>
        <v>0</v>
      </c>
      <c r="CA86" s="9">
        <f>Raw!CA87/Raw!$C87</f>
        <v>0</v>
      </c>
      <c r="CB86" s="9">
        <f>Raw!CB87/Raw!$C87</f>
        <v>0</v>
      </c>
      <c r="CC86" s="9">
        <f>Raw!CC87/Raw!$C87</f>
        <v>0</v>
      </c>
      <c r="CD86" s="9">
        <f>Raw!CD87/Raw!$C87</f>
        <v>0</v>
      </c>
      <c r="CE86" s="9">
        <f>Raw!CE87/Raw!$C87</f>
        <v>0</v>
      </c>
      <c r="CF86" s="9">
        <f>Raw!CF87/Raw!$C87</f>
        <v>0</v>
      </c>
      <c r="CG86" s="9">
        <f>Raw!CG87/Raw!$C87</f>
        <v>0</v>
      </c>
      <c r="CH86" s="9">
        <f>Raw!CH87/Raw!$C87</f>
        <v>0</v>
      </c>
      <c r="CI86" s="9">
        <f>Raw!CI87/Raw!$C87</f>
        <v>0</v>
      </c>
      <c r="CJ86" s="9">
        <f>Raw!CJ87/Raw!$C87</f>
        <v>0</v>
      </c>
      <c r="CK86" s="9">
        <f>Raw!CK87/Raw!$C87</f>
        <v>0</v>
      </c>
      <c r="CL86" s="9">
        <f>Raw!CL87/Raw!$C87</f>
        <v>0</v>
      </c>
      <c r="CM86" s="9">
        <f>Raw!CM87/Raw!$C87</f>
        <v>0</v>
      </c>
      <c r="CN86" s="9">
        <f>Raw!CN87/Raw!$C87</f>
        <v>0</v>
      </c>
      <c r="CO86" s="9">
        <f>Raw!CO87/Raw!$C87</f>
        <v>0</v>
      </c>
      <c r="CP86" s="9">
        <f>Raw!CP87/Raw!$C87</f>
        <v>0</v>
      </c>
      <c r="CQ86" s="9">
        <f>Raw!CQ87/Raw!$C87</f>
        <v>0</v>
      </c>
      <c r="CR86" s="2">
        <f t="shared" si="39"/>
        <v>48</v>
      </c>
      <c r="CS86" s="2">
        <f t="shared" si="40"/>
        <v>709.36</v>
      </c>
      <c r="CT86" s="3">
        <f t="shared" si="37"/>
        <v>1.6812412373755872</v>
      </c>
      <c r="CU86" s="3">
        <f t="shared" si="38"/>
        <v>2.8508666954566819</v>
      </c>
      <c r="CZ86" s="3">
        <f t="shared" si="47"/>
        <v>1.6812412373755872</v>
      </c>
      <c r="DA86" s="3">
        <f t="shared" si="48"/>
        <v>2.8508666954566819</v>
      </c>
      <c r="DB86" s="6">
        <f t="shared" si="49"/>
        <v>0.86440052813826718</v>
      </c>
      <c r="DC86" s="3">
        <v>4</v>
      </c>
      <c r="DD86" s="3">
        <f>DC86/Raw!C87</f>
        <v>16</v>
      </c>
      <c r="DE86" s="5">
        <f t="shared" si="41"/>
        <v>8.3333333333333329E-2</v>
      </c>
      <c r="DF86">
        <f t="shared" si="42"/>
        <v>-1.0791812460476249</v>
      </c>
      <c r="DH86" s="4">
        <f>-SUM('Shannon-Weiner'!B85:Z85)</f>
        <v>0.98308775857478548</v>
      </c>
      <c r="DI86" s="4">
        <f>SUM('p^2'!B85:Z85)</f>
        <v>0.48611111111111105</v>
      </c>
      <c r="DJ86" s="4">
        <f t="shared" si="43"/>
        <v>0.51388888888888895</v>
      </c>
      <c r="DK86">
        <f t="shared" si="44"/>
        <v>2.0571428571428574</v>
      </c>
      <c r="DL86" s="4">
        <f>SUM('Shannon-Weiner_B'!B85:Z85)</f>
        <v>-0.39820518417252782</v>
      </c>
      <c r="DM86" s="4">
        <f>SUM('p_B^2'!B85:Z85)</f>
        <v>0.78487902672691934</v>
      </c>
      <c r="DN86" s="4">
        <f t="shared" si="45"/>
        <v>0.21512097327308066</v>
      </c>
      <c r="DO86">
        <f t="shared" si="46"/>
        <v>1.2740816940543973</v>
      </c>
    </row>
    <row r="87" spans="2:119" x14ac:dyDescent="0.25">
      <c r="B87" t="str">
        <f>Raw!B88</f>
        <v>TB30</v>
      </c>
      <c r="C87">
        <v>1</v>
      </c>
      <c r="D87" s="9">
        <f>Raw!D88/Raw!$C88</f>
        <v>0</v>
      </c>
      <c r="E87" s="9">
        <f>Raw!E88/Raw!$C88</f>
        <v>0</v>
      </c>
      <c r="F87" s="9">
        <f>Raw!F88/Raw!$C88</f>
        <v>0</v>
      </c>
      <c r="G87" s="9">
        <f>Raw!G88/Raw!$C88</f>
        <v>0</v>
      </c>
      <c r="H87" s="9">
        <f>Raw!H88/Raw!$C88</f>
        <v>0</v>
      </c>
      <c r="I87" s="9">
        <f>Raw!I88/Raw!$C88</f>
        <v>0</v>
      </c>
      <c r="J87" s="9">
        <f>Raw!J88/Raw!$C88</f>
        <v>0</v>
      </c>
      <c r="K87" s="9">
        <f>Raw!K88/Raw!$C88</f>
        <v>0</v>
      </c>
      <c r="L87" s="9">
        <f>Raw!L88/Raw!$C88</f>
        <v>4</v>
      </c>
      <c r="M87" s="9">
        <f>Raw!M88/Raw!$C88</f>
        <v>1310.8400000000001</v>
      </c>
      <c r="N87" s="9">
        <f>Raw!N88/Raw!$C88</f>
        <v>0</v>
      </c>
      <c r="O87" s="9">
        <f>Raw!O88/Raw!$C88</f>
        <v>0</v>
      </c>
      <c r="P87" s="9">
        <f>Raw!P88/Raw!$C88</f>
        <v>0</v>
      </c>
      <c r="Q87" s="9">
        <f>Raw!Q88/Raw!$C88</f>
        <v>0</v>
      </c>
      <c r="R87" s="9">
        <f>Raw!R88/Raw!$C88</f>
        <v>0</v>
      </c>
      <c r="S87" s="9">
        <f>Raw!S88/Raw!$C88</f>
        <v>0</v>
      </c>
      <c r="T87" s="9">
        <f>Raw!T88/Raw!$C88</f>
        <v>0</v>
      </c>
      <c r="U87" s="9">
        <f>Raw!U88/Raw!$C88</f>
        <v>0</v>
      </c>
      <c r="V87" s="9">
        <f>Raw!V88/Raw!$C88</f>
        <v>0</v>
      </c>
      <c r="W87" s="9">
        <f>Raw!W88/Raw!$C88</f>
        <v>0</v>
      </c>
      <c r="X87" s="9">
        <f>Raw!X88/Raw!$C88</f>
        <v>0</v>
      </c>
      <c r="Y87" s="9">
        <f>Raw!Y88/Raw!$C88</f>
        <v>0</v>
      </c>
      <c r="Z87" s="9">
        <f>Raw!Z88/Raw!$C88</f>
        <v>0</v>
      </c>
      <c r="AA87" s="9">
        <f>Raw!AA88/Raw!$C88</f>
        <v>0</v>
      </c>
      <c r="AB87" s="9">
        <f>Raw!AB88/Raw!$C88</f>
        <v>0</v>
      </c>
      <c r="AC87" s="9">
        <f>Raw!AC88/Raw!$C88</f>
        <v>0</v>
      </c>
      <c r="AD87" s="9">
        <f>Raw!AD88/Raw!$C88</f>
        <v>0</v>
      </c>
      <c r="AE87" s="9">
        <f>Raw!AE88/Raw!$C88</f>
        <v>0</v>
      </c>
      <c r="AF87" s="9">
        <f>Raw!AF88/Raw!$C88</f>
        <v>0</v>
      </c>
      <c r="AG87" s="9">
        <f>Raw!AG88/Raw!$C88</f>
        <v>0</v>
      </c>
      <c r="AH87" s="9">
        <f>Raw!AH88/Raw!$C88</f>
        <v>0</v>
      </c>
      <c r="AI87" s="9">
        <f>Raw!AI88/Raw!$C88</f>
        <v>0</v>
      </c>
      <c r="AJ87" s="9">
        <f>Raw!AJ88/Raw!$C88</f>
        <v>0</v>
      </c>
      <c r="AK87" s="9">
        <f>Raw!AK88/Raw!$C88</f>
        <v>0</v>
      </c>
      <c r="AL87" s="9">
        <f>Raw!AL88/Raw!$C88</f>
        <v>24</v>
      </c>
      <c r="AM87" s="9">
        <f>Raw!AM88/Raw!$C88</f>
        <v>531.92000000000007</v>
      </c>
      <c r="AN87" s="9">
        <f>Raw!AN88/Raw!$C88</f>
        <v>0</v>
      </c>
      <c r="AO87" s="9">
        <f>Raw!AO88/Raw!$C88</f>
        <v>0</v>
      </c>
      <c r="AP87" s="9">
        <f>Raw!AP88/Raw!$C88</f>
        <v>0</v>
      </c>
      <c r="AQ87" s="9">
        <f>Raw!AQ88/Raw!$C88</f>
        <v>0</v>
      </c>
      <c r="AR87" s="9">
        <f>Raw!AR88/Raw!$C88</f>
        <v>0</v>
      </c>
      <c r="AS87" s="9">
        <f>Raw!AS88/Raw!$C88</f>
        <v>0</v>
      </c>
      <c r="AT87" s="9">
        <f>Raw!AT88/Raw!$C88</f>
        <v>0</v>
      </c>
      <c r="AU87" s="9">
        <f>Raw!AU88/Raw!$C88</f>
        <v>0</v>
      </c>
      <c r="AV87" s="9">
        <f>Raw!AV88/Raw!$C88</f>
        <v>0</v>
      </c>
      <c r="AW87" s="9">
        <f>Raw!AW88/Raw!$C88</f>
        <v>0</v>
      </c>
      <c r="AX87" s="9">
        <f>Raw!AX88/Raw!$C88</f>
        <v>0</v>
      </c>
      <c r="AY87" s="9">
        <f>Raw!AY88/Raw!$C88</f>
        <v>0</v>
      </c>
      <c r="AZ87" s="9">
        <f>Raw!AZ88/Raw!$C88</f>
        <v>0</v>
      </c>
      <c r="BA87" s="9">
        <f>Raw!BA88/Raw!$C88</f>
        <v>0</v>
      </c>
      <c r="BB87" s="9">
        <f>Raw!BB88/Raw!$C88</f>
        <v>0</v>
      </c>
      <c r="BC87" s="9">
        <f>Raw!BC88/Raw!$C88</f>
        <v>0</v>
      </c>
      <c r="BD87" s="9">
        <f>Raw!BD88/Raw!$C88</f>
        <v>0</v>
      </c>
      <c r="BE87" s="9">
        <f>Raw!BE88/Raw!$C88</f>
        <v>0</v>
      </c>
      <c r="BF87" s="9">
        <f>Raw!BF88/Raw!$C88</f>
        <v>0</v>
      </c>
      <c r="BG87" s="9">
        <f>Raw!BG88/Raw!$C88</f>
        <v>0</v>
      </c>
      <c r="BH87" s="9">
        <f>Raw!BH88/Raw!$C88</f>
        <v>0</v>
      </c>
      <c r="BI87" s="9">
        <f>Raw!BI88/Raw!$C88</f>
        <v>0</v>
      </c>
      <c r="BJ87" s="9">
        <f>Raw!BJ88/Raw!$C88</f>
        <v>0</v>
      </c>
      <c r="BK87" s="9">
        <f>Raw!BK88/Raw!$C88</f>
        <v>0</v>
      </c>
      <c r="BL87" s="9">
        <f>Raw!BL88/Raw!$C88</f>
        <v>0</v>
      </c>
      <c r="BM87" s="9">
        <f>Raw!BM88/Raw!$C88</f>
        <v>0</v>
      </c>
      <c r="BN87" s="9">
        <f>Raw!BN88/Raw!$C88</f>
        <v>0</v>
      </c>
      <c r="BO87" s="9">
        <f>Raw!BO88/Raw!$C88</f>
        <v>0</v>
      </c>
      <c r="BP87" s="9">
        <f>Raw!BP88/Raw!$C88</f>
        <v>0</v>
      </c>
      <c r="BQ87" s="9">
        <f>Raw!BQ88/Raw!$C88</f>
        <v>0</v>
      </c>
      <c r="BR87" s="9">
        <f>Raw!BR88/Raw!$C88</f>
        <v>0</v>
      </c>
      <c r="BS87" s="9">
        <f>Raw!BS88/Raw!$C88</f>
        <v>0</v>
      </c>
      <c r="BT87" s="9">
        <f>Raw!BT88/Raw!$C88</f>
        <v>0</v>
      </c>
      <c r="BU87" s="9">
        <f>Raw!BU88/Raw!$C88</f>
        <v>0</v>
      </c>
      <c r="BV87" s="9">
        <f>Raw!BV88/Raw!$C88</f>
        <v>0</v>
      </c>
      <c r="BW87" s="9">
        <f>Raw!BW88/Raw!$C88</f>
        <v>0</v>
      </c>
      <c r="BX87" s="9">
        <f>Raw!BX88/Raw!$C88</f>
        <v>0</v>
      </c>
      <c r="BY87" s="9">
        <f>Raw!BY88/Raw!$C88</f>
        <v>0</v>
      </c>
      <c r="BZ87" s="9">
        <f>Raw!BZ88/Raw!$C88</f>
        <v>0</v>
      </c>
      <c r="CA87" s="9">
        <f>Raw!CA88/Raw!$C88</f>
        <v>0</v>
      </c>
      <c r="CB87" s="9">
        <f>Raw!CB88/Raw!$C88</f>
        <v>0</v>
      </c>
      <c r="CC87" s="9">
        <f>Raw!CC88/Raw!$C88</f>
        <v>0</v>
      </c>
      <c r="CD87" s="9">
        <f>Raw!CD88/Raw!$C88</f>
        <v>0</v>
      </c>
      <c r="CE87" s="9">
        <f>Raw!CE88/Raw!$C88</f>
        <v>0</v>
      </c>
      <c r="CF87" s="9">
        <f>Raw!CF88/Raw!$C88</f>
        <v>0</v>
      </c>
      <c r="CG87" s="9">
        <f>Raw!CG88/Raw!$C88</f>
        <v>0</v>
      </c>
      <c r="CH87" s="9">
        <f>Raw!CH88/Raw!$C88</f>
        <v>0</v>
      </c>
      <c r="CI87" s="9">
        <f>Raw!CI88/Raw!$C88</f>
        <v>0</v>
      </c>
      <c r="CJ87" s="9">
        <f>Raw!CJ88/Raw!$C88</f>
        <v>0</v>
      </c>
      <c r="CK87" s="9">
        <f>Raw!CK88/Raw!$C88</f>
        <v>0</v>
      </c>
      <c r="CL87" s="9">
        <f>Raw!CL88/Raw!$C88</f>
        <v>0</v>
      </c>
      <c r="CM87" s="9">
        <f>Raw!CM88/Raw!$C88</f>
        <v>0</v>
      </c>
      <c r="CN87" s="9">
        <f>Raw!CN88/Raw!$C88</f>
        <v>0</v>
      </c>
      <c r="CO87" s="9">
        <f>Raw!CO88/Raw!$C88</f>
        <v>0</v>
      </c>
      <c r="CP87" s="9">
        <f>Raw!CP88/Raw!$C88</f>
        <v>0</v>
      </c>
      <c r="CQ87" s="9">
        <f>Raw!CQ88/Raw!$C88</f>
        <v>0</v>
      </c>
      <c r="CR87" s="2">
        <f t="shared" si="39"/>
        <v>28</v>
      </c>
      <c r="CS87" s="2">
        <f t="shared" si="40"/>
        <v>1842.7600000000002</v>
      </c>
      <c r="CT87" s="3">
        <f t="shared" si="37"/>
        <v>1.4471580313422192</v>
      </c>
      <c r="CU87" s="3">
        <f t="shared" si="38"/>
        <v>3.2654687766391315</v>
      </c>
      <c r="CZ87" s="3">
        <f t="shared" si="47"/>
        <v>1.4471580313422192</v>
      </c>
      <c r="DA87" s="3">
        <f t="shared" si="48"/>
        <v>3.2654687766391315</v>
      </c>
      <c r="DB87" s="6">
        <f t="shared" si="49"/>
        <v>0.66525773258599874</v>
      </c>
      <c r="DC87" s="3">
        <v>2</v>
      </c>
      <c r="DD87" s="3">
        <f>DC87/Raw!C88</f>
        <v>8</v>
      </c>
      <c r="DE87" s="5">
        <f t="shared" si="41"/>
        <v>7.1428571428571425E-2</v>
      </c>
      <c r="DF87">
        <f t="shared" si="42"/>
        <v>-1.146128035678238</v>
      </c>
      <c r="DH87" s="4">
        <f>-SUM('Shannon-Weiner'!B86:Z86)</f>
        <v>0.410116318288409</v>
      </c>
      <c r="DI87" s="4">
        <f>SUM('p^2'!B86:Z86)</f>
        <v>0.75510204081632648</v>
      </c>
      <c r="DJ87" s="4">
        <f t="shared" si="43"/>
        <v>0.24489795918367352</v>
      </c>
      <c r="DK87">
        <f t="shared" si="44"/>
        <v>1.3243243243243243</v>
      </c>
      <c r="DL87" s="4">
        <f>SUM('Shannon-Weiner_B'!B86:Z86)</f>
        <v>-0.60094207007766942</v>
      </c>
      <c r="DM87" s="4">
        <f>SUM('p_B^2'!B86:Z86)</f>
        <v>0.58933428409453747</v>
      </c>
      <c r="DN87" s="4">
        <f t="shared" si="45"/>
        <v>0.41066571590546253</v>
      </c>
      <c r="DO87">
        <f t="shared" si="46"/>
        <v>1.6968298417194849</v>
      </c>
    </row>
    <row r="88" spans="2:119" x14ac:dyDescent="0.25">
      <c r="B88" t="str">
        <f>Raw!B89</f>
        <v>TB31</v>
      </c>
      <c r="C88">
        <v>1</v>
      </c>
      <c r="D88" s="9">
        <f>Raw!D89/Raw!$C89</f>
        <v>12</v>
      </c>
      <c r="E88" s="9">
        <f>Raw!E89/Raw!$C89</f>
        <v>2</v>
      </c>
      <c r="F88" s="9">
        <f>Raw!F89/Raw!$C89</f>
        <v>0</v>
      </c>
      <c r="G88" s="9">
        <f>Raw!G89/Raw!$C89</f>
        <v>0</v>
      </c>
      <c r="H88" s="9">
        <f>Raw!H89/Raw!$C89</f>
        <v>0</v>
      </c>
      <c r="I88" s="9">
        <f>Raw!I89/Raw!$C89</f>
        <v>0</v>
      </c>
      <c r="J88" s="9">
        <f>Raw!J89/Raw!$C89</f>
        <v>0</v>
      </c>
      <c r="K88" s="9">
        <f>Raw!K89/Raw!$C89</f>
        <v>0</v>
      </c>
      <c r="L88" s="9">
        <f>Raw!L89/Raw!$C89</f>
        <v>0</v>
      </c>
      <c r="M88" s="9">
        <f>Raw!M89/Raw!$C89</f>
        <v>0</v>
      </c>
      <c r="N88" s="9">
        <f>Raw!N89/Raw!$C89</f>
        <v>4</v>
      </c>
      <c r="O88" s="9">
        <f>Raw!O89/Raw!$C89</f>
        <v>9.36</v>
      </c>
      <c r="P88" s="9">
        <f>Raw!P89/Raw!$C89</f>
        <v>0</v>
      </c>
      <c r="Q88" s="9">
        <f>Raw!Q89/Raw!$C89</f>
        <v>0</v>
      </c>
      <c r="R88" s="9">
        <f>Raw!R89/Raw!$C89</f>
        <v>0</v>
      </c>
      <c r="S88" s="9">
        <f>Raw!S89/Raw!$C89</f>
        <v>0</v>
      </c>
      <c r="T88" s="9">
        <f>Raw!T89/Raw!$C89</f>
        <v>0</v>
      </c>
      <c r="U88" s="9">
        <f>Raw!U89/Raw!$C89</f>
        <v>0</v>
      </c>
      <c r="V88" s="9">
        <f>Raw!V89/Raw!$C89</f>
        <v>0</v>
      </c>
      <c r="W88" s="9">
        <f>Raw!W89/Raw!$C89</f>
        <v>0</v>
      </c>
      <c r="X88" s="9">
        <f>Raw!X89/Raw!$C89</f>
        <v>60</v>
      </c>
      <c r="Y88" s="9">
        <f>Raw!Y89/Raw!$C89</f>
        <v>0.79999999999999716</v>
      </c>
      <c r="Z88" s="9">
        <f>Raw!Z89/Raw!$C89</f>
        <v>0</v>
      </c>
      <c r="AA88" s="9">
        <f>Raw!AA89/Raw!$C89</f>
        <v>0</v>
      </c>
      <c r="AB88" s="9">
        <f>Raw!AB89/Raw!$C89</f>
        <v>0</v>
      </c>
      <c r="AC88" s="9">
        <f>Raw!AC89/Raw!$C89</f>
        <v>0</v>
      </c>
      <c r="AD88" s="9">
        <f>Raw!AD89/Raw!$C89</f>
        <v>0</v>
      </c>
      <c r="AE88" s="9">
        <f>Raw!AE89/Raw!$C89</f>
        <v>0</v>
      </c>
      <c r="AF88" s="9">
        <f>Raw!AF89/Raw!$C89</f>
        <v>0</v>
      </c>
      <c r="AG88" s="9">
        <f>Raw!AG89/Raw!$C89</f>
        <v>0</v>
      </c>
      <c r="AH88" s="9">
        <f>Raw!AH89/Raw!$C89</f>
        <v>0</v>
      </c>
      <c r="AI88" s="9">
        <f>Raw!AI89/Raw!$C89</f>
        <v>0</v>
      </c>
      <c r="AJ88" s="9">
        <f>Raw!AJ89/Raw!$C89</f>
        <v>4</v>
      </c>
      <c r="AK88" s="9">
        <f>Raw!AK89/Raw!$C89</f>
        <v>0.39999999999999858</v>
      </c>
      <c r="AL88" s="9">
        <f>Raw!AL89/Raw!$C89</f>
        <v>20</v>
      </c>
      <c r="AM88" s="9">
        <f>Raw!AM89/Raw!$C89</f>
        <v>771.04</v>
      </c>
      <c r="AN88" s="9">
        <f>Raw!AN89/Raw!$C89</f>
        <v>0</v>
      </c>
      <c r="AO88" s="9">
        <f>Raw!AO89/Raw!$C89</f>
        <v>0</v>
      </c>
      <c r="AP88" s="9">
        <f>Raw!AP89/Raw!$C89</f>
        <v>0</v>
      </c>
      <c r="AQ88" s="9">
        <f>Raw!AQ89/Raw!$C89</f>
        <v>0</v>
      </c>
      <c r="AR88" s="9">
        <f>Raw!AR89/Raw!$C89</f>
        <v>0</v>
      </c>
      <c r="AS88" s="9">
        <f>Raw!AS89/Raw!$C89</f>
        <v>0</v>
      </c>
      <c r="AT88" s="9">
        <f>Raw!AT89/Raw!$C89</f>
        <v>0</v>
      </c>
      <c r="AU88" s="9">
        <f>Raw!AU89/Raw!$C89</f>
        <v>0</v>
      </c>
      <c r="AV88" s="9">
        <f>Raw!AV89/Raw!$C89</f>
        <v>0</v>
      </c>
      <c r="AW88" s="9">
        <f>Raw!AW89/Raw!$C89</f>
        <v>0</v>
      </c>
      <c r="AX88" s="9">
        <f>Raw!AX89/Raw!$C89</f>
        <v>0</v>
      </c>
      <c r="AY88" s="9">
        <f>Raw!AY89/Raw!$C89</f>
        <v>0</v>
      </c>
      <c r="AZ88" s="9">
        <f>Raw!AZ89/Raw!$C89</f>
        <v>0</v>
      </c>
      <c r="BA88" s="9">
        <f>Raw!BA89/Raw!$C89</f>
        <v>0</v>
      </c>
      <c r="BB88" s="9">
        <f>Raw!BB89/Raw!$C89</f>
        <v>0</v>
      </c>
      <c r="BC88" s="9">
        <f>Raw!BC89/Raw!$C89</f>
        <v>0</v>
      </c>
      <c r="BD88" s="9">
        <f>Raw!BD89/Raw!$C89</f>
        <v>0</v>
      </c>
      <c r="BE88" s="9">
        <f>Raw!BE89/Raw!$C89</f>
        <v>0</v>
      </c>
      <c r="BF88" s="9">
        <f>Raw!BF89/Raw!$C89</f>
        <v>0</v>
      </c>
      <c r="BG88" s="9">
        <f>Raw!BG89/Raw!$C89</f>
        <v>0</v>
      </c>
      <c r="BH88" s="9">
        <f>Raw!BH89/Raw!$C89</f>
        <v>0</v>
      </c>
      <c r="BI88" s="9">
        <f>Raw!BI89/Raw!$C89</f>
        <v>0</v>
      </c>
      <c r="BJ88" s="9">
        <f>Raw!BJ89/Raw!$C89</f>
        <v>0</v>
      </c>
      <c r="BK88" s="9">
        <f>Raw!BK89/Raw!$C89</f>
        <v>0</v>
      </c>
      <c r="BL88" s="9">
        <f>Raw!BL89/Raw!$C89</f>
        <v>0</v>
      </c>
      <c r="BM88" s="9">
        <f>Raw!BM89/Raw!$C89</f>
        <v>0</v>
      </c>
      <c r="BN88" s="9">
        <f>Raw!BN89/Raw!$C89</f>
        <v>0</v>
      </c>
      <c r="BO88" s="9">
        <f>Raw!BO89/Raw!$C89</f>
        <v>0</v>
      </c>
      <c r="BP88" s="9">
        <f>Raw!BP89/Raw!$C89</f>
        <v>0</v>
      </c>
      <c r="BQ88" s="9">
        <f>Raw!BQ89/Raw!$C89</f>
        <v>0</v>
      </c>
      <c r="BR88" s="9">
        <f>Raw!BR89/Raw!$C89</f>
        <v>0</v>
      </c>
      <c r="BS88" s="9">
        <f>Raw!BS89/Raw!$C89</f>
        <v>0</v>
      </c>
      <c r="BT88" s="9">
        <f>Raw!BT89/Raw!$C89</f>
        <v>0</v>
      </c>
      <c r="BU88" s="9">
        <f>Raw!BU89/Raw!$C89</f>
        <v>0</v>
      </c>
      <c r="BV88" s="9">
        <f>Raw!BV89/Raw!$C89</f>
        <v>0</v>
      </c>
      <c r="BW88" s="9">
        <f>Raw!BW89/Raw!$C89</f>
        <v>0</v>
      </c>
      <c r="BX88" s="9">
        <f>Raw!BX89/Raw!$C89</f>
        <v>0</v>
      </c>
      <c r="BY88" s="9">
        <f>Raw!BY89/Raw!$C89</f>
        <v>0</v>
      </c>
      <c r="BZ88" s="9">
        <f>Raw!BZ89/Raw!$C89</f>
        <v>0</v>
      </c>
      <c r="CA88" s="9">
        <f>Raw!CA89/Raw!$C89</f>
        <v>0</v>
      </c>
      <c r="CB88" s="9">
        <f>Raw!CB89/Raw!$C89</f>
        <v>0</v>
      </c>
      <c r="CC88" s="9">
        <f>Raw!CC89/Raw!$C89</f>
        <v>0</v>
      </c>
      <c r="CD88" s="9">
        <f>Raw!CD89/Raw!$C89</f>
        <v>0</v>
      </c>
      <c r="CE88" s="9">
        <f>Raw!CE89/Raw!$C89</f>
        <v>0</v>
      </c>
      <c r="CF88" s="9">
        <f>Raw!CF89/Raw!$C89</f>
        <v>0</v>
      </c>
      <c r="CG88" s="9">
        <f>Raw!CG89/Raw!$C89</f>
        <v>0</v>
      </c>
      <c r="CH88" s="9">
        <f>Raw!CH89/Raw!$C89</f>
        <v>0</v>
      </c>
      <c r="CI88" s="9">
        <f>Raw!CI89/Raw!$C89</f>
        <v>0</v>
      </c>
      <c r="CJ88" s="9">
        <f>Raw!CJ89/Raw!$C89</f>
        <v>0</v>
      </c>
      <c r="CK88" s="9">
        <f>Raw!CK89/Raw!$C89</f>
        <v>0</v>
      </c>
      <c r="CL88" s="9">
        <f>Raw!CL89/Raw!$C89</f>
        <v>0</v>
      </c>
      <c r="CM88" s="9">
        <f>Raw!CM89/Raw!$C89</f>
        <v>0</v>
      </c>
      <c r="CN88" s="9">
        <f>Raw!CN89/Raw!$C89</f>
        <v>0</v>
      </c>
      <c r="CO88" s="9">
        <f>Raw!CO89/Raw!$C89</f>
        <v>0</v>
      </c>
      <c r="CP88" s="9">
        <f>Raw!CP89/Raw!$C89</f>
        <v>0</v>
      </c>
      <c r="CQ88" s="9">
        <f>Raw!CQ89/Raw!$C89</f>
        <v>0</v>
      </c>
      <c r="CR88" s="2">
        <f t="shared" si="39"/>
        <v>100</v>
      </c>
      <c r="CS88" s="2">
        <f t="shared" si="40"/>
        <v>783.59999999999991</v>
      </c>
      <c r="CT88" s="3">
        <f t="shared" si="37"/>
        <v>2</v>
      </c>
      <c r="CU88" s="3">
        <f t="shared" si="38"/>
        <v>2.8940944273226985</v>
      </c>
      <c r="CZ88" s="3">
        <f t="shared" ref="CZ88:CZ89" si="50">LOG10(CR88+CV88)</f>
        <v>2</v>
      </c>
      <c r="DA88" s="3">
        <f t="shared" ref="DA88:DA89" si="51">LOG10(CS88+CW88)</f>
        <v>2.8940944273226985</v>
      </c>
      <c r="DB88" s="6">
        <f t="shared" ref="DB88:DB89" si="52">0.590307*(4.87-0.33*CT88-CU88)</f>
        <v>0.7767882708904198</v>
      </c>
      <c r="DC88" s="3">
        <v>5</v>
      </c>
      <c r="DD88" s="3">
        <f>DC88/Raw!C89</f>
        <v>20</v>
      </c>
      <c r="DE88" s="5">
        <f t="shared" si="41"/>
        <v>0.05</v>
      </c>
      <c r="DF88">
        <f t="shared" si="42"/>
        <v>-1.3010299956639813</v>
      </c>
      <c r="DH88" s="4">
        <f>-SUM('Shannon-Weiner'!B87:Z87)</f>
        <v>1.1403246470798816</v>
      </c>
      <c r="DI88" s="4">
        <f>SUM('p^2'!B87:Z87)</f>
        <v>0.41759999999999997</v>
      </c>
      <c r="DJ88" s="4">
        <f t="shared" si="43"/>
        <v>0.58240000000000003</v>
      </c>
      <c r="DK88">
        <f t="shared" si="44"/>
        <v>2.3946360153256707</v>
      </c>
      <c r="DL88" s="4">
        <f>SUM('Shannon-Weiner_B'!B87:Z87)</f>
        <v>-9.4924674155932226E-2</v>
      </c>
      <c r="DM88" s="4">
        <f>SUM('p_B^2'!B87:Z87)</f>
        <v>0.96835024067920183</v>
      </c>
      <c r="DN88" s="4">
        <f t="shared" si="45"/>
        <v>3.1649759320798165E-2</v>
      </c>
      <c r="DO88">
        <f t="shared" si="46"/>
        <v>1.0326842065930597</v>
      </c>
    </row>
    <row r="89" spans="2:119" x14ac:dyDescent="0.25">
      <c r="B89" t="str">
        <f>Raw!B90</f>
        <v>TB32</v>
      </c>
      <c r="C89">
        <v>1</v>
      </c>
      <c r="D89" s="9">
        <f>Raw!D90/Raw!$C90</f>
        <v>143.74999999999997</v>
      </c>
      <c r="E89" s="9">
        <f>Raw!E90/Raw!$C90</f>
        <v>50.124999999999986</v>
      </c>
      <c r="F89" s="9">
        <f>Raw!F90/Raw!$C90</f>
        <v>0</v>
      </c>
      <c r="G89" s="9">
        <f>Raw!G90/Raw!$C90</f>
        <v>0</v>
      </c>
      <c r="H89" s="9">
        <f>Raw!H90/Raw!$C90</f>
        <v>0</v>
      </c>
      <c r="I89" s="9">
        <f>Raw!I90/Raw!$C90</f>
        <v>0</v>
      </c>
      <c r="J89" s="9">
        <f>Raw!J90/Raw!$C90</f>
        <v>0</v>
      </c>
      <c r="K89" s="9">
        <f>Raw!K90/Raw!$C90</f>
        <v>0</v>
      </c>
      <c r="L89" s="9">
        <f>Raw!L90/Raw!$C90</f>
        <v>0</v>
      </c>
      <c r="M89" s="9">
        <f>Raw!M90/Raw!$C90</f>
        <v>0</v>
      </c>
      <c r="N89" s="9">
        <f>Raw!N90/Raw!$C90</f>
        <v>6.2499999999999991</v>
      </c>
      <c r="O89" s="9">
        <f>Raw!O90/Raw!$C90</f>
        <v>120.93749999999999</v>
      </c>
      <c r="P89" s="9">
        <f>Raw!P90/Raw!$C90</f>
        <v>0</v>
      </c>
      <c r="Q89" s="9">
        <f>Raw!Q90/Raw!$C90</f>
        <v>0</v>
      </c>
      <c r="R89" s="9">
        <f>Raw!R90/Raw!$C90</f>
        <v>0</v>
      </c>
      <c r="S89" s="9">
        <f>Raw!S90/Raw!$C90</f>
        <v>0</v>
      </c>
      <c r="T89" s="9">
        <f>Raw!T90/Raw!$C90</f>
        <v>0</v>
      </c>
      <c r="U89" s="9">
        <f>Raw!U90/Raw!$C90</f>
        <v>0</v>
      </c>
      <c r="V89" s="9">
        <f>Raw!V90/Raw!$C90</f>
        <v>0</v>
      </c>
      <c r="W89" s="9">
        <f>Raw!W90/Raw!$C90</f>
        <v>0</v>
      </c>
      <c r="X89" s="9">
        <f>Raw!X90/Raw!$C90</f>
        <v>56.249999999999986</v>
      </c>
      <c r="Y89" s="9">
        <f>Raw!Y90/Raw!$C90</f>
        <v>1.1875000000000022</v>
      </c>
      <c r="Z89" s="9">
        <f>Raw!Z90/Raw!$C90</f>
        <v>0</v>
      </c>
      <c r="AA89" s="9">
        <f>Raw!AA90/Raw!$C90</f>
        <v>0</v>
      </c>
      <c r="AB89" s="9">
        <f>Raw!AB90/Raw!$C90</f>
        <v>0</v>
      </c>
      <c r="AC89" s="9">
        <f>Raw!AC90/Raw!$C90</f>
        <v>0</v>
      </c>
      <c r="AD89" s="9">
        <f>Raw!AD90/Raw!$C90</f>
        <v>0</v>
      </c>
      <c r="AE89" s="9">
        <f>Raw!AE90/Raw!$C90</f>
        <v>0</v>
      </c>
      <c r="AF89" s="9">
        <f>Raw!AF90/Raw!$C90</f>
        <v>0</v>
      </c>
      <c r="AG89" s="9">
        <f>Raw!AG90/Raw!$C90</f>
        <v>0</v>
      </c>
      <c r="AH89" s="9">
        <f>Raw!AH90/Raw!$C90</f>
        <v>0</v>
      </c>
      <c r="AI89" s="9">
        <f>Raw!AI90/Raw!$C90</f>
        <v>0</v>
      </c>
      <c r="AJ89" s="9">
        <f>Raw!AJ90/Raw!$C90</f>
        <v>6.2499999999999991</v>
      </c>
      <c r="AK89" s="9">
        <f>Raw!AK90/Raw!$C90</f>
        <v>15.5</v>
      </c>
      <c r="AL89" s="9">
        <f>Raw!AL90/Raw!$C90</f>
        <v>18.749999999999996</v>
      </c>
      <c r="AM89" s="9">
        <f>Raw!AM90/Raw!$C90</f>
        <v>831.37499999999977</v>
      </c>
      <c r="AN89" s="9">
        <f>Raw!AN90/Raw!$C90</f>
        <v>0</v>
      </c>
      <c r="AO89" s="9">
        <f>Raw!AO90/Raw!$C90</f>
        <v>0</v>
      </c>
      <c r="AP89" s="9">
        <f>Raw!AP90/Raw!$C90</f>
        <v>0</v>
      </c>
      <c r="AQ89" s="9">
        <f>Raw!AQ90/Raw!$C90</f>
        <v>0</v>
      </c>
      <c r="AR89" s="9">
        <f>Raw!AR90/Raw!$C90</f>
        <v>0</v>
      </c>
      <c r="AS89" s="9">
        <f>Raw!AS90/Raw!$C90</f>
        <v>0</v>
      </c>
      <c r="AT89" s="9">
        <f>Raw!AT90/Raw!$C90</f>
        <v>0</v>
      </c>
      <c r="AU89" s="9">
        <f>Raw!AU90/Raw!$C90</f>
        <v>0</v>
      </c>
      <c r="AV89" s="9">
        <f>Raw!AV90/Raw!$C90</f>
        <v>0</v>
      </c>
      <c r="AW89" s="9">
        <f>Raw!AW90/Raw!$C90</f>
        <v>0</v>
      </c>
      <c r="AX89" s="9">
        <f>Raw!AX90/Raw!$C90</f>
        <v>0</v>
      </c>
      <c r="AY89" s="9">
        <f>Raw!AY90/Raw!$C90</f>
        <v>0</v>
      </c>
      <c r="AZ89" s="9">
        <f>Raw!AZ90/Raw!$C90</f>
        <v>0</v>
      </c>
      <c r="BA89" s="9">
        <f>Raw!BA90/Raw!$C90</f>
        <v>0</v>
      </c>
      <c r="BB89" s="9">
        <f>Raw!BB90/Raw!$C90</f>
        <v>0</v>
      </c>
      <c r="BC89" s="9">
        <f>Raw!BC90/Raw!$C90</f>
        <v>0</v>
      </c>
      <c r="BD89" s="9">
        <f>Raw!BD90/Raw!$C90</f>
        <v>0</v>
      </c>
      <c r="BE89" s="9">
        <f>Raw!BE90/Raw!$C90</f>
        <v>0</v>
      </c>
      <c r="BF89" s="9">
        <f>Raw!BF90/Raw!$C90</f>
        <v>6.2499999999999991</v>
      </c>
      <c r="BG89" s="9">
        <f>Raw!BG90/Raw!$C90</f>
        <v>0.3749999999999975</v>
      </c>
      <c r="BH89" s="9">
        <f>Raw!BH90/Raw!$C90</f>
        <v>0</v>
      </c>
      <c r="BI89" s="9">
        <f>Raw!BI90/Raw!$C90</f>
        <v>0</v>
      </c>
      <c r="BJ89" s="9">
        <f>Raw!BJ90/Raw!$C90</f>
        <v>0</v>
      </c>
      <c r="BK89" s="9">
        <f>Raw!BK90/Raw!$C90</f>
        <v>0</v>
      </c>
      <c r="BL89" s="9">
        <f>Raw!BL90/Raw!$C90</f>
        <v>0</v>
      </c>
      <c r="BM89" s="9">
        <f>Raw!BM90/Raw!$C90</f>
        <v>0</v>
      </c>
      <c r="BN89" s="9">
        <f>Raw!BN90/Raw!$C90</f>
        <v>0</v>
      </c>
      <c r="BO89" s="9">
        <f>Raw!BO90/Raw!$C90</f>
        <v>0</v>
      </c>
      <c r="BP89" s="9">
        <f>Raw!BP90/Raw!$C90</f>
        <v>0</v>
      </c>
      <c r="BQ89" s="9">
        <f>Raw!BQ90/Raw!$C90</f>
        <v>0</v>
      </c>
      <c r="BR89" s="9">
        <f>Raw!BR90/Raw!$C90</f>
        <v>0</v>
      </c>
      <c r="BS89" s="9">
        <f>Raw!BS90/Raw!$C90</f>
        <v>0</v>
      </c>
      <c r="BT89" s="9">
        <f>Raw!BT90/Raw!$C90</f>
        <v>0</v>
      </c>
      <c r="BU89" s="9">
        <f>Raw!BU90/Raw!$C90</f>
        <v>0</v>
      </c>
      <c r="BV89" s="9">
        <f>Raw!BV90/Raw!$C90</f>
        <v>0</v>
      </c>
      <c r="BW89" s="9">
        <f>Raw!BW90/Raw!$C90</f>
        <v>0</v>
      </c>
      <c r="BX89" s="9">
        <f>Raw!BX90/Raw!$C90</f>
        <v>0</v>
      </c>
      <c r="BY89" s="9">
        <f>Raw!BY90/Raw!$C90</f>
        <v>0</v>
      </c>
      <c r="BZ89" s="9">
        <f>Raw!BZ90/Raw!$C90</f>
        <v>0</v>
      </c>
      <c r="CA89" s="9">
        <f>Raw!CA90/Raw!$C90</f>
        <v>0</v>
      </c>
      <c r="CB89" s="9">
        <f>Raw!CB90/Raw!$C90</f>
        <v>0</v>
      </c>
      <c r="CC89" s="9">
        <f>Raw!CC90/Raw!$C90</f>
        <v>0</v>
      </c>
      <c r="CD89" s="9">
        <f>Raw!CD90/Raw!$C90</f>
        <v>0</v>
      </c>
      <c r="CE89" s="9">
        <f>Raw!CE90/Raw!$C90</f>
        <v>0</v>
      </c>
      <c r="CF89" s="9">
        <f>Raw!CF90/Raw!$C90</f>
        <v>0</v>
      </c>
      <c r="CG89" s="9">
        <f>Raw!CG90/Raw!$C90</f>
        <v>0</v>
      </c>
      <c r="CH89" s="9">
        <f>Raw!CH90/Raw!$C90</f>
        <v>0</v>
      </c>
      <c r="CI89" s="9">
        <f>Raw!CI90/Raw!$C90</f>
        <v>0</v>
      </c>
      <c r="CJ89" s="9">
        <f>Raw!CJ90/Raw!$C90</f>
        <v>0</v>
      </c>
      <c r="CK89" s="9">
        <f>Raw!CK90/Raw!$C90</f>
        <v>0</v>
      </c>
      <c r="CL89" s="9">
        <f>Raw!CL90/Raw!$C90</f>
        <v>0</v>
      </c>
      <c r="CM89" s="9">
        <f>Raw!CM90/Raw!$C90</f>
        <v>0</v>
      </c>
      <c r="CN89" s="9">
        <f>Raw!CN90/Raw!$C90</f>
        <v>0</v>
      </c>
      <c r="CO89" s="9">
        <f>Raw!CO90/Raw!$C90</f>
        <v>0</v>
      </c>
      <c r="CP89" s="9">
        <f>Raw!CP90/Raw!$C90</f>
        <v>0</v>
      </c>
      <c r="CQ89" s="9">
        <f>Raw!CQ90/Raw!$C90</f>
        <v>0</v>
      </c>
      <c r="CR89" s="2">
        <f t="shared" si="39"/>
        <v>237.49999999999994</v>
      </c>
      <c r="CS89" s="2">
        <f t="shared" si="40"/>
        <v>1019.4999999999998</v>
      </c>
      <c r="CT89" s="3">
        <f t="shared" si="37"/>
        <v>2.3756636139608851</v>
      </c>
      <c r="CU89" s="3">
        <f t="shared" si="38"/>
        <v>3.0083872301141588</v>
      </c>
      <c r="CZ89" s="3">
        <f t="shared" si="50"/>
        <v>2.3756636139608851</v>
      </c>
      <c r="DA89" s="3">
        <f t="shared" si="51"/>
        <v>3.0083872301141588</v>
      </c>
      <c r="DB89" s="6">
        <f t="shared" si="52"/>
        <v>0.63614066523408652</v>
      </c>
      <c r="DC89" s="3">
        <v>6</v>
      </c>
      <c r="DD89" s="3">
        <f>DC89/Raw!C90</f>
        <v>37.499999999999993</v>
      </c>
      <c r="DE89" s="5">
        <f t="shared" si="41"/>
        <v>2.5263157894736848E-2</v>
      </c>
      <c r="DF89">
        <f t="shared" si="42"/>
        <v>-1.5975123635772417</v>
      </c>
      <c r="DH89" s="4">
        <f>-SUM('Shannon-Weiner'!B88:Z88)</f>
        <v>1.0369332337230401</v>
      </c>
      <c r="DI89" s="4">
        <f>SUM('p^2'!B88:Z88)</f>
        <v>0.43005540166204986</v>
      </c>
      <c r="DJ89" s="4">
        <f t="shared" si="43"/>
        <v>0.56994459833795008</v>
      </c>
      <c r="DK89">
        <f t="shared" si="44"/>
        <v>2.3252818035426732</v>
      </c>
      <c r="DL89" s="4">
        <f>SUM('Shannon-Weiner_B'!B88:Z88)</f>
        <v>-0.63885776390976423</v>
      </c>
      <c r="DM89" s="4">
        <f>SUM('p_B^2'!B88:Z88)</f>
        <v>0.68171821170596614</v>
      </c>
      <c r="DN89" s="4">
        <f t="shared" si="45"/>
        <v>0.31828178829403386</v>
      </c>
      <c r="DO89">
        <f t="shared" si="46"/>
        <v>1.4668817450212301</v>
      </c>
    </row>
    <row r="90" spans="2:119" x14ac:dyDescent="0.25">
      <c r="B90" t="str">
        <f>Raw!B91</f>
        <v>TB33</v>
      </c>
      <c r="C90">
        <v>1</v>
      </c>
      <c r="D90" s="9">
        <f>Raw!D91/Raw!$C91</f>
        <v>0</v>
      </c>
      <c r="E90" s="9">
        <f>Raw!E91/Raw!$C91</f>
        <v>0</v>
      </c>
      <c r="F90" s="9">
        <f>Raw!F91/Raw!$C91</f>
        <v>0</v>
      </c>
      <c r="G90" s="9">
        <f>Raw!G91/Raw!$C91</f>
        <v>0</v>
      </c>
      <c r="H90" s="9">
        <f>Raw!H91/Raw!$C91</f>
        <v>0</v>
      </c>
      <c r="I90" s="9">
        <f>Raw!I91/Raw!$C91</f>
        <v>0</v>
      </c>
      <c r="J90" s="9">
        <f>Raw!J91/Raw!$C91</f>
        <v>0</v>
      </c>
      <c r="K90" s="9">
        <f>Raw!K91/Raw!$C91</f>
        <v>0</v>
      </c>
      <c r="L90" s="9">
        <f>Raw!L91/Raw!$C91</f>
        <v>6.2499999999999991</v>
      </c>
      <c r="M90" s="9">
        <f>Raw!M91/Raw!$C91</f>
        <v>256.875</v>
      </c>
      <c r="N90" s="9">
        <f>Raw!N91/Raw!$C91</f>
        <v>0</v>
      </c>
      <c r="O90" s="9">
        <f>Raw!O91/Raw!$C91</f>
        <v>0</v>
      </c>
      <c r="P90" s="9">
        <f>Raw!P91/Raw!$C91</f>
        <v>0</v>
      </c>
      <c r="Q90" s="9">
        <f>Raw!Q91/Raw!$C91</f>
        <v>0</v>
      </c>
      <c r="R90" s="9">
        <f>Raw!R91/Raw!$C91</f>
        <v>0</v>
      </c>
      <c r="S90" s="9">
        <f>Raw!S91/Raw!$C91</f>
        <v>0</v>
      </c>
      <c r="T90" s="9">
        <f>Raw!T91/Raw!$C91</f>
        <v>0</v>
      </c>
      <c r="U90" s="9">
        <f>Raw!U91/Raw!$C91</f>
        <v>0</v>
      </c>
      <c r="V90" s="9">
        <f>Raw!V91/Raw!$C91</f>
        <v>0</v>
      </c>
      <c r="W90" s="9">
        <f>Raw!W91/Raw!$C91</f>
        <v>0</v>
      </c>
      <c r="X90" s="9">
        <f>Raw!X91/Raw!$C91</f>
        <v>124.99999999999997</v>
      </c>
      <c r="Y90" s="9">
        <f>Raw!Y91/Raw!$C91</f>
        <v>3.2500000000000022</v>
      </c>
      <c r="Z90" s="9">
        <f>Raw!Z91/Raw!$C91</f>
        <v>0</v>
      </c>
      <c r="AA90" s="9">
        <f>Raw!AA91/Raw!$C91</f>
        <v>0</v>
      </c>
      <c r="AB90" s="9">
        <f>Raw!AB91/Raw!$C91</f>
        <v>0</v>
      </c>
      <c r="AC90" s="9">
        <f>Raw!AC91/Raw!$C91</f>
        <v>0</v>
      </c>
      <c r="AD90" s="9">
        <f>Raw!AD91/Raw!$C91</f>
        <v>0</v>
      </c>
      <c r="AE90" s="9">
        <f>Raw!AE91/Raw!$C91</f>
        <v>0</v>
      </c>
      <c r="AF90" s="9">
        <f>Raw!AF91/Raw!$C91</f>
        <v>0</v>
      </c>
      <c r="AG90" s="9">
        <f>Raw!AG91/Raw!$C91</f>
        <v>0</v>
      </c>
      <c r="AH90" s="9">
        <f>Raw!AH91/Raw!$C91</f>
        <v>0</v>
      </c>
      <c r="AI90" s="9">
        <f>Raw!AI91/Raw!$C91</f>
        <v>0</v>
      </c>
      <c r="AJ90" s="9">
        <f>Raw!AJ91/Raw!$C91</f>
        <v>0</v>
      </c>
      <c r="AK90" s="9">
        <f>Raw!AK91/Raw!$C91</f>
        <v>0</v>
      </c>
      <c r="AL90" s="9">
        <f>Raw!AL91/Raw!$C91</f>
        <v>18.749999999999996</v>
      </c>
      <c r="AM90" s="9">
        <f>Raw!AM91/Raw!$C91</f>
        <v>1644.9374999999998</v>
      </c>
      <c r="AN90" s="9">
        <f>Raw!AN91/Raw!$C91</f>
        <v>0</v>
      </c>
      <c r="AO90" s="9">
        <f>Raw!AO91/Raw!$C91</f>
        <v>0</v>
      </c>
      <c r="AP90" s="9">
        <f>Raw!AP91/Raw!$C91</f>
        <v>0</v>
      </c>
      <c r="AQ90" s="9">
        <f>Raw!AQ91/Raw!$C91</f>
        <v>0</v>
      </c>
      <c r="AR90" s="9">
        <f>Raw!AR91/Raw!$C91</f>
        <v>0</v>
      </c>
      <c r="AS90" s="9">
        <f>Raw!AS91/Raw!$C91</f>
        <v>0</v>
      </c>
      <c r="AT90" s="9">
        <f>Raw!AT91/Raw!$C91</f>
        <v>0</v>
      </c>
      <c r="AU90" s="9">
        <f>Raw!AU91/Raw!$C91</f>
        <v>0</v>
      </c>
      <c r="AV90" s="9">
        <f>Raw!AV91/Raw!$C91</f>
        <v>0</v>
      </c>
      <c r="AW90" s="9">
        <f>Raw!AW91/Raw!$C91</f>
        <v>0</v>
      </c>
      <c r="AX90" s="9">
        <f>Raw!AX91/Raw!$C91</f>
        <v>0</v>
      </c>
      <c r="AY90" s="9">
        <f>Raw!AY91/Raw!$C91</f>
        <v>0</v>
      </c>
      <c r="AZ90" s="9">
        <f>Raw!AZ91/Raw!$C91</f>
        <v>0</v>
      </c>
      <c r="BA90" s="9">
        <f>Raw!BA91/Raw!$C91</f>
        <v>0</v>
      </c>
      <c r="BB90" s="9">
        <f>Raw!BB91/Raw!$C91</f>
        <v>0</v>
      </c>
      <c r="BC90" s="9">
        <f>Raw!BC91/Raw!$C91</f>
        <v>0</v>
      </c>
      <c r="BD90" s="9">
        <f>Raw!BD91/Raw!$C91</f>
        <v>0</v>
      </c>
      <c r="BE90" s="9">
        <f>Raw!BE91/Raw!$C91</f>
        <v>0</v>
      </c>
      <c r="BF90" s="9">
        <f>Raw!BF91/Raw!$C91</f>
        <v>0</v>
      </c>
      <c r="BG90" s="9">
        <f>Raw!BG91/Raw!$C91</f>
        <v>0</v>
      </c>
      <c r="BH90" s="9">
        <f>Raw!BH91/Raw!$C91</f>
        <v>0</v>
      </c>
      <c r="BI90" s="9">
        <f>Raw!BI91/Raw!$C91</f>
        <v>0</v>
      </c>
      <c r="BJ90" s="9">
        <f>Raw!BJ91/Raw!$C91</f>
        <v>0</v>
      </c>
      <c r="BK90" s="9">
        <f>Raw!BK91/Raw!$C91</f>
        <v>0</v>
      </c>
      <c r="BL90" s="9">
        <f>Raw!BL91/Raw!$C91</f>
        <v>0</v>
      </c>
      <c r="BM90" s="9">
        <f>Raw!BM91/Raw!$C91</f>
        <v>0</v>
      </c>
      <c r="BN90" s="9">
        <f>Raw!BN91/Raw!$C91</f>
        <v>0</v>
      </c>
      <c r="BO90" s="9">
        <f>Raw!BO91/Raw!$C91</f>
        <v>0</v>
      </c>
      <c r="BP90" s="9">
        <f>Raw!BP91/Raw!$C91</f>
        <v>0</v>
      </c>
      <c r="BQ90" s="9">
        <f>Raw!BQ91/Raw!$C91</f>
        <v>0</v>
      </c>
      <c r="BR90" s="9">
        <f>Raw!BR91/Raw!$C91</f>
        <v>0</v>
      </c>
      <c r="BS90" s="9">
        <f>Raw!BS91/Raw!$C91</f>
        <v>0</v>
      </c>
      <c r="BT90" s="9">
        <f>Raw!BT91/Raw!$C91</f>
        <v>0</v>
      </c>
      <c r="BU90" s="9">
        <f>Raw!BU91/Raw!$C91</f>
        <v>0</v>
      </c>
      <c r="BV90" s="9">
        <f>Raw!BV91/Raw!$C91</f>
        <v>0</v>
      </c>
      <c r="BW90" s="9">
        <f>Raw!BW91/Raw!$C91</f>
        <v>0</v>
      </c>
      <c r="BX90" s="9">
        <f>Raw!BX91/Raw!$C91</f>
        <v>0</v>
      </c>
      <c r="BY90" s="9">
        <f>Raw!BY91/Raw!$C91</f>
        <v>0</v>
      </c>
      <c r="BZ90" s="9">
        <f>Raw!BZ91/Raw!$C91</f>
        <v>0</v>
      </c>
      <c r="CA90" s="9">
        <f>Raw!CA91/Raw!$C91</f>
        <v>0</v>
      </c>
      <c r="CB90" s="9">
        <f>Raw!CB91/Raw!$C91</f>
        <v>0</v>
      </c>
      <c r="CC90" s="9">
        <f>Raw!CC91/Raw!$C91</f>
        <v>0</v>
      </c>
      <c r="CD90" s="9">
        <f>Raw!CD91/Raw!$C91</f>
        <v>0</v>
      </c>
      <c r="CE90" s="9">
        <f>Raw!CE91/Raw!$C91</f>
        <v>0</v>
      </c>
      <c r="CF90" s="9">
        <f>Raw!CF91/Raw!$C91</f>
        <v>0</v>
      </c>
      <c r="CG90" s="9">
        <f>Raw!CG91/Raw!$C91</f>
        <v>0</v>
      </c>
      <c r="CH90" s="9">
        <f>Raw!CH91/Raw!$C91</f>
        <v>0</v>
      </c>
      <c r="CI90" s="9">
        <f>Raw!CI91/Raw!$C91</f>
        <v>0</v>
      </c>
      <c r="CJ90" s="9">
        <f>Raw!CJ91/Raw!$C91</f>
        <v>0</v>
      </c>
      <c r="CK90" s="9">
        <f>Raw!CK91/Raw!$C91</f>
        <v>0</v>
      </c>
      <c r="CL90" s="9">
        <f>Raw!CL91/Raw!$C91</f>
        <v>0</v>
      </c>
      <c r="CM90" s="9">
        <f>Raw!CM91/Raw!$C91</f>
        <v>0</v>
      </c>
      <c r="CN90" s="9">
        <f>Raw!CN91/Raw!$C91</f>
        <v>0</v>
      </c>
      <c r="CO90" s="9">
        <f>Raw!CO91/Raw!$C91</f>
        <v>0</v>
      </c>
      <c r="CP90" s="9">
        <f>Raw!CP91/Raw!$C91</f>
        <v>0</v>
      </c>
      <c r="CQ90" s="9">
        <f>Raw!CQ91/Raw!$C91</f>
        <v>0</v>
      </c>
      <c r="CR90" s="2">
        <f t="shared" si="39"/>
        <v>149.99999999999997</v>
      </c>
      <c r="CS90" s="2">
        <f t="shared" si="40"/>
        <v>1905.0624999999998</v>
      </c>
      <c r="CT90" s="3">
        <f t="shared" si="37"/>
        <v>2.1760912590556813</v>
      </c>
      <c r="CU90" s="3">
        <f t="shared" si="38"/>
        <v>3.2799092282845321</v>
      </c>
      <c r="CZ90" s="3">
        <f t="shared" ref="CZ90:CZ91" si="53">LOG10(CR90+CV90)</f>
        <v>2.1760912590556813</v>
      </c>
      <c r="DA90" s="3">
        <f t="shared" ref="DA90:DA91" si="54">LOG10(CS90+CW90)</f>
        <v>3.2799092282845321</v>
      </c>
      <c r="DB90" s="6">
        <f t="shared" ref="DB90:DB91" si="55">0.590307*(4.87-0.33*CT90-CU90)</f>
        <v>0.51473628523544679</v>
      </c>
      <c r="DC90" s="3">
        <v>3</v>
      </c>
      <c r="DD90" s="3">
        <f>DC90/Raw!C91</f>
        <v>18.749999999999996</v>
      </c>
      <c r="DE90" s="5">
        <f t="shared" si="41"/>
        <v>2.0000000000000004E-2</v>
      </c>
      <c r="DF90">
        <f t="shared" si="42"/>
        <v>-1.6989700043360187</v>
      </c>
      <c r="DH90" s="4">
        <f>-SUM('Shannon-Weiner'!B89:Z89)</f>
        <v>0.54428373296943944</v>
      </c>
      <c r="DI90" s="4">
        <f>SUM('p^2'!B89:Z89)</f>
        <v>0.71180555555555547</v>
      </c>
      <c r="DJ90" s="4">
        <f t="shared" si="43"/>
        <v>0.28819444444444453</v>
      </c>
      <c r="DK90">
        <f t="shared" si="44"/>
        <v>1.4048780487804879</v>
      </c>
      <c r="DL90" s="4">
        <f>SUM('Shannon-Weiner_B'!B89:Z89)</f>
        <v>-0.40781178913458804</v>
      </c>
      <c r="DM90" s="4">
        <f>SUM('p_B^2'!B89:Z89)</f>
        <v>0.76374035405545004</v>
      </c>
      <c r="DN90" s="4">
        <f t="shared" si="45"/>
        <v>0.23625964594454996</v>
      </c>
      <c r="DO90">
        <f t="shared" si="46"/>
        <v>1.3093455055635266</v>
      </c>
    </row>
    <row r="91" spans="2:119" x14ac:dyDescent="0.25">
      <c r="B91" t="str">
        <f>Raw!B92</f>
        <v>TB34</v>
      </c>
      <c r="C91">
        <v>1</v>
      </c>
      <c r="D91" s="9">
        <f>Raw!D92/Raw!$C92</f>
        <v>0</v>
      </c>
      <c r="E91" s="9">
        <f>Raw!E92/Raw!$C92</f>
        <v>0</v>
      </c>
      <c r="F91" s="9">
        <f>Raw!F92/Raw!$C92</f>
        <v>0</v>
      </c>
      <c r="G91" s="9">
        <f>Raw!G92/Raw!$C92</f>
        <v>0</v>
      </c>
      <c r="H91" s="9">
        <f>Raw!H92/Raw!$C92</f>
        <v>0</v>
      </c>
      <c r="I91" s="9">
        <f>Raw!I92/Raw!$C92</f>
        <v>0</v>
      </c>
      <c r="J91" s="9">
        <f>Raw!J92/Raw!$C92</f>
        <v>0</v>
      </c>
      <c r="K91" s="9">
        <f>Raw!K92/Raw!$C92</f>
        <v>0</v>
      </c>
      <c r="L91" s="9">
        <f>Raw!L92/Raw!$C92</f>
        <v>2.8571428571428572</v>
      </c>
      <c r="M91" s="9">
        <f>Raw!M92/Raw!$C92</f>
        <v>77.371428571428567</v>
      </c>
      <c r="N91" s="9">
        <f>Raw!N92/Raw!$C92</f>
        <v>2.8571428571428572</v>
      </c>
      <c r="O91" s="9">
        <f>Raw!O92/Raw!$C92</f>
        <v>45.285714285714292</v>
      </c>
      <c r="P91" s="9">
        <f>Raw!P92/Raw!$C92</f>
        <v>0</v>
      </c>
      <c r="Q91" s="9">
        <f>Raw!Q92/Raw!$C92</f>
        <v>0</v>
      </c>
      <c r="R91" s="9">
        <f>Raw!R92/Raw!$C92</f>
        <v>0</v>
      </c>
      <c r="S91" s="9">
        <f>Raw!S92/Raw!$C92</f>
        <v>0</v>
      </c>
      <c r="T91" s="9">
        <f>Raw!T92/Raw!$C92</f>
        <v>0</v>
      </c>
      <c r="U91" s="9">
        <f>Raw!U92/Raw!$C92</f>
        <v>0</v>
      </c>
      <c r="V91" s="9">
        <f>Raw!V92/Raw!$C92</f>
        <v>0</v>
      </c>
      <c r="W91" s="9">
        <f>Raw!W92/Raw!$C92</f>
        <v>0</v>
      </c>
      <c r="X91" s="9">
        <f>Raw!X92/Raw!$C92</f>
        <v>685.71428571428578</v>
      </c>
      <c r="Y91" s="9">
        <f>Raw!Y92/Raw!$C92</f>
        <v>31.771428571428576</v>
      </c>
      <c r="Z91" s="9">
        <f>Raw!Z92/Raw!$C92</f>
        <v>2.8571428571428572</v>
      </c>
      <c r="AA91" s="9">
        <f>Raw!AA92/Raw!$C92</f>
        <v>7.3428571428571443</v>
      </c>
      <c r="AB91" s="9">
        <f>Raw!AB92/Raw!$C92</f>
        <v>0</v>
      </c>
      <c r="AC91" s="9">
        <f>Raw!AC92/Raw!$C92</f>
        <v>0</v>
      </c>
      <c r="AD91" s="9">
        <f>Raw!AD92/Raw!$C92</f>
        <v>0</v>
      </c>
      <c r="AE91" s="9">
        <f>Raw!AE92/Raw!$C92</f>
        <v>0</v>
      </c>
      <c r="AF91" s="9">
        <f>Raw!AF92/Raw!$C92</f>
        <v>0</v>
      </c>
      <c r="AG91" s="9">
        <f>Raw!AG92/Raw!$C92</f>
        <v>0</v>
      </c>
      <c r="AH91" s="9">
        <f>Raw!AH92/Raw!$C92</f>
        <v>0</v>
      </c>
      <c r="AI91" s="9">
        <f>Raw!AI92/Raw!$C92</f>
        <v>0</v>
      </c>
      <c r="AJ91" s="9">
        <f>Raw!AJ92/Raw!$C92</f>
        <v>2.8571428571428572</v>
      </c>
      <c r="AK91" s="9">
        <f>Raw!AK92/Raw!$C92</f>
        <v>16.37142857142857</v>
      </c>
      <c r="AL91" s="9">
        <f>Raw!AL92/Raw!$C92</f>
        <v>8.5714285714285712</v>
      </c>
      <c r="AM91" s="9">
        <f>Raw!AM92/Raw!$C92</f>
        <v>208.77142857142857</v>
      </c>
      <c r="AN91" s="9">
        <f>Raw!AN92/Raw!$C92</f>
        <v>0</v>
      </c>
      <c r="AO91" s="9">
        <f>Raw!AO92/Raw!$C92</f>
        <v>0</v>
      </c>
      <c r="AP91" s="9">
        <f>Raw!AP92/Raw!$C92</f>
        <v>0</v>
      </c>
      <c r="AQ91" s="9">
        <f>Raw!AQ92/Raw!$C92</f>
        <v>0</v>
      </c>
      <c r="AR91" s="9">
        <f>Raw!AR92/Raw!$C92</f>
        <v>0</v>
      </c>
      <c r="AS91" s="9">
        <f>Raw!AS92/Raw!$C92</f>
        <v>0</v>
      </c>
      <c r="AT91" s="9">
        <f>Raw!AT92/Raw!$C92</f>
        <v>0</v>
      </c>
      <c r="AU91" s="9">
        <f>Raw!AU92/Raw!$C92</f>
        <v>0</v>
      </c>
      <c r="AV91" s="9">
        <f>Raw!AV92/Raw!$C92</f>
        <v>0</v>
      </c>
      <c r="AW91" s="9">
        <f>Raw!AW92/Raw!$C92</f>
        <v>0</v>
      </c>
      <c r="AX91" s="9">
        <f>Raw!AX92/Raw!$C92</f>
        <v>0</v>
      </c>
      <c r="AY91" s="9">
        <f>Raw!AY92/Raw!$C92</f>
        <v>0</v>
      </c>
      <c r="AZ91" s="9">
        <f>Raw!AZ92/Raw!$C92</f>
        <v>0</v>
      </c>
      <c r="BA91" s="9">
        <f>Raw!BA92/Raw!$C92</f>
        <v>0</v>
      </c>
      <c r="BB91" s="9">
        <f>Raw!BB92/Raw!$C92</f>
        <v>0</v>
      </c>
      <c r="BC91" s="9">
        <f>Raw!BC92/Raw!$C92</f>
        <v>0</v>
      </c>
      <c r="BD91" s="9">
        <f>Raw!BD92/Raw!$C92</f>
        <v>0</v>
      </c>
      <c r="BE91" s="9">
        <f>Raw!BE92/Raw!$C92</f>
        <v>0</v>
      </c>
      <c r="BF91" s="9">
        <f>Raw!BF92/Raw!$C92</f>
        <v>0</v>
      </c>
      <c r="BG91" s="9">
        <f>Raw!BG92/Raw!$C92</f>
        <v>0</v>
      </c>
      <c r="BH91" s="9">
        <f>Raw!BH92/Raw!$C92</f>
        <v>0</v>
      </c>
      <c r="BI91" s="9">
        <f>Raw!BI92/Raw!$C92</f>
        <v>0</v>
      </c>
      <c r="BJ91" s="9">
        <f>Raw!BJ92/Raw!$C92</f>
        <v>0</v>
      </c>
      <c r="BK91" s="9">
        <f>Raw!BK92/Raw!$C92</f>
        <v>0</v>
      </c>
      <c r="BL91" s="9">
        <f>Raw!BL92/Raw!$C92</f>
        <v>0</v>
      </c>
      <c r="BM91" s="9">
        <f>Raw!BM92/Raw!$C92</f>
        <v>0</v>
      </c>
      <c r="BN91" s="9">
        <f>Raw!BN92/Raw!$C92</f>
        <v>0</v>
      </c>
      <c r="BO91" s="9">
        <f>Raw!BO92/Raw!$C92</f>
        <v>0</v>
      </c>
      <c r="BP91" s="9">
        <f>Raw!BP92/Raw!$C92</f>
        <v>0</v>
      </c>
      <c r="BQ91" s="9">
        <f>Raw!BQ92/Raw!$C92</f>
        <v>0</v>
      </c>
      <c r="BR91" s="9">
        <f>Raw!BR92/Raw!$C92</f>
        <v>0</v>
      </c>
      <c r="BS91" s="9">
        <f>Raw!BS92/Raw!$C92</f>
        <v>0</v>
      </c>
      <c r="BT91" s="9">
        <f>Raw!BT92/Raw!$C92</f>
        <v>0</v>
      </c>
      <c r="BU91" s="9">
        <f>Raw!BU92/Raw!$C92</f>
        <v>0</v>
      </c>
      <c r="BV91" s="9">
        <f>Raw!BV92/Raw!$C92</f>
        <v>0</v>
      </c>
      <c r="BW91" s="9">
        <f>Raw!BW92/Raw!$C92</f>
        <v>0</v>
      </c>
      <c r="BX91" s="9">
        <f>Raw!BX92/Raw!$C92</f>
        <v>0</v>
      </c>
      <c r="BY91" s="9">
        <f>Raw!BY92/Raw!$C92</f>
        <v>0</v>
      </c>
      <c r="BZ91" s="9">
        <f>Raw!BZ92/Raw!$C92</f>
        <v>0</v>
      </c>
      <c r="CA91" s="9">
        <f>Raw!CA92/Raw!$C92</f>
        <v>0</v>
      </c>
      <c r="CB91" s="9">
        <f>Raw!CB92/Raw!$C92</f>
        <v>0</v>
      </c>
      <c r="CC91" s="9">
        <f>Raw!CC92/Raw!$C92</f>
        <v>0</v>
      </c>
      <c r="CD91" s="9">
        <f>Raw!CD92/Raw!$C92</f>
        <v>0</v>
      </c>
      <c r="CE91" s="9">
        <f>Raw!CE92/Raw!$C92</f>
        <v>0</v>
      </c>
      <c r="CF91" s="9">
        <f>Raw!CF92/Raw!$C92</f>
        <v>0</v>
      </c>
      <c r="CG91" s="9">
        <f>Raw!CG92/Raw!$C92</f>
        <v>0</v>
      </c>
      <c r="CH91" s="9">
        <f>Raw!CH92/Raw!$C92</f>
        <v>0</v>
      </c>
      <c r="CI91" s="9">
        <f>Raw!CI92/Raw!$C92</f>
        <v>0</v>
      </c>
      <c r="CJ91" s="9">
        <f>Raw!CJ92/Raw!$C92</f>
        <v>0</v>
      </c>
      <c r="CK91" s="9">
        <f>Raw!CK92/Raw!$C92</f>
        <v>0</v>
      </c>
      <c r="CL91" s="9">
        <f>Raw!CL92/Raw!$C92</f>
        <v>0</v>
      </c>
      <c r="CM91" s="9">
        <f>Raw!CM92/Raw!$C92</f>
        <v>0</v>
      </c>
      <c r="CN91" s="9">
        <f>Raw!CN92/Raw!$C92</f>
        <v>0</v>
      </c>
      <c r="CO91" s="9">
        <f>Raw!CO92/Raw!$C92</f>
        <v>0</v>
      </c>
      <c r="CP91" s="9">
        <f>Raw!CP92/Raw!$C92</f>
        <v>0</v>
      </c>
      <c r="CQ91" s="9">
        <f>Raw!CQ92/Raw!$C92</f>
        <v>0</v>
      </c>
      <c r="CR91" s="2">
        <f t="shared" si="39"/>
        <v>705.71428571428578</v>
      </c>
      <c r="CS91" s="2">
        <f t="shared" si="40"/>
        <v>386.91428571428571</v>
      </c>
      <c r="CT91" s="3">
        <f t="shared" si="37"/>
        <v>2.8486289089093901</v>
      </c>
      <c r="CU91" s="3">
        <f t="shared" si="38"/>
        <v>2.5876147651111299</v>
      </c>
      <c r="CZ91" s="3">
        <f t="shared" si="53"/>
        <v>2.8486289089093901</v>
      </c>
      <c r="DA91" s="3">
        <f t="shared" si="54"/>
        <v>2.5876147651111299</v>
      </c>
      <c r="DB91" s="6">
        <f t="shared" si="55"/>
        <v>0.79239133769212455</v>
      </c>
      <c r="DC91" s="3">
        <v>6</v>
      </c>
      <c r="DD91" s="3">
        <f>DC91/Raw!C92</f>
        <v>17.142857142857142</v>
      </c>
      <c r="DE91" s="5">
        <f t="shared" si="41"/>
        <v>8.5020242914979755E-3</v>
      </c>
      <c r="DF91">
        <f t="shared" si="42"/>
        <v>-2.0704776585257463</v>
      </c>
      <c r="DH91" s="4">
        <f>-SUM('Shannon-Weiner'!B90:Z90)</f>
        <v>0.17072769505679405</v>
      </c>
      <c r="DI91" s="4">
        <f>SUM('p^2'!B90:Z90)</f>
        <v>0.94433608156173665</v>
      </c>
      <c r="DJ91" s="4">
        <f t="shared" si="43"/>
        <v>5.5663918438263349E-2</v>
      </c>
      <c r="DK91">
        <f t="shared" si="44"/>
        <v>1.0589450297675873</v>
      </c>
      <c r="DL91" s="4">
        <f>SUM('Shannon-Weiner_B'!B90:Z90)</f>
        <v>-1.3201698800859101</v>
      </c>
      <c r="DM91" s="4">
        <f>SUM('p_B^2'!B90:Z90)</f>
        <v>0.35372789351304279</v>
      </c>
      <c r="DN91" s="4">
        <f t="shared" si="45"/>
        <v>0.64627210648695721</v>
      </c>
      <c r="DO91">
        <f t="shared" si="46"/>
        <v>2.8270317900816821</v>
      </c>
    </row>
    <row r="92" spans="2:119" x14ac:dyDescent="0.25">
      <c r="B92" t="str">
        <f>Raw!B93</f>
        <v>TC1</v>
      </c>
      <c r="C92">
        <v>1</v>
      </c>
      <c r="D92" s="9">
        <f>Raw!D93/Raw!$C93</f>
        <v>0</v>
      </c>
      <c r="E92" s="9">
        <f>Raw!E93/Raw!$C93</f>
        <v>0</v>
      </c>
      <c r="F92" s="9">
        <f>Raw!F93/Raw!$C93</f>
        <v>0</v>
      </c>
      <c r="G92" s="9">
        <f>Raw!G93/Raw!$C93</f>
        <v>0</v>
      </c>
      <c r="H92" s="9">
        <f>Raw!H93/Raw!$C93</f>
        <v>0</v>
      </c>
      <c r="I92" s="9">
        <f>Raw!I93/Raw!$C93</f>
        <v>0</v>
      </c>
      <c r="J92" s="9">
        <f>Raw!J93/Raw!$C93</f>
        <v>0</v>
      </c>
      <c r="K92" s="9">
        <f>Raw!K93/Raw!$C93</f>
        <v>0</v>
      </c>
      <c r="L92" s="9">
        <f>Raw!L93/Raw!$C93</f>
        <v>0</v>
      </c>
      <c r="M92" s="9">
        <f>Raw!M93/Raw!$C93</f>
        <v>0</v>
      </c>
      <c r="N92" s="9">
        <f>Raw!N93/Raw!$C93</f>
        <v>29.752066115702476</v>
      </c>
      <c r="O92" s="9">
        <f>Raw!O93/Raw!$C93</f>
        <v>363.2727272727272</v>
      </c>
      <c r="P92" s="9">
        <f>Raw!P93/Raw!$C93</f>
        <v>0</v>
      </c>
      <c r="Q92" s="9">
        <f>Raw!Q93/Raw!$C93</f>
        <v>0</v>
      </c>
      <c r="R92" s="9">
        <f>Raw!R93/Raw!$C93</f>
        <v>0</v>
      </c>
      <c r="S92" s="9">
        <f>Raw!S93/Raw!$C93</f>
        <v>0</v>
      </c>
      <c r="T92" s="9">
        <f>Raw!T93/Raw!$C93</f>
        <v>0</v>
      </c>
      <c r="U92" s="9">
        <f>Raw!U93/Raw!$C93</f>
        <v>0</v>
      </c>
      <c r="V92" s="9">
        <f>Raw!V93/Raw!$C93</f>
        <v>0</v>
      </c>
      <c r="W92" s="9">
        <f>Raw!W93/Raw!$C93</f>
        <v>0</v>
      </c>
      <c r="X92" s="9">
        <f>Raw!X93/Raw!$C93</f>
        <v>363.63636363636357</v>
      </c>
      <c r="Y92" s="9">
        <f>Raw!Y93/Raw!$C93</f>
        <v>30.512396694214871</v>
      </c>
      <c r="Z92" s="9">
        <f>Raw!Z93/Raw!$C93</f>
        <v>0</v>
      </c>
      <c r="AA92" s="9">
        <f>Raw!AA93/Raw!$C93</f>
        <v>0</v>
      </c>
      <c r="AB92" s="9">
        <f>Raw!AB93/Raw!$C93</f>
        <v>0</v>
      </c>
      <c r="AC92" s="9">
        <f>Raw!AC93/Raw!$C93</f>
        <v>0</v>
      </c>
      <c r="AD92" s="9">
        <f>Raw!AD93/Raw!$C93</f>
        <v>0</v>
      </c>
      <c r="AE92" s="9">
        <f>Raw!AE93/Raw!$C93</f>
        <v>0</v>
      </c>
      <c r="AF92" s="9">
        <f>Raw!AF93/Raw!$C93</f>
        <v>0</v>
      </c>
      <c r="AG92" s="9">
        <f>Raw!AG93/Raw!$C93</f>
        <v>0</v>
      </c>
      <c r="AH92" s="9">
        <f>Raw!AH93/Raw!$C93</f>
        <v>0</v>
      </c>
      <c r="AI92" s="9">
        <f>Raw!AI93/Raw!$C93</f>
        <v>0</v>
      </c>
      <c r="AJ92" s="9">
        <f>Raw!AJ93/Raw!$C93</f>
        <v>0</v>
      </c>
      <c r="AK92" s="9">
        <f>Raw!AK93/Raw!$C93</f>
        <v>0</v>
      </c>
      <c r="AL92" s="9">
        <f>Raw!AL93/Raw!$C93</f>
        <v>39.669421487603302</v>
      </c>
      <c r="AM92" s="9">
        <f>Raw!AM93/Raw!$C93</f>
        <v>338.77685950413218</v>
      </c>
      <c r="AN92" s="9">
        <f>Raw!AN93/Raw!$C93</f>
        <v>0</v>
      </c>
      <c r="AO92" s="9">
        <f>Raw!AO93/Raw!$C93</f>
        <v>0</v>
      </c>
      <c r="AP92" s="9">
        <f>Raw!AP93/Raw!$C93</f>
        <v>0</v>
      </c>
      <c r="AQ92" s="9">
        <f>Raw!AQ93/Raw!$C93</f>
        <v>0</v>
      </c>
      <c r="AR92" s="9">
        <f>Raw!AR93/Raw!$C93</f>
        <v>0</v>
      </c>
      <c r="AS92" s="9">
        <f>Raw!AS93/Raw!$C93</f>
        <v>0</v>
      </c>
      <c r="AT92" s="9">
        <f>Raw!AT93/Raw!$C93</f>
        <v>9.9173553719008254</v>
      </c>
      <c r="AU92" s="9">
        <f>Raw!AU93/Raw!$C93</f>
        <v>0.62809917355371891</v>
      </c>
      <c r="AV92" s="9">
        <f>Raw!AV93/Raw!$C93</f>
        <v>0</v>
      </c>
      <c r="AW92" s="9">
        <f>Raw!AW93/Raw!$C93</f>
        <v>0</v>
      </c>
      <c r="AX92" s="9">
        <f>Raw!AX93/Raw!$C93</f>
        <v>0</v>
      </c>
      <c r="AY92" s="9">
        <f>Raw!AY93/Raw!$C93</f>
        <v>0</v>
      </c>
      <c r="AZ92" s="9">
        <f>Raw!AZ93/Raw!$C93</f>
        <v>0</v>
      </c>
      <c r="BA92" s="9">
        <f>Raw!BA93/Raw!$C93</f>
        <v>0</v>
      </c>
      <c r="BB92" s="9">
        <f>Raw!BB93/Raw!$C93</f>
        <v>0</v>
      </c>
      <c r="BC92" s="9">
        <f>Raw!BC93/Raw!$C93</f>
        <v>0</v>
      </c>
      <c r="BD92" s="9">
        <f>Raw!BD93/Raw!$C93</f>
        <v>0</v>
      </c>
      <c r="BE92" s="9">
        <f>Raw!BE93/Raw!$C93</f>
        <v>0</v>
      </c>
      <c r="BF92" s="9">
        <f>Raw!BF93/Raw!$C93</f>
        <v>0</v>
      </c>
      <c r="BG92" s="9">
        <f>Raw!BG93/Raw!$C93</f>
        <v>0</v>
      </c>
      <c r="BH92" s="9">
        <f>Raw!BH93/Raw!$C93</f>
        <v>0</v>
      </c>
      <c r="BI92" s="9">
        <f>Raw!BI93/Raw!$C93</f>
        <v>0</v>
      </c>
      <c r="BJ92" s="9">
        <f>Raw!BJ93/Raw!$C93</f>
        <v>0</v>
      </c>
      <c r="BK92" s="9">
        <f>Raw!BK93/Raw!$C93</f>
        <v>0</v>
      </c>
      <c r="BL92" s="9">
        <f>Raw!BL93/Raw!$C93</f>
        <v>0</v>
      </c>
      <c r="BM92" s="9">
        <f>Raw!BM93/Raw!$C93</f>
        <v>0</v>
      </c>
      <c r="BN92" s="9">
        <f>Raw!BN93/Raw!$C93</f>
        <v>0</v>
      </c>
      <c r="BO92" s="9">
        <f>Raw!BO93/Raw!$C93</f>
        <v>0</v>
      </c>
      <c r="BP92" s="9">
        <f>Raw!BP93/Raw!$C93</f>
        <v>0</v>
      </c>
      <c r="BQ92" s="9">
        <f>Raw!BQ93/Raw!$C93</f>
        <v>0</v>
      </c>
      <c r="BR92" s="9">
        <f>Raw!BR93/Raw!$C93</f>
        <v>0</v>
      </c>
      <c r="BS92" s="9">
        <f>Raw!BS93/Raw!$C93</f>
        <v>0</v>
      </c>
      <c r="BT92" s="9">
        <f>Raw!BT93/Raw!$C93</f>
        <v>0</v>
      </c>
      <c r="BU92" s="9">
        <f>Raw!BU93/Raw!$C93</f>
        <v>0</v>
      </c>
      <c r="BV92" s="9">
        <f>Raw!BV93/Raw!$C93</f>
        <v>0</v>
      </c>
      <c r="BW92" s="9">
        <f>Raw!BW93/Raw!$C93</f>
        <v>0</v>
      </c>
      <c r="BX92" s="9">
        <f>Raw!BX93/Raw!$C93</f>
        <v>0</v>
      </c>
      <c r="BY92" s="9">
        <f>Raw!BY93/Raw!$C93</f>
        <v>0</v>
      </c>
      <c r="BZ92" s="9">
        <f>Raw!BZ93/Raw!$C93</f>
        <v>0</v>
      </c>
      <c r="CA92" s="9">
        <f>Raw!CA93/Raw!$C93</f>
        <v>0</v>
      </c>
      <c r="CB92" s="9">
        <f>Raw!CB93/Raw!$C93</f>
        <v>0</v>
      </c>
      <c r="CC92" s="9">
        <f>Raw!CC93/Raw!$C93</f>
        <v>0</v>
      </c>
      <c r="CD92" s="9">
        <f>Raw!CD93/Raw!$C93</f>
        <v>0</v>
      </c>
      <c r="CE92" s="9">
        <f>Raw!CE93/Raw!$C93</f>
        <v>0</v>
      </c>
      <c r="CF92" s="9">
        <f>Raw!CF93/Raw!$C93</f>
        <v>0</v>
      </c>
      <c r="CG92" s="9">
        <f>Raw!CG93/Raw!$C93</f>
        <v>0</v>
      </c>
      <c r="CH92" s="9">
        <f>Raw!CH93/Raw!$C93</f>
        <v>0</v>
      </c>
      <c r="CI92" s="9">
        <f>Raw!CI93/Raw!$C93</f>
        <v>0</v>
      </c>
      <c r="CJ92" s="9">
        <f>Raw!CJ93/Raw!$C93</f>
        <v>0</v>
      </c>
      <c r="CK92" s="9">
        <f>Raw!CK93/Raw!$C93</f>
        <v>0</v>
      </c>
      <c r="CL92" s="9">
        <f>Raw!CL93/Raw!$C93</f>
        <v>0</v>
      </c>
      <c r="CM92" s="9">
        <f>Raw!CM93/Raw!$C93</f>
        <v>0</v>
      </c>
      <c r="CN92" s="9">
        <f>Raw!CN93/Raw!$C93</f>
        <v>0</v>
      </c>
      <c r="CO92" s="9">
        <f>Raw!CO93/Raw!$C93</f>
        <v>0</v>
      </c>
      <c r="CP92" s="9">
        <f>Raw!CP93/Raw!$C93</f>
        <v>0</v>
      </c>
      <c r="CQ92" s="9">
        <f>Raw!CQ93/Raw!$C93</f>
        <v>0</v>
      </c>
      <c r="CR92" s="2">
        <f t="shared" si="39"/>
        <v>442.97520661157017</v>
      </c>
      <c r="CS92" s="2">
        <f t="shared" si="40"/>
        <v>733.19008264462786</v>
      </c>
      <c r="CT92" s="3">
        <f t="shared" ref="CT92:CT101" si="56">LOG10(CR92)</f>
        <v>2.6463794193763199</v>
      </c>
      <c r="CU92" s="3">
        <f t="shared" ref="CU92:CU101" si="57">LOG10(CS92)</f>
        <v>2.8652165819286921</v>
      </c>
      <c r="CZ92" s="3">
        <f t="shared" ref="CZ92:CZ101" si="58">LOG10(CR92+CV92)</f>
        <v>2.6463794193763199</v>
      </c>
      <c r="DA92" s="3">
        <f t="shared" ref="DA92:DA101" si="59">LOG10(CS92+CW92)</f>
        <v>2.8652165819286921</v>
      </c>
      <c r="DB92" s="6">
        <f t="shared" ref="DB92:DB101" si="60">0.590307*(4.87-0.33*CT92-CU92)</f>
        <v>0.66791950751987306</v>
      </c>
      <c r="DC92" s="3">
        <v>4</v>
      </c>
      <c r="DD92" s="3">
        <f>DC92/Raw!C93</f>
        <v>13.223140495867767</v>
      </c>
      <c r="DE92" s="5">
        <f t="shared" ref="DE92:DE101" si="61">DC92/CR92</f>
        <v>9.0298507462686587E-3</v>
      </c>
      <c r="DF92">
        <f t="shared" ref="DF92:DF101" si="62">LOG(DE92)</f>
        <v>-2.0443194280483574</v>
      </c>
      <c r="DH92" s="4">
        <f>-SUM('Shannon-Weiner'!B91:Z91)</f>
        <v>0.64453697833410473</v>
      </c>
      <c r="DI92" s="4">
        <f>SUM('p^2'!B91:Z91)</f>
        <v>0.686901314323903</v>
      </c>
      <c r="DJ92" s="4">
        <f t="shared" ref="DJ92:DJ101" si="63">1-DI92</f>
        <v>0.313098685676097</v>
      </c>
      <c r="DK92">
        <f t="shared" ref="DK92:DK101" si="64">1/DI92</f>
        <v>1.4558131992865249</v>
      </c>
      <c r="DL92" s="4">
        <f>SUM('Shannon-Weiner_B'!B91:Z91)</f>
        <v>-0.84304059618412419</v>
      </c>
      <c r="DM92" s="4">
        <f>SUM('p_B^2'!B91:Z91)</f>
        <v>0.46072008609430326</v>
      </c>
      <c r="DN92" s="4">
        <f t="shared" ref="DN92:DN101" si="65">1-DM92</f>
        <v>0.53927991390569674</v>
      </c>
      <c r="DO92">
        <f t="shared" ref="DO92:DO101" si="66">1/DM92</f>
        <v>2.1705153089316651</v>
      </c>
    </row>
    <row r="93" spans="2:119" x14ac:dyDescent="0.25">
      <c r="B93" t="str">
        <f>Raw!B94</f>
        <v>TC2</v>
      </c>
      <c r="C93">
        <v>1</v>
      </c>
      <c r="D93" s="9">
        <f>Raw!D94/Raw!$C94</f>
        <v>0</v>
      </c>
      <c r="E93" s="9">
        <f>Raw!E94/Raw!$C94</f>
        <v>0</v>
      </c>
      <c r="F93" s="9">
        <f>Raw!F94/Raw!$C94</f>
        <v>0</v>
      </c>
      <c r="G93" s="9">
        <f>Raw!G94/Raw!$C94</f>
        <v>0</v>
      </c>
      <c r="H93" s="9">
        <f>Raw!H94/Raw!$C94</f>
        <v>0</v>
      </c>
      <c r="I93" s="9">
        <f>Raw!I94/Raw!$C94</f>
        <v>0</v>
      </c>
      <c r="J93" s="9">
        <f>Raw!J94/Raw!$C94</f>
        <v>0</v>
      </c>
      <c r="K93" s="9">
        <f>Raw!K94/Raw!$C94</f>
        <v>0</v>
      </c>
      <c r="L93" s="9">
        <f>Raw!L94/Raw!$C94</f>
        <v>0</v>
      </c>
      <c r="M93" s="9">
        <f>Raw!M94/Raw!$C94</f>
        <v>0</v>
      </c>
      <c r="N93" s="9">
        <f>Raw!N94/Raw!$C94</f>
        <v>5.5555555555555554</v>
      </c>
      <c r="O93" s="9">
        <f>Raw!O94/Raw!$C94</f>
        <v>73.8888888888889</v>
      </c>
      <c r="P93" s="9">
        <f>Raw!P94/Raw!$C94</f>
        <v>0</v>
      </c>
      <c r="Q93" s="9">
        <f>Raw!Q94/Raw!$C94</f>
        <v>0</v>
      </c>
      <c r="R93" s="9">
        <f>Raw!R94/Raw!$C94</f>
        <v>0</v>
      </c>
      <c r="S93" s="9">
        <f>Raw!S94/Raw!$C94</f>
        <v>0</v>
      </c>
      <c r="T93" s="9">
        <f>Raw!T94/Raw!$C94</f>
        <v>0</v>
      </c>
      <c r="U93" s="9">
        <f>Raw!U94/Raw!$C94</f>
        <v>0</v>
      </c>
      <c r="V93" s="9">
        <f>Raw!V94/Raw!$C94</f>
        <v>0</v>
      </c>
      <c r="W93" s="9">
        <f>Raw!W94/Raw!$C94</f>
        <v>0</v>
      </c>
      <c r="X93" s="9">
        <f>Raw!X94/Raw!$C94</f>
        <v>211.11111111111111</v>
      </c>
      <c r="Y93" s="9">
        <f>Raw!Y94/Raw!$C94</f>
        <v>11.888888888888889</v>
      </c>
      <c r="Z93" s="9">
        <f>Raw!Z94/Raw!$C94</f>
        <v>0</v>
      </c>
      <c r="AA93" s="9">
        <f>Raw!AA94/Raw!$C94</f>
        <v>0</v>
      </c>
      <c r="AB93" s="9">
        <f>Raw!AB94/Raw!$C94</f>
        <v>0</v>
      </c>
      <c r="AC93" s="9">
        <f>Raw!AC94/Raw!$C94</f>
        <v>0</v>
      </c>
      <c r="AD93" s="9">
        <f>Raw!AD94/Raw!$C94</f>
        <v>0</v>
      </c>
      <c r="AE93" s="9">
        <f>Raw!AE94/Raw!$C94</f>
        <v>0</v>
      </c>
      <c r="AF93" s="9">
        <f>Raw!AF94/Raw!$C94</f>
        <v>0</v>
      </c>
      <c r="AG93" s="9">
        <f>Raw!AG94/Raw!$C94</f>
        <v>0</v>
      </c>
      <c r="AH93" s="9">
        <f>Raw!AH94/Raw!$C94</f>
        <v>0</v>
      </c>
      <c r="AI93" s="9">
        <f>Raw!AI94/Raw!$C94</f>
        <v>0</v>
      </c>
      <c r="AJ93" s="9">
        <f>Raw!AJ94/Raw!$C94</f>
        <v>0</v>
      </c>
      <c r="AK93" s="9">
        <f>Raw!AK94/Raw!$C94</f>
        <v>0</v>
      </c>
      <c r="AL93" s="9">
        <f>Raw!AL94/Raw!$C94</f>
        <v>47.222222222222221</v>
      </c>
      <c r="AM93" s="9">
        <f>Raw!AM94/Raw!$C94</f>
        <v>245.36111111111111</v>
      </c>
      <c r="AN93" s="9">
        <f>Raw!AN94/Raw!$C94</f>
        <v>0</v>
      </c>
      <c r="AO93" s="9">
        <f>Raw!AO94/Raw!$C94</f>
        <v>0</v>
      </c>
      <c r="AP93" s="9">
        <f>Raw!AP94/Raw!$C94</f>
        <v>0</v>
      </c>
      <c r="AQ93" s="9">
        <f>Raw!AQ94/Raw!$C94</f>
        <v>0</v>
      </c>
      <c r="AR93" s="9">
        <f>Raw!AR94/Raw!$C94</f>
        <v>0</v>
      </c>
      <c r="AS93" s="9">
        <f>Raw!AS94/Raw!$C94</f>
        <v>0</v>
      </c>
      <c r="AT93" s="9">
        <f>Raw!AT94/Raw!$C94</f>
        <v>0</v>
      </c>
      <c r="AU93" s="9">
        <f>Raw!AU94/Raw!$C94</f>
        <v>0</v>
      </c>
      <c r="AV93" s="9">
        <f>Raw!AV94/Raw!$C94</f>
        <v>0</v>
      </c>
      <c r="AW93" s="9">
        <f>Raw!AW94/Raw!$C94</f>
        <v>0</v>
      </c>
      <c r="AX93" s="9">
        <f>Raw!AX94/Raw!$C94</f>
        <v>0</v>
      </c>
      <c r="AY93" s="9">
        <f>Raw!AY94/Raw!$C94</f>
        <v>0</v>
      </c>
      <c r="AZ93" s="9">
        <f>Raw!AZ94/Raw!$C94</f>
        <v>0</v>
      </c>
      <c r="BA93" s="9">
        <f>Raw!BA94/Raw!$C94</f>
        <v>0</v>
      </c>
      <c r="BB93" s="9">
        <f>Raw!BB94/Raw!$C94</f>
        <v>0</v>
      </c>
      <c r="BC93" s="9">
        <f>Raw!BC94/Raw!$C94</f>
        <v>0</v>
      </c>
      <c r="BD93" s="9">
        <f>Raw!BD94/Raw!$C94</f>
        <v>0</v>
      </c>
      <c r="BE93" s="9">
        <f>Raw!BE94/Raw!$C94</f>
        <v>0</v>
      </c>
      <c r="BF93" s="9">
        <f>Raw!BF94/Raw!$C94</f>
        <v>0</v>
      </c>
      <c r="BG93" s="9">
        <f>Raw!BG94/Raw!$C94</f>
        <v>0</v>
      </c>
      <c r="BH93" s="9">
        <f>Raw!BH94/Raw!$C94</f>
        <v>0</v>
      </c>
      <c r="BI93" s="9">
        <f>Raw!BI94/Raw!$C94</f>
        <v>0</v>
      </c>
      <c r="BJ93" s="9">
        <f>Raw!BJ94/Raw!$C94</f>
        <v>0</v>
      </c>
      <c r="BK93" s="9">
        <f>Raw!BK94/Raw!$C94</f>
        <v>0</v>
      </c>
      <c r="BL93" s="9">
        <f>Raw!BL94/Raw!$C94</f>
        <v>0</v>
      </c>
      <c r="BM93" s="9">
        <f>Raw!BM94/Raw!$C94</f>
        <v>0</v>
      </c>
      <c r="BN93" s="9">
        <f>Raw!BN94/Raw!$C94</f>
        <v>0</v>
      </c>
      <c r="BO93" s="9">
        <f>Raw!BO94/Raw!$C94</f>
        <v>0</v>
      </c>
      <c r="BP93" s="9">
        <f>Raw!BP94/Raw!$C94</f>
        <v>0</v>
      </c>
      <c r="BQ93" s="9">
        <f>Raw!BQ94/Raw!$C94</f>
        <v>0</v>
      </c>
      <c r="BR93" s="9">
        <f>Raw!BR94/Raw!$C94</f>
        <v>0</v>
      </c>
      <c r="BS93" s="9">
        <f>Raw!BS94/Raw!$C94</f>
        <v>0</v>
      </c>
      <c r="BT93" s="9">
        <f>Raw!BT94/Raw!$C94</f>
        <v>0</v>
      </c>
      <c r="BU93" s="9">
        <f>Raw!BU94/Raw!$C94</f>
        <v>0</v>
      </c>
      <c r="BV93" s="9">
        <f>Raw!BV94/Raw!$C94</f>
        <v>0</v>
      </c>
      <c r="BW93" s="9">
        <f>Raw!BW94/Raw!$C94</f>
        <v>0</v>
      </c>
      <c r="BX93" s="9">
        <f>Raw!BX94/Raw!$C94</f>
        <v>0</v>
      </c>
      <c r="BY93" s="9">
        <f>Raw!BY94/Raw!$C94</f>
        <v>0</v>
      </c>
      <c r="BZ93" s="9">
        <f>Raw!BZ94/Raw!$C94</f>
        <v>0</v>
      </c>
      <c r="CA93" s="9">
        <f>Raw!CA94/Raw!$C94</f>
        <v>0</v>
      </c>
      <c r="CB93" s="9">
        <f>Raw!CB94/Raw!$C94</f>
        <v>0</v>
      </c>
      <c r="CC93" s="9">
        <f>Raw!CC94/Raw!$C94</f>
        <v>0</v>
      </c>
      <c r="CD93" s="9">
        <f>Raw!CD94/Raw!$C94</f>
        <v>0</v>
      </c>
      <c r="CE93" s="9">
        <f>Raw!CE94/Raw!$C94</f>
        <v>0</v>
      </c>
      <c r="CF93" s="9">
        <f>Raw!CF94/Raw!$C94</f>
        <v>0</v>
      </c>
      <c r="CG93" s="9">
        <f>Raw!CG94/Raw!$C94</f>
        <v>0</v>
      </c>
      <c r="CH93" s="9">
        <f>Raw!CH94/Raw!$C94</f>
        <v>0</v>
      </c>
      <c r="CI93" s="9">
        <f>Raw!CI94/Raw!$C94</f>
        <v>0</v>
      </c>
      <c r="CJ93" s="9">
        <f>Raw!CJ94/Raw!$C94</f>
        <v>0</v>
      </c>
      <c r="CK93" s="9">
        <f>Raw!CK94/Raw!$C94</f>
        <v>0</v>
      </c>
      <c r="CL93" s="9">
        <f>Raw!CL94/Raw!$C94</f>
        <v>0</v>
      </c>
      <c r="CM93" s="9">
        <f>Raw!CM94/Raw!$C94</f>
        <v>0</v>
      </c>
      <c r="CN93" s="9">
        <f>Raw!CN94/Raw!$C94</f>
        <v>0</v>
      </c>
      <c r="CO93" s="9">
        <f>Raw!CO94/Raw!$C94</f>
        <v>0</v>
      </c>
      <c r="CP93" s="9">
        <f>Raw!CP94/Raw!$C94</f>
        <v>0</v>
      </c>
      <c r="CQ93" s="9">
        <f>Raw!CQ94/Raw!$C94</f>
        <v>0</v>
      </c>
      <c r="CR93" s="2">
        <f t="shared" si="39"/>
        <v>263.88888888888886</v>
      </c>
      <c r="CS93" s="2">
        <f t="shared" si="40"/>
        <v>331.13888888888891</v>
      </c>
      <c r="CT93" s="3">
        <f t="shared" si="56"/>
        <v>2.4214211045215603</v>
      </c>
      <c r="CU93" s="3">
        <f t="shared" si="57"/>
        <v>2.5200101872095706</v>
      </c>
      <c r="CZ93" s="3">
        <f t="shared" si="58"/>
        <v>2.4214211045215603</v>
      </c>
      <c r="DA93" s="3">
        <f t="shared" si="59"/>
        <v>2.5200101872095706</v>
      </c>
      <c r="DB93" s="6">
        <f t="shared" si="60"/>
        <v>0.91551943319643336</v>
      </c>
      <c r="DC93" s="3">
        <v>3</v>
      </c>
      <c r="DD93" s="3">
        <f>DC93/Raw!C94</f>
        <v>8.3333333333333339</v>
      </c>
      <c r="DE93" s="5">
        <f t="shared" si="61"/>
        <v>1.136842105263158E-2</v>
      </c>
      <c r="DF93">
        <f t="shared" si="62"/>
        <v>-1.944299849801898</v>
      </c>
      <c r="DH93" s="4">
        <f>-SUM('Shannon-Weiner'!B92:Z92)</f>
        <v>0.56770157505489105</v>
      </c>
      <c r="DI93" s="4">
        <f>SUM('p^2'!B92:Z92)</f>
        <v>0.67246537396121908</v>
      </c>
      <c r="DJ93" s="4">
        <f t="shared" si="63"/>
        <v>0.32753462603878092</v>
      </c>
      <c r="DK93">
        <f t="shared" si="64"/>
        <v>1.487065414401054</v>
      </c>
      <c r="DL93" s="4">
        <f>SUM('Shannon-Weiner_B'!B92:Z92)</f>
        <v>-0.67629025062629422</v>
      </c>
      <c r="DM93" s="4">
        <f>SUM('p_B^2'!B92:Z92)</f>
        <v>0.60010223330773171</v>
      </c>
      <c r="DN93" s="4">
        <f t="shared" si="65"/>
        <v>0.39989776669226829</v>
      </c>
      <c r="DO93">
        <f t="shared" si="66"/>
        <v>1.6663827336353223</v>
      </c>
    </row>
    <row r="94" spans="2:119" x14ac:dyDescent="0.25">
      <c r="B94" t="str">
        <f>Raw!B95</f>
        <v>TC3</v>
      </c>
      <c r="C94">
        <v>1</v>
      </c>
      <c r="D94" s="9">
        <f>Raw!D95/Raw!$C95</f>
        <v>0</v>
      </c>
      <c r="E94" s="9">
        <f>Raw!E95/Raw!$C95</f>
        <v>0</v>
      </c>
      <c r="F94" s="9">
        <f>Raw!F95/Raw!$C95</f>
        <v>0</v>
      </c>
      <c r="G94" s="9">
        <f>Raw!G95/Raw!$C95</f>
        <v>0</v>
      </c>
      <c r="H94" s="9">
        <f>Raw!H95/Raw!$C95</f>
        <v>0</v>
      </c>
      <c r="I94" s="9">
        <f>Raw!I95/Raw!$C95</f>
        <v>0</v>
      </c>
      <c r="J94" s="9">
        <f>Raw!J95/Raw!$C95</f>
        <v>0</v>
      </c>
      <c r="K94" s="9">
        <f>Raw!K95/Raw!$C95</f>
        <v>0</v>
      </c>
      <c r="L94" s="9">
        <f>Raw!L95/Raw!$C95</f>
        <v>0</v>
      </c>
      <c r="M94" s="9">
        <f>Raw!M95/Raw!$C95</f>
        <v>0</v>
      </c>
      <c r="N94" s="9">
        <f>Raw!N95/Raw!$C95</f>
        <v>2.7777777777777777</v>
      </c>
      <c r="O94" s="9">
        <f>Raw!O95/Raw!$C95</f>
        <v>12.416666666666666</v>
      </c>
      <c r="P94" s="9">
        <f>Raw!P95/Raw!$C95</f>
        <v>0</v>
      </c>
      <c r="Q94" s="9">
        <f>Raw!Q95/Raw!$C95</f>
        <v>0</v>
      </c>
      <c r="R94" s="9">
        <f>Raw!R95/Raw!$C95</f>
        <v>0</v>
      </c>
      <c r="S94" s="9">
        <f>Raw!S95/Raw!$C95</f>
        <v>0</v>
      </c>
      <c r="T94" s="9">
        <f>Raw!T95/Raw!$C95</f>
        <v>0</v>
      </c>
      <c r="U94" s="9">
        <f>Raw!U95/Raw!$C95</f>
        <v>0</v>
      </c>
      <c r="V94" s="9">
        <f>Raw!V95/Raw!$C95</f>
        <v>0</v>
      </c>
      <c r="W94" s="9">
        <f>Raw!W95/Raw!$C95</f>
        <v>0</v>
      </c>
      <c r="X94" s="9">
        <f>Raw!X95/Raw!$C95</f>
        <v>127.77777777777779</v>
      </c>
      <c r="Y94" s="9">
        <f>Raw!Y95/Raw!$C95</f>
        <v>5.8888888888888893</v>
      </c>
      <c r="Z94" s="9">
        <f>Raw!Z95/Raw!$C95</f>
        <v>0</v>
      </c>
      <c r="AA94" s="9">
        <f>Raw!AA95/Raw!$C95</f>
        <v>0</v>
      </c>
      <c r="AB94" s="9">
        <f>Raw!AB95/Raw!$C95</f>
        <v>0</v>
      </c>
      <c r="AC94" s="9">
        <f>Raw!AC95/Raw!$C95</f>
        <v>0</v>
      </c>
      <c r="AD94" s="9">
        <f>Raw!AD95/Raw!$C95</f>
        <v>0</v>
      </c>
      <c r="AE94" s="9">
        <f>Raw!AE95/Raw!$C95</f>
        <v>0</v>
      </c>
      <c r="AF94" s="9">
        <f>Raw!AF95/Raw!$C95</f>
        <v>0</v>
      </c>
      <c r="AG94" s="9">
        <f>Raw!AG95/Raw!$C95</f>
        <v>0</v>
      </c>
      <c r="AH94" s="9">
        <f>Raw!AH95/Raw!$C95</f>
        <v>0</v>
      </c>
      <c r="AI94" s="9">
        <f>Raw!AI95/Raw!$C95</f>
        <v>0</v>
      </c>
      <c r="AJ94" s="9">
        <f>Raw!AJ95/Raw!$C95</f>
        <v>0</v>
      </c>
      <c r="AK94" s="9">
        <f>Raw!AK95/Raw!$C95</f>
        <v>0</v>
      </c>
      <c r="AL94" s="9">
        <f>Raw!AL95/Raw!$C95</f>
        <v>50</v>
      </c>
      <c r="AM94" s="9">
        <f>Raw!AM95/Raw!$C95</f>
        <v>381.33333333333337</v>
      </c>
      <c r="AN94" s="9">
        <f>Raw!AN95/Raw!$C95</f>
        <v>0</v>
      </c>
      <c r="AO94" s="9">
        <f>Raw!AO95/Raw!$C95</f>
        <v>0</v>
      </c>
      <c r="AP94" s="9">
        <f>Raw!AP95/Raw!$C95</f>
        <v>0</v>
      </c>
      <c r="AQ94" s="9">
        <f>Raw!AQ95/Raw!$C95</f>
        <v>0</v>
      </c>
      <c r="AR94" s="9">
        <f>Raw!AR95/Raw!$C95</f>
        <v>0</v>
      </c>
      <c r="AS94" s="9">
        <f>Raw!AS95/Raw!$C95</f>
        <v>0</v>
      </c>
      <c r="AT94" s="9">
        <f>Raw!AT95/Raw!$C95</f>
        <v>0</v>
      </c>
      <c r="AU94" s="9">
        <f>Raw!AU95/Raw!$C95</f>
        <v>0</v>
      </c>
      <c r="AV94" s="9">
        <f>Raw!AV95/Raw!$C95</f>
        <v>0</v>
      </c>
      <c r="AW94" s="9">
        <f>Raw!AW95/Raw!$C95</f>
        <v>0</v>
      </c>
      <c r="AX94" s="9">
        <f>Raw!AX95/Raw!$C95</f>
        <v>0</v>
      </c>
      <c r="AY94" s="9">
        <f>Raw!AY95/Raw!$C95</f>
        <v>0</v>
      </c>
      <c r="AZ94" s="9">
        <f>Raw!AZ95/Raw!$C95</f>
        <v>0</v>
      </c>
      <c r="BA94" s="9">
        <f>Raw!BA95/Raw!$C95</f>
        <v>0</v>
      </c>
      <c r="BB94" s="9">
        <f>Raw!BB95/Raw!$C95</f>
        <v>0</v>
      </c>
      <c r="BC94" s="9">
        <f>Raw!BC95/Raw!$C95</f>
        <v>0</v>
      </c>
      <c r="BD94" s="9">
        <f>Raw!BD95/Raw!$C95</f>
        <v>0</v>
      </c>
      <c r="BE94" s="9">
        <f>Raw!BE95/Raw!$C95</f>
        <v>0</v>
      </c>
      <c r="BF94" s="9">
        <f>Raw!BF95/Raw!$C95</f>
        <v>0</v>
      </c>
      <c r="BG94" s="9">
        <f>Raw!BG95/Raw!$C95</f>
        <v>0</v>
      </c>
      <c r="BH94" s="9">
        <f>Raw!BH95/Raw!$C95</f>
        <v>0</v>
      </c>
      <c r="BI94" s="9">
        <f>Raw!BI95/Raw!$C95</f>
        <v>0</v>
      </c>
      <c r="BJ94" s="9">
        <f>Raw!BJ95/Raw!$C95</f>
        <v>0</v>
      </c>
      <c r="BK94" s="9">
        <f>Raw!BK95/Raw!$C95</f>
        <v>0</v>
      </c>
      <c r="BL94" s="9">
        <f>Raw!BL95/Raw!$C95</f>
        <v>0</v>
      </c>
      <c r="BM94" s="9">
        <f>Raw!BM95/Raw!$C95</f>
        <v>0</v>
      </c>
      <c r="BN94" s="9">
        <f>Raw!BN95/Raw!$C95</f>
        <v>0</v>
      </c>
      <c r="BO94" s="9">
        <f>Raw!BO95/Raw!$C95</f>
        <v>0</v>
      </c>
      <c r="BP94" s="9">
        <f>Raw!BP95/Raw!$C95</f>
        <v>0</v>
      </c>
      <c r="BQ94" s="9">
        <f>Raw!BQ95/Raw!$C95</f>
        <v>0</v>
      </c>
      <c r="BR94" s="9">
        <f>Raw!BR95/Raw!$C95</f>
        <v>0</v>
      </c>
      <c r="BS94" s="9">
        <f>Raw!BS95/Raw!$C95</f>
        <v>0</v>
      </c>
      <c r="BT94" s="9">
        <f>Raw!BT95/Raw!$C95</f>
        <v>0</v>
      </c>
      <c r="BU94" s="9">
        <f>Raw!BU95/Raw!$C95</f>
        <v>0</v>
      </c>
      <c r="BV94" s="9">
        <f>Raw!BV95/Raw!$C95</f>
        <v>0</v>
      </c>
      <c r="BW94" s="9">
        <f>Raw!BW95/Raw!$C95</f>
        <v>0</v>
      </c>
      <c r="BX94" s="9">
        <f>Raw!BX95/Raw!$C95</f>
        <v>0</v>
      </c>
      <c r="BY94" s="9">
        <f>Raw!BY95/Raw!$C95</f>
        <v>0</v>
      </c>
      <c r="BZ94" s="9">
        <f>Raw!BZ95/Raw!$C95</f>
        <v>0</v>
      </c>
      <c r="CA94" s="9">
        <f>Raw!CA95/Raw!$C95</f>
        <v>0</v>
      </c>
      <c r="CB94" s="9">
        <f>Raw!CB95/Raw!$C95</f>
        <v>0</v>
      </c>
      <c r="CC94" s="9">
        <f>Raw!CC95/Raw!$C95</f>
        <v>0</v>
      </c>
      <c r="CD94" s="9">
        <f>Raw!CD95/Raw!$C95</f>
        <v>0</v>
      </c>
      <c r="CE94" s="9">
        <f>Raw!CE95/Raw!$C95</f>
        <v>0</v>
      </c>
      <c r="CF94" s="9">
        <f>Raw!CF95/Raw!$C95</f>
        <v>0</v>
      </c>
      <c r="CG94" s="9">
        <f>Raw!CG95/Raw!$C95</f>
        <v>0</v>
      </c>
      <c r="CH94" s="9">
        <f>Raw!CH95/Raw!$C95</f>
        <v>0</v>
      </c>
      <c r="CI94" s="9">
        <f>Raw!CI95/Raw!$C95</f>
        <v>0</v>
      </c>
      <c r="CJ94" s="9">
        <f>Raw!CJ95/Raw!$C95</f>
        <v>0</v>
      </c>
      <c r="CK94" s="9">
        <f>Raw!CK95/Raw!$C95</f>
        <v>0</v>
      </c>
      <c r="CL94" s="9">
        <f>Raw!CL95/Raw!$C95</f>
        <v>0</v>
      </c>
      <c r="CM94" s="9">
        <f>Raw!CM95/Raw!$C95</f>
        <v>0</v>
      </c>
      <c r="CN94" s="9">
        <f>Raw!CN95/Raw!$C95</f>
        <v>0</v>
      </c>
      <c r="CO94" s="9">
        <f>Raw!CO95/Raw!$C95</f>
        <v>0</v>
      </c>
      <c r="CP94" s="9">
        <f>Raw!CP95/Raw!$C95</f>
        <v>0</v>
      </c>
      <c r="CQ94" s="9">
        <f>Raw!CQ95/Raw!$C95</f>
        <v>0</v>
      </c>
      <c r="CR94" s="2">
        <f t="shared" si="39"/>
        <v>180.55555555555557</v>
      </c>
      <c r="CS94" s="2">
        <f t="shared" si="40"/>
        <v>399.63888888888891</v>
      </c>
      <c r="CT94" s="3">
        <f t="shared" si="56"/>
        <v>2.2566108558755684</v>
      </c>
      <c r="CU94" s="3">
        <f t="shared" si="57"/>
        <v>2.6016677428374257</v>
      </c>
      <c r="CZ94" s="3">
        <f t="shared" si="58"/>
        <v>2.2566108558755684</v>
      </c>
      <c r="DA94" s="3">
        <f t="shared" si="59"/>
        <v>2.6016677428374257</v>
      </c>
      <c r="DB94" s="6">
        <f t="shared" si="60"/>
        <v>0.89942165884408576</v>
      </c>
      <c r="DC94" s="3">
        <v>3</v>
      </c>
      <c r="DD94" s="3">
        <f>DC94/Raw!C95</f>
        <v>8.3333333333333339</v>
      </c>
      <c r="DE94" s="5">
        <f t="shared" si="61"/>
        <v>1.6615384615384615E-2</v>
      </c>
      <c r="DF94">
        <f t="shared" si="62"/>
        <v>-1.7794896011559058</v>
      </c>
      <c r="DH94" s="4">
        <f>-SUM('Shannon-Weiner'!B93:Z93)</f>
        <v>0.66447656403980115</v>
      </c>
      <c r="DI94" s="4">
        <f>SUM('p^2'!B93:Z93)</f>
        <v>0.57775147928994064</v>
      </c>
      <c r="DJ94" s="4">
        <f t="shared" si="63"/>
        <v>0.42224852071005936</v>
      </c>
      <c r="DK94">
        <f t="shared" si="64"/>
        <v>1.730848013109382</v>
      </c>
      <c r="DL94" s="4">
        <f>SUM('Shannon-Weiner_B'!B93:Z93)</f>
        <v>-0.21474596774390767</v>
      </c>
      <c r="DM94" s="4">
        <f>SUM('p_B^2'!B93:Z93)</f>
        <v>0.91167010133918913</v>
      </c>
      <c r="DN94" s="4">
        <f t="shared" si="65"/>
        <v>8.8329898660810868E-2</v>
      </c>
      <c r="DO94">
        <f t="shared" si="66"/>
        <v>1.09688800645218</v>
      </c>
    </row>
    <row r="95" spans="2:119" x14ac:dyDescent="0.25">
      <c r="B95" t="str">
        <f>Raw!B96</f>
        <v>TC4</v>
      </c>
      <c r="C95">
        <v>1</v>
      </c>
      <c r="D95" s="9">
        <f>Raw!D96/Raw!$C96</f>
        <v>0</v>
      </c>
      <c r="E95" s="9">
        <f>Raw!E96/Raw!$C96</f>
        <v>0</v>
      </c>
      <c r="F95" s="9">
        <f>Raw!F96/Raw!$C96</f>
        <v>0</v>
      </c>
      <c r="G95" s="9">
        <f>Raw!G96/Raw!$C96</f>
        <v>0</v>
      </c>
      <c r="H95" s="9">
        <f>Raw!H96/Raw!$C96</f>
        <v>0</v>
      </c>
      <c r="I95" s="9">
        <f>Raw!I96/Raw!$C96</f>
        <v>0</v>
      </c>
      <c r="J95" s="9">
        <f>Raw!J96/Raw!$C96</f>
        <v>0</v>
      </c>
      <c r="K95" s="9">
        <f>Raw!K96/Raw!$C96</f>
        <v>0</v>
      </c>
      <c r="L95" s="9">
        <f>Raw!L96/Raw!$C96</f>
        <v>0</v>
      </c>
      <c r="M95" s="9">
        <f>Raw!M96/Raw!$C96</f>
        <v>0</v>
      </c>
      <c r="N95" s="9">
        <f>Raw!N96/Raw!$C96</f>
        <v>0</v>
      </c>
      <c r="O95" s="9">
        <f>Raw!O96/Raw!$C96</f>
        <v>0</v>
      </c>
      <c r="P95" s="9">
        <f>Raw!P96/Raw!$C96</f>
        <v>0</v>
      </c>
      <c r="Q95" s="9">
        <f>Raw!Q96/Raw!$C96</f>
        <v>0</v>
      </c>
      <c r="R95" s="9">
        <f>Raw!R96/Raw!$C96</f>
        <v>0</v>
      </c>
      <c r="S95" s="9">
        <f>Raw!S96/Raw!$C96</f>
        <v>0</v>
      </c>
      <c r="T95" s="9">
        <f>Raw!T96/Raw!$C96</f>
        <v>0</v>
      </c>
      <c r="U95" s="9">
        <f>Raw!U96/Raw!$C96</f>
        <v>0</v>
      </c>
      <c r="V95" s="9">
        <f>Raw!V96/Raw!$C96</f>
        <v>0</v>
      </c>
      <c r="W95" s="9">
        <f>Raw!W96/Raw!$C96</f>
        <v>0</v>
      </c>
      <c r="X95" s="9">
        <f>Raw!X96/Raw!$C96</f>
        <v>452</v>
      </c>
      <c r="Y95" s="9">
        <f>Raw!Y96/Raw!$C96</f>
        <v>28.6</v>
      </c>
      <c r="Z95" s="9">
        <f>Raw!Z96/Raw!$C96</f>
        <v>0</v>
      </c>
      <c r="AA95" s="9">
        <f>Raw!AA96/Raw!$C96</f>
        <v>0</v>
      </c>
      <c r="AB95" s="9">
        <f>Raw!AB96/Raw!$C96</f>
        <v>0</v>
      </c>
      <c r="AC95" s="9">
        <f>Raw!AC96/Raw!$C96</f>
        <v>0</v>
      </c>
      <c r="AD95" s="9">
        <f>Raw!AD96/Raw!$C96</f>
        <v>0</v>
      </c>
      <c r="AE95" s="9">
        <f>Raw!AE96/Raw!$C96</f>
        <v>0</v>
      </c>
      <c r="AF95" s="9">
        <f>Raw!AF96/Raw!$C96</f>
        <v>0</v>
      </c>
      <c r="AG95" s="9">
        <f>Raw!AG96/Raw!$C96</f>
        <v>0</v>
      </c>
      <c r="AH95" s="9">
        <f>Raw!AH96/Raw!$C96</f>
        <v>0</v>
      </c>
      <c r="AI95" s="9">
        <f>Raw!AI96/Raw!$C96</f>
        <v>0</v>
      </c>
      <c r="AJ95" s="9">
        <f>Raw!AJ96/Raw!$C96</f>
        <v>0</v>
      </c>
      <c r="AK95" s="9">
        <f>Raw!AK96/Raw!$C96</f>
        <v>0</v>
      </c>
      <c r="AL95" s="9">
        <f>Raw!AL96/Raw!$C96</f>
        <v>76</v>
      </c>
      <c r="AM95" s="9">
        <f>Raw!AM96/Raw!$C96</f>
        <v>194.28</v>
      </c>
      <c r="AN95" s="9">
        <f>Raw!AN96/Raw!$C96</f>
        <v>0</v>
      </c>
      <c r="AO95" s="9">
        <f>Raw!AO96/Raw!$C96</f>
        <v>0</v>
      </c>
      <c r="AP95" s="9">
        <f>Raw!AP96/Raw!$C96</f>
        <v>0</v>
      </c>
      <c r="AQ95" s="9">
        <f>Raw!AQ96/Raw!$C96</f>
        <v>0</v>
      </c>
      <c r="AR95" s="9">
        <f>Raw!AR96/Raw!$C96</f>
        <v>0</v>
      </c>
      <c r="AS95" s="9">
        <f>Raw!AS96/Raw!$C96</f>
        <v>0</v>
      </c>
      <c r="AT95" s="9">
        <f>Raw!AT96/Raw!$C96</f>
        <v>4</v>
      </c>
      <c r="AU95" s="9">
        <f>Raw!AU96/Raw!$C96</f>
        <v>6.68</v>
      </c>
      <c r="AV95" s="9">
        <f>Raw!AV96/Raw!$C96</f>
        <v>0</v>
      </c>
      <c r="AW95" s="9">
        <f>Raw!AW96/Raw!$C96</f>
        <v>0</v>
      </c>
      <c r="AX95" s="9">
        <f>Raw!AX96/Raw!$C96</f>
        <v>0</v>
      </c>
      <c r="AY95" s="9">
        <f>Raw!AY96/Raw!$C96</f>
        <v>0</v>
      </c>
      <c r="AZ95" s="9">
        <f>Raw!AZ96/Raw!$C96</f>
        <v>0</v>
      </c>
      <c r="BA95" s="9">
        <f>Raw!BA96/Raw!$C96</f>
        <v>0</v>
      </c>
      <c r="BB95" s="9">
        <f>Raw!BB96/Raw!$C96</f>
        <v>0</v>
      </c>
      <c r="BC95" s="9">
        <f>Raw!BC96/Raw!$C96</f>
        <v>0</v>
      </c>
      <c r="BD95" s="9">
        <f>Raw!BD96/Raw!$C96</f>
        <v>0</v>
      </c>
      <c r="BE95" s="9">
        <f>Raw!BE96/Raw!$C96</f>
        <v>0</v>
      </c>
      <c r="BF95" s="9">
        <f>Raw!BF96/Raw!$C96</f>
        <v>8</v>
      </c>
      <c r="BG95" s="9">
        <f>Raw!BG96/Raw!$C96</f>
        <v>3.32</v>
      </c>
      <c r="BH95" s="9">
        <f>Raw!BH96/Raw!$C96</f>
        <v>0</v>
      </c>
      <c r="BI95" s="9">
        <f>Raw!BI96/Raw!$C96</f>
        <v>0</v>
      </c>
      <c r="BJ95" s="9">
        <f>Raw!BJ96/Raw!$C96</f>
        <v>0</v>
      </c>
      <c r="BK95" s="9">
        <f>Raw!BK96/Raw!$C96</f>
        <v>0</v>
      </c>
      <c r="BL95" s="9">
        <f>Raw!BL96/Raw!$C96</f>
        <v>0</v>
      </c>
      <c r="BM95" s="9">
        <f>Raw!BM96/Raw!$C96</f>
        <v>0</v>
      </c>
      <c r="BN95" s="9">
        <f>Raw!BN96/Raw!$C96</f>
        <v>0</v>
      </c>
      <c r="BO95" s="9">
        <f>Raw!BO96/Raw!$C96</f>
        <v>0</v>
      </c>
      <c r="BP95" s="9">
        <f>Raw!BP96/Raw!$C96</f>
        <v>0</v>
      </c>
      <c r="BQ95" s="9">
        <f>Raw!BQ96/Raw!$C96</f>
        <v>0</v>
      </c>
      <c r="BR95" s="9">
        <f>Raw!BR96/Raw!$C96</f>
        <v>0</v>
      </c>
      <c r="BS95" s="9">
        <f>Raw!BS96/Raw!$C96</f>
        <v>0</v>
      </c>
      <c r="BT95" s="9">
        <f>Raw!BT96/Raw!$C96</f>
        <v>0</v>
      </c>
      <c r="BU95" s="9">
        <f>Raw!BU96/Raw!$C96</f>
        <v>0</v>
      </c>
      <c r="BV95" s="9">
        <f>Raw!BV96/Raw!$C96</f>
        <v>0</v>
      </c>
      <c r="BW95" s="9">
        <f>Raw!BW96/Raw!$C96</f>
        <v>0</v>
      </c>
      <c r="BX95" s="9">
        <f>Raw!BX96/Raw!$C96</f>
        <v>0</v>
      </c>
      <c r="BY95" s="9">
        <f>Raw!BY96/Raw!$C96</f>
        <v>0</v>
      </c>
      <c r="BZ95" s="9">
        <f>Raw!BZ96/Raw!$C96</f>
        <v>0</v>
      </c>
      <c r="CA95" s="9">
        <f>Raw!CA96/Raw!$C96</f>
        <v>0</v>
      </c>
      <c r="CB95" s="9">
        <f>Raw!CB96/Raw!$C96</f>
        <v>0</v>
      </c>
      <c r="CC95" s="9">
        <f>Raw!CC96/Raw!$C96</f>
        <v>0</v>
      </c>
      <c r="CD95" s="9">
        <f>Raw!CD96/Raw!$C96</f>
        <v>0</v>
      </c>
      <c r="CE95" s="9">
        <f>Raw!CE96/Raw!$C96</f>
        <v>0</v>
      </c>
      <c r="CF95" s="9">
        <f>Raw!CF96/Raw!$C96</f>
        <v>0</v>
      </c>
      <c r="CG95" s="9">
        <f>Raw!CG96/Raw!$C96</f>
        <v>0</v>
      </c>
      <c r="CH95" s="9">
        <f>Raw!CH96/Raw!$C96</f>
        <v>0</v>
      </c>
      <c r="CI95" s="9">
        <f>Raw!CI96/Raw!$C96</f>
        <v>0</v>
      </c>
      <c r="CJ95" s="9">
        <f>Raw!CJ96/Raw!$C96</f>
        <v>0</v>
      </c>
      <c r="CK95" s="9">
        <f>Raw!CK96/Raw!$C96</f>
        <v>0</v>
      </c>
      <c r="CL95" s="9">
        <f>Raw!CL96/Raw!$C96</f>
        <v>0</v>
      </c>
      <c r="CM95" s="9">
        <f>Raw!CM96/Raw!$C96</f>
        <v>0</v>
      </c>
      <c r="CN95" s="9">
        <f>Raw!CN96/Raw!$C96</f>
        <v>0</v>
      </c>
      <c r="CO95" s="9">
        <f>Raw!CO96/Raw!$C96</f>
        <v>0</v>
      </c>
      <c r="CP95" s="9">
        <f>Raw!CP96/Raw!$C96</f>
        <v>0</v>
      </c>
      <c r="CQ95" s="9">
        <f>Raw!CQ96/Raw!$C96</f>
        <v>0</v>
      </c>
      <c r="CR95" s="2">
        <f t="shared" si="39"/>
        <v>540</v>
      </c>
      <c r="CS95" s="2">
        <f t="shared" si="40"/>
        <v>232.88</v>
      </c>
      <c r="CT95" s="3">
        <f t="shared" si="56"/>
        <v>2.7323937598229686</v>
      </c>
      <c r="CU95" s="3">
        <f t="shared" si="57"/>
        <v>2.3671321924307542</v>
      </c>
      <c r="CZ95" s="3">
        <f t="shared" si="58"/>
        <v>2.7323937598229686</v>
      </c>
      <c r="DA95" s="3">
        <f t="shared" si="59"/>
        <v>2.3671321924307542</v>
      </c>
      <c r="DB95" s="6">
        <f t="shared" si="60"/>
        <v>0.94518650303343898</v>
      </c>
      <c r="DC95" s="3">
        <v>4</v>
      </c>
      <c r="DD95" s="3">
        <f>DC95/Raw!C96</f>
        <v>16</v>
      </c>
      <c r="DE95" s="5">
        <f t="shared" si="61"/>
        <v>7.4074074074074077E-3</v>
      </c>
      <c r="DF95">
        <f t="shared" si="62"/>
        <v>-2.1303337684950061</v>
      </c>
      <c r="DH95" s="4">
        <f>-SUM('Shannon-Weiner'!B94:Z94)</f>
        <v>0.46120282528632789</v>
      </c>
      <c r="DI95" s="4">
        <f>SUM('p^2'!B94:Z94)</f>
        <v>0.72049382716049382</v>
      </c>
      <c r="DJ95" s="4">
        <f t="shared" si="63"/>
        <v>0.27950617283950618</v>
      </c>
      <c r="DK95">
        <f t="shared" si="64"/>
        <v>1.3879369431117203</v>
      </c>
      <c r="DL95" s="4">
        <f>SUM('Shannon-Weiner_B'!B94:Z94)</f>
        <v>-0.51060161123609782</v>
      </c>
      <c r="DM95" s="4">
        <f>SUM('p_B^2'!B94:Z94)</f>
        <v>0.71187715226516757</v>
      </c>
      <c r="DN95" s="4">
        <f t="shared" si="65"/>
        <v>0.28812284773483243</v>
      </c>
      <c r="DO95">
        <f t="shared" si="66"/>
        <v>1.4047367538318034</v>
      </c>
    </row>
    <row r="96" spans="2:119" x14ac:dyDescent="0.25">
      <c r="B96" t="str">
        <f>Raw!B97</f>
        <v>TC5</v>
      </c>
      <c r="C96">
        <v>1</v>
      </c>
      <c r="D96" s="9">
        <f>Raw!D97/Raw!$C97</f>
        <v>0</v>
      </c>
      <c r="E96" s="9">
        <f>Raw!E97/Raw!$C97</f>
        <v>0</v>
      </c>
      <c r="F96" s="9">
        <f>Raw!F97/Raw!$C97</f>
        <v>0</v>
      </c>
      <c r="G96" s="9">
        <f>Raw!G97/Raw!$C97</f>
        <v>0</v>
      </c>
      <c r="H96" s="9">
        <f>Raw!H97/Raw!$C97</f>
        <v>0</v>
      </c>
      <c r="I96" s="9">
        <f>Raw!I97/Raw!$C97</f>
        <v>0</v>
      </c>
      <c r="J96" s="9">
        <f>Raw!J97/Raw!$C97</f>
        <v>0</v>
      </c>
      <c r="K96" s="9">
        <f>Raw!K97/Raw!$C97</f>
        <v>0</v>
      </c>
      <c r="L96" s="9">
        <f>Raw!L97/Raw!$C97</f>
        <v>0</v>
      </c>
      <c r="M96" s="9">
        <f>Raw!M97/Raw!$C97</f>
        <v>0</v>
      </c>
      <c r="N96" s="9">
        <f>Raw!N97/Raw!$C97</f>
        <v>9.9173553719008254</v>
      </c>
      <c r="O96" s="9">
        <f>Raw!O97/Raw!$C97</f>
        <v>55.438016528925608</v>
      </c>
      <c r="P96" s="9">
        <f>Raw!P97/Raw!$C97</f>
        <v>0</v>
      </c>
      <c r="Q96" s="9">
        <f>Raw!Q97/Raw!$C97</f>
        <v>0</v>
      </c>
      <c r="R96" s="9">
        <f>Raw!R97/Raw!$C97</f>
        <v>0</v>
      </c>
      <c r="S96" s="9">
        <f>Raw!S97/Raw!$C97</f>
        <v>0</v>
      </c>
      <c r="T96" s="9">
        <f>Raw!T97/Raw!$C97</f>
        <v>0</v>
      </c>
      <c r="U96" s="9">
        <f>Raw!U97/Raw!$C97</f>
        <v>0</v>
      </c>
      <c r="V96" s="9">
        <f>Raw!V97/Raw!$C97</f>
        <v>0</v>
      </c>
      <c r="W96" s="9">
        <f>Raw!W97/Raw!$C97</f>
        <v>0</v>
      </c>
      <c r="X96" s="9">
        <f>Raw!X97/Raw!$C97</f>
        <v>0</v>
      </c>
      <c r="Y96" s="9">
        <f>Raw!Y97/Raw!$C97</f>
        <v>0</v>
      </c>
      <c r="Z96" s="9">
        <f>Raw!Z97/Raw!$C97</f>
        <v>0</v>
      </c>
      <c r="AA96" s="9">
        <f>Raw!AA97/Raw!$C97</f>
        <v>0</v>
      </c>
      <c r="AB96" s="9">
        <f>Raw!AB97/Raw!$C97</f>
        <v>0</v>
      </c>
      <c r="AC96" s="9">
        <f>Raw!AC97/Raw!$C97</f>
        <v>0</v>
      </c>
      <c r="AD96" s="9">
        <f>Raw!AD97/Raw!$C97</f>
        <v>0</v>
      </c>
      <c r="AE96" s="9">
        <f>Raw!AE97/Raw!$C97</f>
        <v>0</v>
      </c>
      <c r="AF96" s="9">
        <f>Raw!AF97/Raw!$C97</f>
        <v>0</v>
      </c>
      <c r="AG96" s="9">
        <f>Raw!AG97/Raw!$C97</f>
        <v>0</v>
      </c>
      <c r="AH96" s="9">
        <f>Raw!AH97/Raw!$C97</f>
        <v>0</v>
      </c>
      <c r="AI96" s="9">
        <f>Raw!AI97/Raw!$C97</f>
        <v>0</v>
      </c>
      <c r="AJ96" s="9">
        <f>Raw!AJ97/Raw!$C97</f>
        <v>0</v>
      </c>
      <c r="AK96" s="9">
        <f>Raw!AK97/Raw!$C97</f>
        <v>0</v>
      </c>
      <c r="AL96" s="9">
        <f>Raw!AL97/Raw!$C97</f>
        <v>125.61983471074379</v>
      </c>
      <c r="AM96" s="9">
        <f>Raw!AM97/Raw!$C97</f>
        <v>234.64462809917353</v>
      </c>
      <c r="AN96" s="9">
        <f>Raw!AN97/Raw!$C97</f>
        <v>0</v>
      </c>
      <c r="AO96" s="9">
        <f>Raw!AO97/Raw!$C97</f>
        <v>0</v>
      </c>
      <c r="AP96" s="9">
        <f>Raw!AP97/Raw!$C97</f>
        <v>0</v>
      </c>
      <c r="AQ96" s="9">
        <f>Raw!AQ97/Raw!$C97</f>
        <v>0</v>
      </c>
      <c r="AR96" s="9">
        <f>Raw!AR97/Raw!$C97</f>
        <v>0</v>
      </c>
      <c r="AS96" s="9">
        <f>Raw!AS97/Raw!$C97</f>
        <v>0</v>
      </c>
      <c r="AT96" s="9">
        <f>Raw!AT97/Raw!$C97</f>
        <v>0</v>
      </c>
      <c r="AU96" s="9">
        <f>Raw!AU97/Raw!$C97</f>
        <v>0</v>
      </c>
      <c r="AV96" s="9">
        <f>Raw!AV97/Raw!$C97</f>
        <v>0</v>
      </c>
      <c r="AW96" s="9">
        <f>Raw!AW97/Raw!$C97</f>
        <v>0</v>
      </c>
      <c r="AX96" s="9">
        <f>Raw!AX97/Raw!$C97</f>
        <v>0</v>
      </c>
      <c r="AY96" s="9">
        <f>Raw!AY97/Raw!$C97</f>
        <v>0</v>
      </c>
      <c r="AZ96" s="9">
        <f>Raw!AZ97/Raw!$C97</f>
        <v>0</v>
      </c>
      <c r="BA96" s="9">
        <f>Raw!BA97/Raw!$C97</f>
        <v>0</v>
      </c>
      <c r="BB96" s="9">
        <f>Raw!BB97/Raw!$C97</f>
        <v>0</v>
      </c>
      <c r="BC96" s="9">
        <f>Raw!BC97/Raw!$C97</f>
        <v>0</v>
      </c>
      <c r="BD96" s="9">
        <f>Raw!BD97/Raw!$C97</f>
        <v>0</v>
      </c>
      <c r="BE96" s="9">
        <f>Raw!BE97/Raw!$C97</f>
        <v>0</v>
      </c>
      <c r="BF96" s="9">
        <f>Raw!BF97/Raw!$C97</f>
        <v>0</v>
      </c>
      <c r="BG96" s="9">
        <f>Raw!BG97/Raw!$C97</f>
        <v>0</v>
      </c>
      <c r="BH96" s="9">
        <f>Raw!BH97/Raw!$C97</f>
        <v>0</v>
      </c>
      <c r="BI96" s="9">
        <f>Raw!BI97/Raw!$C97</f>
        <v>0</v>
      </c>
      <c r="BJ96" s="9">
        <f>Raw!BJ97/Raw!$C97</f>
        <v>0</v>
      </c>
      <c r="BK96" s="9">
        <f>Raw!BK97/Raw!$C97</f>
        <v>0</v>
      </c>
      <c r="BL96" s="9">
        <f>Raw!BL97/Raw!$C97</f>
        <v>0</v>
      </c>
      <c r="BM96" s="9">
        <f>Raw!BM97/Raw!$C97</f>
        <v>0</v>
      </c>
      <c r="BN96" s="9">
        <f>Raw!BN97/Raw!$C97</f>
        <v>0</v>
      </c>
      <c r="BO96" s="9">
        <f>Raw!BO97/Raw!$C97</f>
        <v>0</v>
      </c>
      <c r="BP96" s="9">
        <f>Raw!BP97/Raw!$C97</f>
        <v>0</v>
      </c>
      <c r="BQ96" s="9">
        <f>Raw!BQ97/Raw!$C97</f>
        <v>0</v>
      </c>
      <c r="BR96" s="9">
        <f>Raw!BR97/Raw!$C97</f>
        <v>0</v>
      </c>
      <c r="BS96" s="9">
        <f>Raw!BS97/Raw!$C97</f>
        <v>0</v>
      </c>
      <c r="BT96" s="9">
        <f>Raw!BT97/Raw!$C97</f>
        <v>0</v>
      </c>
      <c r="BU96" s="9">
        <f>Raw!BU97/Raw!$C97</f>
        <v>0</v>
      </c>
      <c r="BV96" s="9">
        <f>Raw!BV97/Raw!$C97</f>
        <v>0</v>
      </c>
      <c r="BW96" s="9">
        <f>Raw!BW97/Raw!$C97</f>
        <v>0</v>
      </c>
      <c r="BX96" s="9">
        <f>Raw!BX97/Raw!$C97</f>
        <v>0</v>
      </c>
      <c r="BY96" s="9">
        <f>Raw!BY97/Raw!$C97</f>
        <v>0</v>
      </c>
      <c r="BZ96" s="9">
        <f>Raw!BZ97/Raw!$C97</f>
        <v>0</v>
      </c>
      <c r="CA96" s="9">
        <f>Raw!CA97/Raw!$C97</f>
        <v>0</v>
      </c>
      <c r="CB96" s="9">
        <f>Raw!CB97/Raw!$C97</f>
        <v>0</v>
      </c>
      <c r="CC96" s="9">
        <f>Raw!CC97/Raw!$C97</f>
        <v>0</v>
      </c>
      <c r="CD96" s="9">
        <f>Raw!CD97/Raw!$C97</f>
        <v>0</v>
      </c>
      <c r="CE96" s="9">
        <f>Raw!CE97/Raw!$C97</f>
        <v>0</v>
      </c>
      <c r="CF96" s="9">
        <f>Raw!CF97/Raw!$C97</f>
        <v>0</v>
      </c>
      <c r="CG96" s="9">
        <f>Raw!CG97/Raw!$C97</f>
        <v>0</v>
      </c>
      <c r="CH96" s="9">
        <f>Raw!CH97/Raw!$C97</f>
        <v>0</v>
      </c>
      <c r="CI96" s="9">
        <f>Raw!CI97/Raw!$C97</f>
        <v>0</v>
      </c>
      <c r="CJ96" s="9">
        <f>Raw!CJ97/Raw!$C97</f>
        <v>0</v>
      </c>
      <c r="CK96" s="9">
        <f>Raw!CK97/Raw!$C97</f>
        <v>0</v>
      </c>
      <c r="CL96" s="9">
        <f>Raw!CL97/Raw!$C97</f>
        <v>0</v>
      </c>
      <c r="CM96" s="9">
        <f>Raw!CM97/Raw!$C97</f>
        <v>0</v>
      </c>
      <c r="CN96" s="9">
        <f>Raw!CN97/Raw!$C97</f>
        <v>0</v>
      </c>
      <c r="CO96" s="9">
        <f>Raw!CO97/Raw!$C97</f>
        <v>0</v>
      </c>
      <c r="CP96" s="9">
        <f>Raw!CP97/Raw!$C97</f>
        <v>0</v>
      </c>
      <c r="CQ96" s="9">
        <f>Raw!CQ97/Raw!$C97</f>
        <v>0</v>
      </c>
      <c r="CR96" s="2">
        <f t="shared" si="39"/>
        <v>135.5371900826446</v>
      </c>
      <c r="CS96" s="2">
        <f t="shared" si="40"/>
        <v>290.08264462809916</v>
      </c>
      <c r="CT96" s="3">
        <f t="shared" si="56"/>
        <v>2.1320584777312477</v>
      </c>
      <c r="CU96" s="3">
        <f t="shared" si="57"/>
        <v>2.462521746149374</v>
      </c>
      <c r="CZ96" s="3">
        <f t="shared" si="58"/>
        <v>2.1320584777312477</v>
      </c>
      <c r="DA96" s="3">
        <f t="shared" si="59"/>
        <v>2.462521746149374</v>
      </c>
      <c r="DB96" s="6">
        <f t="shared" si="60"/>
        <v>1.0058234811371485</v>
      </c>
      <c r="DC96" s="3">
        <v>2</v>
      </c>
      <c r="DD96" s="3">
        <f>DC96/Raw!C97</f>
        <v>6.6115702479338836</v>
      </c>
      <c r="DE96" s="5">
        <f t="shared" si="61"/>
        <v>1.4756097560975612E-2</v>
      </c>
      <c r="DF96">
        <f t="shared" si="62"/>
        <v>-1.8310284820672664</v>
      </c>
      <c r="DH96" s="4">
        <f>-SUM('Shannon-Weiner'!B95:Z95)</f>
        <v>0.26176448290901538</v>
      </c>
      <c r="DI96" s="4">
        <f>SUM('p^2'!B95:Z95)</f>
        <v>0.86436644854253419</v>
      </c>
      <c r="DJ96" s="4">
        <f t="shared" si="63"/>
        <v>0.13563355145746581</v>
      </c>
      <c r="DK96">
        <f t="shared" si="64"/>
        <v>1.1569167240192706</v>
      </c>
      <c r="DL96" s="4">
        <f>SUM('Shannon-Weiner_B'!B95:Z95)</f>
        <v>-0.48783008210308709</v>
      </c>
      <c r="DM96" s="4">
        <f>SUM('p_B^2'!B95:Z95)</f>
        <v>0.69082469135802471</v>
      </c>
      <c r="DN96" s="4">
        <f t="shared" si="65"/>
        <v>0.30917530864197529</v>
      </c>
      <c r="DO96">
        <f t="shared" si="66"/>
        <v>1.447545249192234</v>
      </c>
    </row>
    <row r="97" spans="2:119" x14ac:dyDescent="0.25">
      <c r="B97" t="str">
        <f>Raw!B98</f>
        <v>TC6</v>
      </c>
      <c r="C97">
        <v>1</v>
      </c>
      <c r="D97" s="9">
        <f>Raw!D98/Raw!$C98</f>
        <v>0</v>
      </c>
      <c r="E97" s="9">
        <f>Raw!E98/Raw!$C98</f>
        <v>0</v>
      </c>
      <c r="F97" s="9">
        <f>Raw!F98/Raw!$C98</f>
        <v>0</v>
      </c>
      <c r="G97" s="9">
        <f>Raw!G98/Raw!$C98</f>
        <v>0</v>
      </c>
      <c r="H97" s="9">
        <f>Raw!H98/Raw!$C98</f>
        <v>0</v>
      </c>
      <c r="I97" s="9">
        <f>Raw!I98/Raw!$C98</f>
        <v>0</v>
      </c>
      <c r="J97" s="9">
        <f>Raw!J98/Raw!$C98</f>
        <v>0</v>
      </c>
      <c r="K97" s="9">
        <f>Raw!K98/Raw!$C98</f>
        <v>0</v>
      </c>
      <c r="L97" s="9">
        <f>Raw!L98/Raw!$C98</f>
        <v>0</v>
      </c>
      <c r="M97" s="9">
        <f>Raw!M98/Raw!$C98</f>
        <v>0</v>
      </c>
      <c r="N97" s="9">
        <f>Raw!N98/Raw!$C98</f>
        <v>5.5555555555555554</v>
      </c>
      <c r="O97" s="9">
        <f>Raw!O98/Raw!$C98</f>
        <v>13.666666666666668</v>
      </c>
      <c r="P97" s="9">
        <f>Raw!P98/Raw!$C98</f>
        <v>0</v>
      </c>
      <c r="Q97" s="9">
        <f>Raw!Q98/Raw!$C98</f>
        <v>0</v>
      </c>
      <c r="R97" s="9">
        <f>Raw!R98/Raw!$C98</f>
        <v>0</v>
      </c>
      <c r="S97" s="9">
        <f>Raw!S98/Raw!$C98</f>
        <v>0</v>
      </c>
      <c r="T97" s="9">
        <f>Raw!T98/Raw!$C98</f>
        <v>0</v>
      </c>
      <c r="U97" s="9">
        <f>Raw!U98/Raw!$C98</f>
        <v>0</v>
      </c>
      <c r="V97" s="9">
        <f>Raw!V98/Raw!$C98</f>
        <v>0</v>
      </c>
      <c r="W97" s="9">
        <f>Raw!W98/Raw!$C98</f>
        <v>0</v>
      </c>
      <c r="X97" s="9">
        <f>Raw!X98/Raw!$C98</f>
        <v>252.7777777777778</v>
      </c>
      <c r="Y97" s="9">
        <f>Raw!Y98/Raw!$C98</f>
        <v>12.194444444444445</v>
      </c>
      <c r="Z97" s="9">
        <f>Raw!Z98/Raw!$C98</f>
        <v>0</v>
      </c>
      <c r="AA97" s="9">
        <f>Raw!AA98/Raw!$C98</f>
        <v>0</v>
      </c>
      <c r="AB97" s="9">
        <f>Raw!AB98/Raw!$C98</f>
        <v>0</v>
      </c>
      <c r="AC97" s="9">
        <f>Raw!AC98/Raw!$C98</f>
        <v>0</v>
      </c>
      <c r="AD97" s="9">
        <f>Raw!AD98/Raw!$C98</f>
        <v>0</v>
      </c>
      <c r="AE97" s="9">
        <f>Raw!AE98/Raw!$C98</f>
        <v>0</v>
      </c>
      <c r="AF97" s="9">
        <f>Raw!AF98/Raw!$C98</f>
        <v>0</v>
      </c>
      <c r="AG97" s="9">
        <f>Raw!AG98/Raw!$C98</f>
        <v>0</v>
      </c>
      <c r="AH97" s="9">
        <f>Raw!AH98/Raw!$C98</f>
        <v>0</v>
      </c>
      <c r="AI97" s="9">
        <f>Raw!AI98/Raw!$C98</f>
        <v>0</v>
      </c>
      <c r="AJ97" s="9">
        <f>Raw!AJ98/Raw!$C98</f>
        <v>0</v>
      </c>
      <c r="AK97" s="9">
        <f>Raw!AK98/Raw!$C98</f>
        <v>0</v>
      </c>
      <c r="AL97" s="9">
        <f>Raw!AL98/Raw!$C98</f>
        <v>97.222222222222229</v>
      </c>
      <c r="AM97" s="9">
        <f>Raw!AM98/Raw!$C98</f>
        <v>144.30555555555557</v>
      </c>
      <c r="AN97" s="9">
        <f>Raw!AN98/Raw!$C98</f>
        <v>0</v>
      </c>
      <c r="AO97" s="9">
        <f>Raw!AO98/Raw!$C98</f>
        <v>0</v>
      </c>
      <c r="AP97" s="9">
        <f>Raw!AP98/Raw!$C98</f>
        <v>0</v>
      </c>
      <c r="AQ97" s="9">
        <f>Raw!AQ98/Raw!$C98</f>
        <v>0</v>
      </c>
      <c r="AR97" s="9">
        <f>Raw!AR98/Raw!$C98</f>
        <v>0</v>
      </c>
      <c r="AS97" s="9">
        <f>Raw!AS98/Raw!$C98</f>
        <v>0</v>
      </c>
      <c r="AT97" s="9">
        <f>Raw!AT98/Raw!$C98</f>
        <v>0</v>
      </c>
      <c r="AU97" s="9">
        <f>Raw!AU98/Raw!$C98</f>
        <v>0</v>
      </c>
      <c r="AV97" s="9">
        <f>Raw!AV98/Raw!$C98</f>
        <v>0</v>
      </c>
      <c r="AW97" s="9">
        <f>Raw!AW98/Raw!$C98</f>
        <v>0</v>
      </c>
      <c r="AX97" s="9">
        <f>Raw!AX98/Raw!$C98</f>
        <v>0</v>
      </c>
      <c r="AY97" s="9">
        <f>Raw!AY98/Raw!$C98</f>
        <v>0</v>
      </c>
      <c r="AZ97" s="9">
        <f>Raw!AZ98/Raw!$C98</f>
        <v>0</v>
      </c>
      <c r="BA97" s="9">
        <f>Raw!BA98/Raw!$C98</f>
        <v>0</v>
      </c>
      <c r="BB97" s="9">
        <f>Raw!BB98/Raw!$C98</f>
        <v>0</v>
      </c>
      <c r="BC97" s="9">
        <f>Raw!BC98/Raw!$C98</f>
        <v>0</v>
      </c>
      <c r="BD97" s="9">
        <f>Raw!BD98/Raw!$C98</f>
        <v>0</v>
      </c>
      <c r="BE97" s="9">
        <f>Raw!BE98/Raw!$C98</f>
        <v>0</v>
      </c>
      <c r="BF97" s="9">
        <f>Raw!BF98/Raw!$C98</f>
        <v>0</v>
      </c>
      <c r="BG97" s="9">
        <f>Raw!BG98/Raw!$C98</f>
        <v>0</v>
      </c>
      <c r="BH97" s="9">
        <f>Raw!BH98/Raw!$C98</f>
        <v>0</v>
      </c>
      <c r="BI97" s="9">
        <f>Raw!BI98/Raw!$C98</f>
        <v>0</v>
      </c>
      <c r="BJ97" s="9">
        <f>Raw!BJ98/Raw!$C98</f>
        <v>0</v>
      </c>
      <c r="BK97" s="9">
        <f>Raw!BK98/Raw!$C98</f>
        <v>0</v>
      </c>
      <c r="BL97" s="9">
        <f>Raw!BL98/Raw!$C98</f>
        <v>0</v>
      </c>
      <c r="BM97" s="9">
        <f>Raw!BM98/Raw!$C98</f>
        <v>0</v>
      </c>
      <c r="BN97" s="9">
        <f>Raw!BN98/Raw!$C98</f>
        <v>0</v>
      </c>
      <c r="BO97" s="9">
        <f>Raw!BO98/Raw!$C98</f>
        <v>0</v>
      </c>
      <c r="BP97" s="9">
        <f>Raw!BP98/Raw!$C98</f>
        <v>0</v>
      </c>
      <c r="BQ97" s="9">
        <f>Raw!BQ98/Raw!$C98</f>
        <v>0</v>
      </c>
      <c r="BR97" s="9">
        <f>Raw!BR98/Raw!$C98</f>
        <v>0</v>
      </c>
      <c r="BS97" s="9">
        <f>Raw!BS98/Raw!$C98</f>
        <v>0</v>
      </c>
      <c r="BT97" s="9">
        <f>Raw!BT98/Raw!$C98</f>
        <v>0</v>
      </c>
      <c r="BU97" s="9">
        <f>Raw!BU98/Raw!$C98</f>
        <v>0</v>
      </c>
      <c r="BV97" s="9">
        <f>Raw!BV98/Raw!$C98</f>
        <v>0</v>
      </c>
      <c r="BW97" s="9">
        <f>Raw!BW98/Raw!$C98</f>
        <v>0</v>
      </c>
      <c r="BX97" s="9">
        <f>Raw!BX98/Raw!$C98</f>
        <v>0</v>
      </c>
      <c r="BY97" s="9">
        <f>Raw!BY98/Raw!$C98</f>
        <v>0</v>
      </c>
      <c r="BZ97" s="9">
        <f>Raw!BZ98/Raw!$C98</f>
        <v>0</v>
      </c>
      <c r="CA97" s="9">
        <f>Raw!CA98/Raw!$C98</f>
        <v>0</v>
      </c>
      <c r="CB97" s="9">
        <f>Raw!CB98/Raw!$C98</f>
        <v>0</v>
      </c>
      <c r="CC97" s="9">
        <f>Raw!CC98/Raw!$C98</f>
        <v>0</v>
      </c>
      <c r="CD97" s="9">
        <f>Raw!CD98/Raw!$C98</f>
        <v>0</v>
      </c>
      <c r="CE97" s="9">
        <f>Raw!CE98/Raw!$C98</f>
        <v>0</v>
      </c>
      <c r="CF97" s="9">
        <f>Raw!CF98/Raw!$C98</f>
        <v>0</v>
      </c>
      <c r="CG97" s="9">
        <f>Raw!CG98/Raw!$C98</f>
        <v>0</v>
      </c>
      <c r="CH97" s="9">
        <f>Raw!CH98/Raw!$C98</f>
        <v>0</v>
      </c>
      <c r="CI97" s="9">
        <f>Raw!CI98/Raw!$C98</f>
        <v>0</v>
      </c>
      <c r="CJ97" s="9">
        <f>Raw!CJ98/Raw!$C98</f>
        <v>0</v>
      </c>
      <c r="CK97" s="9">
        <f>Raw!CK98/Raw!$C98</f>
        <v>0</v>
      </c>
      <c r="CL97" s="9">
        <f>Raw!CL98/Raw!$C98</f>
        <v>0</v>
      </c>
      <c r="CM97" s="9">
        <f>Raw!CM98/Raw!$C98</f>
        <v>0</v>
      </c>
      <c r="CN97" s="9">
        <f>Raw!CN98/Raw!$C98</f>
        <v>0</v>
      </c>
      <c r="CO97" s="9">
        <f>Raw!CO98/Raw!$C98</f>
        <v>0</v>
      </c>
      <c r="CP97" s="9">
        <f>Raw!CP98/Raw!$C98</f>
        <v>0</v>
      </c>
      <c r="CQ97" s="9">
        <f>Raw!CQ98/Raw!$C98</f>
        <v>0</v>
      </c>
      <c r="CR97" s="2">
        <f t="shared" si="39"/>
        <v>355.5555555555556</v>
      </c>
      <c r="CS97" s="2">
        <f t="shared" si="40"/>
        <v>170.16666666666669</v>
      </c>
      <c r="CT97" s="3">
        <f t="shared" si="56"/>
        <v>2.5509074688805811</v>
      </c>
      <c r="CU97" s="3">
        <f t="shared" si="57"/>
        <v>2.2308744917032666</v>
      </c>
      <c r="CZ97" s="3">
        <f t="shared" si="58"/>
        <v>2.5509074688805811</v>
      </c>
      <c r="DA97" s="3">
        <f t="shared" si="59"/>
        <v>2.2308744917032666</v>
      </c>
      <c r="DB97" s="6">
        <f t="shared" si="60"/>
        <v>1.0609741447993986</v>
      </c>
      <c r="DC97" s="3">
        <v>3</v>
      </c>
      <c r="DD97" s="3">
        <f>DC97/Raw!C98</f>
        <v>8.3333333333333339</v>
      </c>
      <c r="DE97" s="5">
        <f t="shared" si="61"/>
        <v>8.4374999999999988E-3</v>
      </c>
      <c r="DF97">
        <f t="shared" si="62"/>
        <v>-2.0737862141609189</v>
      </c>
      <c r="DH97" s="4">
        <f>-SUM('Shannon-Weiner'!B96:Z96)</f>
        <v>0.66209517324553335</v>
      </c>
      <c r="DI97" s="4">
        <f>SUM('p^2'!B96:Z96)</f>
        <v>0.5804443359375</v>
      </c>
      <c r="DJ97" s="4">
        <f t="shared" si="63"/>
        <v>0.4195556640625</v>
      </c>
      <c r="DK97">
        <f t="shared" si="64"/>
        <v>1.7228180862250262</v>
      </c>
      <c r="DL97" s="4">
        <f>SUM('Shannon-Weiner_B'!B96:Z96)</f>
        <v>-0.53121478499150387</v>
      </c>
      <c r="DM97" s="4">
        <f>SUM('p_B^2'!B96:Z96)</f>
        <v>0.73073173658962209</v>
      </c>
      <c r="DN97" s="4">
        <f t="shared" si="65"/>
        <v>0.26926826341037791</v>
      </c>
      <c r="DO97">
        <f t="shared" si="66"/>
        <v>1.3684912669416445</v>
      </c>
    </row>
    <row r="98" spans="2:119" x14ac:dyDescent="0.25">
      <c r="B98" t="str">
        <f>Raw!B99</f>
        <v>TD1</v>
      </c>
      <c r="C98">
        <v>1</v>
      </c>
      <c r="D98" s="9">
        <f>Raw!D99/Raw!$C99</f>
        <v>0</v>
      </c>
      <c r="E98" s="9">
        <f>Raw!E99/Raw!$C99</f>
        <v>0</v>
      </c>
      <c r="F98" s="9">
        <f>Raw!F99/Raw!$C99</f>
        <v>0</v>
      </c>
      <c r="G98" s="9">
        <f>Raw!G99/Raw!$C99</f>
        <v>0</v>
      </c>
      <c r="H98" s="9">
        <f>Raw!H99/Raw!$C99</f>
        <v>0</v>
      </c>
      <c r="I98" s="9">
        <f>Raw!I99/Raw!$C99</f>
        <v>0</v>
      </c>
      <c r="J98" s="9">
        <f>Raw!J99/Raw!$C99</f>
        <v>0</v>
      </c>
      <c r="K98" s="9">
        <f>Raw!K99/Raw!$C99</f>
        <v>0</v>
      </c>
      <c r="L98" s="9">
        <f>Raw!L99/Raw!$C99</f>
        <v>4</v>
      </c>
      <c r="M98" s="9">
        <f>Raw!M99/Raw!$C99</f>
        <v>22.88</v>
      </c>
      <c r="N98" s="9">
        <f>Raw!N99/Raw!$C99</f>
        <v>4</v>
      </c>
      <c r="O98" s="9">
        <f>Raw!O99/Raw!$C99</f>
        <v>61</v>
      </c>
      <c r="P98" s="9">
        <f>Raw!P99/Raw!$C99</f>
        <v>0</v>
      </c>
      <c r="Q98" s="9">
        <f>Raw!Q99/Raw!$C99</f>
        <v>0</v>
      </c>
      <c r="R98" s="9">
        <f>Raw!R99/Raw!$C99</f>
        <v>0</v>
      </c>
      <c r="S98" s="9">
        <f>Raw!S99/Raw!$C99</f>
        <v>0</v>
      </c>
      <c r="T98" s="9">
        <f>Raw!T99/Raw!$C99</f>
        <v>0</v>
      </c>
      <c r="U98" s="9">
        <f>Raw!U99/Raw!$C99</f>
        <v>0</v>
      </c>
      <c r="V98" s="9">
        <f>Raw!V99/Raw!$C99</f>
        <v>0</v>
      </c>
      <c r="W98" s="9">
        <f>Raw!W99/Raw!$C99</f>
        <v>0</v>
      </c>
      <c r="X98" s="9">
        <f>Raw!X99/Raw!$C99</f>
        <v>496</v>
      </c>
      <c r="Y98" s="9">
        <f>Raw!Y99/Raw!$C99</f>
        <v>25.44</v>
      </c>
      <c r="Z98" s="9">
        <f>Raw!Z99/Raw!$C99</f>
        <v>0</v>
      </c>
      <c r="AA98" s="9">
        <f>Raw!AA99/Raw!$C99</f>
        <v>0</v>
      </c>
      <c r="AB98" s="9">
        <f>Raw!AB99/Raw!$C99</f>
        <v>0</v>
      </c>
      <c r="AC98" s="9">
        <f>Raw!AC99/Raw!$C99</f>
        <v>0</v>
      </c>
      <c r="AD98" s="9">
        <f>Raw!AD99/Raw!$C99</f>
        <v>0</v>
      </c>
      <c r="AE98" s="9">
        <f>Raw!AE99/Raw!$C99</f>
        <v>0</v>
      </c>
      <c r="AF98" s="9">
        <f>Raw!AF99/Raw!$C99</f>
        <v>0</v>
      </c>
      <c r="AG98" s="9">
        <f>Raw!AG99/Raw!$C99</f>
        <v>0</v>
      </c>
      <c r="AH98" s="9">
        <f>Raw!AH99/Raw!$C99</f>
        <v>0</v>
      </c>
      <c r="AI98" s="9">
        <f>Raw!AI99/Raw!$C99</f>
        <v>0</v>
      </c>
      <c r="AJ98" s="9">
        <f>Raw!AJ99/Raw!$C99</f>
        <v>0</v>
      </c>
      <c r="AK98" s="9">
        <f>Raw!AK99/Raw!$C99</f>
        <v>0</v>
      </c>
      <c r="AL98" s="9">
        <f>Raw!AL99/Raw!$C99</f>
        <v>52</v>
      </c>
      <c r="AM98" s="9">
        <f>Raw!AM99/Raw!$C99</f>
        <v>622.91999999999996</v>
      </c>
      <c r="AN98" s="9">
        <f>Raw!AN99/Raw!$C99</f>
        <v>0</v>
      </c>
      <c r="AO98" s="9">
        <f>Raw!AO99/Raw!$C99</f>
        <v>0</v>
      </c>
      <c r="AP98" s="9">
        <f>Raw!AP99/Raw!$C99</f>
        <v>0</v>
      </c>
      <c r="AQ98" s="9">
        <f>Raw!AQ99/Raw!$C99</f>
        <v>0</v>
      </c>
      <c r="AR98" s="9">
        <f>Raw!AR99/Raw!$C99</f>
        <v>0</v>
      </c>
      <c r="AS98" s="9">
        <f>Raw!AS99/Raw!$C99</f>
        <v>0</v>
      </c>
      <c r="AT98" s="9">
        <f>Raw!AT99/Raw!$C99</f>
        <v>16</v>
      </c>
      <c r="AU98" s="9">
        <f>Raw!AU99/Raw!$C99</f>
        <v>69.56</v>
      </c>
      <c r="AV98" s="9">
        <f>Raw!AV99/Raw!$C99</f>
        <v>0</v>
      </c>
      <c r="AW98" s="9">
        <f>Raw!AW99/Raw!$C99</f>
        <v>0</v>
      </c>
      <c r="AX98" s="9">
        <f>Raw!AX99/Raw!$C99</f>
        <v>0</v>
      </c>
      <c r="AY98" s="9">
        <f>Raw!AY99/Raw!$C99</f>
        <v>0</v>
      </c>
      <c r="AZ98" s="9">
        <f>Raw!AZ99/Raw!$C99</f>
        <v>0</v>
      </c>
      <c r="BA98" s="9">
        <f>Raw!BA99/Raw!$C99</f>
        <v>0</v>
      </c>
      <c r="BB98" s="9">
        <f>Raw!BB99/Raw!$C99</f>
        <v>0</v>
      </c>
      <c r="BC98" s="9">
        <f>Raw!BC99/Raw!$C99</f>
        <v>0</v>
      </c>
      <c r="BD98" s="9">
        <f>Raw!BD99/Raw!$C99</f>
        <v>0</v>
      </c>
      <c r="BE98" s="9">
        <f>Raw!BE99/Raw!$C99</f>
        <v>0</v>
      </c>
      <c r="BF98" s="9">
        <f>Raw!BF99/Raw!$C99</f>
        <v>12</v>
      </c>
      <c r="BG98" s="9">
        <f>Raw!BG99/Raw!$C99</f>
        <v>4.68</v>
      </c>
      <c r="BH98" s="9">
        <f>Raw!BH99/Raw!$C99</f>
        <v>0</v>
      </c>
      <c r="BI98" s="9">
        <f>Raw!BI99/Raw!$C99</f>
        <v>0</v>
      </c>
      <c r="BJ98" s="9">
        <f>Raw!BJ99/Raw!$C99</f>
        <v>0</v>
      </c>
      <c r="BK98" s="9">
        <f>Raw!BK99/Raw!$C99</f>
        <v>0</v>
      </c>
      <c r="BL98" s="9">
        <f>Raw!BL99/Raw!$C99</f>
        <v>0</v>
      </c>
      <c r="BM98" s="9">
        <f>Raw!BM99/Raw!$C99</f>
        <v>0</v>
      </c>
      <c r="BN98" s="9">
        <f>Raw!BN99/Raw!$C99</f>
        <v>0</v>
      </c>
      <c r="BO98" s="9">
        <f>Raw!BO99/Raw!$C99</f>
        <v>0</v>
      </c>
      <c r="BP98" s="9">
        <f>Raw!BP99/Raw!$C99</f>
        <v>0</v>
      </c>
      <c r="BQ98" s="9">
        <f>Raw!BQ99/Raw!$C99</f>
        <v>0</v>
      </c>
      <c r="BR98" s="9">
        <f>Raw!BR99/Raw!$C99</f>
        <v>0</v>
      </c>
      <c r="BS98" s="9">
        <f>Raw!BS99/Raw!$C99</f>
        <v>0</v>
      </c>
      <c r="BT98" s="9">
        <f>Raw!BT99/Raw!$C99</f>
        <v>0</v>
      </c>
      <c r="BU98" s="9">
        <f>Raw!BU99/Raw!$C99</f>
        <v>0</v>
      </c>
      <c r="BV98" s="9">
        <f>Raw!BV99/Raw!$C99</f>
        <v>0</v>
      </c>
      <c r="BW98" s="9">
        <f>Raw!BW99/Raw!$C99</f>
        <v>0</v>
      </c>
      <c r="BX98" s="9">
        <f>Raw!BX99/Raw!$C99</f>
        <v>0</v>
      </c>
      <c r="BY98" s="9">
        <f>Raw!BY99/Raw!$C99</f>
        <v>0</v>
      </c>
      <c r="BZ98" s="9">
        <f>Raw!BZ99/Raw!$C99</f>
        <v>0</v>
      </c>
      <c r="CA98" s="9">
        <f>Raw!CA99/Raw!$C99</f>
        <v>0</v>
      </c>
      <c r="CB98" s="9">
        <f>Raw!CB99/Raw!$C99</f>
        <v>0</v>
      </c>
      <c r="CC98" s="9">
        <f>Raw!CC99/Raw!$C99</f>
        <v>0</v>
      </c>
      <c r="CD98" s="9">
        <f>Raw!CD99/Raw!$C99</f>
        <v>0</v>
      </c>
      <c r="CE98" s="9">
        <f>Raw!CE99/Raw!$C99</f>
        <v>0</v>
      </c>
      <c r="CF98" s="9">
        <f>Raw!CF99/Raw!$C99</f>
        <v>0</v>
      </c>
      <c r="CG98" s="9">
        <f>Raw!CG99/Raw!$C99</f>
        <v>0</v>
      </c>
      <c r="CH98" s="9">
        <f>Raw!CH99/Raw!$C99</f>
        <v>0</v>
      </c>
      <c r="CI98" s="9">
        <f>Raw!CI99/Raw!$C99</f>
        <v>0</v>
      </c>
      <c r="CJ98" s="9">
        <f>Raw!CJ99/Raw!$C99</f>
        <v>0</v>
      </c>
      <c r="CK98" s="9">
        <f>Raw!CK99/Raw!$C99</f>
        <v>0</v>
      </c>
      <c r="CL98" s="9">
        <f>Raw!CL99/Raw!$C99</f>
        <v>0</v>
      </c>
      <c r="CM98" s="9">
        <f>Raw!CM99/Raw!$C99</f>
        <v>0</v>
      </c>
      <c r="CN98" s="9">
        <f>Raw!CN99/Raw!$C99</f>
        <v>0</v>
      </c>
      <c r="CO98" s="9">
        <f>Raw!CO99/Raw!$C99</f>
        <v>0</v>
      </c>
      <c r="CP98" s="9">
        <f>Raw!CP99/Raw!$C99</f>
        <v>0</v>
      </c>
      <c r="CQ98" s="9">
        <f>Raw!CQ99/Raw!$C99</f>
        <v>0</v>
      </c>
      <c r="CR98" s="2">
        <f t="shared" si="39"/>
        <v>584</v>
      </c>
      <c r="CS98" s="2">
        <f t="shared" si="40"/>
        <v>806.4799999999999</v>
      </c>
      <c r="CT98" s="3">
        <f t="shared" si="56"/>
        <v>2.7664128471123997</v>
      </c>
      <c r="CU98" s="3">
        <f t="shared" si="57"/>
        <v>2.90659360173448</v>
      </c>
      <c r="CZ98" s="3">
        <f t="shared" si="58"/>
        <v>2.7664128471123997</v>
      </c>
      <c r="DA98" s="3">
        <f t="shared" si="59"/>
        <v>2.90659360173448</v>
      </c>
      <c r="DB98" s="6">
        <f t="shared" si="60"/>
        <v>0.62011169412259914</v>
      </c>
      <c r="DC98" s="3">
        <v>6</v>
      </c>
      <c r="DD98" s="3">
        <f>DC98/Raw!C99</f>
        <v>24</v>
      </c>
      <c r="DE98" s="5">
        <f t="shared" si="61"/>
        <v>1.0273972602739725E-2</v>
      </c>
      <c r="DF98">
        <f t="shared" si="62"/>
        <v>-1.9882615967287558</v>
      </c>
      <c r="DH98" s="4">
        <f>-SUM('Shannon-Weiner'!B97:Z97)</f>
        <v>0.5208994087519726</v>
      </c>
      <c r="DI98" s="4">
        <f>SUM('p^2'!B97:Z97)</f>
        <v>0.7301088384312252</v>
      </c>
      <c r="DJ98" s="4">
        <f t="shared" si="63"/>
        <v>0.2698911615687748</v>
      </c>
      <c r="DK98">
        <f t="shared" si="64"/>
        <v>1.3696588061427748</v>
      </c>
      <c r="DL98" s="4">
        <f>SUM('Shannon-Weiner_B'!B97:Z97)</f>
        <v>-0.81621352857209029</v>
      </c>
      <c r="DM98" s="4">
        <f>SUM('p_B^2'!B97:Z97)</f>
        <v>0.61155211923386854</v>
      </c>
      <c r="DN98" s="4">
        <f t="shared" si="65"/>
        <v>0.38844788076613146</v>
      </c>
      <c r="DO98">
        <f t="shared" si="66"/>
        <v>1.6351836066773271</v>
      </c>
    </row>
    <row r="99" spans="2:119" x14ac:dyDescent="0.25">
      <c r="B99" t="str">
        <f>Raw!B100</f>
        <v>TD2</v>
      </c>
      <c r="C99">
        <v>1</v>
      </c>
      <c r="D99" s="9">
        <f>Raw!D100/Raw!$C100</f>
        <v>0</v>
      </c>
      <c r="E99" s="9">
        <f>Raw!E100/Raw!$C100</f>
        <v>0</v>
      </c>
      <c r="F99" s="9">
        <f>Raw!F100/Raw!$C100</f>
        <v>0</v>
      </c>
      <c r="G99" s="9">
        <f>Raw!G100/Raw!$C100</f>
        <v>0</v>
      </c>
      <c r="H99" s="9">
        <f>Raw!H100/Raw!$C100</f>
        <v>0</v>
      </c>
      <c r="I99" s="9">
        <f>Raw!I100/Raw!$C100</f>
        <v>0</v>
      </c>
      <c r="J99" s="9">
        <f>Raw!J100/Raw!$C100</f>
        <v>0</v>
      </c>
      <c r="K99" s="9">
        <f>Raw!K100/Raw!$C100</f>
        <v>0</v>
      </c>
      <c r="L99" s="9">
        <f>Raw!L100/Raw!$C100</f>
        <v>0</v>
      </c>
      <c r="M99" s="9">
        <f>Raw!M100/Raw!$C100</f>
        <v>0</v>
      </c>
      <c r="N99" s="9">
        <f>Raw!N100/Raw!$C100</f>
        <v>0</v>
      </c>
      <c r="O99" s="9">
        <f>Raw!O100/Raw!$C100</f>
        <v>0</v>
      </c>
      <c r="P99" s="9">
        <f>Raw!P100/Raw!$C100</f>
        <v>0</v>
      </c>
      <c r="Q99" s="9">
        <f>Raw!Q100/Raw!$C100</f>
        <v>0</v>
      </c>
      <c r="R99" s="9">
        <f>Raw!R100/Raw!$C100</f>
        <v>0</v>
      </c>
      <c r="S99" s="9">
        <f>Raw!S100/Raw!$C100</f>
        <v>0</v>
      </c>
      <c r="T99" s="9">
        <f>Raw!T100/Raw!$C100</f>
        <v>0</v>
      </c>
      <c r="U99" s="9">
        <f>Raw!U100/Raw!$C100</f>
        <v>0</v>
      </c>
      <c r="V99" s="9">
        <f>Raw!V100/Raw!$C100</f>
        <v>0</v>
      </c>
      <c r="W99" s="9">
        <f>Raw!W100/Raw!$C100</f>
        <v>0</v>
      </c>
      <c r="X99" s="9">
        <f>Raw!X100/Raw!$C100</f>
        <v>463.88888888888891</v>
      </c>
      <c r="Y99" s="9">
        <f>Raw!Y100/Raw!$C100</f>
        <v>20.583333333333336</v>
      </c>
      <c r="Z99" s="9">
        <f>Raw!Z100/Raw!$C100</f>
        <v>0</v>
      </c>
      <c r="AA99" s="9">
        <f>Raw!AA100/Raw!$C100</f>
        <v>0</v>
      </c>
      <c r="AB99" s="9">
        <f>Raw!AB100/Raw!$C100</f>
        <v>0</v>
      </c>
      <c r="AC99" s="9">
        <f>Raw!AC100/Raw!$C100</f>
        <v>0</v>
      </c>
      <c r="AD99" s="9">
        <f>Raw!AD100/Raw!$C100</f>
        <v>0</v>
      </c>
      <c r="AE99" s="9">
        <f>Raw!AE100/Raw!$C100</f>
        <v>0</v>
      </c>
      <c r="AF99" s="9">
        <f>Raw!AF100/Raw!$C100</f>
        <v>0</v>
      </c>
      <c r="AG99" s="9">
        <f>Raw!AG100/Raw!$C100</f>
        <v>0</v>
      </c>
      <c r="AH99" s="9">
        <f>Raw!AH100/Raw!$C100</f>
        <v>0</v>
      </c>
      <c r="AI99" s="9">
        <f>Raw!AI100/Raw!$C100</f>
        <v>0</v>
      </c>
      <c r="AJ99" s="9">
        <f>Raw!AJ100/Raw!$C100</f>
        <v>0</v>
      </c>
      <c r="AK99" s="9">
        <f>Raw!AK100/Raw!$C100</f>
        <v>0</v>
      </c>
      <c r="AL99" s="9">
        <f>Raw!AL100/Raw!$C100</f>
        <v>111.11111111111111</v>
      </c>
      <c r="AM99" s="9">
        <f>Raw!AM100/Raw!$C100</f>
        <v>291.25</v>
      </c>
      <c r="AN99" s="9">
        <f>Raw!AN100/Raw!$C100</f>
        <v>0</v>
      </c>
      <c r="AO99" s="9">
        <f>Raw!AO100/Raw!$C100</f>
        <v>0</v>
      </c>
      <c r="AP99" s="9">
        <f>Raw!AP100/Raw!$C100</f>
        <v>0</v>
      </c>
      <c r="AQ99" s="9">
        <f>Raw!AQ100/Raw!$C100</f>
        <v>0</v>
      </c>
      <c r="AR99" s="9">
        <f>Raw!AR100/Raw!$C100</f>
        <v>0</v>
      </c>
      <c r="AS99" s="9">
        <f>Raw!AS100/Raw!$C100</f>
        <v>0</v>
      </c>
      <c r="AT99" s="9">
        <f>Raw!AT100/Raw!$C100</f>
        <v>41.666666666666671</v>
      </c>
      <c r="AU99" s="9">
        <f>Raw!AU100/Raw!$C100</f>
        <v>68.361111111111114</v>
      </c>
      <c r="AV99" s="9">
        <f>Raw!AV100/Raw!$C100</f>
        <v>0</v>
      </c>
      <c r="AW99" s="9">
        <f>Raw!AW100/Raw!$C100</f>
        <v>0</v>
      </c>
      <c r="AX99" s="9">
        <f>Raw!AX100/Raw!$C100</f>
        <v>0</v>
      </c>
      <c r="AY99" s="9">
        <f>Raw!AY100/Raw!$C100</f>
        <v>0</v>
      </c>
      <c r="AZ99" s="9">
        <f>Raw!AZ100/Raw!$C100</f>
        <v>0</v>
      </c>
      <c r="BA99" s="9">
        <f>Raw!BA100/Raw!$C100</f>
        <v>0</v>
      </c>
      <c r="BB99" s="9">
        <f>Raw!BB100/Raw!$C100</f>
        <v>0</v>
      </c>
      <c r="BC99" s="9">
        <f>Raw!BC100/Raw!$C100</f>
        <v>0</v>
      </c>
      <c r="BD99" s="9">
        <f>Raw!BD100/Raw!$C100</f>
        <v>0</v>
      </c>
      <c r="BE99" s="9">
        <f>Raw!BE100/Raw!$C100</f>
        <v>0</v>
      </c>
      <c r="BF99" s="9">
        <f>Raw!BF100/Raw!$C100</f>
        <v>0</v>
      </c>
      <c r="BG99" s="9">
        <f>Raw!BG100/Raw!$C100</f>
        <v>0</v>
      </c>
      <c r="BH99" s="9">
        <f>Raw!BH100/Raw!$C100</f>
        <v>0</v>
      </c>
      <c r="BI99" s="9">
        <f>Raw!BI100/Raw!$C100</f>
        <v>0</v>
      </c>
      <c r="BJ99" s="9">
        <f>Raw!BJ100/Raw!$C100</f>
        <v>0</v>
      </c>
      <c r="BK99" s="9">
        <f>Raw!BK100/Raw!$C100</f>
        <v>0</v>
      </c>
      <c r="BL99" s="9">
        <f>Raw!BL100/Raw!$C100</f>
        <v>0</v>
      </c>
      <c r="BM99" s="9">
        <f>Raw!BM100/Raw!$C100</f>
        <v>0</v>
      </c>
      <c r="BN99" s="9">
        <f>Raw!BN100/Raw!$C100</f>
        <v>0</v>
      </c>
      <c r="BO99" s="9">
        <f>Raw!BO100/Raw!$C100</f>
        <v>0</v>
      </c>
      <c r="BP99" s="9">
        <f>Raw!BP100/Raw!$C100</f>
        <v>0</v>
      </c>
      <c r="BQ99" s="9">
        <f>Raw!BQ100/Raw!$C100</f>
        <v>0</v>
      </c>
      <c r="BR99" s="9">
        <f>Raw!BR100/Raw!$C100</f>
        <v>0</v>
      </c>
      <c r="BS99" s="9">
        <f>Raw!BS100/Raw!$C100</f>
        <v>0</v>
      </c>
      <c r="BT99" s="9">
        <f>Raw!BT100/Raw!$C100</f>
        <v>0</v>
      </c>
      <c r="BU99" s="9">
        <f>Raw!BU100/Raw!$C100</f>
        <v>0</v>
      </c>
      <c r="BV99" s="9">
        <f>Raw!BV100/Raw!$C100</f>
        <v>0</v>
      </c>
      <c r="BW99" s="9">
        <f>Raw!BW100/Raw!$C100</f>
        <v>0</v>
      </c>
      <c r="BX99" s="9">
        <f>Raw!BX100/Raw!$C100</f>
        <v>0</v>
      </c>
      <c r="BY99" s="9">
        <f>Raw!BY100/Raw!$C100</f>
        <v>0</v>
      </c>
      <c r="BZ99" s="9">
        <f>Raw!BZ100/Raw!$C100</f>
        <v>0</v>
      </c>
      <c r="CA99" s="9">
        <f>Raw!CA100/Raw!$C100</f>
        <v>0</v>
      </c>
      <c r="CB99" s="9">
        <f>Raw!CB100/Raw!$C100</f>
        <v>0</v>
      </c>
      <c r="CC99" s="9">
        <f>Raw!CC100/Raw!$C100</f>
        <v>0</v>
      </c>
      <c r="CD99" s="9">
        <f>Raw!CD100/Raw!$C100</f>
        <v>0</v>
      </c>
      <c r="CE99" s="9">
        <f>Raw!CE100/Raw!$C100</f>
        <v>0</v>
      </c>
      <c r="CF99" s="9">
        <f>Raw!CF100/Raw!$C100</f>
        <v>0</v>
      </c>
      <c r="CG99" s="9">
        <f>Raw!CG100/Raw!$C100</f>
        <v>0</v>
      </c>
      <c r="CH99" s="9">
        <f>Raw!CH100/Raw!$C100</f>
        <v>0</v>
      </c>
      <c r="CI99" s="9">
        <f>Raw!CI100/Raw!$C100</f>
        <v>0</v>
      </c>
      <c r="CJ99" s="9">
        <f>Raw!CJ100/Raw!$C100</f>
        <v>0</v>
      </c>
      <c r="CK99" s="9">
        <f>Raw!CK100/Raw!$C100</f>
        <v>0</v>
      </c>
      <c r="CL99" s="9">
        <f>Raw!CL100/Raw!$C100</f>
        <v>0</v>
      </c>
      <c r="CM99" s="9">
        <f>Raw!CM100/Raw!$C100</f>
        <v>0</v>
      </c>
      <c r="CN99" s="9">
        <f>Raw!CN100/Raw!$C100</f>
        <v>0</v>
      </c>
      <c r="CO99" s="9">
        <f>Raw!CO100/Raw!$C100</f>
        <v>0</v>
      </c>
      <c r="CP99" s="9">
        <f>Raw!CP100/Raw!$C100</f>
        <v>0</v>
      </c>
      <c r="CQ99" s="9">
        <f>Raw!CQ100/Raw!$C100</f>
        <v>0</v>
      </c>
      <c r="CR99" s="2">
        <f t="shared" si="39"/>
        <v>616.66666666666663</v>
      </c>
      <c r="CS99" s="2">
        <f t="shared" si="40"/>
        <v>380.19444444444446</v>
      </c>
      <c r="CT99" s="3">
        <f t="shared" si="56"/>
        <v>2.7900504736833511</v>
      </c>
      <c r="CU99" s="3">
        <f t="shared" si="57"/>
        <v>2.5800057664885259</v>
      </c>
      <c r="CZ99" s="3">
        <f t="shared" si="58"/>
        <v>2.7900504736833511</v>
      </c>
      <c r="DA99" s="3">
        <f t="shared" si="59"/>
        <v>2.5800057664885259</v>
      </c>
      <c r="DB99" s="6">
        <f t="shared" si="60"/>
        <v>0.80829413876182044</v>
      </c>
      <c r="DC99" s="3">
        <v>3</v>
      </c>
      <c r="DD99" s="3">
        <f>DC99/Raw!C100</f>
        <v>8.3333333333333339</v>
      </c>
      <c r="DE99" s="5">
        <f t="shared" si="61"/>
        <v>4.8648648648648655E-3</v>
      </c>
      <c r="DF99">
        <f t="shared" si="62"/>
        <v>-2.312929218963689</v>
      </c>
      <c r="DH99" s="4">
        <f>-SUM('Shannon-Weiner'!B98:Z98)</f>
        <v>0.70501567982413205</v>
      </c>
      <c r="DI99" s="4">
        <f>SUM('p^2'!B98:Z98)</f>
        <v>0.60291372453534631</v>
      </c>
      <c r="DJ99" s="4">
        <f t="shared" si="63"/>
        <v>0.39708627546465369</v>
      </c>
      <c r="DK99">
        <f t="shared" si="64"/>
        <v>1.6586121020394422</v>
      </c>
      <c r="DL99" s="4">
        <f>SUM('Shannon-Weiner_B'!B98:Z98)</f>
        <v>-0.67055918433759332</v>
      </c>
      <c r="DM99" s="4">
        <f>SUM('p_B^2'!B98:Z98)</f>
        <v>0.62210194777862204</v>
      </c>
      <c r="DN99" s="4">
        <f t="shared" si="65"/>
        <v>0.37789805222137796</v>
      </c>
      <c r="DO99">
        <f t="shared" si="66"/>
        <v>1.6074535750462797</v>
      </c>
    </row>
    <row r="100" spans="2:119" x14ac:dyDescent="0.25">
      <c r="B100" t="str">
        <f>Raw!B101</f>
        <v>TD3</v>
      </c>
      <c r="C100">
        <v>1</v>
      </c>
      <c r="D100" s="9">
        <f>Raw!D101/Raw!$C101</f>
        <v>0</v>
      </c>
      <c r="E100" s="9">
        <f>Raw!E101/Raw!$C101</f>
        <v>0</v>
      </c>
      <c r="F100" s="9">
        <f>Raw!F101/Raw!$C101</f>
        <v>0</v>
      </c>
      <c r="G100" s="9">
        <f>Raw!G101/Raw!$C101</f>
        <v>0</v>
      </c>
      <c r="H100" s="9">
        <f>Raw!H101/Raw!$C101</f>
        <v>0</v>
      </c>
      <c r="I100" s="9">
        <f>Raw!I101/Raw!$C101</f>
        <v>0</v>
      </c>
      <c r="J100" s="9">
        <f>Raw!J101/Raw!$C101</f>
        <v>0</v>
      </c>
      <c r="K100" s="9">
        <f>Raw!K101/Raw!$C101</f>
        <v>0</v>
      </c>
      <c r="L100" s="9">
        <f>Raw!L101/Raw!$C101</f>
        <v>0</v>
      </c>
      <c r="M100" s="9">
        <f>Raw!M101/Raw!$C101</f>
        <v>0</v>
      </c>
      <c r="N100" s="9">
        <f>Raw!N101/Raw!$C101</f>
        <v>8.3333333333333339</v>
      </c>
      <c r="O100" s="9">
        <f>Raw!O101/Raw!$C101</f>
        <v>37.111111111111114</v>
      </c>
      <c r="P100" s="9">
        <f>Raw!P101/Raw!$C101</f>
        <v>0</v>
      </c>
      <c r="Q100" s="9">
        <f>Raw!Q101/Raw!$C101</f>
        <v>0</v>
      </c>
      <c r="R100" s="9">
        <f>Raw!R101/Raw!$C101</f>
        <v>0</v>
      </c>
      <c r="S100" s="9">
        <f>Raw!S101/Raw!$C101</f>
        <v>0</v>
      </c>
      <c r="T100" s="9">
        <f>Raw!T101/Raw!$C101</f>
        <v>0</v>
      </c>
      <c r="U100" s="9">
        <f>Raw!U101/Raw!$C101</f>
        <v>0</v>
      </c>
      <c r="V100" s="9">
        <f>Raw!V101/Raw!$C101</f>
        <v>0</v>
      </c>
      <c r="W100" s="9">
        <f>Raw!W101/Raw!$C101</f>
        <v>0</v>
      </c>
      <c r="X100" s="9">
        <f>Raw!X101/Raw!$C101</f>
        <v>316.66666666666669</v>
      </c>
      <c r="Y100" s="9">
        <f>Raw!Y101/Raw!$C101</f>
        <v>13.138888888888891</v>
      </c>
      <c r="Z100" s="9">
        <f>Raw!Z101/Raw!$C101</f>
        <v>0</v>
      </c>
      <c r="AA100" s="9">
        <f>Raw!AA101/Raw!$C101</f>
        <v>0</v>
      </c>
      <c r="AB100" s="9">
        <f>Raw!AB101/Raw!$C101</f>
        <v>0</v>
      </c>
      <c r="AC100" s="9">
        <f>Raw!AC101/Raw!$C101</f>
        <v>0</v>
      </c>
      <c r="AD100" s="9">
        <f>Raw!AD101/Raw!$C101</f>
        <v>0</v>
      </c>
      <c r="AE100" s="9">
        <f>Raw!AE101/Raw!$C101</f>
        <v>0</v>
      </c>
      <c r="AF100" s="9">
        <f>Raw!AF101/Raw!$C101</f>
        <v>0</v>
      </c>
      <c r="AG100" s="9">
        <f>Raw!AG101/Raw!$C101</f>
        <v>0</v>
      </c>
      <c r="AH100" s="9">
        <f>Raw!AH101/Raw!$C101</f>
        <v>0</v>
      </c>
      <c r="AI100" s="9">
        <f>Raw!AI101/Raw!$C101</f>
        <v>0</v>
      </c>
      <c r="AJ100" s="9">
        <f>Raw!AJ101/Raw!$C101</f>
        <v>0</v>
      </c>
      <c r="AK100" s="9">
        <f>Raw!AK101/Raw!$C101</f>
        <v>0</v>
      </c>
      <c r="AL100" s="9">
        <f>Raw!AL101/Raw!$C101</f>
        <v>72.222222222222229</v>
      </c>
      <c r="AM100" s="9">
        <f>Raw!AM101/Raw!$C101</f>
        <v>340.19444444444446</v>
      </c>
      <c r="AN100" s="9">
        <f>Raw!AN101/Raw!$C101</f>
        <v>0</v>
      </c>
      <c r="AO100" s="9">
        <f>Raw!AO101/Raw!$C101</f>
        <v>0</v>
      </c>
      <c r="AP100" s="9">
        <f>Raw!AP101/Raw!$C101</f>
        <v>0</v>
      </c>
      <c r="AQ100" s="9">
        <f>Raw!AQ101/Raw!$C101</f>
        <v>0</v>
      </c>
      <c r="AR100" s="9">
        <f>Raw!AR101/Raw!$C101</f>
        <v>0</v>
      </c>
      <c r="AS100" s="9">
        <f>Raw!AS101/Raw!$C101</f>
        <v>0</v>
      </c>
      <c r="AT100" s="9">
        <f>Raw!AT101/Raw!$C101</f>
        <v>13.888888888888889</v>
      </c>
      <c r="AU100" s="9">
        <f>Raw!AU101/Raw!$C101</f>
        <v>5.8611111111111107</v>
      </c>
      <c r="AV100" s="9">
        <f>Raw!AV101/Raw!$C101</f>
        <v>0</v>
      </c>
      <c r="AW100" s="9">
        <f>Raw!AW101/Raw!$C101</f>
        <v>0</v>
      </c>
      <c r="AX100" s="9">
        <f>Raw!AX101/Raw!$C101</f>
        <v>0</v>
      </c>
      <c r="AY100" s="9">
        <f>Raw!AY101/Raw!$C101</f>
        <v>0</v>
      </c>
      <c r="AZ100" s="9">
        <f>Raw!AZ101/Raw!$C101</f>
        <v>0</v>
      </c>
      <c r="BA100" s="9">
        <f>Raw!BA101/Raw!$C101</f>
        <v>0</v>
      </c>
      <c r="BB100" s="9">
        <f>Raw!BB101/Raw!$C101</f>
        <v>0</v>
      </c>
      <c r="BC100" s="9">
        <f>Raw!BC101/Raw!$C101</f>
        <v>0</v>
      </c>
      <c r="BD100" s="9">
        <f>Raw!BD101/Raw!$C101</f>
        <v>0</v>
      </c>
      <c r="BE100" s="9">
        <f>Raw!BE101/Raw!$C101</f>
        <v>0</v>
      </c>
      <c r="BF100" s="9">
        <f>Raw!BF101/Raw!$C101</f>
        <v>0</v>
      </c>
      <c r="BG100" s="9">
        <f>Raw!BG101/Raw!$C101</f>
        <v>0</v>
      </c>
      <c r="BH100" s="9">
        <f>Raw!BH101/Raw!$C101</f>
        <v>0</v>
      </c>
      <c r="BI100" s="9">
        <f>Raw!BI101/Raw!$C101</f>
        <v>0</v>
      </c>
      <c r="BJ100" s="9">
        <f>Raw!BJ101/Raw!$C101</f>
        <v>0</v>
      </c>
      <c r="BK100" s="9">
        <f>Raw!BK101/Raw!$C101</f>
        <v>0</v>
      </c>
      <c r="BL100" s="9">
        <f>Raw!BL101/Raw!$C101</f>
        <v>0</v>
      </c>
      <c r="BM100" s="9">
        <f>Raw!BM101/Raw!$C101</f>
        <v>0</v>
      </c>
      <c r="BN100" s="9">
        <f>Raw!BN101/Raw!$C101</f>
        <v>0</v>
      </c>
      <c r="BO100" s="9">
        <f>Raw!BO101/Raw!$C101</f>
        <v>0</v>
      </c>
      <c r="BP100" s="9">
        <f>Raw!BP101/Raw!$C101</f>
        <v>0</v>
      </c>
      <c r="BQ100" s="9">
        <f>Raw!BQ101/Raw!$C101</f>
        <v>0</v>
      </c>
      <c r="BR100" s="9">
        <f>Raw!BR101/Raw!$C101</f>
        <v>0</v>
      </c>
      <c r="BS100" s="9">
        <f>Raw!BS101/Raw!$C101</f>
        <v>0</v>
      </c>
      <c r="BT100" s="9">
        <f>Raw!BT101/Raw!$C101</f>
        <v>0</v>
      </c>
      <c r="BU100" s="9">
        <f>Raw!BU101/Raw!$C101</f>
        <v>0</v>
      </c>
      <c r="BV100" s="9">
        <f>Raw!BV101/Raw!$C101</f>
        <v>0</v>
      </c>
      <c r="BW100" s="9">
        <f>Raw!BW101/Raw!$C101</f>
        <v>0</v>
      </c>
      <c r="BX100" s="9">
        <f>Raw!BX101/Raw!$C101</f>
        <v>0</v>
      </c>
      <c r="BY100" s="9">
        <f>Raw!BY101/Raw!$C101</f>
        <v>0</v>
      </c>
      <c r="BZ100" s="9">
        <f>Raw!BZ101/Raw!$C101</f>
        <v>0</v>
      </c>
      <c r="CA100" s="9">
        <f>Raw!CA101/Raw!$C101</f>
        <v>0</v>
      </c>
      <c r="CB100" s="9">
        <f>Raw!CB101/Raw!$C101</f>
        <v>0</v>
      </c>
      <c r="CC100" s="9">
        <f>Raw!CC101/Raw!$C101</f>
        <v>0</v>
      </c>
      <c r="CD100" s="9">
        <f>Raw!CD101/Raw!$C101</f>
        <v>0</v>
      </c>
      <c r="CE100" s="9">
        <f>Raw!CE101/Raw!$C101</f>
        <v>0</v>
      </c>
      <c r="CF100" s="9">
        <f>Raw!CF101/Raw!$C101</f>
        <v>0</v>
      </c>
      <c r="CG100" s="9">
        <f>Raw!CG101/Raw!$C101</f>
        <v>0</v>
      </c>
      <c r="CH100" s="9">
        <f>Raw!CH101/Raw!$C101</f>
        <v>0</v>
      </c>
      <c r="CI100" s="9">
        <f>Raw!CI101/Raw!$C101</f>
        <v>0</v>
      </c>
      <c r="CJ100" s="9">
        <f>Raw!CJ101/Raw!$C101</f>
        <v>0</v>
      </c>
      <c r="CK100" s="9">
        <f>Raw!CK101/Raw!$C101</f>
        <v>0</v>
      </c>
      <c r="CL100" s="9">
        <f>Raw!CL101/Raw!$C101</f>
        <v>0</v>
      </c>
      <c r="CM100" s="9">
        <f>Raw!CM101/Raw!$C101</f>
        <v>0</v>
      </c>
      <c r="CN100" s="9">
        <f>Raw!CN101/Raw!$C101</f>
        <v>0</v>
      </c>
      <c r="CO100" s="9">
        <f>Raw!CO101/Raw!$C101</f>
        <v>0</v>
      </c>
      <c r="CP100" s="9">
        <f>Raw!CP101/Raw!$C101</f>
        <v>0</v>
      </c>
      <c r="CQ100" s="9">
        <f>Raw!CQ101/Raw!$C101</f>
        <v>0</v>
      </c>
      <c r="CR100" s="2">
        <f t="shared" si="39"/>
        <v>411.11111111111114</v>
      </c>
      <c r="CS100" s="2">
        <f t="shared" si="40"/>
        <v>396.30555555555554</v>
      </c>
      <c r="CT100" s="3">
        <f t="shared" si="56"/>
        <v>2.6139592146276702</v>
      </c>
      <c r="CU100" s="3">
        <f t="shared" si="57"/>
        <v>2.5980301604750178</v>
      </c>
      <c r="CZ100" s="3">
        <f t="shared" si="58"/>
        <v>2.6139592146276702</v>
      </c>
      <c r="DA100" s="3">
        <f t="shared" si="59"/>
        <v>2.5980301604750178</v>
      </c>
      <c r="DB100" s="6">
        <f t="shared" si="60"/>
        <v>0.83195702076443256</v>
      </c>
      <c r="DC100" s="3">
        <v>4</v>
      </c>
      <c r="DD100" s="3">
        <f>DC100/Raw!C101</f>
        <v>11.111111111111111</v>
      </c>
      <c r="DE100" s="5">
        <f t="shared" si="61"/>
        <v>9.7297297297297292E-3</v>
      </c>
      <c r="DF100">
        <f t="shared" si="62"/>
        <v>-2.0118992232997077</v>
      </c>
      <c r="DH100" s="4">
        <f>-SUM('Shannon-Weiner'!B99:Z99)</f>
        <v>0.70004903367150806</v>
      </c>
      <c r="DI100" s="4">
        <f>SUM('p^2'!B99:Z99)</f>
        <v>0.62573046018991973</v>
      </c>
      <c r="DJ100" s="4">
        <f t="shared" si="63"/>
        <v>0.37426953981008027</v>
      </c>
      <c r="DK100">
        <f t="shared" si="64"/>
        <v>1.5981322048737776</v>
      </c>
      <c r="DL100" s="4">
        <f>SUM('Shannon-Weiner_B'!B99:Z99)</f>
        <v>-0.52808454841712849</v>
      </c>
      <c r="DM100" s="4">
        <f>SUM('p_B^2'!B99:Z99)</f>
        <v>0.74696231891351794</v>
      </c>
      <c r="DN100" s="4">
        <f t="shared" si="65"/>
        <v>0.25303768108648206</v>
      </c>
      <c r="DO100">
        <f t="shared" si="66"/>
        <v>1.3387556168221899</v>
      </c>
    </row>
    <row r="101" spans="2:119" x14ac:dyDescent="0.25">
      <c r="B101" t="str">
        <f>Raw!B102</f>
        <v>TD4</v>
      </c>
      <c r="C101">
        <v>1</v>
      </c>
      <c r="D101" s="9">
        <f>Raw!D102/Raw!$C102</f>
        <v>2.7777777777777777</v>
      </c>
      <c r="E101" s="9">
        <f>Raw!E102/Raw!$C102</f>
        <v>2.777777777777778E-2</v>
      </c>
      <c r="F101" s="9">
        <f>Raw!F102/Raw!$C102</f>
        <v>0</v>
      </c>
      <c r="G101" s="9">
        <f>Raw!G102/Raw!$C102</f>
        <v>0</v>
      </c>
      <c r="H101" s="9">
        <f>Raw!H102/Raw!$C102</f>
        <v>0</v>
      </c>
      <c r="I101" s="9">
        <f>Raw!I102/Raw!$C102</f>
        <v>0</v>
      </c>
      <c r="J101" s="9">
        <f>Raw!J102/Raw!$C102</f>
        <v>0</v>
      </c>
      <c r="K101" s="9">
        <f>Raw!K102/Raw!$C102</f>
        <v>0</v>
      </c>
      <c r="L101" s="9">
        <f>Raw!L102/Raw!$C102</f>
        <v>0</v>
      </c>
      <c r="M101" s="9">
        <f>Raw!M102/Raw!$C102</f>
        <v>0</v>
      </c>
      <c r="N101" s="9">
        <f>Raw!N102/Raw!$C102</f>
        <v>0</v>
      </c>
      <c r="O101" s="9">
        <f>Raw!O102/Raw!$C102</f>
        <v>0</v>
      </c>
      <c r="P101" s="9">
        <f>Raw!P102/Raw!$C102</f>
        <v>0</v>
      </c>
      <c r="Q101" s="9">
        <f>Raw!Q102/Raw!$C102</f>
        <v>0</v>
      </c>
      <c r="R101" s="9">
        <f>Raw!R102/Raw!$C102</f>
        <v>0</v>
      </c>
      <c r="S101" s="9">
        <f>Raw!S102/Raw!$C102</f>
        <v>0</v>
      </c>
      <c r="T101" s="9">
        <f>Raw!T102/Raw!$C102</f>
        <v>0</v>
      </c>
      <c r="U101" s="9">
        <f>Raw!U102/Raw!$C102</f>
        <v>0</v>
      </c>
      <c r="V101" s="9">
        <f>Raw!V102/Raw!$C102</f>
        <v>0</v>
      </c>
      <c r="W101" s="9">
        <f>Raw!W102/Raw!$C102</f>
        <v>0</v>
      </c>
      <c r="X101" s="9">
        <f>Raw!X102/Raw!$C102</f>
        <v>341.66666666666669</v>
      </c>
      <c r="Y101" s="9">
        <f>Raw!Y102/Raw!$C102</f>
        <v>19.916666666666668</v>
      </c>
      <c r="Z101" s="9">
        <f>Raw!Z102/Raw!$C102</f>
        <v>0</v>
      </c>
      <c r="AA101" s="9">
        <f>Raw!AA102/Raw!$C102</f>
        <v>0</v>
      </c>
      <c r="AB101" s="9">
        <f>Raw!AB102/Raw!$C102</f>
        <v>0</v>
      </c>
      <c r="AC101" s="9">
        <f>Raw!AC102/Raw!$C102</f>
        <v>0</v>
      </c>
      <c r="AD101" s="9">
        <f>Raw!AD102/Raw!$C102</f>
        <v>0</v>
      </c>
      <c r="AE101" s="9">
        <f>Raw!AE102/Raw!$C102</f>
        <v>0</v>
      </c>
      <c r="AF101" s="9">
        <f>Raw!AF102/Raw!$C102</f>
        <v>0</v>
      </c>
      <c r="AG101" s="9">
        <f>Raw!AG102/Raw!$C102</f>
        <v>0</v>
      </c>
      <c r="AH101" s="9">
        <f>Raw!AH102/Raw!$C102</f>
        <v>5.5555555555555554</v>
      </c>
      <c r="AI101" s="9">
        <f>Raw!AI102/Raw!$C102</f>
        <v>2.777777777777778E-2</v>
      </c>
      <c r="AJ101" s="9">
        <f>Raw!AJ102/Raw!$C102</f>
        <v>0</v>
      </c>
      <c r="AK101" s="9">
        <f>Raw!AK102/Raw!$C102</f>
        <v>0</v>
      </c>
      <c r="AL101" s="9">
        <f>Raw!AL102/Raw!$C102</f>
        <v>16.666666666666668</v>
      </c>
      <c r="AM101" s="9">
        <f>Raw!AM102/Raw!$C102</f>
        <v>102.58333333333334</v>
      </c>
      <c r="AN101" s="9">
        <f>Raw!AN102/Raw!$C102</f>
        <v>0</v>
      </c>
      <c r="AO101" s="9">
        <f>Raw!AO102/Raw!$C102</f>
        <v>0</v>
      </c>
      <c r="AP101" s="9">
        <f>Raw!AP102/Raw!$C102</f>
        <v>0</v>
      </c>
      <c r="AQ101" s="9">
        <f>Raw!AQ102/Raw!$C102</f>
        <v>0</v>
      </c>
      <c r="AR101" s="9">
        <f>Raw!AR102/Raw!$C102</f>
        <v>0</v>
      </c>
      <c r="AS101" s="9">
        <f>Raw!AS102/Raw!$C102</f>
        <v>0</v>
      </c>
      <c r="AT101" s="9">
        <f>Raw!AT102/Raw!$C102</f>
        <v>16.666666666666668</v>
      </c>
      <c r="AU101" s="9">
        <f>Raw!AU102/Raw!$C102</f>
        <v>11.277777777777777</v>
      </c>
      <c r="AV101" s="9">
        <f>Raw!AV102/Raw!$C102</f>
        <v>0</v>
      </c>
      <c r="AW101" s="9">
        <f>Raw!AW102/Raw!$C102</f>
        <v>0</v>
      </c>
      <c r="AX101" s="9">
        <f>Raw!AX102/Raw!$C102</f>
        <v>0</v>
      </c>
      <c r="AY101" s="9">
        <f>Raw!AY102/Raw!$C102</f>
        <v>0</v>
      </c>
      <c r="AZ101" s="9">
        <f>Raw!AZ102/Raw!$C102</f>
        <v>0</v>
      </c>
      <c r="BA101" s="9">
        <f>Raw!BA102/Raw!$C102</f>
        <v>0</v>
      </c>
      <c r="BB101" s="9">
        <f>Raw!BB102/Raw!$C102</f>
        <v>0</v>
      </c>
      <c r="BC101" s="9">
        <f>Raw!BC102/Raw!$C102</f>
        <v>0</v>
      </c>
      <c r="BD101" s="9">
        <f>Raw!BD102/Raw!$C102</f>
        <v>0</v>
      </c>
      <c r="BE101" s="9">
        <f>Raw!BE102/Raw!$C102</f>
        <v>0</v>
      </c>
      <c r="BF101" s="9">
        <f>Raw!BF102/Raw!$C102</f>
        <v>0</v>
      </c>
      <c r="BG101" s="9">
        <f>Raw!BG102/Raw!$C102</f>
        <v>0</v>
      </c>
      <c r="BH101" s="9">
        <f>Raw!BH102/Raw!$C102</f>
        <v>0</v>
      </c>
      <c r="BI101" s="9">
        <f>Raw!BI102/Raw!$C102</f>
        <v>0</v>
      </c>
      <c r="BJ101" s="9">
        <f>Raw!BJ102/Raw!$C102</f>
        <v>0</v>
      </c>
      <c r="BK101" s="9">
        <f>Raw!BK102/Raw!$C102</f>
        <v>0</v>
      </c>
      <c r="BL101" s="9">
        <f>Raw!BL102/Raw!$C102</f>
        <v>0</v>
      </c>
      <c r="BM101" s="9">
        <f>Raw!BM102/Raw!$C102</f>
        <v>0</v>
      </c>
      <c r="BN101" s="9">
        <f>Raw!BN102/Raw!$C102</f>
        <v>0</v>
      </c>
      <c r="BO101" s="9">
        <f>Raw!BO102/Raw!$C102</f>
        <v>0</v>
      </c>
      <c r="BP101" s="9">
        <f>Raw!BP102/Raw!$C102</f>
        <v>0</v>
      </c>
      <c r="BQ101" s="9">
        <f>Raw!BQ102/Raw!$C102</f>
        <v>0</v>
      </c>
      <c r="BR101" s="9">
        <f>Raw!BR102/Raw!$C102</f>
        <v>0</v>
      </c>
      <c r="BS101" s="9">
        <f>Raw!BS102/Raw!$C102</f>
        <v>0</v>
      </c>
      <c r="BT101" s="9">
        <f>Raw!BT102/Raw!$C102</f>
        <v>0</v>
      </c>
      <c r="BU101" s="9">
        <f>Raw!BU102/Raw!$C102</f>
        <v>0</v>
      </c>
      <c r="BV101" s="9">
        <f>Raw!BV102/Raw!$C102</f>
        <v>0</v>
      </c>
      <c r="BW101" s="9">
        <f>Raw!BW102/Raw!$C102</f>
        <v>0</v>
      </c>
      <c r="BX101" s="9">
        <f>Raw!BX102/Raw!$C102</f>
        <v>0</v>
      </c>
      <c r="BY101" s="9">
        <f>Raw!BY102/Raw!$C102</f>
        <v>0</v>
      </c>
      <c r="BZ101" s="9">
        <f>Raw!BZ102/Raw!$C102</f>
        <v>0</v>
      </c>
      <c r="CA101" s="9">
        <f>Raw!CA102/Raw!$C102</f>
        <v>0</v>
      </c>
      <c r="CB101" s="9">
        <f>Raw!CB102/Raw!$C102</f>
        <v>0</v>
      </c>
      <c r="CC101" s="9">
        <f>Raw!CC102/Raw!$C102</f>
        <v>0</v>
      </c>
      <c r="CD101" s="9">
        <f>Raw!CD102/Raw!$C102</f>
        <v>0</v>
      </c>
      <c r="CE101" s="9">
        <f>Raw!CE102/Raw!$C102</f>
        <v>0</v>
      </c>
      <c r="CF101" s="9">
        <f>Raw!CF102/Raw!$C102</f>
        <v>0</v>
      </c>
      <c r="CG101" s="9">
        <f>Raw!CG102/Raw!$C102</f>
        <v>0</v>
      </c>
      <c r="CH101" s="9">
        <f>Raw!CH102/Raw!$C102</f>
        <v>0</v>
      </c>
      <c r="CI101" s="9">
        <f>Raw!CI102/Raw!$C102</f>
        <v>0</v>
      </c>
      <c r="CJ101" s="9">
        <f>Raw!CJ102/Raw!$C102</f>
        <v>0</v>
      </c>
      <c r="CK101" s="9">
        <f>Raw!CK102/Raw!$C102</f>
        <v>0</v>
      </c>
      <c r="CL101" s="9">
        <f>Raw!CL102/Raw!$C102</f>
        <v>0</v>
      </c>
      <c r="CM101" s="9">
        <f>Raw!CM102/Raw!$C102</f>
        <v>0</v>
      </c>
      <c r="CN101" s="9">
        <f>Raw!CN102/Raw!$C102</f>
        <v>0</v>
      </c>
      <c r="CO101" s="9">
        <f>Raw!CO102/Raw!$C102</f>
        <v>0</v>
      </c>
      <c r="CP101" s="9">
        <f>Raw!CP102/Raw!$C102</f>
        <v>0</v>
      </c>
      <c r="CQ101" s="9">
        <f>Raw!CQ102/Raw!$C102</f>
        <v>0</v>
      </c>
      <c r="CR101" s="2">
        <f t="shared" si="39"/>
        <v>383.33333333333337</v>
      </c>
      <c r="CS101" s="2">
        <f t="shared" si="40"/>
        <v>133.83333333333334</v>
      </c>
      <c r="CT101" s="3">
        <f t="shared" si="56"/>
        <v>2.5835765856339492</v>
      </c>
      <c r="CU101" s="3">
        <f t="shared" si="57"/>
        <v>2.1265642948950374</v>
      </c>
      <c r="CZ101" s="3">
        <f t="shared" si="58"/>
        <v>2.5835765856339492</v>
      </c>
      <c r="DA101" s="3">
        <f t="shared" si="59"/>
        <v>2.1265642948950374</v>
      </c>
      <c r="DB101" s="6">
        <f t="shared" si="60"/>
        <v>1.1161851974065746</v>
      </c>
      <c r="DC101" s="3">
        <v>5</v>
      </c>
      <c r="DD101" s="3">
        <f>DC101/Raw!C102</f>
        <v>13.888888888888889</v>
      </c>
      <c r="DE101" s="5">
        <f t="shared" si="61"/>
        <v>1.3043478260869565E-2</v>
      </c>
      <c r="DF101">
        <f t="shared" si="62"/>
        <v>-1.8846065812979305</v>
      </c>
      <c r="DH101" s="4">
        <f>-SUM('Shannon-Weiner'!B100:Z100)</f>
        <v>0.47228206412340834</v>
      </c>
      <c r="DI101" s="4">
        <f>SUM('p^2'!B100:Z100)</f>
        <v>0.7984667086746482</v>
      </c>
      <c r="DJ101" s="4">
        <f t="shared" si="63"/>
        <v>0.2015332913253518</v>
      </c>
      <c r="DK101">
        <f t="shared" si="64"/>
        <v>1.2524003682756806</v>
      </c>
      <c r="DL101" s="4">
        <f>SUM('Shannon-Weiner_B'!B100:Z100)</f>
        <v>-0.69930705686540462</v>
      </c>
      <c r="DM101" s="4">
        <f>SUM('p_B^2'!B100:Z100)</f>
        <v>0.61677075433707251</v>
      </c>
      <c r="DN101" s="4">
        <f t="shared" si="65"/>
        <v>0.38322924566292749</v>
      </c>
      <c r="DO101">
        <f t="shared" si="66"/>
        <v>1.6213479529762012</v>
      </c>
    </row>
    <row r="102" spans="2:119" x14ac:dyDescent="0.25">
      <c r="B102" t="str">
        <f>Raw!B103</f>
        <v>NA1</v>
      </c>
      <c r="C102">
        <v>1</v>
      </c>
      <c r="D102" s="9">
        <f>Raw!D103/Raw!$C103</f>
        <v>672</v>
      </c>
      <c r="E102" s="9">
        <f>Raw!E103/Raw!$C103</f>
        <v>175.75999999999996</v>
      </c>
      <c r="F102" s="9">
        <f>Raw!F103/Raw!$C103</f>
        <v>216</v>
      </c>
      <c r="G102" s="9">
        <f>Raw!G103/Raw!$C103</f>
        <v>158.4</v>
      </c>
      <c r="H102" s="9">
        <f>Raw!H103/Raw!$C103</f>
        <v>0</v>
      </c>
      <c r="I102" s="9">
        <f>Raw!I103/Raw!$C103</f>
        <v>0</v>
      </c>
      <c r="J102" s="9">
        <f>Raw!J103/Raw!$C103</f>
        <v>0</v>
      </c>
      <c r="K102" s="9">
        <f>Raw!K103/Raw!$C103</f>
        <v>0</v>
      </c>
      <c r="L102" s="9">
        <f>Raw!L103/Raw!$C103</f>
        <v>0</v>
      </c>
      <c r="M102" s="9">
        <f>Raw!M103/Raw!$C103</f>
        <v>0</v>
      </c>
      <c r="N102" s="9">
        <f>Raw!N103/Raw!$C103</f>
        <v>0</v>
      </c>
      <c r="O102" s="9">
        <f>Raw!O103/Raw!$C103</f>
        <v>0</v>
      </c>
      <c r="P102" s="9">
        <f>Raw!P103/Raw!$C103</f>
        <v>0</v>
      </c>
      <c r="Q102" s="9">
        <f>Raw!Q103/Raw!$C103</f>
        <v>0</v>
      </c>
      <c r="R102" s="9">
        <f>Raw!R103/Raw!$C103</f>
        <v>0</v>
      </c>
      <c r="S102" s="9">
        <f>Raw!S103/Raw!$C103</f>
        <v>0</v>
      </c>
      <c r="T102" s="9">
        <f>Raw!T103/Raw!$C103</f>
        <v>0</v>
      </c>
      <c r="U102" s="9">
        <f>Raw!U103/Raw!$C103</f>
        <v>0</v>
      </c>
      <c r="V102" s="9">
        <f>Raw!V103/Raw!$C103</f>
        <v>0</v>
      </c>
      <c r="W102" s="9">
        <f>Raw!W103/Raw!$C103</f>
        <v>0</v>
      </c>
      <c r="X102" s="9">
        <f>Raw!X103/Raw!$C103</f>
        <v>8</v>
      </c>
      <c r="Y102" s="9">
        <f>Raw!Y103/Raw!$C103</f>
        <v>3.5199999999999996</v>
      </c>
      <c r="Z102" s="9">
        <f>Raw!Z103/Raw!$C103</f>
        <v>0</v>
      </c>
      <c r="AA102" s="9">
        <f>Raw!AA103/Raw!$C103</f>
        <v>0</v>
      </c>
      <c r="AB102" s="9">
        <f>Raw!AB103/Raw!$C103</f>
        <v>0</v>
      </c>
      <c r="AC102" s="9">
        <f>Raw!AC103/Raw!$C103</f>
        <v>0</v>
      </c>
      <c r="AD102" s="9">
        <f>Raw!AD103/Raw!$C103</f>
        <v>0</v>
      </c>
      <c r="AE102" s="9">
        <f>Raw!AE103/Raw!$C103</f>
        <v>0</v>
      </c>
      <c r="AF102" s="9">
        <f>Raw!AF103/Raw!$C103</f>
        <v>0</v>
      </c>
      <c r="AG102" s="9">
        <f>Raw!AG103/Raw!$C103</f>
        <v>0</v>
      </c>
      <c r="AH102" s="9">
        <f>Raw!AH103/Raw!$C103</f>
        <v>0</v>
      </c>
      <c r="AI102" s="9">
        <f>Raw!AI103/Raw!$C103</f>
        <v>0</v>
      </c>
      <c r="AJ102" s="9">
        <f>Raw!AJ103/Raw!$C103</f>
        <v>0</v>
      </c>
      <c r="AK102" s="9">
        <f>Raw!AK103/Raw!$C103</f>
        <v>0</v>
      </c>
      <c r="AL102" s="9">
        <f>Raw!AL103/Raw!$C103</f>
        <v>16</v>
      </c>
      <c r="AM102" s="9">
        <f>Raw!AM103/Raw!$C103</f>
        <v>3.0799999999999983</v>
      </c>
      <c r="AN102" s="9">
        <f>Raw!AN103/Raw!$C103</f>
        <v>0</v>
      </c>
      <c r="AO102" s="9">
        <f>Raw!AO103/Raw!$C103</f>
        <v>0</v>
      </c>
      <c r="AP102" s="9">
        <f>Raw!AP103/Raw!$C103</f>
        <v>0</v>
      </c>
      <c r="AQ102" s="9">
        <f>Raw!AQ103/Raw!$C103</f>
        <v>0</v>
      </c>
      <c r="AR102" s="9">
        <f>Raw!AR103/Raw!$C103</f>
        <v>0</v>
      </c>
      <c r="AS102" s="9">
        <f>Raw!AS103/Raw!$C103</f>
        <v>0</v>
      </c>
      <c r="AT102" s="9">
        <f>Raw!AT103/Raw!$C103</f>
        <v>0</v>
      </c>
      <c r="AU102" s="9">
        <f>Raw!AU103/Raw!$C103</f>
        <v>0</v>
      </c>
      <c r="AV102" s="9">
        <f>Raw!AV103/Raw!$C103</f>
        <v>0</v>
      </c>
      <c r="AW102" s="9">
        <f>Raw!AW103/Raw!$C103</f>
        <v>0</v>
      </c>
      <c r="AX102" s="9">
        <f>Raw!AX103/Raw!$C103</f>
        <v>0</v>
      </c>
      <c r="AY102" s="9">
        <f>Raw!AY103/Raw!$C103</f>
        <v>0</v>
      </c>
      <c r="AZ102" s="9">
        <f>Raw!AZ103/Raw!$C103</f>
        <v>0</v>
      </c>
      <c r="BA102" s="9">
        <f>Raw!BA103/Raw!$C103</f>
        <v>0</v>
      </c>
      <c r="BB102" s="9">
        <f>Raw!BB103/Raw!$C103</f>
        <v>0</v>
      </c>
      <c r="BC102" s="9">
        <f>Raw!BC103/Raw!$C103</f>
        <v>0</v>
      </c>
      <c r="BD102" s="9">
        <f>Raw!BD103/Raw!$C103</f>
        <v>0</v>
      </c>
      <c r="BE102" s="9">
        <f>Raw!BE103/Raw!$C103</f>
        <v>0</v>
      </c>
      <c r="BF102" s="9">
        <f>Raw!BF103/Raw!$C103</f>
        <v>0</v>
      </c>
      <c r="BG102" s="9">
        <f>Raw!BG103/Raw!$C103</f>
        <v>0</v>
      </c>
      <c r="BH102" s="9">
        <f>Raw!BH103/Raw!$C103</f>
        <v>0</v>
      </c>
      <c r="BI102" s="9">
        <f>Raw!BI103/Raw!$C103</f>
        <v>0</v>
      </c>
      <c r="BJ102" s="9">
        <f>Raw!BJ103/Raw!$C103</f>
        <v>0</v>
      </c>
      <c r="BK102" s="9">
        <f>Raw!BK103/Raw!$C103</f>
        <v>0</v>
      </c>
      <c r="BL102" s="9">
        <f>Raw!BL103/Raw!$C103</f>
        <v>0</v>
      </c>
      <c r="BM102" s="9">
        <f>Raw!BM103/Raw!$C103</f>
        <v>0</v>
      </c>
      <c r="BN102" s="9">
        <f>Raw!BN103/Raw!$C103</f>
        <v>0</v>
      </c>
      <c r="BO102" s="9">
        <f>Raw!BO103/Raw!$C103</f>
        <v>0</v>
      </c>
      <c r="BP102" s="9">
        <f>Raw!BP103/Raw!$C103</f>
        <v>0</v>
      </c>
      <c r="BQ102" s="9">
        <f>Raw!BQ103/Raw!$C103</f>
        <v>0</v>
      </c>
      <c r="BR102" s="9">
        <f>Raw!BR103/Raw!$C103</f>
        <v>0</v>
      </c>
      <c r="BS102" s="9">
        <f>Raw!BS103/Raw!$C103</f>
        <v>0</v>
      </c>
      <c r="BT102" s="9">
        <f>Raw!BT103/Raw!$C103</f>
        <v>0</v>
      </c>
      <c r="BU102" s="9">
        <f>Raw!BU103/Raw!$C103</f>
        <v>0</v>
      </c>
      <c r="BV102" s="9">
        <f>Raw!BV103/Raw!$C103</f>
        <v>0</v>
      </c>
      <c r="BW102" s="9">
        <f>Raw!BW103/Raw!$C103</f>
        <v>0</v>
      </c>
      <c r="BX102" s="9">
        <f>Raw!BX103/Raw!$C103</f>
        <v>0</v>
      </c>
      <c r="BY102" s="9">
        <f>Raw!BY103/Raw!$C103</f>
        <v>0</v>
      </c>
      <c r="BZ102" s="9">
        <f>Raw!BZ103/Raw!$C103</f>
        <v>0</v>
      </c>
      <c r="CA102" s="9">
        <f>Raw!CA103/Raw!$C103</f>
        <v>0</v>
      </c>
      <c r="CB102" s="9">
        <f>Raw!CB103/Raw!$C103</f>
        <v>0</v>
      </c>
      <c r="CC102" s="9">
        <f>Raw!CC103/Raw!$C103</f>
        <v>0</v>
      </c>
      <c r="CD102" s="9">
        <f>Raw!CD103/Raw!$C103</f>
        <v>0</v>
      </c>
      <c r="CE102" s="9">
        <f>Raw!CE103/Raw!$C103</f>
        <v>0</v>
      </c>
      <c r="CF102" s="9">
        <f>Raw!CF103/Raw!$C103</f>
        <v>0</v>
      </c>
      <c r="CG102" s="9">
        <f>Raw!CG103/Raw!$C103</f>
        <v>0</v>
      </c>
      <c r="CH102" s="9">
        <f>Raw!CH103/Raw!$C103</f>
        <v>0</v>
      </c>
      <c r="CI102" s="9">
        <f>Raw!CI103/Raw!$C103</f>
        <v>0</v>
      </c>
      <c r="CJ102" s="9">
        <f>Raw!CJ103/Raw!$C103</f>
        <v>0</v>
      </c>
      <c r="CK102" s="9">
        <f>Raw!CK103/Raw!$C103</f>
        <v>0</v>
      </c>
      <c r="CL102" s="9">
        <f>Raw!CL103/Raw!$C103</f>
        <v>0</v>
      </c>
      <c r="CM102" s="9">
        <f>Raw!CM103/Raw!$C103</f>
        <v>0</v>
      </c>
      <c r="CN102" s="9">
        <f>Raw!CN103/Raw!$C103</f>
        <v>0</v>
      </c>
      <c r="CO102" s="9">
        <f>Raw!CO103/Raw!$C103</f>
        <v>0</v>
      </c>
      <c r="CP102" s="9">
        <f>Raw!CP103/Raw!$C103</f>
        <v>0</v>
      </c>
      <c r="CQ102" s="9">
        <f>Raw!CQ103/Raw!$C103</f>
        <v>0</v>
      </c>
      <c r="CR102" s="2">
        <f t="shared" si="39"/>
        <v>912</v>
      </c>
      <c r="CS102" s="2">
        <f t="shared" si="40"/>
        <v>340.75999999999993</v>
      </c>
      <c r="CT102" s="3">
        <f t="shared" ref="CT102" si="67">LOG10(CR102)</f>
        <v>2.959994838328416</v>
      </c>
      <c r="CU102" s="3">
        <f t="shared" ref="CU102:CU103" si="68">LOG10(CS102)</f>
        <v>2.5324486095722842</v>
      </c>
      <c r="CZ102" s="3">
        <f t="shared" ref="CZ102" si="69">LOG10(CR102+CV102)</f>
        <v>2.959994838328416</v>
      </c>
      <c r="DA102" s="3">
        <f t="shared" ref="DA102" si="70">LOG10(CS102+CW102)</f>
        <v>2.5324486095722842</v>
      </c>
      <c r="DB102" s="6">
        <f t="shared" ref="DB102" si="71">0.590307*(4.87-0.33*CT102-CU102)</f>
        <v>0.80326207652959991</v>
      </c>
      <c r="DC102">
        <v>4</v>
      </c>
      <c r="DD102" s="3">
        <f>DC102/Raw!C103</f>
        <v>16</v>
      </c>
      <c r="DE102" s="5">
        <f t="shared" ref="DE102" si="72">DC102/CR102</f>
        <v>4.3859649122807015E-3</v>
      </c>
      <c r="DF102">
        <f t="shared" ref="DF102" si="73">LOG(DE102)</f>
        <v>-2.357934847000454</v>
      </c>
      <c r="DH102" s="4">
        <f>-SUM('Shannon-Weiner'!B101:Z101)</f>
        <v>0.67863265149909968</v>
      </c>
      <c r="DI102" s="4">
        <f>SUM('p^2'!B101:Z101)</f>
        <v>0.59941520467836251</v>
      </c>
      <c r="DJ102" s="4">
        <f t="shared" ref="DJ102" si="74">1-DI102</f>
        <v>0.40058479532163749</v>
      </c>
      <c r="DK102">
        <f t="shared" ref="DK102" si="75">1/DI102</f>
        <v>1.6682926829268294</v>
      </c>
      <c r="DL102" s="4">
        <f>SUM('Shannon-Weiner_B'!B101:Z101)</f>
        <v>-0.78735122016006576</v>
      </c>
      <c r="DM102" s="4">
        <f>SUM('p_B^2'!B101:Z101)</f>
        <v>0.48230519460163906</v>
      </c>
      <c r="DN102" s="4">
        <f t="shared" ref="DN102" si="76">1-DM102</f>
        <v>0.51769480539836099</v>
      </c>
      <c r="DO102">
        <f t="shared" ref="DO102" si="77">1/DM102</f>
        <v>2.0733759685627104</v>
      </c>
    </row>
    <row r="103" spans="2:119" x14ac:dyDescent="0.25">
      <c r="B103" t="str">
        <f>Raw!B104</f>
        <v>NA2</v>
      </c>
      <c r="C103">
        <v>1</v>
      </c>
      <c r="D103" s="9">
        <f>Raw!D104/Raw!$C104</f>
        <v>572</v>
      </c>
      <c r="E103" s="9">
        <f>Raw!E104/Raw!$C104</f>
        <v>164.47999999999996</v>
      </c>
      <c r="F103" s="9">
        <f>Raw!F104/Raw!$C104</f>
        <v>60</v>
      </c>
      <c r="G103" s="9">
        <f>Raw!G104/Raw!$C104</f>
        <v>58.319999999999993</v>
      </c>
      <c r="H103" s="9">
        <f>Raw!H104/Raw!$C104</f>
        <v>4</v>
      </c>
      <c r="I103" s="9">
        <f>Raw!I104/Raw!$C104</f>
        <v>0.59999999999999964</v>
      </c>
      <c r="J103" s="9">
        <f>Raw!J104/Raw!$C104</f>
        <v>0</v>
      </c>
      <c r="K103" s="9">
        <f>Raw!K104/Raw!$C104</f>
        <v>0</v>
      </c>
      <c r="L103" s="9">
        <f>Raw!L104/Raw!$C104</f>
        <v>0</v>
      </c>
      <c r="M103" s="9">
        <f>Raw!M104/Raw!$C104</f>
        <v>0</v>
      </c>
      <c r="N103" s="9">
        <f>Raw!N104/Raw!$C104</f>
        <v>0</v>
      </c>
      <c r="O103" s="9">
        <f>Raw!O104/Raw!$C104</f>
        <v>0</v>
      </c>
      <c r="P103" s="9">
        <f>Raw!P104/Raw!$C104</f>
        <v>0</v>
      </c>
      <c r="Q103" s="9">
        <f>Raw!Q104/Raw!$C104</f>
        <v>0</v>
      </c>
      <c r="R103" s="9">
        <f>Raw!R104/Raw!$C104</f>
        <v>0</v>
      </c>
      <c r="S103" s="9">
        <f>Raw!S104/Raw!$C104</f>
        <v>0</v>
      </c>
      <c r="T103" s="9">
        <f>Raw!T104/Raw!$C104</f>
        <v>0</v>
      </c>
      <c r="U103" s="9">
        <f>Raw!U104/Raw!$C104</f>
        <v>0</v>
      </c>
      <c r="V103" s="9">
        <f>Raw!V104/Raw!$C104</f>
        <v>0</v>
      </c>
      <c r="W103" s="9">
        <f>Raw!W104/Raw!$C104</f>
        <v>0</v>
      </c>
      <c r="X103" s="9">
        <f>Raw!X104/Raw!$C104</f>
        <v>0</v>
      </c>
      <c r="Y103" s="9">
        <f>Raw!Y104/Raw!$C104</f>
        <v>0</v>
      </c>
      <c r="Z103" s="9">
        <f>Raw!Z104/Raw!$C104</f>
        <v>0</v>
      </c>
      <c r="AA103" s="9">
        <f>Raw!AA104/Raw!$C104</f>
        <v>0</v>
      </c>
      <c r="AB103" s="9">
        <f>Raw!AB104/Raw!$C104</f>
        <v>0</v>
      </c>
      <c r="AC103" s="9">
        <f>Raw!AC104/Raw!$C104</f>
        <v>0</v>
      </c>
      <c r="AD103" s="9">
        <f>Raw!AD104/Raw!$C104</f>
        <v>0</v>
      </c>
      <c r="AE103" s="9">
        <f>Raw!AE104/Raw!$C104</f>
        <v>0</v>
      </c>
      <c r="AF103" s="9">
        <f>Raw!AF104/Raw!$C104</f>
        <v>0</v>
      </c>
      <c r="AG103" s="9">
        <f>Raw!AG104/Raw!$C104</f>
        <v>0</v>
      </c>
      <c r="AH103" s="9">
        <f>Raw!AH104/Raw!$C104</f>
        <v>0</v>
      </c>
      <c r="AI103" s="9">
        <f>Raw!AI104/Raw!$C104</f>
        <v>0</v>
      </c>
      <c r="AJ103" s="9">
        <f>Raw!AJ104/Raw!$C104</f>
        <v>0</v>
      </c>
      <c r="AK103" s="9">
        <f>Raw!AK104/Raw!$C104</f>
        <v>0</v>
      </c>
      <c r="AL103" s="9">
        <f>Raw!AL104/Raw!$C104</f>
        <v>68</v>
      </c>
      <c r="AM103" s="9">
        <f>Raw!AM104/Raw!$C104</f>
        <v>35.480000000000004</v>
      </c>
      <c r="AN103" s="9">
        <f>Raw!AN104/Raw!$C104</f>
        <v>0</v>
      </c>
      <c r="AO103" s="9">
        <f>Raw!AO104/Raw!$C104</f>
        <v>0</v>
      </c>
      <c r="AP103" s="9">
        <f>Raw!AP104/Raw!$C104</f>
        <v>0</v>
      </c>
      <c r="AQ103" s="9">
        <f>Raw!AQ104/Raw!$C104</f>
        <v>0</v>
      </c>
      <c r="AR103" s="9">
        <f>Raw!AR104/Raw!$C104</f>
        <v>0</v>
      </c>
      <c r="AS103" s="9">
        <f>Raw!AS104/Raw!$C104</f>
        <v>0</v>
      </c>
      <c r="AT103" s="9">
        <f>Raw!AT104/Raw!$C104</f>
        <v>0</v>
      </c>
      <c r="AU103" s="9">
        <f>Raw!AU104/Raw!$C104</f>
        <v>0</v>
      </c>
      <c r="AV103" s="9">
        <f>Raw!AV104/Raw!$C104</f>
        <v>0</v>
      </c>
      <c r="AW103" s="9">
        <f>Raw!AW104/Raw!$C104</f>
        <v>0</v>
      </c>
      <c r="AX103" s="9">
        <f>Raw!AX104/Raw!$C104</f>
        <v>0</v>
      </c>
      <c r="AY103" s="9">
        <f>Raw!AY104/Raw!$C104</f>
        <v>0</v>
      </c>
      <c r="AZ103" s="9">
        <f>Raw!AZ104/Raw!$C104</f>
        <v>0</v>
      </c>
      <c r="BA103" s="9">
        <f>Raw!BA104/Raw!$C104</f>
        <v>0</v>
      </c>
      <c r="BB103" s="9">
        <f>Raw!BB104/Raw!$C104</f>
        <v>0</v>
      </c>
      <c r="BC103" s="9">
        <f>Raw!BC104/Raw!$C104</f>
        <v>0</v>
      </c>
      <c r="BD103" s="9">
        <f>Raw!BD104/Raw!$C104</f>
        <v>0</v>
      </c>
      <c r="BE103" s="9">
        <f>Raw!BE104/Raw!$C104</f>
        <v>0</v>
      </c>
      <c r="BF103" s="9">
        <f>Raw!BF104/Raw!$C104</f>
        <v>0</v>
      </c>
      <c r="BG103" s="9">
        <f>Raw!BG104/Raw!$C104</f>
        <v>0</v>
      </c>
      <c r="BH103" s="9">
        <f>Raw!BH104/Raw!$C104</f>
        <v>0</v>
      </c>
      <c r="BI103" s="9">
        <f>Raw!BI104/Raw!$C104</f>
        <v>0</v>
      </c>
      <c r="BJ103" s="9">
        <f>Raw!BJ104/Raw!$C104</f>
        <v>0</v>
      </c>
      <c r="BK103" s="9">
        <f>Raw!BK104/Raw!$C104</f>
        <v>0</v>
      </c>
      <c r="BL103" s="9">
        <f>Raw!BL104/Raw!$C104</f>
        <v>0</v>
      </c>
      <c r="BM103" s="9">
        <f>Raw!BM104/Raw!$C104</f>
        <v>0</v>
      </c>
      <c r="BN103" s="9">
        <f>Raw!BN104/Raw!$C104</f>
        <v>0</v>
      </c>
      <c r="BO103" s="9">
        <f>Raw!BO104/Raw!$C104</f>
        <v>0</v>
      </c>
      <c r="BP103" s="9">
        <f>Raw!BP104/Raw!$C104</f>
        <v>4</v>
      </c>
      <c r="BQ103" s="9">
        <f>Raw!BQ104/Raw!$C104</f>
        <v>0.4399999999999995</v>
      </c>
      <c r="BR103" s="9">
        <f>Raw!BR104/Raw!$C104</f>
        <v>0</v>
      </c>
      <c r="BS103" s="9">
        <f>Raw!BS104/Raw!$C104</f>
        <v>0</v>
      </c>
      <c r="BT103" s="9">
        <f>Raw!BT104/Raw!$C104</f>
        <v>0</v>
      </c>
      <c r="BU103" s="9">
        <f>Raw!BU104/Raw!$C104</f>
        <v>0</v>
      </c>
      <c r="BV103" s="9">
        <f>Raw!BV104/Raw!$C104</f>
        <v>0</v>
      </c>
      <c r="BW103" s="9">
        <f>Raw!BW104/Raw!$C104</f>
        <v>0</v>
      </c>
      <c r="BX103" s="9">
        <f>Raw!BX104/Raw!$C104</f>
        <v>0</v>
      </c>
      <c r="BY103" s="9">
        <f>Raw!BY104/Raw!$C104</f>
        <v>0</v>
      </c>
      <c r="BZ103" s="9">
        <f>Raw!BZ104/Raw!$C104</f>
        <v>0</v>
      </c>
      <c r="CA103" s="9">
        <f>Raw!CA104/Raw!$C104</f>
        <v>0</v>
      </c>
      <c r="CB103" s="9">
        <f>Raw!CB104/Raw!$C104</f>
        <v>0</v>
      </c>
      <c r="CC103" s="9">
        <f>Raw!CC104/Raw!$C104</f>
        <v>0</v>
      </c>
      <c r="CD103" s="9">
        <f>Raw!CD104/Raw!$C104</f>
        <v>0</v>
      </c>
      <c r="CE103" s="9">
        <f>Raw!CE104/Raw!$C104</f>
        <v>0</v>
      </c>
      <c r="CF103" s="9">
        <f>Raw!CF104/Raw!$C104</f>
        <v>0</v>
      </c>
      <c r="CG103" s="9">
        <f>Raw!CG104/Raw!$C104</f>
        <v>0</v>
      </c>
      <c r="CH103" s="9">
        <f>Raw!CH104/Raw!$C104</f>
        <v>0</v>
      </c>
      <c r="CI103" s="9">
        <f>Raw!CI104/Raw!$C104</f>
        <v>0</v>
      </c>
      <c r="CJ103" s="9">
        <f>Raw!CJ104/Raw!$C104</f>
        <v>0</v>
      </c>
      <c r="CK103" s="9">
        <f>Raw!CK104/Raw!$C104</f>
        <v>0</v>
      </c>
      <c r="CL103" s="9">
        <f>Raw!CL104/Raw!$C104</f>
        <v>0</v>
      </c>
      <c r="CM103" s="9">
        <f>Raw!CM104/Raw!$C104</f>
        <v>0</v>
      </c>
      <c r="CN103" s="9">
        <f>Raw!CN104/Raw!$C104</f>
        <v>0</v>
      </c>
      <c r="CO103" s="9">
        <f>Raw!CO104/Raw!$C104</f>
        <v>0</v>
      </c>
      <c r="CP103" s="9">
        <f>Raw!CP104/Raw!$C104</f>
        <v>0</v>
      </c>
      <c r="CQ103" s="9">
        <f>Raw!CQ104/Raw!$C104</f>
        <v>0</v>
      </c>
      <c r="CR103" s="2">
        <f t="shared" si="39"/>
        <v>708</v>
      </c>
      <c r="CS103" s="2">
        <f t="shared" si="40"/>
        <v>259.31999999999994</v>
      </c>
      <c r="CT103" s="3">
        <f t="shared" ref="CT103" si="78">LOG10(CR103)</f>
        <v>2.8500332576897689</v>
      </c>
      <c r="CU103" s="3">
        <f t="shared" si="68"/>
        <v>2.413836012930866</v>
      </c>
      <c r="CZ103" s="3">
        <f t="shared" ref="CZ103" si="79">LOG10(CR103+CV103)</f>
        <v>2.8500332576897689</v>
      </c>
      <c r="DA103" s="3">
        <f t="shared" ref="DA103" si="80">LOG10(CS103+CW103)</f>
        <v>2.413836012930866</v>
      </c>
      <c r="DB103" s="6">
        <f t="shared" ref="DB103" si="81">0.590307*(4.87-0.33*CT103-CU103)</f>
        <v>0.89470058257328489</v>
      </c>
      <c r="DC103">
        <v>5</v>
      </c>
      <c r="DD103" s="3">
        <f>DC103/Raw!C104</f>
        <v>20</v>
      </c>
      <c r="DE103" s="5">
        <f t="shared" ref="DE103" si="82">DC103/CR103</f>
        <v>7.0621468926553672E-3</v>
      </c>
      <c r="DF103">
        <f t="shared" ref="DF103" si="83">LOG(DE103)</f>
        <v>-2.1510632533537501</v>
      </c>
      <c r="DH103" s="4">
        <f>-SUM('Shannon-Weiner'!B102:Z102)</f>
        <v>0.63576379062338062</v>
      </c>
      <c r="DI103" s="4">
        <f>SUM('p^2'!B102:Z102)</f>
        <v>0.66915637268984007</v>
      </c>
      <c r="DJ103" s="4">
        <f t="shared" ref="DJ103" si="84">1-DI103</f>
        <v>0.33084362731015993</v>
      </c>
      <c r="DK103">
        <f t="shared" ref="DK103" si="85">1/DI103</f>
        <v>1.494419004006869</v>
      </c>
      <c r="DL103" s="4">
        <f>SUM('Shannon-Weiner_B'!B102:Z102)</f>
        <v>-0.91052800891304853</v>
      </c>
      <c r="DM103" s="4">
        <f>SUM('p_B^2'!B102:Z102)</f>
        <v>0.47160688347594931</v>
      </c>
      <c r="DN103" s="4">
        <f t="shared" ref="DN103" si="86">1-DM103</f>
        <v>0.52839311652405074</v>
      </c>
      <c r="DO103">
        <f t="shared" ref="DO103" si="87">1/DM103</f>
        <v>2.1204101022223467</v>
      </c>
    </row>
    <row r="104" spans="2:119" x14ac:dyDescent="0.25">
      <c r="B104" t="str">
        <f>Raw!B105</f>
        <v>NA3</v>
      </c>
      <c r="C104">
        <v>1</v>
      </c>
      <c r="D104" s="9">
        <f>Raw!D105/Raw!$C105</f>
        <v>636</v>
      </c>
      <c r="E104" s="9">
        <f>Raw!E105/Raw!$C105</f>
        <v>166.92</v>
      </c>
      <c r="F104" s="9">
        <f>Raw!F105/Raw!$C105</f>
        <v>0</v>
      </c>
      <c r="G104" s="9">
        <f>Raw!G105/Raw!$C105</f>
        <v>0</v>
      </c>
      <c r="H104" s="9">
        <f>Raw!H105/Raw!$C105</f>
        <v>4</v>
      </c>
      <c r="I104" s="9">
        <f>Raw!I105/Raw!$C105</f>
        <v>1.8000000000000007</v>
      </c>
      <c r="J104" s="9">
        <f>Raw!J105/Raw!$C105</f>
        <v>0</v>
      </c>
      <c r="K104" s="9">
        <f>Raw!K105/Raw!$C105</f>
        <v>0</v>
      </c>
      <c r="L104" s="9">
        <f>Raw!L105/Raw!$C105</f>
        <v>0</v>
      </c>
      <c r="M104" s="9">
        <f>Raw!M105/Raw!$C105</f>
        <v>0</v>
      </c>
      <c r="N104" s="9">
        <f>Raw!N105/Raw!$C105</f>
        <v>0</v>
      </c>
      <c r="O104" s="9">
        <f>Raw!O105/Raw!$C105</f>
        <v>0</v>
      </c>
      <c r="P104" s="9">
        <f>Raw!P105/Raw!$C105</f>
        <v>0</v>
      </c>
      <c r="Q104" s="9">
        <f>Raw!Q105/Raw!$C105</f>
        <v>0</v>
      </c>
      <c r="R104" s="9">
        <f>Raw!R105/Raw!$C105</f>
        <v>0</v>
      </c>
      <c r="S104" s="9">
        <f>Raw!S105/Raw!$C105</f>
        <v>0</v>
      </c>
      <c r="T104" s="9">
        <f>Raw!T105/Raw!$C105</f>
        <v>0</v>
      </c>
      <c r="U104" s="9">
        <f>Raw!U105/Raw!$C105</f>
        <v>0</v>
      </c>
      <c r="V104" s="9">
        <f>Raw!V105/Raw!$C105</f>
        <v>0</v>
      </c>
      <c r="W104" s="9">
        <f>Raw!W105/Raw!$C105</f>
        <v>0</v>
      </c>
      <c r="X104" s="9">
        <f>Raw!X105/Raw!$C105</f>
        <v>0</v>
      </c>
      <c r="Y104" s="9">
        <f>Raw!Y105/Raw!$C105</f>
        <v>0</v>
      </c>
      <c r="Z104" s="9">
        <f>Raw!Z105/Raw!$C105</f>
        <v>8</v>
      </c>
      <c r="AA104" s="9">
        <f>Raw!AA105/Raw!$C105</f>
        <v>0.5600000000000005</v>
      </c>
      <c r="AB104" s="9">
        <f>Raw!AB105/Raw!$C105</f>
        <v>0</v>
      </c>
      <c r="AC104" s="9">
        <f>Raw!AC105/Raw!$C105</f>
        <v>0</v>
      </c>
      <c r="AD104" s="9">
        <f>Raw!AD105/Raw!$C105</f>
        <v>0</v>
      </c>
      <c r="AE104" s="9">
        <f>Raw!AE105/Raw!$C105</f>
        <v>0</v>
      </c>
      <c r="AF104" s="9">
        <f>Raw!AF105/Raw!$C105</f>
        <v>0</v>
      </c>
      <c r="AG104" s="9">
        <f>Raw!AG105/Raw!$C105</f>
        <v>0</v>
      </c>
      <c r="AH104" s="9">
        <f>Raw!AH105/Raw!$C105</f>
        <v>4</v>
      </c>
      <c r="AI104" s="9">
        <f>Raw!AI105/Raw!$C105</f>
        <v>0.39999999999999858</v>
      </c>
      <c r="AJ104" s="9">
        <f>Raw!AJ105/Raw!$C105</f>
        <v>0</v>
      </c>
      <c r="AK104" s="9">
        <f>Raw!AK105/Raw!$C105</f>
        <v>0</v>
      </c>
      <c r="AL104" s="9">
        <f>Raw!AL105/Raw!$C105</f>
        <v>24</v>
      </c>
      <c r="AM104" s="9">
        <f>Raw!AM105/Raw!$C105</f>
        <v>27.519999999999996</v>
      </c>
      <c r="AN104" s="9">
        <f>Raw!AN105/Raw!$C105</f>
        <v>0</v>
      </c>
      <c r="AO104" s="9">
        <f>Raw!AO105/Raw!$C105</f>
        <v>0</v>
      </c>
      <c r="AP104" s="9">
        <f>Raw!AP105/Raw!$C105</f>
        <v>0</v>
      </c>
      <c r="AQ104" s="9">
        <f>Raw!AQ105/Raw!$C105</f>
        <v>0</v>
      </c>
      <c r="AR104" s="9">
        <f>Raw!AR105/Raw!$C105</f>
        <v>0</v>
      </c>
      <c r="AS104" s="9">
        <f>Raw!AS105/Raw!$C105</f>
        <v>0</v>
      </c>
      <c r="AT104" s="9">
        <f>Raw!AT105/Raw!$C105</f>
        <v>0</v>
      </c>
      <c r="AU104" s="9">
        <f>Raw!AU105/Raw!$C105</f>
        <v>0</v>
      </c>
      <c r="AV104" s="9">
        <f>Raw!AV105/Raw!$C105</f>
        <v>0</v>
      </c>
      <c r="AW104" s="9">
        <f>Raw!AW105/Raw!$C105</f>
        <v>0</v>
      </c>
      <c r="AX104" s="9">
        <f>Raw!AX105/Raw!$C105</f>
        <v>0</v>
      </c>
      <c r="AY104" s="9">
        <f>Raw!AY105/Raw!$C105</f>
        <v>0</v>
      </c>
      <c r="AZ104" s="9">
        <f>Raw!AZ105/Raw!$C105</f>
        <v>0</v>
      </c>
      <c r="BA104" s="9">
        <f>Raw!BA105/Raw!$C105</f>
        <v>0</v>
      </c>
      <c r="BB104" s="9">
        <f>Raw!BB105/Raw!$C105</f>
        <v>0</v>
      </c>
      <c r="BC104" s="9">
        <f>Raw!BC105/Raw!$C105</f>
        <v>0</v>
      </c>
      <c r="BD104" s="9">
        <f>Raw!BD105/Raw!$C105</f>
        <v>0</v>
      </c>
      <c r="BE104" s="9">
        <f>Raw!BE105/Raw!$C105</f>
        <v>0</v>
      </c>
      <c r="BF104" s="9">
        <f>Raw!BF105/Raw!$C105</f>
        <v>0</v>
      </c>
      <c r="BG104" s="9">
        <f>Raw!BG105/Raw!$C105</f>
        <v>0</v>
      </c>
      <c r="BH104" s="9">
        <f>Raw!BH105/Raw!$C105</f>
        <v>0</v>
      </c>
      <c r="BI104" s="9">
        <f>Raw!BI105/Raw!$C105</f>
        <v>0</v>
      </c>
      <c r="BJ104" s="9">
        <f>Raw!BJ105/Raw!$C105</f>
        <v>0</v>
      </c>
      <c r="BK104" s="9">
        <f>Raw!BK105/Raw!$C105</f>
        <v>0</v>
      </c>
      <c r="BL104" s="9">
        <f>Raw!BL105/Raw!$C105</f>
        <v>0</v>
      </c>
      <c r="BM104" s="9">
        <f>Raw!BM105/Raw!$C105</f>
        <v>0</v>
      </c>
      <c r="BN104" s="9">
        <f>Raw!BN105/Raw!$C105</f>
        <v>0</v>
      </c>
      <c r="BO104" s="9">
        <f>Raw!BO105/Raw!$C105</f>
        <v>0</v>
      </c>
      <c r="BP104" s="9">
        <f>Raw!BP105/Raw!$C105</f>
        <v>4</v>
      </c>
      <c r="BQ104" s="9">
        <f>Raw!BQ105/Raw!$C105</f>
        <v>0.02</v>
      </c>
      <c r="BR104" s="9">
        <f>Raw!BR105/Raw!$C105</f>
        <v>8</v>
      </c>
      <c r="BS104" s="9">
        <f>Raw!BS105/Raw!$C105</f>
        <v>4.32</v>
      </c>
      <c r="BT104" s="9">
        <f>Raw!BT105/Raw!$C105</f>
        <v>4</v>
      </c>
      <c r="BU104" s="9">
        <f>Raw!BU105/Raw!$C105</f>
        <v>3.04</v>
      </c>
      <c r="BV104" s="9">
        <f>Raw!BV105/Raw!$C105</f>
        <v>0</v>
      </c>
      <c r="BW104" s="9">
        <f>Raw!BW105/Raw!$C105</f>
        <v>0</v>
      </c>
      <c r="BX104" s="9">
        <f>Raw!BX105/Raw!$C105</f>
        <v>4</v>
      </c>
      <c r="BY104" s="9">
        <f>Raw!BY105/Raw!$C105</f>
        <v>15.08</v>
      </c>
      <c r="BZ104" s="9">
        <f>Raw!BZ105/Raw!$C105</f>
        <v>0</v>
      </c>
      <c r="CA104" s="9">
        <f>Raw!CA105/Raw!$C105</f>
        <v>0</v>
      </c>
      <c r="CB104" s="9">
        <f>Raw!CB105/Raw!$C105</f>
        <v>0</v>
      </c>
      <c r="CC104" s="9">
        <f>Raw!CC105/Raw!$C105</f>
        <v>0</v>
      </c>
      <c r="CD104" s="9">
        <f>Raw!CD105/Raw!$C105</f>
        <v>0</v>
      </c>
      <c r="CE104" s="9">
        <f>Raw!CE105/Raw!$C105</f>
        <v>0</v>
      </c>
      <c r="CF104" s="9">
        <f>Raw!CF105/Raw!$C105</f>
        <v>0</v>
      </c>
      <c r="CG104" s="9">
        <f>Raw!CG105/Raw!$C105</f>
        <v>0</v>
      </c>
      <c r="CH104" s="9">
        <f>Raw!CH105/Raw!$C105</f>
        <v>0</v>
      </c>
      <c r="CI104" s="9">
        <f>Raw!CI105/Raw!$C105</f>
        <v>0</v>
      </c>
      <c r="CJ104" s="9">
        <f>Raw!CJ105/Raw!$C105</f>
        <v>0</v>
      </c>
      <c r="CK104" s="9">
        <f>Raw!CK105/Raw!$C105</f>
        <v>0</v>
      </c>
      <c r="CL104" s="9">
        <f>Raw!CL105/Raw!$C105</f>
        <v>0</v>
      </c>
      <c r="CM104" s="9">
        <f>Raw!CM105/Raw!$C105</f>
        <v>0</v>
      </c>
      <c r="CN104" s="9">
        <f>Raw!CN105/Raw!$C105</f>
        <v>0</v>
      </c>
      <c r="CO104" s="9">
        <f>Raw!CO105/Raw!$C105</f>
        <v>0</v>
      </c>
      <c r="CP104" s="9">
        <f>Raw!CP105/Raw!$C105</f>
        <v>0</v>
      </c>
      <c r="CQ104" s="9">
        <f>Raw!CQ105/Raw!$C105</f>
        <v>0</v>
      </c>
      <c r="CR104" s="2">
        <f t="shared" si="39"/>
        <v>696</v>
      </c>
      <c r="CS104" s="2">
        <f t="shared" si="40"/>
        <v>219.66</v>
      </c>
      <c r="CT104" s="3">
        <f t="shared" ref="CT104:CT112" si="88">LOG10(CR104)</f>
        <v>2.842609239610562</v>
      </c>
      <c r="CU104" s="3">
        <f t="shared" ref="CU104:CU112" si="89">LOG10(CS104)</f>
        <v>2.3417509792651745</v>
      </c>
      <c r="CZ104" s="3">
        <f t="shared" ref="CZ104:CZ112" si="90">LOG10(CR104+CV104)</f>
        <v>2.842609239610562</v>
      </c>
      <c r="DA104" s="3">
        <f t="shared" ref="DA104:DA112" si="91">LOG10(CS104+CW104)</f>
        <v>2.3417509792651745</v>
      </c>
      <c r="DB104" s="6">
        <f t="shared" ref="DB104:DB112" si="92">0.590307*(4.87-0.33*CT104-CU104)</f>
        <v>0.93869909098867144</v>
      </c>
      <c r="DC104">
        <v>9</v>
      </c>
      <c r="DD104" s="3">
        <f>DC104/Raw!C105</f>
        <v>36</v>
      </c>
      <c r="DE104" s="5">
        <f t="shared" ref="DE104:DE112" si="93">DC104/CR104</f>
        <v>1.2931034482758621E-2</v>
      </c>
      <c r="DF104">
        <f t="shared" ref="DF104:DF112" si="94">LOG(DE104)</f>
        <v>-1.8883667301712372</v>
      </c>
      <c r="DH104" s="4">
        <f>-SUM('Shannon-Weiner'!B103:Z103)</f>
        <v>0.30912486343534695</v>
      </c>
      <c r="DI104" s="4">
        <f>SUM('p^2'!B103:Z103)</f>
        <v>0.83640507332540637</v>
      </c>
      <c r="DJ104" s="4">
        <f t="shared" ref="DJ104:DJ112" si="95">1-DI104</f>
        <v>0.16359492667459363</v>
      </c>
      <c r="DK104">
        <f t="shared" ref="DK104:DK112" si="96">1/DI104</f>
        <v>1.19559293922521</v>
      </c>
      <c r="DL104" s="4">
        <f>SUM('Shannon-Weiner_B'!B103:Z103)</f>
        <v>-0.53496129911046286</v>
      </c>
      <c r="DM104" s="4">
        <f>SUM('p_B^2'!B103:Z103)</f>
        <v>0.59322372090879794</v>
      </c>
      <c r="DN104" s="4">
        <f t="shared" ref="DN104:DN112" si="97">1-DM104</f>
        <v>0.40677627909120206</v>
      </c>
      <c r="DO104">
        <f t="shared" ref="DO104:DO112" si="98">1/DM104</f>
        <v>1.6857046755784395</v>
      </c>
    </row>
    <row r="105" spans="2:119" x14ac:dyDescent="0.25">
      <c r="B105" t="str">
        <f>Raw!B106</f>
        <v>NA4</v>
      </c>
      <c r="C105">
        <v>1</v>
      </c>
      <c r="D105" s="9">
        <f>Raw!D106/Raw!$C106</f>
        <v>324</v>
      </c>
      <c r="E105" s="9">
        <f>Raw!E106/Raw!$C106</f>
        <v>50.400000000000006</v>
      </c>
      <c r="F105" s="9">
        <f>Raw!F106/Raw!$C106</f>
        <v>0</v>
      </c>
      <c r="G105" s="9">
        <f>Raw!G106/Raw!$C106</f>
        <v>0</v>
      </c>
      <c r="H105" s="9">
        <f>Raw!H106/Raw!$C106</f>
        <v>4</v>
      </c>
      <c r="I105" s="9">
        <f>Raw!I106/Raw!$C106</f>
        <v>0.80000000000000071</v>
      </c>
      <c r="J105" s="9">
        <f>Raw!J106/Raw!$C106</f>
        <v>8</v>
      </c>
      <c r="K105" s="9">
        <f>Raw!K106/Raw!$C106</f>
        <v>0.72000000000000242</v>
      </c>
      <c r="L105" s="9">
        <f>Raw!L106/Raw!$C106</f>
        <v>0</v>
      </c>
      <c r="M105" s="9">
        <f>Raw!M106/Raw!$C106</f>
        <v>0</v>
      </c>
      <c r="N105" s="9">
        <f>Raw!N106/Raw!$C106</f>
        <v>0</v>
      </c>
      <c r="O105" s="9">
        <f>Raw!O106/Raw!$C106</f>
        <v>0</v>
      </c>
      <c r="P105" s="9">
        <f>Raw!P106/Raw!$C106</f>
        <v>8</v>
      </c>
      <c r="Q105" s="9">
        <f>Raw!Q106/Raw!$C106</f>
        <v>0.59999999999999787</v>
      </c>
      <c r="R105" s="9">
        <f>Raw!R106/Raw!$C106</f>
        <v>4</v>
      </c>
      <c r="S105" s="9">
        <f>Raw!S106/Raw!$C106</f>
        <v>4.0000000000000036E-2</v>
      </c>
      <c r="T105" s="9">
        <f>Raw!T106/Raw!$C106</f>
        <v>4</v>
      </c>
      <c r="U105" s="9">
        <f>Raw!U106/Raw!$C106</f>
        <v>4.32</v>
      </c>
      <c r="V105" s="9">
        <f>Raw!V106/Raw!$C106</f>
        <v>8</v>
      </c>
      <c r="W105" s="9">
        <f>Raw!W106/Raw!$C106</f>
        <v>1.2799999999999994</v>
      </c>
      <c r="X105" s="9">
        <f>Raw!X106/Raw!$C106</f>
        <v>0</v>
      </c>
      <c r="Y105" s="9">
        <f>Raw!Y106/Raw!$C106</f>
        <v>0</v>
      </c>
      <c r="Z105" s="9">
        <f>Raw!Z106/Raw!$C106</f>
        <v>52</v>
      </c>
      <c r="AA105" s="9">
        <f>Raw!AA106/Raw!$C106</f>
        <v>16.920000000000002</v>
      </c>
      <c r="AB105" s="9">
        <f>Raw!AB106/Raw!$C106</f>
        <v>12</v>
      </c>
      <c r="AC105" s="9">
        <f>Raw!AC106/Raw!$C106</f>
        <v>0.55999999999999872</v>
      </c>
      <c r="AD105" s="9">
        <f>Raw!AD106/Raw!$C106</f>
        <v>24</v>
      </c>
      <c r="AE105" s="9">
        <f>Raw!AE106/Raw!$C106</f>
        <v>3.16</v>
      </c>
      <c r="AF105" s="9">
        <f>Raw!AF106/Raw!$C106</f>
        <v>0</v>
      </c>
      <c r="AG105" s="9">
        <f>Raw!AG106/Raw!$C106</f>
        <v>0</v>
      </c>
      <c r="AH105" s="9">
        <f>Raw!AH106/Raw!$C106</f>
        <v>0</v>
      </c>
      <c r="AI105" s="9">
        <f>Raw!AI106/Raw!$C106</f>
        <v>0</v>
      </c>
      <c r="AJ105" s="9">
        <f>Raw!AJ106/Raw!$C106</f>
        <v>0</v>
      </c>
      <c r="AK105" s="9">
        <f>Raw!AK106/Raw!$C106</f>
        <v>0</v>
      </c>
      <c r="AL105" s="9">
        <f>Raw!AL106/Raw!$C106</f>
        <v>52</v>
      </c>
      <c r="AM105" s="9">
        <f>Raw!AM106/Raw!$C106</f>
        <v>330.4</v>
      </c>
      <c r="AN105" s="9">
        <f>Raw!AN106/Raw!$C106</f>
        <v>0</v>
      </c>
      <c r="AO105" s="9">
        <f>Raw!AO106/Raw!$C106</f>
        <v>0</v>
      </c>
      <c r="AP105" s="9">
        <f>Raw!AP106/Raw!$C106</f>
        <v>0</v>
      </c>
      <c r="AQ105" s="9">
        <f>Raw!AQ106/Raw!$C106</f>
        <v>0</v>
      </c>
      <c r="AR105" s="9">
        <f>Raw!AR106/Raw!$C106</f>
        <v>0</v>
      </c>
      <c r="AS105" s="9">
        <f>Raw!AS106/Raw!$C106</f>
        <v>0</v>
      </c>
      <c r="AT105" s="9">
        <f>Raw!AT106/Raw!$C106</f>
        <v>0</v>
      </c>
      <c r="AU105" s="9">
        <f>Raw!AU106/Raw!$C106</f>
        <v>0</v>
      </c>
      <c r="AV105" s="9">
        <f>Raw!AV106/Raw!$C106</f>
        <v>0</v>
      </c>
      <c r="AW105" s="9">
        <f>Raw!AW106/Raw!$C106</f>
        <v>0</v>
      </c>
      <c r="AX105" s="9">
        <f>Raw!AX106/Raw!$C106</f>
        <v>0</v>
      </c>
      <c r="AY105" s="9">
        <f>Raw!AY106/Raw!$C106</f>
        <v>0</v>
      </c>
      <c r="AZ105" s="9">
        <f>Raw!AZ106/Raw!$C106</f>
        <v>0</v>
      </c>
      <c r="BA105" s="9">
        <f>Raw!BA106/Raw!$C106</f>
        <v>0</v>
      </c>
      <c r="BB105" s="9">
        <f>Raw!BB106/Raw!$C106</f>
        <v>0</v>
      </c>
      <c r="BC105" s="9">
        <f>Raw!BC106/Raw!$C106</f>
        <v>0</v>
      </c>
      <c r="BD105" s="9">
        <f>Raw!BD106/Raw!$C106</f>
        <v>0</v>
      </c>
      <c r="BE105" s="9">
        <f>Raw!BE106/Raw!$C106</f>
        <v>0</v>
      </c>
      <c r="BF105" s="9">
        <f>Raw!BF106/Raw!$C106</f>
        <v>0</v>
      </c>
      <c r="BG105" s="9">
        <f>Raw!BG106/Raw!$C106</f>
        <v>0</v>
      </c>
      <c r="BH105" s="9">
        <f>Raw!BH106/Raw!$C106</f>
        <v>0</v>
      </c>
      <c r="BI105" s="9">
        <f>Raw!BI106/Raw!$C106</f>
        <v>0</v>
      </c>
      <c r="BJ105" s="9">
        <f>Raw!BJ106/Raw!$C106</f>
        <v>0</v>
      </c>
      <c r="BK105" s="9">
        <f>Raw!BK106/Raw!$C106</f>
        <v>0</v>
      </c>
      <c r="BL105" s="9">
        <f>Raw!BL106/Raw!$C106</f>
        <v>0</v>
      </c>
      <c r="BM105" s="9">
        <f>Raw!BM106/Raw!$C106</f>
        <v>0</v>
      </c>
      <c r="BN105" s="9">
        <f>Raw!BN106/Raw!$C106</f>
        <v>0</v>
      </c>
      <c r="BO105" s="9">
        <f>Raw!BO106/Raw!$C106</f>
        <v>0</v>
      </c>
      <c r="BP105" s="9">
        <f>Raw!BP106/Raw!$C106</f>
        <v>8</v>
      </c>
      <c r="BQ105" s="9">
        <f>Raw!BQ106/Raw!$C106</f>
        <v>12.880000000000003</v>
      </c>
      <c r="BR105" s="9">
        <f>Raw!BR106/Raw!$C106</f>
        <v>20</v>
      </c>
      <c r="BS105" s="9">
        <f>Raw!BS106/Raw!$C106</f>
        <v>7</v>
      </c>
      <c r="BT105" s="9">
        <f>Raw!BT106/Raw!$C106</f>
        <v>48</v>
      </c>
      <c r="BU105" s="9">
        <f>Raw!BU106/Raw!$C106</f>
        <v>33.32</v>
      </c>
      <c r="BV105" s="9">
        <f>Raw!BV106/Raw!$C106</f>
        <v>0</v>
      </c>
      <c r="BW105" s="9">
        <f>Raw!BW106/Raw!$C106</f>
        <v>0</v>
      </c>
      <c r="BX105" s="9">
        <f>Raw!BX106/Raw!$C106</f>
        <v>0</v>
      </c>
      <c r="BY105" s="9">
        <f>Raw!BY106/Raw!$C106</f>
        <v>0</v>
      </c>
      <c r="BZ105" s="9">
        <f>Raw!BZ106/Raw!$C106</f>
        <v>0</v>
      </c>
      <c r="CA105" s="9">
        <f>Raw!CA106/Raw!$C106</f>
        <v>0</v>
      </c>
      <c r="CB105" s="9">
        <f>Raw!CB106/Raw!$C106</f>
        <v>0</v>
      </c>
      <c r="CC105" s="9">
        <f>Raw!CC106/Raw!$C106</f>
        <v>0</v>
      </c>
      <c r="CD105" s="9">
        <f>Raw!CD106/Raw!$C106</f>
        <v>0</v>
      </c>
      <c r="CE105" s="9">
        <f>Raw!CE106/Raw!$C106</f>
        <v>0</v>
      </c>
      <c r="CF105" s="9">
        <f>Raw!CF106/Raw!$C106</f>
        <v>0</v>
      </c>
      <c r="CG105" s="9">
        <f>Raw!CG106/Raw!$C106</f>
        <v>0</v>
      </c>
      <c r="CH105" s="9">
        <f>Raw!CH106/Raw!$C106</f>
        <v>0</v>
      </c>
      <c r="CI105" s="9">
        <f>Raw!CI106/Raw!$C106</f>
        <v>0</v>
      </c>
      <c r="CJ105" s="9">
        <f>Raw!CJ106/Raw!$C106</f>
        <v>0</v>
      </c>
      <c r="CK105" s="9">
        <f>Raw!CK106/Raw!$C106</f>
        <v>0</v>
      </c>
      <c r="CL105" s="9">
        <f>Raw!CL106/Raw!$C106</f>
        <v>0</v>
      </c>
      <c r="CM105" s="9">
        <f>Raw!CM106/Raw!$C106</f>
        <v>0</v>
      </c>
      <c r="CN105" s="9">
        <f>Raw!CN106/Raw!$C106</f>
        <v>0</v>
      </c>
      <c r="CO105" s="9">
        <f>Raw!CO106/Raw!$C106</f>
        <v>0</v>
      </c>
      <c r="CP105" s="9">
        <f>Raw!CP106/Raw!$C106</f>
        <v>0</v>
      </c>
      <c r="CQ105" s="9">
        <f>Raw!CQ106/Raw!$C106</f>
        <v>0</v>
      </c>
      <c r="CR105" s="2">
        <f t="shared" si="39"/>
        <v>576</v>
      </c>
      <c r="CS105" s="2">
        <f t="shared" si="40"/>
        <v>462.4</v>
      </c>
      <c r="CT105" s="3">
        <f t="shared" si="88"/>
        <v>2.7604224834232118</v>
      </c>
      <c r="CU105" s="3">
        <f t="shared" si="89"/>
        <v>2.6650178254124728</v>
      </c>
      <c r="CZ105" s="3">
        <f t="shared" si="90"/>
        <v>2.7604224834232118</v>
      </c>
      <c r="DA105" s="3">
        <f t="shared" si="91"/>
        <v>2.6650178254124728</v>
      </c>
      <c r="DB105" s="6">
        <f t="shared" si="92"/>
        <v>0.76388249660994456</v>
      </c>
      <c r="DC105">
        <v>14</v>
      </c>
      <c r="DD105" s="3">
        <f>DC105/Raw!C106</f>
        <v>56</v>
      </c>
      <c r="DE105" s="5">
        <f t="shared" si="93"/>
        <v>2.4305555555555556E-2</v>
      </c>
      <c r="DF105">
        <f t="shared" si="94"/>
        <v>-1.6142944477449741</v>
      </c>
      <c r="DH105" s="4">
        <f>-SUM('Shannon-Weiner'!B104:Z104)</f>
        <v>1.1587442730707787</v>
      </c>
      <c r="DI105" s="4">
        <f>SUM('p^2'!B104:Z104)</f>
        <v>0.33535879629629622</v>
      </c>
      <c r="DJ105" s="4">
        <f t="shared" si="95"/>
        <v>0.66464120370370372</v>
      </c>
      <c r="DK105">
        <f t="shared" si="96"/>
        <v>2.9818809318377917</v>
      </c>
      <c r="DL105" s="4">
        <f>SUM('Shannon-Weiner_B'!B104:Z104)</f>
        <v>-0.6755109993851881</v>
      </c>
      <c r="DM105" s="4">
        <f>SUM('p_B^2'!B104:Z104)</f>
        <v>0.52383170100932686</v>
      </c>
      <c r="DN105" s="4">
        <f t="shared" si="97"/>
        <v>0.47616829899067314</v>
      </c>
      <c r="DO105">
        <f t="shared" si="98"/>
        <v>1.9090100848673053</v>
      </c>
    </row>
    <row r="106" spans="2:119" x14ac:dyDescent="0.25">
      <c r="B106" t="str">
        <f>Raw!B107</f>
        <v>NA5</v>
      </c>
      <c r="C106">
        <v>1</v>
      </c>
      <c r="D106" s="9">
        <f>Raw!D107/Raw!$C107</f>
        <v>620</v>
      </c>
      <c r="E106" s="9">
        <f>Raw!E107/Raw!$C107</f>
        <v>134.19999999999999</v>
      </c>
      <c r="F106" s="9">
        <f>Raw!F107/Raw!$C107</f>
        <v>0</v>
      </c>
      <c r="G106" s="9">
        <f>Raw!G107/Raw!$C107</f>
        <v>0</v>
      </c>
      <c r="H106" s="9">
        <f>Raw!H107/Raw!$C107</f>
        <v>12</v>
      </c>
      <c r="I106" s="9">
        <f>Raw!I107/Raw!$C107</f>
        <v>2.7199999999999989</v>
      </c>
      <c r="J106" s="9">
        <f>Raw!J107/Raw!$C107</f>
        <v>8</v>
      </c>
      <c r="K106" s="9">
        <f>Raw!K107/Raw!$C107</f>
        <v>0.12000000000000011</v>
      </c>
      <c r="L106" s="9">
        <f>Raw!L107/Raw!$C107</f>
        <v>0</v>
      </c>
      <c r="M106" s="9">
        <f>Raw!M107/Raw!$C107</f>
        <v>0</v>
      </c>
      <c r="N106" s="9">
        <f>Raw!N107/Raw!$C107</f>
        <v>0</v>
      </c>
      <c r="O106" s="9">
        <f>Raw!O107/Raw!$C107</f>
        <v>0</v>
      </c>
      <c r="P106" s="9">
        <f>Raw!P107/Raw!$C107</f>
        <v>12</v>
      </c>
      <c r="Q106" s="9">
        <f>Raw!Q107/Raw!$C107</f>
        <v>1.2000000000000028</v>
      </c>
      <c r="R106" s="9">
        <f>Raw!R107/Raw!$C107</f>
        <v>20</v>
      </c>
      <c r="S106" s="9">
        <f>Raw!S107/Raw!$C107</f>
        <v>0.16000000000000014</v>
      </c>
      <c r="T106" s="9">
        <f>Raw!T107/Raw!$C107</f>
        <v>0</v>
      </c>
      <c r="U106" s="9">
        <f>Raw!U107/Raw!$C107</f>
        <v>0</v>
      </c>
      <c r="V106" s="9">
        <f>Raw!V107/Raw!$C107</f>
        <v>8</v>
      </c>
      <c r="W106" s="9">
        <f>Raw!W107/Raw!$C107</f>
        <v>1.2399999999999984</v>
      </c>
      <c r="X106" s="9">
        <f>Raw!X107/Raw!$C107</f>
        <v>0</v>
      </c>
      <c r="Y106" s="9">
        <f>Raw!Y107/Raw!$C107</f>
        <v>0</v>
      </c>
      <c r="Z106" s="9">
        <f>Raw!Z107/Raw!$C107</f>
        <v>80</v>
      </c>
      <c r="AA106" s="9">
        <f>Raw!AA107/Raw!$C107</f>
        <v>4.0399999999999991</v>
      </c>
      <c r="AB106" s="9">
        <f>Raw!AB107/Raw!$C107</f>
        <v>0</v>
      </c>
      <c r="AC106" s="9">
        <f>Raw!AC107/Raw!$C107</f>
        <v>0</v>
      </c>
      <c r="AD106" s="9">
        <f>Raw!AD107/Raw!$C107</f>
        <v>0</v>
      </c>
      <c r="AE106" s="9">
        <f>Raw!AE107/Raw!$C107</f>
        <v>0</v>
      </c>
      <c r="AF106" s="9">
        <f>Raw!AF107/Raw!$C107</f>
        <v>0</v>
      </c>
      <c r="AG106" s="9">
        <f>Raw!AG107/Raw!$C107</f>
        <v>0</v>
      </c>
      <c r="AH106" s="9">
        <f>Raw!AH107/Raw!$C107</f>
        <v>16</v>
      </c>
      <c r="AI106" s="9">
        <f>Raw!AI107/Raw!$C107</f>
        <v>0.80000000000000071</v>
      </c>
      <c r="AJ106" s="9">
        <f>Raw!AJ107/Raw!$C107</f>
        <v>0</v>
      </c>
      <c r="AK106" s="9">
        <f>Raw!AK107/Raw!$C107</f>
        <v>0</v>
      </c>
      <c r="AL106" s="9">
        <f>Raw!AL107/Raw!$C107</f>
        <v>116</v>
      </c>
      <c r="AM106" s="9">
        <f>Raw!AM107/Raw!$C107</f>
        <v>52.599999999999994</v>
      </c>
      <c r="AN106" s="9">
        <f>Raw!AN107/Raw!$C107</f>
        <v>0</v>
      </c>
      <c r="AO106" s="9">
        <f>Raw!AO107/Raw!$C107</f>
        <v>0</v>
      </c>
      <c r="AP106" s="9">
        <f>Raw!AP107/Raw!$C107</f>
        <v>0</v>
      </c>
      <c r="AQ106" s="9">
        <f>Raw!AQ107/Raw!$C107</f>
        <v>0</v>
      </c>
      <c r="AR106" s="9">
        <f>Raw!AR107/Raw!$C107</f>
        <v>0</v>
      </c>
      <c r="AS106" s="9">
        <f>Raw!AS107/Raw!$C107</f>
        <v>0</v>
      </c>
      <c r="AT106" s="9">
        <f>Raw!AT107/Raw!$C107</f>
        <v>0</v>
      </c>
      <c r="AU106" s="9">
        <f>Raw!AU107/Raw!$C107</f>
        <v>0</v>
      </c>
      <c r="AV106" s="9">
        <f>Raw!AV107/Raw!$C107</f>
        <v>0</v>
      </c>
      <c r="AW106" s="9">
        <f>Raw!AW107/Raw!$C107</f>
        <v>0</v>
      </c>
      <c r="AX106" s="9">
        <f>Raw!AX107/Raw!$C107</f>
        <v>0</v>
      </c>
      <c r="AY106" s="9">
        <f>Raw!AY107/Raw!$C107</f>
        <v>0</v>
      </c>
      <c r="AZ106" s="9">
        <f>Raw!AZ107/Raw!$C107</f>
        <v>0</v>
      </c>
      <c r="BA106" s="9">
        <f>Raw!BA107/Raw!$C107</f>
        <v>0</v>
      </c>
      <c r="BB106" s="9">
        <f>Raw!BB107/Raw!$C107</f>
        <v>0</v>
      </c>
      <c r="BC106" s="9">
        <f>Raw!BC107/Raw!$C107</f>
        <v>0</v>
      </c>
      <c r="BD106" s="9">
        <f>Raw!BD107/Raw!$C107</f>
        <v>0</v>
      </c>
      <c r="BE106" s="9">
        <f>Raw!BE107/Raw!$C107</f>
        <v>0</v>
      </c>
      <c r="BF106" s="9">
        <f>Raw!BF107/Raw!$C107</f>
        <v>0</v>
      </c>
      <c r="BG106" s="9">
        <f>Raw!BG107/Raw!$C107</f>
        <v>0</v>
      </c>
      <c r="BH106" s="9">
        <f>Raw!BH107/Raw!$C107</f>
        <v>0</v>
      </c>
      <c r="BI106" s="9">
        <f>Raw!BI107/Raw!$C107</f>
        <v>0</v>
      </c>
      <c r="BJ106" s="9">
        <f>Raw!BJ107/Raw!$C107</f>
        <v>0</v>
      </c>
      <c r="BK106" s="9">
        <f>Raw!BK107/Raw!$C107</f>
        <v>0</v>
      </c>
      <c r="BL106" s="9">
        <f>Raw!BL107/Raw!$C107</f>
        <v>0</v>
      </c>
      <c r="BM106" s="9">
        <f>Raw!BM107/Raw!$C107</f>
        <v>0</v>
      </c>
      <c r="BN106" s="9">
        <f>Raw!BN107/Raw!$C107</f>
        <v>0</v>
      </c>
      <c r="BO106" s="9">
        <f>Raw!BO107/Raw!$C107</f>
        <v>0</v>
      </c>
      <c r="BP106" s="9">
        <f>Raw!BP107/Raw!$C107</f>
        <v>4</v>
      </c>
      <c r="BQ106" s="9">
        <f>Raw!BQ107/Raw!$C107</f>
        <v>8.0000000000001847E-2</v>
      </c>
      <c r="BR106" s="9">
        <f>Raw!BR107/Raw!$C107</f>
        <v>0</v>
      </c>
      <c r="BS106" s="9">
        <f>Raw!BS107/Raw!$C107</f>
        <v>0</v>
      </c>
      <c r="BT106" s="9">
        <f>Raw!BT107/Raw!$C107</f>
        <v>0</v>
      </c>
      <c r="BU106" s="9">
        <f>Raw!BU107/Raw!$C107</f>
        <v>0</v>
      </c>
      <c r="BV106" s="9">
        <f>Raw!BV107/Raw!$C107</f>
        <v>4</v>
      </c>
      <c r="BW106" s="9">
        <f>Raw!BW107/Raw!$C107</f>
        <v>4.0000000000000036E-2</v>
      </c>
      <c r="BX106" s="9">
        <f>Raw!BX107/Raw!$C107</f>
        <v>0</v>
      </c>
      <c r="BY106" s="9">
        <f>Raw!BY107/Raw!$C107</f>
        <v>0</v>
      </c>
      <c r="BZ106" s="9">
        <f>Raw!BZ107/Raw!$C107</f>
        <v>0</v>
      </c>
      <c r="CA106" s="9">
        <f>Raw!CA107/Raw!$C107</f>
        <v>0</v>
      </c>
      <c r="CB106" s="9">
        <f>Raw!CB107/Raw!$C107</f>
        <v>0</v>
      </c>
      <c r="CC106" s="9">
        <f>Raw!CC107/Raw!$C107</f>
        <v>0</v>
      </c>
      <c r="CD106" s="9">
        <f>Raw!CD107/Raw!$C107</f>
        <v>0</v>
      </c>
      <c r="CE106" s="9">
        <f>Raw!CE107/Raw!$C107</f>
        <v>0</v>
      </c>
      <c r="CF106" s="9">
        <f>Raw!CF107/Raw!$C107</f>
        <v>0</v>
      </c>
      <c r="CG106" s="9">
        <f>Raw!CG107/Raw!$C107</f>
        <v>0</v>
      </c>
      <c r="CH106" s="9">
        <f>Raw!CH107/Raw!$C107</f>
        <v>0</v>
      </c>
      <c r="CI106" s="9">
        <f>Raw!CI107/Raw!$C107</f>
        <v>0</v>
      </c>
      <c r="CJ106" s="9">
        <f>Raw!CJ107/Raw!$C107</f>
        <v>0</v>
      </c>
      <c r="CK106" s="9">
        <f>Raw!CK107/Raw!$C107</f>
        <v>0</v>
      </c>
      <c r="CL106" s="9">
        <f>Raw!CL107/Raw!$C107</f>
        <v>0</v>
      </c>
      <c r="CM106" s="9">
        <f>Raw!CM107/Raw!$C107</f>
        <v>0</v>
      </c>
      <c r="CN106" s="9">
        <f>Raw!CN107/Raw!$C107</f>
        <v>0</v>
      </c>
      <c r="CO106" s="9">
        <f>Raw!CO107/Raw!$C107</f>
        <v>0</v>
      </c>
      <c r="CP106" s="9">
        <f>Raw!CP107/Raw!$C107</f>
        <v>0</v>
      </c>
      <c r="CQ106" s="9">
        <f>Raw!CQ107/Raw!$C107</f>
        <v>0</v>
      </c>
      <c r="CR106" s="2">
        <f t="shared" si="39"/>
        <v>900</v>
      </c>
      <c r="CS106" s="2">
        <f t="shared" si="40"/>
        <v>197.20000000000002</v>
      </c>
      <c r="CT106" s="3">
        <f t="shared" si="88"/>
        <v>2.9542425094393248</v>
      </c>
      <c r="CU106" s="3">
        <f t="shared" si="89"/>
        <v>2.2949069106051923</v>
      </c>
      <c r="CZ106" s="3">
        <f t="shared" si="90"/>
        <v>2.9542425094393248</v>
      </c>
      <c r="DA106" s="3">
        <f t="shared" si="91"/>
        <v>2.2949069106051923</v>
      </c>
      <c r="DB106" s="6">
        <f t="shared" si="92"/>
        <v>0.94460516542491291</v>
      </c>
      <c r="DC106">
        <v>11</v>
      </c>
      <c r="DD106" s="3">
        <f>DC106/Raw!C107</f>
        <v>44</v>
      </c>
      <c r="DE106" s="5">
        <f t="shared" si="93"/>
        <v>1.2222222222222223E-2</v>
      </c>
      <c r="DF106">
        <f t="shared" si="94"/>
        <v>-1.9128498242810998</v>
      </c>
      <c r="DH106" s="4">
        <f>-SUM('Shannon-Weiner'!B105:Z105)</f>
        <v>1.0492921605521222</v>
      </c>
      <c r="DI106" s="4">
        <f>SUM('p^2'!B105:Z105)</f>
        <v>0.50032592592592595</v>
      </c>
      <c r="DJ106" s="4">
        <f t="shared" si="95"/>
        <v>0.49967407407407405</v>
      </c>
      <c r="DK106">
        <f t="shared" si="96"/>
        <v>1.9986971455643727</v>
      </c>
      <c r="DL106" s="4">
        <f>SUM('Shannon-Weiner_B'!B105:Z105)</f>
        <v>-0.81682072943336448</v>
      </c>
      <c r="DM106" s="4">
        <f>SUM('p_B^2'!B105:Z105)</f>
        <v>0.53492917066105994</v>
      </c>
      <c r="DN106" s="4">
        <f t="shared" si="97"/>
        <v>0.46507082933894006</v>
      </c>
      <c r="DO106">
        <f t="shared" si="98"/>
        <v>1.8694063716215183</v>
      </c>
    </row>
    <row r="107" spans="2:119" x14ac:dyDescent="0.25">
      <c r="B107" t="str">
        <f>Raw!B108</f>
        <v>NA6</v>
      </c>
      <c r="C107">
        <v>1</v>
      </c>
      <c r="D107" s="9">
        <f>Raw!D108/Raw!$C108</f>
        <v>5</v>
      </c>
      <c r="E107" s="9">
        <f>Raw!E108/Raw!$C108</f>
        <v>0.37500000000000033</v>
      </c>
      <c r="F107" s="9">
        <f>Raw!F108/Raw!$C108</f>
        <v>42.5</v>
      </c>
      <c r="G107" s="9">
        <f>Raw!G108/Raw!$C108</f>
        <v>19.924999999999997</v>
      </c>
      <c r="H107" s="9">
        <f>Raw!H108/Raw!$C108</f>
        <v>0</v>
      </c>
      <c r="I107" s="9">
        <f>Raw!I108/Raw!$C108</f>
        <v>0</v>
      </c>
      <c r="J107" s="9">
        <f>Raw!J108/Raw!$C108</f>
        <v>0</v>
      </c>
      <c r="K107" s="9">
        <f>Raw!K108/Raw!$C108</f>
        <v>0</v>
      </c>
      <c r="L107" s="9">
        <f>Raw!L108/Raw!$C108</f>
        <v>0</v>
      </c>
      <c r="M107" s="9">
        <f>Raw!M108/Raw!$C108</f>
        <v>0</v>
      </c>
      <c r="N107" s="9">
        <f>Raw!N108/Raw!$C108</f>
        <v>0</v>
      </c>
      <c r="O107" s="9">
        <f>Raw!O108/Raw!$C108</f>
        <v>0</v>
      </c>
      <c r="P107" s="9">
        <f>Raw!P108/Raw!$C108</f>
        <v>2.5</v>
      </c>
      <c r="Q107" s="9">
        <f>Raw!Q108/Raw!$C108</f>
        <v>4.8250000000000011</v>
      </c>
      <c r="R107" s="9">
        <f>Raw!R108/Raw!$C108</f>
        <v>0</v>
      </c>
      <c r="S107" s="9">
        <f>Raw!S108/Raw!$C108</f>
        <v>0</v>
      </c>
      <c r="T107" s="9">
        <f>Raw!T108/Raw!$C108</f>
        <v>0</v>
      </c>
      <c r="U107" s="9">
        <f>Raw!U108/Raw!$C108</f>
        <v>0</v>
      </c>
      <c r="V107" s="9">
        <f>Raw!V108/Raw!$C108</f>
        <v>0</v>
      </c>
      <c r="W107" s="9">
        <f>Raw!W108/Raw!$C108</f>
        <v>0</v>
      </c>
      <c r="X107" s="9">
        <f>Raw!X108/Raw!$C108</f>
        <v>17.5</v>
      </c>
      <c r="Y107" s="9">
        <f>Raw!Y108/Raw!$C108</f>
        <v>4.2249999999999996</v>
      </c>
      <c r="Z107" s="9">
        <f>Raw!Z108/Raw!$C108</f>
        <v>0</v>
      </c>
      <c r="AA107" s="9">
        <f>Raw!AA108/Raw!$C108</f>
        <v>0</v>
      </c>
      <c r="AB107" s="9">
        <f>Raw!AB108/Raw!$C108</f>
        <v>0</v>
      </c>
      <c r="AC107" s="9">
        <f>Raw!AC108/Raw!$C108</f>
        <v>0</v>
      </c>
      <c r="AD107" s="9">
        <f>Raw!AD108/Raw!$C108</f>
        <v>0</v>
      </c>
      <c r="AE107" s="9">
        <f>Raw!AE108/Raw!$C108</f>
        <v>0</v>
      </c>
      <c r="AF107" s="9">
        <f>Raw!AF108/Raw!$C108</f>
        <v>0</v>
      </c>
      <c r="AG107" s="9">
        <f>Raw!AG108/Raw!$C108</f>
        <v>0</v>
      </c>
      <c r="AH107" s="9">
        <f>Raw!AH108/Raw!$C108</f>
        <v>10</v>
      </c>
      <c r="AI107" s="9">
        <f>Raw!AI108/Raw!$C108</f>
        <v>23.499999999999996</v>
      </c>
      <c r="AJ107" s="9">
        <f>Raw!AJ108/Raw!$C108</f>
        <v>0</v>
      </c>
      <c r="AK107" s="9">
        <f>Raw!AK108/Raw!$C108</f>
        <v>0</v>
      </c>
      <c r="AL107" s="9">
        <f>Raw!AL108/Raw!$C108</f>
        <v>52.5</v>
      </c>
      <c r="AM107" s="9">
        <f>Raw!AM108/Raw!$C108</f>
        <v>479.52499999999998</v>
      </c>
      <c r="AN107" s="9">
        <f>Raw!AN108/Raw!$C108</f>
        <v>0</v>
      </c>
      <c r="AO107" s="9">
        <f>Raw!AO108/Raw!$C108</f>
        <v>0</v>
      </c>
      <c r="AP107" s="9">
        <f>Raw!AP108/Raw!$C108</f>
        <v>0</v>
      </c>
      <c r="AQ107" s="9">
        <f>Raw!AQ108/Raw!$C108</f>
        <v>0</v>
      </c>
      <c r="AR107" s="9">
        <f>Raw!AR108/Raw!$C108</f>
        <v>0</v>
      </c>
      <c r="AS107" s="9">
        <f>Raw!AS108/Raw!$C108</f>
        <v>0</v>
      </c>
      <c r="AT107" s="9">
        <f>Raw!AT108/Raw!$C108</f>
        <v>0</v>
      </c>
      <c r="AU107" s="9">
        <f>Raw!AU108/Raw!$C108</f>
        <v>0</v>
      </c>
      <c r="AV107" s="9">
        <f>Raw!AV108/Raw!$C108</f>
        <v>0</v>
      </c>
      <c r="AW107" s="9">
        <f>Raw!AW108/Raw!$C108</f>
        <v>0</v>
      </c>
      <c r="AX107" s="9">
        <f>Raw!AX108/Raw!$C108</f>
        <v>0</v>
      </c>
      <c r="AY107" s="9">
        <f>Raw!AY108/Raw!$C108</f>
        <v>0</v>
      </c>
      <c r="AZ107" s="9">
        <f>Raw!AZ108/Raw!$C108</f>
        <v>0</v>
      </c>
      <c r="BA107" s="9">
        <f>Raw!BA108/Raw!$C108</f>
        <v>0</v>
      </c>
      <c r="BB107" s="9">
        <f>Raw!BB108/Raw!$C108</f>
        <v>0</v>
      </c>
      <c r="BC107" s="9">
        <f>Raw!BC108/Raw!$C108</f>
        <v>0</v>
      </c>
      <c r="BD107" s="9">
        <f>Raw!BD108/Raw!$C108</f>
        <v>0</v>
      </c>
      <c r="BE107" s="9">
        <f>Raw!BE108/Raw!$C108</f>
        <v>0</v>
      </c>
      <c r="BF107" s="9">
        <f>Raw!BF108/Raw!$C108</f>
        <v>0</v>
      </c>
      <c r="BG107" s="9">
        <f>Raw!BG108/Raw!$C108</f>
        <v>0</v>
      </c>
      <c r="BH107" s="9">
        <f>Raw!BH108/Raw!$C108</f>
        <v>0</v>
      </c>
      <c r="BI107" s="9">
        <f>Raw!BI108/Raw!$C108</f>
        <v>0</v>
      </c>
      <c r="BJ107" s="9">
        <f>Raw!BJ108/Raw!$C108</f>
        <v>0</v>
      </c>
      <c r="BK107" s="9">
        <f>Raw!BK108/Raw!$C108</f>
        <v>0</v>
      </c>
      <c r="BL107" s="9">
        <f>Raw!BL108/Raw!$C108</f>
        <v>0</v>
      </c>
      <c r="BM107" s="9">
        <f>Raw!BM108/Raw!$C108</f>
        <v>0</v>
      </c>
      <c r="BN107" s="9">
        <f>Raw!BN108/Raw!$C108</f>
        <v>0</v>
      </c>
      <c r="BO107" s="9">
        <f>Raw!BO108/Raw!$C108</f>
        <v>0</v>
      </c>
      <c r="BP107" s="9">
        <f>Raw!BP108/Raw!$C108</f>
        <v>12.5</v>
      </c>
      <c r="BQ107" s="9">
        <f>Raw!BQ108/Raw!$C108</f>
        <v>9.9999999999999982</v>
      </c>
      <c r="BR107" s="9">
        <f>Raw!BR108/Raw!$C108</f>
        <v>0</v>
      </c>
      <c r="BS107" s="9">
        <f>Raw!BS108/Raw!$C108</f>
        <v>0</v>
      </c>
      <c r="BT107" s="9">
        <f>Raw!BT108/Raw!$C108</f>
        <v>0</v>
      </c>
      <c r="BU107" s="9">
        <f>Raw!BU108/Raw!$C108</f>
        <v>0</v>
      </c>
      <c r="BV107" s="9">
        <f>Raw!BV108/Raw!$C108</f>
        <v>10</v>
      </c>
      <c r="BW107" s="9">
        <f>Raw!BW108/Raw!$C108</f>
        <v>0.15000000000000013</v>
      </c>
      <c r="BX107" s="9">
        <f>Raw!BX108/Raw!$C108</f>
        <v>0</v>
      </c>
      <c r="BY107" s="9">
        <f>Raw!BY108/Raw!$C108</f>
        <v>0</v>
      </c>
      <c r="BZ107" s="9">
        <f>Raw!BZ108/Raw!$C108</f>
        <v>0</v>
      </c>
      <c r="CA107" s="9">
        <f>Raw!CA108/Raw!$C108</f>
        <v>0</v>
      </c>
      <c r="CB107" s="9">
        <f>Raw!CB108/Raw!$C108</f>
        <v>2.5</v>
      </c>
      <c r="CC107" s="9">
        <f>Raw!CC108/Raw!$C108</f>
        <v>2.1</v>
      </c>
      <c r="CD107" s="9">
        <f>Raw!CD108/Raw!$C108</f>
        <v>7.5</v>
      </c>
      <c r="CE107" s="9">
        <f>Raw!CE108/Raw!$C108</f>
        <v>0.25000000000000022</v>
      </c>
      <c r="CF107" s="9">
        <f>Raw!CF108/Raw!$C108</f>
        <v>0</v>
      </c>
      <c r="CG107" s="9">
        <f>Raw!CG108/Raw!$C108</f>
        <v>0</v>
      </c>
      <c r="CH107" s="9">
        <f>Raw!CH108/Raw!$C108</f>
        <v>0</v>
      </c>
      <c r="CI107" s="9">
        <f>Raw!CI108/Raw!$C108</f>
        <v>0</v>
      </c>
      <c r="CJ107" s="9">
        <f>Raw!CJ108/Raw!$C108</f>
        <v>0</v>
      </c>
      <c r="CK107" s="9">
        <f>Raw!CK108/Raw!$C108</f>
        <v>0</v>
      </c>
      <c r="CL107" s="9">
        <f>Raw!CL108/Raw!$C108</f>
        <v>0</v>
      </c>
      <c r="CM107" s="9">
        <f>Raw!CM108/Raw!$C108</f>
        <v>0</v>
      </c>
      <c r="CN107" s="9">
        <f>Raw!CN108/Raw!$C108</f>
        <v>0</v>
      </c>
      <c r="CO107" s="9">
        <f>Raw!CO108/Raw!$C108</f>
        <v>0</v>
      </c>
      <c r="CP107" s="9">
        <f>Raw!CP108/Raw!$C108</f>
        <v>0</v>
      </c>
      <c r="CQ107" s="9">
        <f>Raw!CQ108/Raw!$C108</f>
        <v>0</v>
      </c>
      <c r="CR107" s="2">
        <f t="shared" si="39"/>
        <v>162.5</v>
      </c>
      <c r="CS107" s="2">
        <f t="shared" si="40"/>
        <v>544.875</v>
      </c>
      <c r="CT107" s="3">
        <f t="shared" ref="CT107:CT110" si="99">LOG10(CR107)</f>
        <v>2.2108533653148932</v>
      </c>
      <c r="CU107" s="3">
        <f t="shared" ref="CU107:CU110" si="100">LOG10(CS107)</f>
        <v>2.7362968820257403</v>
      </c>
      <c r="CZ107" s="3">
        <f t="shared" ref="CZ107:CZ110" si="101">LOG10(CR107+CV107)</f>
        <v>2.2108533653148932</v>
      </c>
      <c r="DA107" s="3">
        <f t="shared" ref="DA107:DA110" si="102">LOG10(CS107+CW107)</f>
        <v>2.7362968820257403</v>
      </c>
      <c r="DB107" s="6">
        <f t="shared" ref="DB107:DB110" si="103">0.590307*(4.87-0.33*CT107-CU107)</f>
        <v>0.82886275468078174</v>
      </c>
      <c r="DC107">
        <v>10</v>
      </c>
      <c r="DD107" s="3">
        <f>DC107/Raw!C108</f>
        <v>25</v>
      </c>
      <c r="DE107" s="5">
        <f t="shared" ref="DE107:DE110" si="104">DC107/CR107</f>
        <v>6.1538461538461542E-2</v>
      </c>
      <c r="DF107">
        <f t="shared" ref="DF107:DF110" si="105">LOG(DE107)</f>
        <v>-1.2108533653148932</v>
      </c>
      <c r="DH107" s="4">
        <f>-SUM('Shannon-Weiner'!B106:Z106)</f>
        <v>1.298703032991368</v>
      </c>
      <c r="DI107" s="4">
        <f>SUM('p^2'!B106:Z106)</f>
        <v>0.18934911242603553</v>
      </c>
      <c r="DJ107" s="4">
        <f t="shared" ref="DJ107:DJ110" si="106">1-DI107</f>
        <v>0.81065088757396442</v>
      </c>
      <c r="DK107">
        <f t="shared" ref="DK107:DK110" si="107">1/DI107</f>
        <v>5.2812499999999991</v>
      </c>
      <c r="DL107" s="4">
        <f>SUM('Shannon-Weiner_B'!B106:Z106)</f>
        <v>-0.45355348298751341</v>
      </c>
      <c r="DM107" s="4">
        <f>SUM('p_B^2'!B106:Z106)</f>
        <v>0.77784941656126361</v>
      </c>
      <c r="DN107" s="4">
        <f t="shared" ref="DN107:DN110" si="108">1-DM107</f>
        <v>0.22215058343873639</v>
      </c>
      <c r="DO107">
        <f t="shared" ref="DO107:DO110" si="109">1/DM107</f>
        <v>1.2855958733257464</v>
      </c>
    </row>
    <row r="108" spans="2:119" x14ac:dyDescent="0.25">
      <c r="B108" t="str">
        <f>Raw!B109</f>
        <v>NA7</v>
      </c>
      <c r="C108">
        <v>1</v>
      </c>
      <c r="D108" s="9">
        <f>Raw!D109/Raw!$C109</f>
        <v>10</v>
      </c>
      <c r="E108" s="9">
        <f>Raw!E109/Raw!$C109</f>
        <v>0.19999999999999946</v>
      </c>
      <c r="F108" s="9">
        <f>Raw!F109/Raw!$C109</f>
        <v>76.666666666666671</v>
      </c>
      <c r="G108" s="9">
        <f>Raw!G109/Raw!$C109</f>
        <v>13.733333333333338</v>
      </c>
      <c r="H108" s="9">
        <f>Raw!H109/Raw!$C109</f>
        <v>10</v>
      </c>
      <c r="I108" s="9">
        <f>Raw!I109/Raw!$C109</f>
        <v>1.433333333333334</v>
      </c>
      <c r="J108" s="9">
        <f>Raw!J109/Raw!$C109</f>
        <v>86.666666666666671</v>
      </c>
      <c r="K108" s="9">
        <f>Raw!K109/Raw!$C109</f>
        <v>1.0999999999999988</v>
      </c>
      <c r="L108" s="9">
        <f>Raw!L109/Raw!$C109</f>
        <v>0</v>
      </c>
      <c r="M108" s="9">
        <f>Raw!M109/Raw!$C109</f>
        <v>0</v>
      </c>
      <c r="N108" s="9">
        <f>Raw!N109/Raw!$C109</f>
        <v>0</v>
      </c>
      <c r="O108" s="9">
        <f>Raw!O109/Raw!$C109</f>
        <v>0</v>
      </c>
      <c r="P108" s="9">
        <f>Raw!P109/Raw!$C109</f>
        <v>3.3333333333333335</v>
      </c>
      <c r="Q108" s="9">
        <f>Raw!Q109/Raw!$C109</f>
        <v>3.7000000000000011</v>
      </c>
      <c r="R108" s="9">
        <f>Raw!R109/Raw!$C109</f>
        <v>0</v>
      </c>
      <c r="S108" s="9">
        <f>Raw!S109/Raw!$C109</f>
        <v>0</v>
      </c>
      <c r="T108" s="9">
        <f>Raw!T109/Raw!$C109</f>
        <v>0</v>
      </c>
      <c r="U108" s="9">
        <f>Raw!U109/Raw!$C109</f>
        <v>0</v>
      </c>
      <c r="V108" s="9">
        <f>Raw!V109/Raw!$C109</f>
        <v>0</v>
      </c>
      <c r="W108" s="9">
        <f>Raw!W109/Raw!$C109</f>
        <v>0</v>
      </c>
      <c r="X108" s="9">
        <f>Raw!X109/Raw!$C109</f>
        <v>53.333333333333336</v>
      </c>
      <c r="Y108" s="9">
        <f>Raw!Y109/Raw!$C109</f>
        <v>34.799999999999997</v>
      </c>
      <c r="Z108" s="9">
        <f>Raw!Z109/Raw!$C109</f>
        <v>0</v>
      </c>
      <c r="AA108" s="9">
        <f>Raw!AA109/Raw!$C109</f>
        <v>0</v>
      </c>
      <c r="AB108" s="9">
        <f>Raw!AB109/Raw!$C109</f>
        <v>0</v>
      </c>
      <c r="AC108" s="9">
        <f>Raw!AC109/Raw!$C109</f>
        <v>0</v>
      </c>
      <c r="AD108" s="9">
        <f>Raw!AD109/Raw!$C109</f>
        <v>0</v>
      </c>
      <c r="AE108" s="9">
        <f>Raw!AE109/Raw!$C109</f>
        <v>0</v>
      </c>
      <c r="AF108" s="9">
        <f>Raw!AF109/Raw!$C109</f>
        <v>0</v>
      </c>
      <c r="AG108" s="9">
        <f>Raw!AG109/Raw!$C109</f>
        <v>0</v>
      </c>
      <c r="AH108" s="9">
        <f>Raw!AH109/Raw!$C109</f>
        <v>56.666666666666671</v>
      </c>
      <c r="AI108" s="9">
        <f>Raw!AI109/Raw!$C109</f>
        <v>266.4666666666667</v>
      </c>
      <c r="AJ108" s="9">
        <f>Raw!AJ109/Raw!$C109</f>
        <v>0</v>
      </c>
      <c r="AK108" s="9">
        <f>Raw!AK109/Raw!$C109</f>
        <v>0</v>
      </c>
      <c r="AL108" s="9">
        <f>Raw!AL109/Raw!$C109</f>
        <v>20</v>
      </c>
      <c r="AM108" s="9">
        <f>Raw!AM109/Raw!$C109</f>
        <v>178.76666666666668</v>
      </c>
      <c r="AN108" s="9">
        <f>Raw!AN109/Raw!$C109</f>
        <v>0</v>
      </c>
      <c r="AO108" s="9">
        <f>Raw!AO109/Raw!$C109</f>
        <v>0</v>
      </c>
      <c r="AP108" s="9">
        <f>Raw!AP109/Raw!$C109</f>
        <v>0</v>
      </c>
      <c r="AQ108" s="9">
        <f>Raw!AQ109/Raw!$C109</f>
        <v>0</v>
      </c>
      <c r="AR108" s="9">
        <f>Raw!AR109/Raw!$C109</f>
        <v>0</v>
      </c>
      <c r="AS108" s="9">
        <f>Raw!AS109/Raw!$C109</f>
        <v>0</v>
      </c>
      <c r="AT108" s="9">
        <f>Raw!AT109/Raw!$C109</f>
        <v>0</v>
      </c>
      <c r="AU108" s="9">
        <f>Raw!AU109/Raw!$C109</f>
        <v>0</v>
      </c>
      <c r="AV108" s="9">
        <f>Raw!AV109/Raw!$C109</f>
        <v>0</v>
      </c>
      <c r="AW108" s="9">
        <f>Raw!AW109/Raw!$C109</f>
        <v>0</v>
      </c>
      <c r="AX108" s="9">
        <f>Raw!AX109/Raw!$C109</f>
        <v>0</v>
      </c>
      <c r="AY108" s="9">
        <f>Raw!AY109/Raw!$C109</f>
        <v>0</v>
      </c>
      <c r="AZ108" s="9">
        <f>Raw!AZ109/Raw!$C109</f>
        <v>0</v>
      </c>
      <c r="BA108" s="9">
        <f>Raw!BA109/Raw!$C109</f>
        <v>0</v>
      </c>
      <c r="BB108" s="9">
        <f>Raw!BB109/Raw!$C109</f>
        <v>3.3333333333333335</v>
      </c>
      <c r="BC108" s="9">
        <f>Raw!BC109/Raw!$C109</f>
        <v>0.13333333333333272</v>
      </c>
      <c r="BD108" s="9">
        <f>Raw!BD109/Raw!$C109</f>
        <v>0</v>
      </c>
      <c r="BE108" s="9">
        <f>Raw!BE109/Raw!$C109</f>
        <v>0</v>
      </c>
      <c r="BF108" s="9">
        <f>Raw!BF109/Raw!$C109</f>
        <v>0</v>
      </c>
      <c r="BG108" s="9">
        <f>Raw!BG109/Raw!$C109</f>
        <v>0</v>
      </c>
      <c r="BH108" s="9">
        <f>Raw!BH109/Raw!$C109</f>
        <v>0</v>
      </c>
      <c r="BI108" s="9">
        <f>Raw!BI109/Raw!$C109</f>
        <v>0</v>
      </c>
      <c r="BJ108" s="9">
        <f>Raw!BJ109/Raw!$C109</f>
        <v>0</v>
      </c>
      <c r="BK108" s="9">
        <f>Raw!BK109/Raw!$C109</f>
        <v>0</v>
      </c>
      <c r="BL108" s="9">
        <f>Raw!BL109/Raw!$C109</f>
        <v>0</v>
      </c>
      <c r="BM108" s="9">
        <f>Raw!BM109/Raw!$C109</f>
        <v>0</v>
      </c>
      <c r="BN108" s="9">
        <f>Raw!BN109/Raw!$C109</f>
        <v>0</v>
      </c>
      <c r="BO108" s="9">
        <f>Raw!BO109/Raw!$C109</f>
        <v>0</v>
      </c>
      <c r="BP108" s="9">
        <f>Raw!BP109/Raw!$C109</f>
        <v>0</v>
      </c>
      <c r="BQ108" s="9">
        <f>Raw!BQ109/Raw!$C109</f>
        <v>0</v>
      </c>
      <c r="BR108" s="9">
        <f>Raw!BR109/Raw!$C109</f>
        <v>0</v>
      </c>
      <c r="BS108" s="9">
        <f>Raw!BS109/Raw!$C109</f>
        <v>0</v>
      </c>
      <c r="BT108" s="9">
        <f>Raw!BT109/Raw!$C109</f>
        <v>0</v>
      </c>
      <c r="BU108" s="9">
        <f>Raw!BU109/Raw!$C109</f>
        <v>0</v>
      </c>
      <c r="BV108" s="9">
        <f>Raw!BV109/Raw!$C109</f>
        <v>66.666666666666671</v>
      </c>
      <c r="BW108" s="9">
        <f>Raw!BW109/Raw!$C109</f>
        <v>0.83333333333333337</v>
      </c>
      <c r="BX108" s="9">
        <f>Raw!BX109/Raw!$C109</f>
        <v>3.3333333333333335</v>
      </c>
      <c r="BY108" s="9">
        <f>Raw!BY109/Raw!$C109</f>
        <v>14.100000000000001</v>
      </c>
      <c r="BZ108" s="9">
        <f>Raw!BZ109/Raw!$C109</f>
        <v>0</v>
      </c>
      <c r="CA108" s="9">
        <f>Raw!CA109/Raw!$C109</f>
        <v>0</v>
      </c>
      <c r="CB108" s="9">
        <f>Raw!CB109/Raw!$C109</f>
        <v>10</v>
      </c>
      <c r="CC108" s="9">
        <f>Raw!CC109/Raw!$C109</f>
        <v>5.7666666666666684</v>
      </c>
      <c r="CD108" s="9">
        <f>Raw!CD109/Raw!$C109</f>
        <v>10</v>
      </c>
      <c r="CE108" s="9">
        <f>Raw!CE109/Raw!$C109</f>
        <v>0.10000000000000009</v>
      </c>
      <c r="CF108" s="9">
        <f>Raw!CF109/Raw!$C109</f>
        <v>0</v>
      </c>
      <c r="CG108" s="9">
        <f>Raw!CG109/Raw!$C109</f>
        <v>0</v>
      </c>
      <c r="CH108" s="9">
        <f>Raw!CH109/Raw!$C109</f>
        <v>0</v>
      </c>
      <c r="CI108" s="9">
        <f>Raw!CI109/Raw!$C109</f>
        <v>0</v>
      </c>
      <c r="CJ108" s="9">
        <f>Raw!CJ109/Raw!$C109</f>
        <v>0</v>
      </c>
      <c r="CK108" s="9">
        <f>Raw!CK109/Raw!$C109</f>
        <v>0</v>
      </c>
      <c r="CL108" s="9">
        <f>Raw!CL109/Raw!$C109</f>
        <v>0</v>
      </c>
      <c r="CM108" s="9">
        <f>Raw!CM109/Raw!$C109</f>
        <v>0</v>
      </c>
      <c r="CN108" s="9">
        <f>Raw!CN109/Raw!$C109</f>
        <v>0</v>
      </c>
      <c r="CO108" s="9">
        <f>Raw!CO109/Raw!$C109</f>
        <v>0</v>
      </c>
      <c r="CP108" s="9">
        <f>Raw!CP109/Raw!$C109</f>
        <v>0</v>
      </c>
      <c r="CQ108" s="9">
        <f>Raw!CQ109/Raw!$C109</f>
        <v>0</v>
      </c>
      <c r="CR108" s="2">
        <f t="shared" si="39"/>
        <v>410</v>
      </c>
      <c r="CS108" s="2">
        <f t="shared" si="40"/>
        <v>521.13333333333333</v>
      </c>
      <c r="CT108" s="3">
        <f t="shared" si="99"/>
        <v>2.6127838567197355</v>
      </c>
      <c r="CU108" s="3">
        <f t="shared" si="100"/>
        <v>2.7169488529014365</v>
      </c>
      <c r="CZ108" s="3">
        <f t="shared" si="101"/>
        <v>2.6127838567197355</v>
      </c>
      <c r="DA108" s="3">
        <f t="shared" si="102"/>
        <v>2.7169488529014365</v>
      </c>
      <c r="DB108" s="6">
        <f t="shared" si="103"/>
        <v>0.76198744545445474</v>
      </c>
      <c r="DC108">
        <v>13</v>
      </c>
      <c r="DD108" s="3">
        <f>DC108/Raw!C109</f>
        <v>43.333333333333336</v>
      </c>
      <c r="DE108" s="5">
        <f t="shared" si="104"/>
        <v>3.1707317073170732E-2</v>
      </c>
      <c r="DF108">
        <f t="shared" si="105"/>
        <v>-1.4988405044128987</v>
      </c>
      <c r="DH108" s="4">
        <f>-SUM('Shannon-Weiner'!B107:Z107)</f>
        <v>1.5875979203955604</v>
      </c>
      <c r="DI108" s="4">
        <f>SUM('p^2'!B107:Z107)</f>
        <v>0.11937338885583978</v>
      </c>
      <c r="DJ108" s="4">
        <f t="shared" si="106"/>
        <v>0.88062661114416019</v>
      </c>
      <c r="DK108">
        <f t="shared" si="107"/>
        <v>8.3770764119601324</v>
      </c>
      <c r="DL108" s="4">
        <f>SUM('Shannon-Weiner_B'!B107:Z107)</f>
        <v>-1.0560259467581676</v>
      </c>
      <c r="DM108" s="4">
        <f>SUM('p_B^2'!B107:Z107)</f>
        <v>0.38433861481740211</v>
      </c>
      <c r="DN108" s="4">
        <f t="shared" si="108"/>
        <v>0.61566138518259783</v>
      </c>
      <c r="DO108">
        <f t="shared" si="109"/>
        <v>2.6018723111522282</v>
      </c>
    </row>
    <row r="109" spans="2:119" x14ac:dyDescent="0.25">
      <c r="B109" t="str">
        <f>Raw!B110</f>
        <v>NA8</v>
      </c>
      <c r="C109">
        <v>1</v>
      </c>
      <c r="D109" s="9">
        <f>Raw!D110/Raw!$C110</f>
        <v>2.5</v>
      </c>
      <c r="E109" s="9">
        <f>Raw!E110/Raw!$C110</f>
        <v>7.4999999999999512E-2</v>
      </c>
      <c r="F109" s="9">
        <f>Raw!F110/Raw!$C110</f>
        <v>27.5</v>
      </c>
      <c r="G109" s="9">
        <f>Raw!G110/Raw!$C110</f>
        <v>1.1750000000000016</v>
      </c>
      <c r="H109" s="9">
        <f>Raw!H110/Raw!$C110</f>
        <v>0</v>
      </c>
      <c r="I109" s="9">
        <f>Raw!I110/Raw!$C110</f>
        <v>0</v>
      </c>
      <c r="J109" s="9">
        <f>Raw!J110/Raw!$C110</f>
        <v>17.5</v>
      </c>
      <c r="K109" s="9">
        <f>Raw!K110/Raw!$C110</f>
        <v>1.9999999999999996</v>
      </c>
      <c r="L109" s="9">
        <f>Raw!L110/Raw!$C110</f>
        <v>0</v>
      </c>
      <c r="M109" s="9">
        <f>Raw!M110/Raw!$C110</f>
        <v>0</v>
      </c>
      <c r="N109" s="9">
        <f>Raw!N110/Raw!$C110</f>
        <v>0</v>
      </c>
      <c r="O109" s="9">
        <f>Raw!O110/Raw!$C110</f>
        <v>0</v>
      </c>
      <c r="P109" s="9">
        <f>Raw!P110/Raw!$C110</f>
        <v>0</v>
      </c>
      <c r="Q109" s="9">
        <f>Raw!Q110/Raw!$C110</f>
        <v>0</v>
      </c>
      <c r="R109" s="9">
        <f>Raw!R110/Raw!$C110</f>
        <v>0</v>
      </c>
      <c r="S109" s="9">
        <f>Raw!S110/Raw!$C110</f>
        <v>0</v>
      </c>
      <c r="T109" s="9">
        <f>Raw!T110/Raw!$C110</f>
        <v>0</v>
      </c>
      <c r="U109" s="9">
        <f>Raw!U110/Raw!$C110</f>
        <v>0</v>
      </c>
      <c r="V109" s="9">
        <f>Raw!V110/Raw!$C110</f>
        <v>0</v>
      </c>
      <c r="W109" s="9">
        <f>Raw!W110/Raw!$C110</f>
        <v>0</v>
      </c>
      <c r="X109" s="9">
        <f>Raw!X110/Raw!$C110</f>
        <v>42.5</v>
      </c>
      <c r="Y109" s="9">
        <f>Raw!Y110/Raw!$C110</f>
        <v>1.25</v>
      </c>
      <c r="Z109" s="9">
        <f>Raw!Z110/Raw!$C110</f>
        <v>0</v>
      </c>
      <c r="AA109" s="9">
        <f>Raw!AA110/Raw!$C110</f>
        <v>0</v>
      </c>
      <c r="AB109" s="9">
        <f>Raw!AB110/Raw!$C110</f>
        <v>0</v>
      </c>
      <c r="AC109" s="9">
        <f>Raw!AC110/Raw!$C110</f>
        <v>0</v>
      </c>
      <c r="AD109" s="9">
        <f>Raw!AD110/Raw!$C110</f>
        <v>0</v>
      </c>
      <c r="AE109" s="9">
        <f>Raw!AE110/Raw!$C110</f>
        <v>0</v>
      </c>
      <c r="AF109" s="9">
        <f>Raw!AF110/Raw!$C110</f>
        <v>0</v>
      </c>
      <c r="AG109" s="9">
        <f>Raw!AG110/Raw!$C110</f>
        <v>0</v>
      </c>
      <c r="AH109" s="9">
        <f>Raw!AH110/Raw!$C110</f>
        <v>30</v>
      </c>
      <c r="AI109" s="9">
        <f>Raw!AI110/Raw!$C110</f>
        <v>59.9</v>
      </c>
      <c r="AJ109" s="9">
        <f>Raw!AJ110/Raw!$C110</f>
        <v>0</v>
      </c>
      <c r="AK109" s="9">
        <f>Raw!AK110/Raw!$C110</f>
        <v>0</v>
      </c>
      <c r="AL109" s="9">
        <f>Raw!AL110/Raw!$C110</f>
        <v>32.5</v>
      </c>
      <c r="AM109" s="9">
        <f>Raw!AM110/Raw!$C110</f>
        <v>507.72499999999997</v>
      </c>
      <c r="AN109" s="9">
        <f>Raw!AN110/Raw!$C110</f>
        <v>0</v>
      </c>
      <c r="AO109" s="9">
        <f>Raw!AO110/Raw!$C110</f>
        <v>0</v>
      </c>
      <c r="AP109" s="9">
        <f>Raw!AP110/Raw!$C110</f>
        <v>0</v>
      </c>
      <c r="AQ109" s="9">
        <f>Raw!AQ110/Raw!$C110</f>
        <v>0</v>
      </c>
      <c r="AR109" s="9">
        <f>Raw!AR110/Raw!$C110</f>
        <v>0</v>
      </c>
      <c r="AS109" s="9">
        <f>Raw!AS110/Raw!$C110</f>
        <v>0</v>
      </c>
      <c r="AT109" s="9">
        <f>Raw!AT110/Raw!$C110</f>
        <v>0</v>
      </c>
      <c r="AU109" s="9">
        <f>Raw!AU110/Raw!$C110</f>
        <v>0</v>
      </c>
      <c r="AV109" s="9">
        <f>Raw!AV110/Raw!$C110</f>
        <v>0</v>
      </c>
      <c r="AW109" s="9">
        <f>Raw!AW110/Raw!$C110</f>
        <v>0</v>
      </c>
      <c r="AX109" s="9">
        <f>Raw!AX110/Raw!$C110</f>
        <v>0</v>
      </c>
      <c r="AY109" s="9">
        <f>Raw!AY110/Raw!$C110</f>
        <v>0</v>
      </c>
      <c r="AZ109" s="9">
        <f>Raw!AZ110/Raw!$C110</f>
        <v>0</v>
      </c>
      <c r="BA109" s="9">
        <f>Raw!BA110/Raw!$C110</f>
        <v>0</v>
      </c>
      <c r="BB109" s="9">
        <f>Raw!BB110/Raw!$C110</f>
        <v>5</v>
      </c>
      <c r="BC109" s="9">
        <f>Raw!BC110/Raw!$C110</f>
        <v>1.5749999999999997</v>
      </c>
      <c r="BD109" s="9">
        <f>Raw!BD110/Raw!$C110</f>
        <v>0</v>
      </c>
      <c r="BE109" s="9">
        <f>Raw!BE110/Raw!$C110</f>
        <v>0</v>
      </c>
      <c r="BF109" s="9">
        <f>Raw!BF110/Raw!$C110</f>
        <v>0</v>
      </c>
      <c r="BG109" s="9">
        <f>Raw!BG110/Raw!$C110</f>
        <v>0</v>
      </c>
      <c r="BH109" s="9">
        <f>Raw!BH110/Raw!$C110</f>
        <v>0</v>
      </c>
      <c r="BI109" s="9">
        <f>Raw!BI110/Raw!$C110</f>
        <v>0</v>
      </c>
      <c r="BJ109" s="9">
        <f>Raw!BJ110/Raw!$C110</f>
        <v>0</v>
      </c>
      <c r="BK109" s="9">
        <f>Raw!BK110/Raw!$C110</f>
        <v>0</v>
      </c>
      <c r="BL109" s="9">
        <f>Raw!BL110/Raw!$C110</f>
        <v>0</v>
      </c>
      <c r="BM109" s="9">
        <f>Raw!BM110/Raw!$C110</f>
        <v>0</v>
      </c>
      <c r="BN109" s="9">
        <f>Raw!BN110/Raw!$C110</f>
        <v>0</v>
      </c>
      <c r="BO109" s="9">
        <f>Raw!BO110/Raw!$C110</f>
        <v>0</v>
      </c>
      <c r="BP109" s="9">
        <f>Raw!BP110/Raw!$C110</f>
        <v>10</v>
      </c>
      <c r="BQ109" s="9">
        <f>Raw!BQ110/Raw!$C110</f>
        <v>1.4500000000000002</v>
      </c>
      <c r="BR109" s="9">
        <f>Raw!BR110/Raw!$C110</f>
        <v>0</v>
      </c>
      <c r="BS109" s="9">
        <f>Raw!BS110/Raw!$C110</f>
        <v>0</v>
      </c>
      <c r="BT109" s="9">
        <f>Raw!BT110/Raw!$C110</f>
        <v>0</v>
      </c>
      <c r="BU109" s="9">
        <f>Raw!BU110/Raw!$C110</f>
        <v>0</v>
      </c>
      <c r="BV109" s="9">
        <f>Raw!BV110/Raw!$C110</f>
        <v>0</v>
      </c>
      <c r="BW109" s="9">
        <f>Raw!BW110/Raw!$C110</f>
        <v>0</v>
      </c>
      <c r="BX109" s="9">
        <f>Raw!BX110/Raw!$C110</f>
        <v>0</v>
      </c>
      <c r="BY109" s="9">
        <f>Raw!BY110/Raw!$C110</f>
        <v>0</v>
      </c>
      <c r="BZ109" s="9">
        <f>Raw!BZ110/Raw!$C110</f>
        <v>0</v>
      </c>
      <c r="CA109" s="9">
        <f>Raw!CA110/Raw!$C110</f>
        <v>0</v>
      </c>
      <c r="CB109" s="9">
        <f>Raw!CB110/Raw!$C110</f>
        <v>0</v>
      </c>
      <c r="CC109" s="9">
        <f>Raw!CC110/Raw!$C110</f>
        <v>0</v>
      </c>
      <c r="CD109" s="9">
        <f>Raw!CD110/Raw!$C110</f>
        <v>2.5</v>
      </c>
      <c r="CE109" s="9">
        <f>Raw!CE110/Raw!$C110</f>
        <v>1.4500000000000002</v>
      </c>
      <c r="CF109" s="9">
        <f>Raw!CF110/Raw!$C110</f>
        <v>0</v>
      </c>
      <c r="CG109" s="9">
        <f>Raw!CG110/Raw!$C110</f>
        <v>0</v>
      </c>
      <c r="CH109" s="9">
        <f>Raw!CH110/Raw!$C110</f>
        <v>0</v>
      </c>
      <c r="CI109" s="9">
        <f>Raw!CI110/Raw!$C110</f>
        <v>0</v>
      </c>
      <c r="CJ109" s="9">
        <f>Raw!CJ110/Raw!$C110</f>
        <v>0</v>
      </c>
      <c r="CK109" s="9">
        <f>Raw!CK110/Raw!$C110</f>
        <v>0</v>
      </c>
      <c r="CL109" s="9">
        <f>Raw!CL110/Raw!$C110</f>
        <v>0</v>
      </c>
      <c r="CM109" s="9">
        <f>Raw!CM110/Raw!$C110</f>
        <v>0</v>
      </c>
      <c r="CN109" s="9">
        <f>Raw!CN110/Raw!$C110</f>
        <v>0</v>
      </c>
      <c r="CO109" s="9">
        <f>Raw!CO110/Raw!$C110</f>
        <v>0</v>
      </c>
      <c r="CP109" s="9">
        <f>Raw!CP110/Raw!$C110</f>
        <v>0</v>
      </c>
      <c r="CQ109" s="9">
        <f>Raw!CQ110/Raw!$C110</f>
        <v>0</v>
      </c>
      <c r="CR109" s="2">
        <f t="shared" si="39"/>
        <v>170</v>
      </c>
      <c r="CS109" s="2">
        <f t="shared" si="40"/>
        <v>576.60000000000014</v>
      </c>
      <c r="CT109" s="3">
        <f t="shared" si="99"/>
        <v>2.2304489213782741</v>
      </c>
      <c r="CU109" s="3">
        <f t="shared" si="100"/>
        <v>2.7608746380521891</v>
      </c>
      <c r="CZ109" s="3">
        <f t="shared" si="101"/>
        <v>2.2304489213782741</v>
      </c>
      <c r="DA109" s="3">
        <f t="shared" si="102"/>
        <v>2.7608746380521891</v>
      </c>
      <c r="DB109" s="6">
        <f t="shared" si="103"/>
        <v>0.81053709326275158</v>
      </c>
      <c r="DC109">
        <v>9</v>
      </c>
      <c r="DD109" s="3">
        <f>DC109/Raw!C110</f>
        <v>22.5</v>
      </c>
      <c r="DE109" s="5">
        <f t="shared" si="104"/>
        <v>5.2941176470588235E-2</v>
      </c>
      <c r="DF109">
        <f t="shared" si="105"/>
        <v>-1.2762064119389491</v>
      </c>
      <c r="DH109" s="4">
        <f>-SUM('Shannon-Weiner'!B108:Z108)</f>
        <v>1.6634797606969691</v>
      </c>
      <c r="DI109" s="4">
        <f>SUM('p^2'!B108:Z108)</f>
        <v>0.1680363321799308</v>
      </c>
      <c r="DJ109" s="4">
        <f t="shared" si="106"/>
        <v>0.83196366782006925</v>
      </c>
      <c r="DK109">
        <f t="shared" si="107"/>
        <v>5.9510939510939505</v>
      </c>
      <c r="DL109" s="4">
        <f>SUM('Shannon-Weiner_B'!B108:Z108)</f>
        <v>-0.41011580316604967</v>
      </c>
      <c r="DM109" s="4">
        <f>SUM('p_B^2'!B108:Z108)</f>
        <v>0.78618832766721614</v>
      </c>
      <c r="DN109" s="4">
        <f t="shared" si="108"/>
        <v>0.21381167233278386</v>
      </c>
      <c r="DO109">
        <f t="shared" si="109"/>
        <v>1.2719598661140232</v>
      </c>
    </row>
    <row r="110" spans="2:119" x14ac:dyDescent="0.25">
      <c r="B110" t="str">
        <f>Raw!B111</f>
        <v>NA9</v>
      </c>
      <c r="C110">
        <v>1</v>
      </c>
      <c r="D110" s="9">
        <f>Raw!D111/Raw!$C111</f>
        <v>133.33333333333334</v>
      </c>
      <c r="E110" s="9">
        <f>Raw!E111/Raw!$C111</f>
        <v>14.083333333333332</v>
      </c>
      <c r="F110" s="9">
        <f>Raw!F111/Raw!$C111</f>
        <v>0</v>
      </c>
      <c r="G110" s="9">
        <f>Raw!G111/Raw!$C111</f>
        <v>0</v>
      </c>
      <c r="H110" s="9">
        <f>Raw!H111/Raw!$C111</f>
        <v>0</v>
      </c>
      <c r="I110" s="9">
        <f>Raw!I111/Raw!$C111</f>
        <v>0</v>
      </c>
      <c r="J110" s="9">
        <f>Raw!J111/Raw!$C111</f>
        <v>0</v>
      </c>
      <c r="K110" s="9">
        <f>Raw!K111/Raw!$C111</f>
        <v>0</v>
      </c>
      <c r="L110" s="9">
        <f>Raw!L111/Raw!$C111</f>
        <v>0</v>
      </c>
      <c r="M110" s="9">
        <f>Raw!M111/Raw!$C111</f>
        <v>0</v>
      </c>
      <c r="N110" s="9">
        <f>Raw!N111/Raw!$C111</f>
        <v>0</v>
      </c>
      <c r="O110" s="9">
        <f>Raw!O111/Raw!$C111</f>
        <v>0</v>
      </c>
      <c r="P110" s="9">
        <f>Raw!P111/Raw!$C111</f>
        <v>0</v>
      </c>
      <c r="Q110" s="9">
        <f>Raw!Q111/Raw!$C111</f>
        <v>0</v>
      </c>
      <c r="R110" s="9">
        <f>Raw!R111/Raw!$C111</f>
        <v>0</v>
      </c>
      <c r="S110" s="9">
        <f>Raw!S111/Raw!$C111</f>
        <v>0</v>
      </c>
      <c r="T110" s="9">
        <f>Raw!T111/Raw!$C111</f>
        <v>0</v>
      </c>
      <c r="U110" s="9">
        <f>Raw!U111/Raw!$C111</f>
        <v>0</v>
      </c>
      <c r="V110" s="9">
        <f>Raw!V111/Raw!$C111</f>
        <v>0</v>
      </c>
      <c r="W110" s="9">
        <f>Raw!W111/Raw!$C111</f>
        <v>0</v>
      </c>
      <c r="X110" s="9">
        <f>Raw!X111/Raw!$C111</f>
        <v>87.5</v>
      </c>
      <c r="Y110" s="9">
        <f>Raw!Y111/Raw!$C111</f>
        <v>3.2499999999999991</v>
      </c>
      <c r="Z110" s="9">
        <f>Raw!Z111/Raw!$C111</f>
        <v>0</v>
      </c>
      <c r="AA110" s="9">
        <f>Raw!AA111/Raw!$C111</f>
        <v>0</v>
      </c>
      <c r="AB110" s="9">
        <f>Raw!AB111/Raw!$C111</f>
        <v>0</v>
      </c>
      <c r="AC110" s="9">
        <f>Raw!AC111/Raw!$C111</f>
        <v>0</v>
      </c>
      <c r="AD110" s="9">
        <f>Raw!AD111/Raw!$C111</f>
        <v>0</v>
      </c>
      <c r="AE110" s="9">
        <f>Raw!AE111/Raw!$C111</f>
        <v>0</v>
      </c>
      <c r="AF110" s="9">
        <f>Raw!AF111/Raw!$C111</f>
        <v>0</v>
      </c>
      <c r="AG110" s="9">
        <f>Raw!AG111/Raw!$C111</f>
        <v>0</v>
      </c>
      <c r="AH110" s="9">
        <f>Raw!AH111/Raw!$C111</f>
        <v>12.5</v>
      </c>
      <c r="AI110" s="9">
        <f>Raw!AI111/Raw!$C111</f>
        <v>4.1666666666667629E-2</v>
      </c>
      <c r="AJ110" s="9">
        <f>Raw!AJ111/Raw!$C111</f>
        <v>0</v>
      </c>
      <c r="AK110" s="9">
        <f>Raw!AK111/Raw!$C111</f>
        <v>0</v>
      </c>
      <c r="AL110" s="9">
        <f>Raw!AL111/Raw!$C111</f>
        <v>12.5</v>
      </c>
      <c r="AM110" s="9">
        <f>Raw!AM111/Raw!$C111</f>
        <v>423.54166666666669</v>
      </c>
      <c r="AN110" s="9">
        <f>Raw!AN111/Raw!$C111</f>
        <v>0</v>
      </c>
      <c r="AO110" s="9">
        <f>Raw!AO111/Raw!$C111</f>
        <v>0</v>
      </c>
      <c r="AP110" s="9">
        <f>Raw!AP111/Raw!$C111</f>
        <v>0</v>
      </c>
      <c r="AQ110" s="9">
        <f>Raw!AQ111/Raw!$C111</f>
        <v>0</v>
      </c>
      <c r="AR110" s="9">
        <f>Raw!AR111/Raw!$C111</f>
        <v>0</v>
      </c>
      <c r="AS110" s="9">
        <f>Raw!AS111/Raw!$C111</f>
        <v>0</v>
      </c>
      <c r="AT110" s="9">
        <f>Raw!AT111/Raw!$C111</f>
        <v>0</v>
      </c>
      <c r="AU110" s="9">
        <f>Raw!AU111/Raw!$C111</f>
        <v>0</v>
      </c>
      <c r="AV110" s="9">
        <f>Raw!AV111/Raw!$C111</f>
        <v>0</v>
      </c>
      <c r="AW110" s="9">
        <f>Raw!AW111/Raw!$C111</f>
        <v>0</v>
      </c>
      <c r="AX110" s="9">
        <f>Raw!AX111/Raw!$C111</f>
        <v>0</v>
      </c>
      <c r="AY110" s="9">
        <f>Raw!AY111/Raw!$C111</f>
        <v>0</v>
      </c>
      <c r="AZ110" s="9">
        <f>Raw!AZ111/Raw!$C111</f>
        <v>0</v>
      </c>
      <c r="BA110" s="9">
        <f>Raw!BA111/Raw!$C111</f>
        <v>0</v>
      </c>
      <c r="BB110" s="9">
        <f>Raw!BB111/Raw!$C111</f>
        <v>20.833333333333336</v>
      </c>
      <c r="BC110" s="9">
        <f>Raw!BC111/Raw!$C111</f>
        <v>1.6249999999999987</v>
      </c>
      <c r="BD110" s="9">
        <f>Raw!BD111/Raw!$C111</f>
        <v>4.166666666666667</v>
      </c>
      <c r="BE110" s="9">
        <f>Raw!BE111/Raw!$C111</f>
        <v>0.75000000000000067</v>
      </c>
      <c r="BF110" s="9">
        <f>Raw!BF111/Raw!$C111</f>
        <v>0</v>
      </c>
      <c r="BG110" s="9">
        <f>Raw!BG111/Raw!$C111</f>
        <v>0</v>
      </c>
      <c r="BH110" s="9">
        <f>Raw!BH111/Raw!$C111</f>
        <v>0</v>
      </c>
      <c r="BI110" s="9">
        <f>Raw!BI111/Raw!$C111</f>
        <v>0</v>
      </c>
      <c r="BJ110" s="9">
        <f>Raw!BJ111/Raw!$C111</f>
        <v>0</v>
      </c>
      <c r="BK110" s="9">
        <f>Raw!BK111/Raw!$C111</f>
        <v>0</v>
      </c>
      <c r="BL110" s="9">
        <f>Raw!BL111/Raw!$C111</f>
        <v>0</v>
      </c>
      <c r="BM110" s="9">
        <f>Raw!BM111/Raw!$C111</f>
        <v>0</v>
      </c>
      <c r="BN110" s="9">
        <f>Raw!BN111/Raw!$C111</f>
        <v>0</v>
      </c>
      <c r="BO110" s="9">
        <f>Raw!BO111/Raw!$C111</f>
        <v>0</v>
      </c>
      <c r="BP110" s="9">
        <f>Raw!BP111/Raw!$C111</f>
        <v>0</v>
      </c>
      <c r="BQ110" s="9">
        <f>Raw!BQ111/Raw!$C111</f>
        <v>0</v>
      </c>
      <c r="BR110" s="9">
        <f>Raw!BR111/Raw!$C111</f>
        <v>0</v>
      </c>
      <c r="BS110" s="9">
        <f>Raw!BS111/Raw!$C111</f>
        <v>0</v>
      </c>
      <c r="BT110" s="9">
        <f>Raw!BT111/Raw!$C111</f>
        <v>0</v>
      </c>
      <c r="BU110" s="9">
        <f>Raw!BU111/Raw!$C111</f>
        <v>0</v>
      </c>
      <c r="BV110" s="9">
        <f>Raw!BV111/Raw!$C111</f>
        <v>0</v>
      </c>
      <c r="BW110" s="9">
        <f>Raw!BW111/Raw!$C111</f>
        <v>0</v>
      </c>
      <c r="BX110" s="9">
        <f>Raw!BX111/Raw!$C111</f>
        <v>0</v>
      </c>
      <c r="BY110" s="9">
        <f>Raw!BY111/Raw!$C111</f>
        <v>0</v>
      </c>
      <c r="BZ110" s="9">
        <f>Raw!BZ111/Raw!$C111</f>
        <v>0</v>
      </c>
      <c r="CA110" s="9">
        <f>Raw!CA111/Raw!$C111</f>
        <v>0</v>
      </c>
      <c r="CB110" s="9">
        <f>Raw!CB111/Raw!$C111</f>
        <v>0</v>
      </c>
      <c r="CC110" s="9">
        <f>Raw!CC111/Raw!$C111</f>
        <v>0</v>
      </c>
      <c r="CD110" s="9">
        <f>Raw!CD111/Raw!$C111</f>
        <v>87.5</v>
      </c>
      <c r="CE110" s="9">
        <f>Raw!CE111/Raw!$C111</f>
        <v>1.6250000000000007</v>
      </c>
      <c r="CF110" s="9">
        <f>Raw!CF111/Raw!$C111</f>
        <v>0</v>
      </c>
      <c r="CG110" s="9">
        <f>Raw!CG111/Raw!$C111</f>
        <v>0</v>
      </c>
      <c r="CH110" s="9">
        <f>Raw!CH111/Raw!$C111</f>
        <v>0</v>
      </c>
      <c r="CI110" s="9">
        <f>Raw!CI111/Raw!$C111</f>
        <v>0</v>
      </c>
      <c r="CJ110" s="9">
        <f>Raw!CJ111/Raw!$C111</f>
        <v>0</v>
      </c>
      <c r="CK110" s="9">
        <f>Raw!CK111/Raw!$C111</f>
        <v>0</v>
      </c>
      <c r="CL110" s="9">
        <f>Raw!CL111/Raw!$C111</f>
        <v>4.166666666666667</v>
      </c>
      <c r="CM110" s="9">
        <f>Raw!CM111/Raw!$C111</f>
        <v>4.1666666666666706E-2</v>
      </c>
      <c r="CN110" s="9">
        <f>Raw!CN111/Raw!$C111</f>
        <v>0</v>
      </c>
      <c r="CO110" s="9">
        <f>Raw!CO111/Raw!$C111</f>
        <v>0</v>
      </c>
      <c r="CP110" s="9">
        <f>Raw!CP111/Raw!$C111</f>
        <v>0</v>
      </c>
      <c r="CQ110" s="9">
        <f>Raw!CQ111/Raw!$C111</f>
        <v>0</v>
      </c>
      <c r="CR110" s="2">
        <f t="shared" si="39"/>
        <v>362.50000000000006</v>
      </c>
      <c r="CS110" s="2">
        <f t="shared" si="40"/>
        <v>444.95833333333337</v>
      </c>
      <c r="CT110" s="3">
        <f t="shared" si="99"/>
        <v>2.5593080109070128</v>
      </c>
      <c r="CU110" s="3">
        <f t="shared" si="100"/>
        <v>2.6483193447997229</v>
      </c>
      <c r="CZ110" s="3">
        <f t="shared" si="101"/>
        <v>2.5593080109070128</v>
      </c>
      <c r="DA110" s="3">
        <f t="shared" si="102"/>
        <v>2.6483193447997229</v>
      </c>
      <c r="DB110" s="6">
        <f t="shared" si="103"/>
        <v>0.8129170893111296</v>
      </c>
      <c r="DC110">
        <v>8</v>
      </c>
      <c r="DD110" s="3">
        <f>DC110/Raw!C111</f>
        <v>33.333333333333336</v>
      </c>
      <c r="DE110" s="5">
        <f t="shared" si="104"/>
        <v>2.2068965517241374E-2</v>
      </c>
      <c r="DF110">
        <f t="shared" si="105"/>
        <v>-1.656218023915069</v>
      </c>
      <c r="DH110" s="4">
        <f>-SUM('Shannon-Weiner'!B109:Z109)</f>
        <v>1.1586970613400649</v>
      </c>
      <c r="DI110" s="4">
        <f>SUM('p^2'!B109:Z109)</f>
        <v>0.19936583432421723</v>
      </c>
      <c r="DJ110" s="4">
        <f t="shared" si="106"/>
        <v>0.80063416567578272</v>
      </c>
      <c r="DK110">
        <f t="shared" si="107"/>
        <v>5.0159045725646116</v>
      </c>
      <c r="DL110" s="4">
        <f>SUM('Shannon-Weiner_B'!B109:Z109)</f>
        <v>-0.22430458647149171</v>
      </c>
      <c r="DM110" s="4">
        <f>SUM('p_B^2'!B109:Z109)</f>
        <v>0.90712429571736353</v>
      </c>
      <c r="DN110" s="4">
        <f t="shared" si="108"/>
        <v>9.2875704282636473E-2</v>
      </c>
      <c r="DO110">
        <f t="shared" si="109"/>
        <v>1.1023847610753159</v>
      </c>
    </row>
    <row r="111" spans="2:119" x14ac:dyDescent="0.25">
      <c r="B111" t="str">
        <f>Raw!B112</f>
        <v>NB1</v>
      </c>
      <c r="C111">
        <v>1</v>
      </c>
      <c r="D111" s="9">
        <f>Raw!D112/Raw!$C112</f>
        <v>172</v>
      </c>
      <c r="E111" s="9">
        <f>Raw!E112/Raw!$C112</f>
        <v>74.239999999999995</v>
      </c>
      <c r="F111" s="9">
        <f>Raw!F112/Raw!$C112</f>
        <v>0</v>
      </c>
      <c r="G111" s="9">
        <f>Raw!G112/Raw!$C112</f>
        <v>0</v>
      </c>
      <c r="H111" s="9">
        <f>Raw!H112/Raw!$C112</f>
        <v>4</v>
      </c>
      <c r="I111" s="9">
        <f>Raw!I112/Raw!$C112</f>
        <v>0.39999999999999858</v>
      </c>
      <c r="J111" s="9">
        <f>Raw!J112/Raw!$C112</f>
        <v>12</v>
      </c>
      <c r="K111" s="9">
        <f>Raw!K112/Raw!$C112</f>
        <v>3.5199999999999996</v>
      </c>
      <c r="L111" s="9">
        <f>Raw!L112/Raw!$C112</f>
        <v>0</v>
      </c>
      <c r="M111" s="9">
        <f>Raw!M112/Raw!$C112</f>
        <v>0</v>
      </c>
      <c r="N111" s="9">
        <f>Raw!N112/Raw!$C112</f>
        <v>0</v>
      </c>
      <c r="O111" s="9">
        <f>Raw!O112/Raw!$C112</f>
        <v>0</v>
      </c>
      <c r="P111" s="9">
        <f>Raw!P112/Raw!$C112</f>
        <v>400</v>
      </c>
      <c r="Q111" s="9">
        <f>Raw!Q112/Raw!$C112</f>
        <v>78.640000000000015</v>
      </c>
      <c r="R111" s="9">
        <f>Raw!R112/Raw!$C112</f>
        <v>0</v>
      </c>
      <c r="S111" s="9">
        <f>Raw!S112/Raw!$C112</f>
        <v>0</v>
      </c>
      <c r="T111" s="9">
        <f>Raw!T112/Raw!$C112</f>
        <v>0</v>
      </c>
      <c r="U111" s="9">
        <f>Raw!U112/Raw!$C112</f>
        <v>0</v>
      </c>
      <c r="V111" s="9">
        <f>Raw!V112/Raw!$C112</f>
        <v>40</v>
      </c>
      <c r="W111" s="9">
        <f>Raw!W112/Raw!$C112</f>
        <v>10.920000000000002</v>
      </c>
      <c r="X111" s="9">
        <f>Raw!X112/Raw!$C112</f>
        <v>52</v>
      </c>
      <c r="Y111" s="9">
        <f>Raw!Y112/Raw!$C112</f>
        <v>8.32</v>
      </c>
      <c r="Z111" s="9">
        <f>Raw!Z112/Raw!$C112</f>
        <v>4</v>
      </c>
      <c r="AA111" s="9">
        <f>Raw!AA112/Raw!$C112</f>
        <v>8.0000000000000071E-2</v>
      </c>
      <c r="AB111" s="9">
        <f>Raw!AB112/Raw!$C112</f>
        <v>0</v>
      </c>
      <c r="AC111" s="9">
        <f>Raw!AC112/Raw!$C112</f>
        <v>0</v>
      </c>
      <c r="AD111" s="9">
        <f>Raw!AD112/Raw!$C112</f>
        <v>0</v>
      </c>
      <c r="AE111" s="9">
        <f>Raw!AE112/Raw!$C112</f>
        <v>0</v>
      </c>
      <c r="AF111" s="9">
        <f>Raw!AF112/Raw!$C112</f>
        <v>8</v>
      </c>
      <c r="AG111" s="9">
        <f>Raw!AG112/Raw!$C112</f>
        <v>1.5199999999999996</v>
      </c>
      <c r="AH111" s="9">
        <f>Raw!AH112/Raw!$C112</f>
        <v>28</v>
      </c>
      <c r="AI111" s="9">
        <f>Raw!AI112/Raw!$C112</f>
        <v>174.88</v>
      </c>
      <c r="AJ111" s="9">
        <f>Raw!AJ112/Raw!$C112</f>
        <v>0</v>
      </c>
      <c r="AK111" s="9">
        <f>Raw!AK112/Raw!$C112</f>
        <v>0</v>
      </c>
      <c r="AL111" s="9">
        <f>Raw!AL112/Raw!$C112</f>
        <v>8</v>
      </c>
      <c r="AM111" s="9">
        <f>Raw!AM112/Raw!$C112</f>
        <v>6.240000000000002</v>
      </c>
      <c r="AN111" s="9">
        <f>Raw!AN112/Raw!$C112</f>
        <v>0</v>
      </c>
      <c r="AO111" s="9">
        <f>Raw!AO112/Raw!$C112</f>
        <v>0</v>
      </c>
      <c r="AP111" s="9">
        <f>Raw!AP112/Raw!$C112</f>
        <v>0</v>
      </c>
      <c r="AQ111" s="9">
        <f>Raw!AQ112/Raw!$C112</f>
        <v>0</v>
      </c>
      <c r="AR111" s="9">
        <f>Raw!AR112/Raw!$C112</f>
        <v>0</v>
      </c>
      <c r="AS111" s="9">
        <f>Raw!AS112/Raw!$C112</f>
        <v>0</v>
      </c>
      <c r="AT111" s="9">
        <f>Raw!AT112/Raw!$C112</f>
        <v>0</v>
      </c>
      <c r="AU111" s="9">
        <f>Raw!AU112/Raw!$C112</f>
        <v>0</v>
      </c>
      <c r="AV111" s="9">
        <f>Raw!AV112/Raw!$C112</f>
        <v>8</v>
      </c>
      <c r="AW111" s="9">
        <f>Raw!AW112/Raw!$C112</f>
        <v>2.120000000000001</v>
      </c>
      <c r="AX111" s="9">
        <f>Raw!AX112/Raw!$C112</f>
        <v>0</v>
      </c>
      <c r="AY111" s="9">
        <f>Raw!AY112/Raw!$C112</f>
        <v>0</v>
      </c>
      <c r="AZ111" s="9">
        <f>Raw!AZ112/Raw!$C112</f>
        <v>0</v>
      </c>
      <c r="BA111" s="9">
        <f>Raw!BA112/Raw!$C112</f>
        <v>0</v>
      </c>
      <c r="BB111" s="9">
        <f>Raw!BB112/Raw!$C112</f>
        <v>0</v>
      </c>
      <c r="BC111" s="9">
        <f>Raw!BC112/Raw!$C112</f>
        <v>0</v>
      </c>
      <c r="BD111" s="9">
        <f>Raw!BD112/Raw!$C112</f>
        <v>0</v>
      </c>
      <c r="BE111" s="9">
        <f>Raw!BE112/Raw!$C112</f>
        <v>0</v>
      </c>
      <c r="BF111" s="9">
        <f>Raw!BF112/Raw!$C112</f>
        <v>0</v>
      </c>
      <c r="BG111" s="9">
        <f>Raw!BG112/Raw!$C112</f>
        <v>0</v>
      </c>
      <c r="BH111" s="9">
        <f>Raw!BH112/Raw!$C112</f>
        <v>0</v>
      </c>
      <c r="BI111" s="9">
        <f>Raw!BI112/Raw!$C112</f>
        <v>0</v>
      </c>
      <c r="BJ111" s="9">
        <f>Raw!BJ112/Raw!$C112</f>
        <v>0</v>
      </c>
      <c r="BK111" s="9">
        <f>Raw!BK112/Raw!$C112</f>
        <v>0</v>
      </c>
      <c r="BL111" s="9">
        <f>Raw!BL112/Raw!$C112</f>
        <v>0</v>
      </c>
      <c r="BM111" s="9">
        <f>Raw!BM112/Raw!$C112</f>
        <v>0</v>
      </c>
      <c r="BN111" s="9">
        <f>Raw!BN112/Raw!$C112</f>
        <v>0</v>
      </c>
      <c r="BO111" s="9">
        <f>Raw!BO112/Raw!$C112</f>
        <v>0</v>
      </c>
      <c r="BP111" s="9">
        <f>Raw!BP112/Raw!$C112</f>
        <v>0</v>
      </c>
      <c r="BQ111" s="9">
        <f>Raw!BQ112/Raw!$C112</f>
        <v>0</v>
      </c>
      <c r="BR111" s="9">
        <f>Raw!BR112/Raw!$C112</f>
        <v>4</v>
      </c>
      <c r="BS111" s="9">
        <f>Raw!BS112/Raw!$C112</f>
        <v>0.72000000000000064</v>
      </c>
      <c r="BT111" s="9">
        <f>Raw!BT112/Raw!$C112</f>
        <v>4</v>
      </c>
      <c r="BU111" s="9">
        <f>Raw!BU112/Raw!$C112</f>
        <v>7.5599999999999987</v>
      </c>
      <c r="BV111" s="9">
        <f>Raw!BV112/Raw!$C112</f>
        <v>0</v>
      </c>
      <c r="BW111" s="9">
        <f>Raw!BW112/Raw!$C112</f>
        <v>0</v>
      </c>
      <c r="BX111" s="9">
        <f>Raw!BX112/Raw!$C112</f>
        <v>0</v>
      </c>
      <c r="BY111" s="9">
        <f>Raw!BY112/Raw!$C112</f>
        <v>0</v>
      </c>
      <c r="BZ111" s="9">
        <f>Raw!BZ112/Raw!$C112</f>
        <v>24</v>
      </c>
      <c r="CA111" s="9">
        <f>Raw!CA112/Raw!$C112</f>
        <v>2.1999999999999993</v>
      </c>
      <c r="CB111" s="9">
        <f>Raw!CB112/Raw!$C112</f>
        <v>0</v>
      </c>
      <c r="CC111" s="9">
        <f>Raw!CC112/Raw!$C112</f>
        <v>0</v>
      </c>
      <c r="CD111" s="9">
        <f>Raw!CD112/Raw!$C112</f>
        <v>0</v>
      </c>
      <c r="CE111" s="9">
        <f>Raw!CE112/Raw!$C112</f>
        <v>0</v>
      </c>
      <c r="CF111" s="9">
        <f>Raw!CF112/Raw!$C112</f>
        <v>0</v>
      </c>
      <c r="CG111" s="9">
        <f>Raw!CG112/Raw!$C112</f>
        <v>0</v>
      </c>
      <c r="CH111" s="9">
        <f>Raw!CH112/Raw!$C112</f>
        <v>0</v>
      </c>
      <c r="CI111" s="9">
        <f>Raw!CI112/Raw!$C112</f>
        <v>0</v>
      </c>
      <c r="CJ111" s="9">
        <f>Raw!CJ112/Raw!$C112</f>
        <v>0</v>
      </c>
      <c r="CK111" s="9">
        <f>Raw!CK112/Raw!$C112</f>
        <v>0</v>
      </c>
      <c r="CL111" s="9">
        <f>Raw!CL112/Raw!$C112</f>
        <v>0</v>
      </c>
      <c r="CM111" s="9">
        <f>Raw!CM112/Raw!$C112</f>
        <v>0</v>
      </c>
      <c r="CN111" s="9">
        <f>Raw!CN112/Raw!$C112</f>
        <v>0</v>
      </c>
      <c r="CO111" s="9">
        <f>Raw!CO112/Raw!$C112</f>
        <v>0</v>
      </c>
      <c r="CP111" s="9">
        <f>Raw!CP112/Raw!$C112</f>
        <v>0</v>
      </c>
      <c r="CQ111" s="9">
        <f>Raw!CQ112/Raw!$C112</f>
        <v>0</v>
      </c>
      <c r="CR111" s="2">
        <f t="shared" si="39"/>
        <v>768</v>
      </c>
      <c r="CS111" s="2">
        <f t="shared" si="40"/>
        <v>371.36000000000007</v>
      </c>
      <c r="CT111" s="3">
        <f t="shared" si="88"/>
        <v>2.8853612200315122</v>
      </c>
      <c r="CU111" s="3">
        <f t="shared" si="89"/>
        <v>2.5697951231118425</v>
      </c>
      <c r="CZ111" s="3">
        <f t="shared" si="90"/>
        <v>2.8853612200315122</v>
      </c>
      <c r="DA111" s="3">
        <f t="shared" si="91"/>
        <v>2.5697951231118425</v>
      </c>
      <c r="DB111" s="6">
        <f t="shared" si="92"/>
        <v>0.79575489477588079</v>
      </c>
      <c r="DC111">
        <v>14</v>
      </c>
      <c r="DD111" s="3">
        <f>DC111/Raw!C112</f>
        <v>56</v>
      </c>
      <c r="DE111" s="5">
        <f t="shared" si="93"/>
        <v>1.8229166666666668E-2</v>
      </c>
      <c r="DF111">
        <f t="shared" si="94"/>
        <v>-1.739233184353274</v>
      </c>
      <c r="DH111" s="4">
        <f>-SUM('Shannon-Weiner'!B110:Z110)</f>
        <v>1.2402871797888049</v>
      </c>
      <c r="DI111" s="4">
        <f>SUM('p^2'!B106:Z106)</f>
        <v>0.18934911242603553</v>
      </c>
      <c r="DJ111" s="4">
        <f t="shared" si="95"/>
        <v>0.81065088757396442</v>
      </c>
      <c r="DK111">
        <f t="shared" si="96"/>
        <v>5.2812499999999991</v>
      </c>
      <c r="DL111" s="4">
        <f>SUM('Shannon-Weiner_B'!B106:Z106)</f>
        <v>-0.45355348298751341</v>
      </c>
      <c r="DM111" s="4">
        <f>SUM('p_B^2'!B106:Z106)</f>
        <v>0.77784941656126361</v>
      </c>
      <c r="DN111" s="4">
        <f t="shared" si="97"/>
        <v>0.22215058343873639</v>
      </c>
      <c r="DO111">
        <f t="shared" si="98"/>
        <v>1.2855958733257464</v>
      </c>
    </row>
    <row r="112" spans="2:119" x14ac:dyDescent="0.25">
      <c r="B112" t="str">
        <f>Raw!B113</f>
        <v>NB2</v>
      </c>
      <c r="C112">
        <v>1</v>
      </c>
      <c r="D112" s="9">
        <f>Raw!D113/Raw!$C113</f>
        <v>264</v>
      </c>
      <c r="E112" s="9">
        <f>Raw!E113/Raw!$C113</f>
        <v>113.64000000000001</v>
      </c>
      <c r="F112" s="9">
        <f>Raw!F113/Raw!$C113</f>
        <v>8</v>
      </c>
      <c r="G112" s="9">
        <f>Raw!G113/Raw!$C113</f>
        <v>6.3599999999999994</v>
      </c>
      <c r="H112" s="9">
        <f>Raw!H113/Raw!$C113</f>
        <v>4</v>
      </c>
      <c r="I112" s="9">
        <f>Raw!I113/Raw!$C113</f>
        <v>0.02</v>
      </c>
      <c r="J112" s="9">
        <f>Raw!J113/Raw!$C113</f>
        <v>16</v>
      </c>
      <c r="K112" s="9">
        <f>Raw!K113/Raw!$C113</f>
        <v>0.76000000000000156</v>
      </c>
      <c r="L112" s="9">
        <f>Raw!L113/Raw!$C113</f>
        <v>0</v>
      </c>
      <c r="M112" s="9">
        <f>Raw!M113/Raw!$C113</f>
        <v>0</v>
      </c>
      <c r="N112" s="9">
        <f>Raw!N113/Raw!$C113</f>
        <v>4</v>
      </c>
      <c r="O112" s="9">
        <f>Raw!O113/Raw!$C113</f>
        <v>8.0000000000001847E-2</v>
      </c>
      <c r="P112" s="9">
        <f>Raw!P113/Raw!$C113</f>
        <v>172</v>
      </c>
      <c r="Q112" s="9">
        <f>Raw!Q113/Raw!$C113</f>
        <v>28.440000000000005</v>
      </c>
      <c r="R112" s="9">
        <f>Raw!R113/Raw!$C113</f>
        <v>8</v>
      </c>
      <c r="S112" s="9">
        <f>Raw!S113/Raw!$C113</f>
        <v>0.24000000000000199</v>
      </c>
      <c r="T112" s="9">
        <f>Raw!T113/Raw!$C113</f>
        <v>0</v>
      </c>
      <c r="U112" s="9">
        <f>Raw!U113/Raw!$C113</f>
        <v>0</v>
      </c>
      <c r="V112" s="9">
        <f>Raw!V113/Raw!$C113</f>
        <v>4</v>
      </c>
      <c r="W112" s="9">
        <f>Raw!W113/Raw!$C113</f>
        <v>5.7200000000000024</v>
      </c>
      <c r="X112" s="9">
        <f>Raw!X113/Raw!$C113</f>
        <v>20</v>
      </c>
      <c r="Y112" s="9">
        <f>Raw!Y113/Raw!$C113</f>
        <v>1.0800000000000018</v>
      </c>
      <c r="Z112" s="9">
        <f>Raw!Z113/Raw!$C113</f>
        <v>8</v>
      </c>
      <c r="AA112" s="9">
        <f>Raw!AA113/Raw!$C113</f>
        <v>0.48000000000000043</v>
      </c>
      <c r="AB112" s="9">
        <f>Raw!AB113/Raw!$C113</f>
        <v>0</v>
      </c>
      <c r="AC112" s="9">
        <f>Raw!AC113/Raw!$C113</f>
        <v>0</v>
      </c>
      <c r="AD112" s="9">
        <f>Raw!AD113/Raw!$C113</f>
        <v>4</v>
      </c>
      <c r="AE112" s="9">
        <f>Raw!AE113/Raw!$C113</f>
        <v>0.59999999999999787</v>
      </c>
      <c r="AF112" s="9">
        <f>Raw!AF113/Raw!$C113</f>
        <v>0</v>
      </c>
      <c r="AG112" s="9">
        <f>Raw!AG113/Raw!$C113</f>
        <v>0</v>
      </c>
      <c r="AH112" s="9">
        <f>Raw!AH113/Raw!$C113</f>
        <v>24</v>
      </c>
      <c r="AI112" s="9">
        <f>Raw!AI113/Raw!$C113</f>
        <v>126</v>
      </c>
      <c r="AJ112" s="9">
        <f>Raw!AJ113/Raw!$C113</f>
        <v>0</v>
      </c>
      <c r="AK112" s="9">
        <f>Raw!AK113/Raw!$C113</f>
        <v>0</v>
      </c>
      <c r="AL112" s="9">
        <f>Raw!AL113/Raw!$C113</f>
        <v>4</v>
      </c>
      <c r="AM112" s="9">
        <f>Raw!AM113/Raw!$C113</f>
        <v>2.4399999999999977</v>
      </c>
      <c r="AN112" s="9">
        <f>Raw!AN113/Raw!$C113</f>
        <v>0</v>
      </c>
      <c r="AO112" s="9">
        <f>Raw!AO113/Raw!$C113</f>
        <v>0</v>
      </c>
      <c r="AP112" s="9">
        <f>Raw!AP113/Raw!$C113</f>
        <v>0</v>
      </c>
      <c r="AQ112" s="9">
        <f>Raw!AQ113/Raw!$C113</f>
        <v>0</v>
      </c>
      <c r="AR112" s="9">
        <f>Raw!AR113/Raw!$C113</f>
        <v>0</v>
      </c>
      <c r="AS112" s="9">
        <f>Raw!AS113/Raw!$C113</f>
        <v>0</v>
      </c>
      <c r="AT112" s="9">
        <f>Raw!AT113/Raw!$C113</f>
        <v>0</v>
      </c>
      <c r="AU112" s="9">
        <f>Raw!AU113/Raw!$C113</f>
        <v>0</v>
      </c>
      <c r="AV112" s="9">
        <f>Raw!AV113/Raw!$C113</f>
        <v>8</v>
      </c>
      <c r="AW112" s="9">
        <f>Raw!AW113/Raw!$C113</f>
        <v>1.1599999999999966</v>
      </c>
      <c r="AX112" s="9">
        <f>Raw!AX113/Raw!$C113</f>
        <v>0</v>
      </c>
      <c r="AY112" s="9">
        <f>Raw!AY113/Raw!$C113</f>
        <v>0</v>
      </c>
      <c r="AZ112" s="9">
        <f>Raw!AZ113/Raw!$C113</f>
        <v>48</v>
      </c>
      <c r="BA112" s="9">
        <f>Raw!BA113/Raw!$C113</f>
        <v>0.48000000000000043</v>
      </c>
      <c r="BB112" s="9">
        <f>Raw!BB113/Raw!$C113</f>
        <v>0</v>
      </c>
      <c r="BC112" s="9">
        <f>Raw!BC113/Raw!$C113</f>
        <v>0</v>
      </c>
      <c r="BD112" s="9">
        <f>Raw!BD113/Raw!$C113</f>
        <v>0</v>
      </c>
      <c r="BE112" s="9">
        <f>Raw!BE113/Raw!$C113</f>
        <v>0</v>
      </c>
      <c r="BF112" s="9">
        <f>Raw!BF113/Raw!$C113</f>
        <v>0</v>
      </c>
      <c r="BG112" s="9">
        <f>Raw!BG113/Raw!$C113</f>
        <v>0</v>
      </c>
      <c r="BH112" s="9">
        <f>Raw!BH113/Raw!$C113</f>
        <v>0</v>
      </c>
      <c r="BI112" s="9">
        <f>Raw!BI113/Raw!$C113</f>
        <v>0</v>
      </c>
      <c r="BJ112" s="9">
        <f>Raw!BJ113/Raw!$C113</f>
        <v>36</v>
      </c>
      <c r="BK112" s="9">
        <f>Raw!BK113/Raw!$C113</f>
        <v>0.80000000000000426</v>
      </c>
      <c r="BL112" s="9">
        <f>Raw!BL113/Raw!$C113</f>
        <v>8</v>
      </c>
      <c r="BM112" s="9">
        <f>Raw!BM113/Raw!$C113</f>
        <v>0.24000000000000021</v>
      </c>
      <c r="BN112" s="9">
        <f>Raw!BN113/Raw!$C113</f>
        <v>0</v>
      </c>
      <c r="BO112" s="9">
        <f>Raw!BO113/Raw!$C113</f>
        <v>0</v>
      </c>
      <c r="BP112" s="9">
        <f>Raw!BP113/Raw!$C113</f>
        <v>0</v>
      </c>
      <c r="BQ112" s="9">
        <f>Raw!BQ113/Raw!$C113</f>
        <v>0</v>
      </c>
      <c r="BR112" s="9">
        <f>Raw!BR113/Raw!$C113</f>
        <v>0</v>
      </c>
      <c r="BS112" s="9">
        <f>Raw!BS113/Raw!$C113</f>
        <v>0</v>
      </c>
      <c r="BT112" s="9">
        <f>Raw!BT113/Raw!$C113</f>
        <v>4</v>
      </c>
      <c r="BU112" s="9">
        <f>Raw!BU113/Raw!$C113</f>
        <v>8.0000000000001847E-2</v>
      </c>
      <c r="BV112" s="9">
        <f>Raw!BV113/Raw!$C113</f>
        <v>8</v>
      </c>
      <c r="BW112" s="9">
        <f>Raw!BW113/Raw!$C113</f>
        <v>0.19999999999999929</v>
      </c>
      <c r="BX112" s="9">
        <f>Raw!BX113/Raw!$C113</f>
        <v>0</v>
      </c>
      <c r="BY112" s="9">
        <f>Raw!BY113/Raw!$C113</f>
        <v>0</v>
      </c>
      <c r="BZ112" s="9">
        <f>Raw!BZ113/Raw!$C113</f>
        <v>16</v>
      </c>
      <c r="CA112" s="9">
        <f>Raw!CA113/Raw!$C113</f>
        <v>1.1999999999999993</v>
      </c>
      <c r="CB112" s="9">
        <f>Raw!CB113/Raw!$C113</f>
        <v>20</v>
      </c>
      <c r="CC112" s="9">
        <f>Raw!CC113/Raw!$C113</f>
        <v>56.56</v>
      </c>
      <c r="CD112" s="9">
        <f>Raw!CD113/Raw!$C113</f>
        <v>0</v>
      </c>
      <c r="CE112" s="9">
        <f>Raw!CE113/Raw!$C113</f>
        <v>0</v>
      </c>
      <c r="CF112" s="9">
        <f>Raw!CF113/Raw!$C113</f>
        <v>0</v>
      </c>
      <c r="CG112" s="9">
        <f>Raw!CG113/Raw!$C113</f>
        <v>0</v>
      </c>
      <c r="CH112" s="9">
        <f>Raw!CH113/Raw!$C113</f>
        <v>0</v>
      </c>
      <c r="CI112" s="9">
        <f>Raw!CI113/Raw!$C113</f>
        <v>0</v>
      </c>
      <c r="CJ112" s="9">
        <f>Raw!CJ113/Raw!$C113</f>
        <v>0</v>
      </c>
      <c r="CK112" s="9">
        <f>Raw!CK113/Raw!$C113</f>
        <v>0</v>
      </c>
      <c r="CL112" s="9">
        <f>Raw!CL113/Raw!$C113</f>
        <v>0</v>
      </c>
      <c r="CM112" s="9">
        <f>Raw!CM113/Raw!$C113</f>
        <v>0</v>
      </c>
      <c r="CN112" s="9">
        <f>Raw!CN113/Raw!$C113</f>
        <v>0</v>
      </c>
      <c r="CO112" s="9">
        <f>Raw!CO113/Raw!$C113</f>
        <v>0</v>
      </c>
      <c r="CP112" s="9">
        <f>Raw!CP113/Raw!$C113</f>
        <v>0</v>
      </c>
      <c r="CQ112" s="9">
        <f>Raw!CQ113/Raw!$C113</f>
        <v>0</v>
      </c>
      <c r="CR112" s="2">
        <f t="shared" si="39"/>
        <v>736</v>
      </c>
      <c r="CS112" s="2">
        <f t="shared" si="40"/>
        <v>347.06</v>
      </c>
      <c r="CT112" s="3">
        <f t="shared" si="88"/>
        <v>2.8668778143374989</v>
      </c>
      <c r="CU112" s="3">
        <f t="shared" si="89"/>
        <v>2.5404045624460596</v>
      </c>
      <c r="CZ112" s="3">
        <f t="shared" si="90"/>
        <v>2.8668778143374989</v>
      </c>
      <c r="DA112" s="3">
        <f t="shared" si="91"/>
        <v>2.5404045624460596</v>
      </c>
      <c r="DB112" s="6">
        <f t="shared" si="92"/>
        <v>0.81670494011327233</v>
      </c>
      <c r="DC112">
        <v>21</v>
      </c>
      <c r="DD112" s="3">
        <f>DC112/Raw!C113</f>
        <v>84</v>
      </c>
      <c r="DE112" s="5">
        <f t="shared" si="93"/>
        <v>2.8532608695652172E-2</v>
      </c>
      <c r="DF112">
        <f t="shared" si="94"/>
        <v>-1.5446585196035796</v>
      </c>
      <c r="DH112" s="4">
        <f>-SUM('Shannon-Weiner'!B111:Z111)</f>
        <v>1.4883407234435251</v>
      </c>
      <c r="DI112" s="4">
        <f>SUM('p^2'!B107:Z107)</f>
        <v>0.11937338885583978</v>
      </c>
      <c r="DJ112" s="4">
        <f t="shared" si="95"/>
        <v>0.88062661114416019</v>
      </c>
      <c r="DK112">
        <f t="shared" si="96"/>
        <v>8.3770764119601324</v>
      </c>
      <c r="DL112" s="4">
        <f>SUM('Shannon-Weiner_B'!B107:Z107)</f>
        <v>-1.0560259467581676</v>
      </c>
      <c r="DM112" s="4">
        <f>SUM('p_B^2'!B107:Z107)</f>
        <v>0.38433861481740211</v>
      </c>
      <c r="DN112" s="4">
        <f t="shared" si="97"/>
        <v>0.61566138518259783</v>
      </c>
      <c r="DO112">
        <f t="shared" si="98"/>
        <v>2.6018723111522282</v>
      </c>
    </row>
    <row r="113" spans="2:119" x14ac:dyDescent="0.25">
      <c r="B113" t="str">
        <f>Raw!B114</f>
        <v>NB3</v>
      </c>
      <c r="C113">
        <v>1</v>
      </c>
      <c r="D113" s="9">
        <f>Raw!D114/Raw!$C114</f>
        <v>332</v>
      </c>
      <c r="E113" s="9">
        <f>Raw!E114/Raw!$C114</f>
        <v>70.400000000000006</v>
      </c>
      <c r="F113" s="9">
        <f>Raw!F114/Raw!$C114</f>
        <v>56</v>
      </c>
      <c r="G113" s="9">
        <f>Raw!G114/Raw!$C114</f>
        <v>16.64</v>
      </c>
      <c r="H113" s="9">
        <f>Raw!H114/Raw!$C114</f>
        <v>12</v>
      </c>
      <c r="I113" s="9">
        <f>Raw!I114/Raw!$C114</f>
        <v>10.759999999999998</v>
      </c>
      <c r="J113" s="9">
        <f>Raw!J114/Raw!$C114</f>
        <v>32</v>
      </c>
      <c r="K113" s="9">
        <f>Raw!K114/Raw!$C114</f>
        <v>1.1200000000000045</v>
      </c>
      <c r="L113" s="9">
        <f>Raw!L114/Raw!$C114</f>
        <v>0</v>
      </c>
      <c r="M113" s="9">
        <f>Raw!M114/Raw!$C114</f>
        <v>0</v>
      </c>
      <c r="N113" s="9">
        <f>Raw!N114/Raw!$C114</f>
        <v>8</v>
      </c>
      <c r="O113" s="9">
        <f>Raw!O114/Raw!$C114</f>
        <v>3.8799999999999955</v>
      </c>
      <c r="P113" s="9">
        <f>Raw!P114/Raw!$C114</f>
        <v>112</v>
      </c>
      <c r="Q113" s="9">
        <f>Raw!Q114/Raw!$C114</f>
        <v>17.04</v>
      </c>
      <c r="R113" s="9">
        <f>Raw!R114/Raw!$C114</f>
        <v>0</v>
      </c>
      <c r="S113" s="9">
        <f>Raw!S114/Raw!$C114</f>
        <v>0</v>
      </c>
      <c r="T113" s="9">
        <f>Raw!T114/Raw!$C114</f>
        <v>0</v>
      </c>
      <c r="U113" s="9">
        <f>Raw!U114/Raw!$C114</f>
        <v>0</v>
      </c>
      <c r="V113" s="9">
        <f>Raw!V114/Raw!$C114</f>
        <v>8</v>
      </c>
      <c r="W113" s="9">
        <f>Raw!W114/Raw!$C114</f>
        <v>1.0400000000000027</v>
      </c>
      <c r="X113" s="9">
        <f>Raw!X114/Raw!$C114</f>
        <v>16</v>
      </c>
      <c r="Y113" s="9">
        <f>Raw!Y114/Raw!$C114</f>
        <v>0.71999999999999886</v>
      </c>
      <c r="Z113" s="9">
        <f>Raw!Z114/Raw!$C114</f>
        <v>4</v>
      </c>
      <c r="AA113" s="9">
        <f>Raw!AA114/Raw!$C114</f>
        <v>0.11999999999999744</v>
      </c>
      <c r="AB113" s="9">
        <f>Raw!AB114/Raw!$C114</f>
        <v>0</v>
      </c>
      <c r="AC113" s="9">
        <f>Raw!AC114/Raw!$C114</f>
        <v>0</v>
      </c>
      <c r="AD113" s="9">
        <f>Raw!AD114/Raw!$C114</f>
        <v>0</v>
      </c>
      <c r="AE113" s="9">
        <f>Raw!AE114/Raw!$C114</f>
        <v>0</v>
      </c>
      <c r="AF113" s="9">
        <f>Raw!AF114/Raw!$C114</f>
        <v>16</v>
      </c>
      <c r="AG113" s="9">
        <f>Raw!AG114/Raw!$C114</f>
        <v>9.4399999999999977</v>
      </c>
      <c r="AH113" s="9">
        <f>Raw!AH114/Raw!$C114</f>
        <v>64</v>
      </c>
      <c r="AI113" s="9">
        <f>Raw!AI114/Raw!$C114</f>
        <v>11.64</v>
      </c>
      <c r="AJ113" s="9">
        <f>Raw!AJ114/Raw!$C114</f>
        <v>0</v>
      </c>
      <c r="AK113" s="9">
        <f>Raw!AK114/Raw!$C114</f>
        <v>0</v>
      </c>
      <c r="AL113" s="9">
        <f>Raw!AL114/Raw!$C114</f>
        <v>12</v>
      </c>
      <c r="AM113" s="9">
        <f>Raw!AM114/Raw!$C114</f>
        <v>18.96</v>
      </c>
      <c r="AN113" s="9">
        <f>Raw!AN114/Raw!$C114</f>
        <v>0</v>
      </c>
      <c r="AO113" s="9">
        <f>Raw!AO114/Raw!$C114</f>
        <v>0</v>
      </c>
      <c r="AP113" s="9">
        <f>Raw!AP114/Raw!$C114</f>
        <v>0</v>
      </c>
      <c r="AQ113" s="9">
        <f>Raw!AQ114/Raw!$C114</f>
        <v>0</v>
      </c>
      <c r="AR113" s="9">
        <f>Raw!AR114/Raw!$C114</f>
        <v>0</v>
      </c>
      <c r="AS113" s="9">
        <f>Raw!AS114/Raw!$C114</f>
        <v>0</v>
      </c>
      <c r="AT113" s="9">
        <f>Raw!AT114/Raw!$C114</f>
        <v>0</v>
      </c>
      <c r="AU113" s="9">
        <f>Raw!AU114/Raw!$C114</f>
        <v>0</v>
      </c>
      <c r="AV113" s="9">
        <f>Raw!AV114/Raw!$C114</f>
        <v>16</v>
      </c>
      <c r="AW113" s="9">
        <f>Raw!AW114/Raw!$C114</f>
        <v>3.6000000000000014</v>
      </c>
      <c r="AX113" s="9">
        <f>Raw!AX114/Raw!$C114</f>
        <v>0</v>
      </c>
      <c r="AY113" s="9">
        <f>Raw!AY114/Raw!$C114</f>
        <v>0</v>
      </c>
      <c r="AZ113" s="9">
        <f>Raw!AZ114/Raw!$C114</f>
        <v>32</v>
      </c>
      <c r="BA113" s="9">
        <f>Raw!BA114/Raw!$C114</f>
        <v>0.43999999999999773</v>
      </c>
      <c r="BB113" s="9">
        <f>Raw!BB114/Raw!$C114</f>
        <v>0</v>
      </c>
      <c r="BC113" s="9">
        <f>Raw!BC114/Raw!$C114</f>
        <v>0</v>
      </c>
      <c r="BD113" s="9">
        <f>Raw!BD114/Raw!$C114</f>
        <v>0</v>
      </c>
      <c r="BE113" s="9">
        <f>Raw!BE114/Raw!$C114</f>
        <v>0</v>
      </c>
      <c r="BF113" s="9">
        <f>Raw!BF114/Raw!$C114</f>
        <v>0</v>
      </c>
      <c r="BG113" s="9">
        <f>Raw!BG114/Raw!$C114</f>
        <v>0</v>
      </c>
      <c r="BH113" s="9">
        <f>Raw!BH114/Raw!$C114</f>
        <v>0</v>
      </c>
      <c r="BI113" s="9">
        <f>Raw!BI114/Raw!$C114</f>
        <v>0</v>
      </c>
      <c r="BJ113" s="9">
        <f>Raw!BJ114/Raw!$C114</f>
        <v>16</v>
      </c>
      <c r="BK113" s="9">
        <f>Raw!BK114/Raw!$C114</f>
        <v>0.39999999999999858</v>
      </c>
      <c r="BL113" s="9">
        <f>Raw!BL114/Raw!$C114</f>
        <v>0</v>
      </c>
      <c r="BM113" s="9">
        <f>Raw!BM114/Raw!$C114</f>
        <v>0</v>
      </c>
      <c r="BN113" s="9">
        <f>Raw!BN114/Raw!$C114</f>
        <v>0</v>
      </c>
      <c r="BO113" s="9">
        <f>Raw!BO114/Raw!$C114</f>
        <v>0</v>
      </c>
      <c r="BP113" s="9">
        <f>Raw!BP114/Raw!$C114</f>
        <v>0</v>
      </c>
      <c r="BQ113" s="9">
        <f>Raw!BQ114/Raw!$C114</f>
        <v>0</v>
      </c>
      <c r="BR113" s="9">
        <f>Raw!BR114/Raw!$C114</f>
        <v>0</v>
      </c>
      <c r="BS113" s="9">
        <f>Raw!BS114/Raw!$C114</f>
        <v>0</v>
      </c>
      <c r="BT113" s="9">
        <f>Raw!BT114/Raw!$C114</f>
        <v>8</v>
      </c>
      <c r="BU113" s="9">
        <f>Raw!BU114/Raw!$C114</f>
        <v>3.4799999999999991</v>
      </c>
      <c r="BV113" s="9">
        <f>Raw!BV114/Raw!$C114</f>
        <v>0</v>
      </c>
      <c r="BW113" s="9">
        <f>Raw!BW114/Raw!$C114</f>
        <v>0</v>
      </c>
      <c r="BX113" s="9">
        <f>Raw!BX114/Raw!$C114</f>
        <v>0</v>
      </c>
      <c r="BY113" s="9">
        <f>Raw!BY114/Raw!$C114</f>
        <v>0</v>
      </c>
      <c r="BZ113" s="9">
        <f>Raw!BZ114/Raw!$C114</f>
        <v>0</v>
      </c>
      <c r="CA113" s="9">
        <f>Raw!CA114/Raw!$C114</f>
        <v>0</v>
      </c>
      <c r="CB113" s="9">
        <f>Raw!CB114/Raw!$C114</f>
        <v>0</v>
      </c>
      <c r="CC113" s="9">
        <f>Raw!CC114/Raw!$C114</f>
        <v>0</v>
      </c>
      <c r="CD113" s="9">
        <f>Raw!CD114/Raw!$C114</f>
        <v>4</v>
      </c>
      <c r="CE113" s="9">
        <f>Raw!CE114/Raw!$C114</f>
        <v>0.19999999999999574</v>
      </c>
      <c r="CF113" s="9">
        <f>Raw!CF114/Raw!$C114</f>
        <v>40</v>
      </c>
      <c r="CG113" s="9">
        <f>Raw!CG114/Raw!$C114</f>
        <v>3.0399999999999991</v>
      </c>
      <c r="CH113" s="9">
        <f>Raw!CH114/Raw!$C114</f>
        <v>0</v>
      </c>
      <c r="CI113" s="9">
        <f>Raw!CI114/Raw!$C114</f>
        <v>0</v>
      </c>
      <c r="CJ113" s="9">
        <f>Raw!CJ114/Raw!$C114</f>
        <v>0</v>
      </c>
      <c r="CK113" s="9">
        <f>Raw!CK114/Raw!$C114</f>
        <v>0</v>
      </c>
      <c r="CL113" s="9">
        <f>Raw!CL114/Raw!$C114</f>
        <v>0</v>
      </c>
      <c r="CM113" s="9">
        <f>Raw!CM114/Raw!$C114</f>
        <v>0</v>
      </c>
      <c r="CN113" s="9">
        <f>Raw!CN114/Raw!$C114</f>
        <v>0</v>
      </c>
      <c r="CO113" s="9">
        <f>Raw!CO114/Raw!$C114</f>
        <v>0</v>
      </c>
      <c r="CP113" s="9">
        <f>Raw!CP114/Raw!$C114</f>
        <v>0</v>
      </c>
      <c r="CQ113" s="9">
        <f>Raw!CQ114/Raw!$C114</f>
        <v>0</v>
      </c>
      <c r="CR113" s="2">
        <f t="shared" si="39"/>
        <v>820</v>
      </c>
      <c r="CS113" s="2">
        <f t="shared" si="40"/>
        <v>173.35999999999999</v>
      </c>
      <c r="CT113" s="3">
        <f t="shared" ref="CT113:CT123" si="110">LOG10(CR113)</f>
        <v>2.9138138523837167</v>
      </c>
      <c r="CU113" s="3">
        <f t="shared" ref="CU113:CU123" si="111">LOG10(CS113)</f>
        <v>2.2389488983117616</v>
      </c>
      <c r="CZ113" s="3">
        <f t="shared" ref="CZ113:CZ122" si="112">LOG10(CR113+CV113)</f>
        <v>2.9138138523837167</v>
      </c>
      <c r="DA113" s="3">
        <f t="shared" ref="DA113:DA122" si="113">LOG10(CS113+CW113)</f>
        <v>2.2389488983117616</v>
      </c>
      <c r="DB113" s="6">
        <f t="shared" ref="DB113:DB122" si="114">0.590307*(4.87-0.33*CT113-CU113)</f>
        <v>0.98551312714378436</v>
      </c>
      <c r="DC113">
        <v>18</v>
      </c>
      <c r="DD113" s="3">
        <f>DC113/Raw!C114</f>
        <v>72</v>
      </c>
      <c r="DE113" s="5">
        <f t="shared" ref="DE113:DE134" si="115">DC113/CR113</f>
        <v>2.1951219512195121E-2</v>
      </c>
      <c r="DF113">
        <f t="shared" ref="DF113:DF134" si="116">LOG(DE113)</f>
        <v>-1.6585413472804107</v>
      </c>
      <c r="DH113" s="4">
        <f>-SUM('Shannon-Weiner'!B112:Z112)</f>
        <v>1.6987194745888714</v>
      </c>
      <c r="DI113" s="4">
        <f>SUM('p^2'!B108:Z108)</f>
        <v>0.1680363321799308</v>
      </c>
      <c r="DJ113" s="4">
        <f t="shared" ref="DJ113:DJ134" si="117">1-DI113</f>
        <v>0.83196366782006925</v>
      </c>
      <c r="DK113">
        <f t="shared" ref="DK113:DK134" si="118">1/DI113</f>
        <v>5.9510939510939505</v>
      </c>
      <c r="DL113" s="4">
        <f>SUM('Shannon-Weiner_B'!B108:Z108)</f>
        <v>-0.41011580316604967</v>
      </c>
      <c r="DM113" s="4">
        <f>SUM('p_B^2'!B108:Z108)</f>
        <v>0.78618832766721614</v>
      </c>
      <c r="DN113" s="4">
        <f t="shared" ref="DN113:DN134" si="119">1-DM113</f>
        <v>0.21381167233278386</v>
      </c>
      <c r="DO113">
        <f t="shared" ref="DO113:DO134" si="120">1/DM113</f>
        <v>1.2719598661140232</v>
      </c>
    </row>
    <row r="114" spans="2:119" x14ac:dyDescent="0.25">
      <c r="B114" t="str">
        <f>Raw!B115</f>
        <v>NB4</v>
      </c>
      <c r="C114">
        <v>1</v>
      </c>
      <c r="D114" s="9">
        <f>Raw!D115/Raw!$C115</f>
        <v>188</v>
      </c>
      <c r="E114" s="9">
        <f>Raw!E115/Raw!$C115</f>
        <v>176.79999999999998</v>
      </c>
      <c r="F114" s="9">
        <f>Raw!F115/Raw!$C115</f>
        <v>64</v>
      </c>
      <c r="G114" s="9">
        <f>Raw!G115/Raw!$C115</f>
        <v>6.52</v>
      </c>
      <c r="H114" s="9">
        <f>Raw!H115/Raw!$C115</f>
        <v>16</v>
      </c>
      <c r="I114" s="9">
        <f>Raw!I115/Raw!$C115</f>
        <v>42.28</v>
      </c>
      <c r="J114" s="9">
        <f>Raw!J115/Raw!$C115</f>
        <v>20</v>
      </c>
      <c r="K114" s="9">
        <f>Raw!K115/Raw!$C115</f>
        <v>0.20000000000000018</v>
      </c>
      <c r="L114" s="9">
        <f>Raw!L115/Raw!$C115</f>
        <v>0</v>
      </c>
      <c r="M114" s="9">
        <f>Raw!M115/Raw!$C115</f>
        <v>0</v>
      </c>
      <c r="N114" s="9">
        <f>Raw!N115/Raw!$C115</f>
        <v>0</v>
      </c>
      <c r="O114" s="9">
        <f>Raw!O115/Raw!$C115</f>
        <v>0</v>
      </c>
      <c r="P114" s="9">
        <f>Raw!P115/Raw!$C115</f>
        <v>160</v>
      </c>
      <c r="Q114" s="9">
        <f>Raw!Q115/Raw!$C115</f>
        <v>24.639999999999993</v>
      </c>
      <c r="R114" s="9">
        <f>Raw!R115/Raw!$C115</f>
        <v>0</v>
      </c>
      <c r="S114" s="9">
        <f>Raw!S115/Raw!$C115</f>
        <v>0</v>
      </c>
      <c r="T114" s="9">
        <f>Raw!T115/Raw!$C115</f>
        <v>0</v>
      </c>
      <c r="U114" s="9">
        <f>Raw!U115/Raw!$C115</f>
        <v>0</v>
      </c>
      <c r="V114" s="9">
        <f>Raw!V115/Raw!$C115</f>
        <v>8</v>
      </c>
      <c r="W114" s="9">
        <f>Raw!W115/Raw!$C115</f>
        <v>1.1999999999999993</v>
      </c>
      <c r="X114" s="9">
        <f>Raw!X115/Raw!$C115</f>
        <v>32</v>
      </c>
      <c r="Y114" s="9">
        <f>Raw!Y115/Raw!$C115</f>
        <v>0.44000000000000039</v>
      </c>
      <c r="Z114" s="9">
        <f>Raw!Z115/Raw!$C115</f>
        <v>0</v>
      </c>
      <c r="AA114" s="9">
        <f>Raw!AA115/Raw!$C115</f>
        <v>0</v>
      </c>
      <c r="AB114" s="9">
        <f>Raw!AB115/Raw!$C115</f>
        <v>0</v>
      </c>
      <c r="AC114" s="9">
        <f>Raw!AC115/Raw!$C115</f>
        <v>0</v>
      </c>
      <c r="AD114" s="9">
        <f>Raw!AD115/Raw!$C115</f>
        <v>0</v>
      </c>
      <c r="AE114" s="9">
        <f>Raw!AE115/Raw!$C115</f>
        <v>0</v>
      </c>
      <c r="AF114" s="9">
        <f>Raw!AF115/Raw!$C115</f>
        <v>4</v>
      </c>
      <c r="AG114" s="9">
        <f>Raw!AG115/Raw!$C115</f>
        <v>1.3200000000000003</v>
      </c>
      <c r="AH114" s="9">
        <f>Raw!AH115/Raw!$C115</f>
        <v>36</v>
      </c>
      <c r="AI114" s="9">
        <f>Raw!AI115/Raw!$C115</f>
        <v>15.2</v>
      </c>
      <c r="AJ114" s="9">
        <f>Raw!AJ115/Raw!$C115</f>
        <v>0</v>
      </c>
      <c r="AK114" s="9">
        <f>Raw!AK115/Raw!$C115</f>
        <v>0</v>
      </c>
      <c r="AL114" s="9">
        <f>Raw!AL115/Raw!$C115</f>
        <v>8</v>
      </c>
      <c r="AM114" s="9">
        <f>Raw!AM115/Raw!$C115</f>
        <v>17.52</v>
      </c>
      <c r="AN114" s="9">
        <f>Raw!AN115/Raw!$C115</f>
        <v>0</v>
      </c>
      <c r="AO114" s="9">
        <f>Raw!AO115/Raw!$C115</f>
        <v>0</v>
      </c>
      <c r="AP114" s="9">
        <f>Raw!AP115/Raw!$C115</f>
        <v>0</v>
      </c>
      <c r="AQ114" s="9">
        <f>Raw!AQ115/Raw!$C115</f>
        <v>0</v>
      </c>
      <c r="AR114" s="9">
        <f>Raw!AR115/Raw!$C115</f>
        <v>0</v>
      </c>
      <c r="AS114" s="9">
        <f>Raw!AS115/Raw!$C115</f>
        <v>0</v>
      </c>
      <c r="AT114" s="9">
        <f>Raw!AT115/Raw!$C115</f>
        <v>0</v>
      </c>
      <c r="AU114" s="9">
        <f>Raw!AU115/Raw!$C115</f>
        <v>0</v>
      </c>
      <c r="AV114" s="9">
        <f>Raw!AV115/Raw!$C115</f>
        <v>0</v>
      </c>
      <c r="AW114" s="9">
        <f>Raw!AW115/Raw!$C115</f>
        <v>0</v>
      </c>
      <c r="AX114" s="9">
        <f>Raw!AX115/Raw!$C115</f>
        <v>0</v>
      </c>
      <c r="AY114" s="9">
        <f>Raw!AY115/Raw!$C115</f>
        <v>0</v>
      </c>
      <c r="AZ114" s="9">
        <f>Raw!AZ115/Raw!$C115</f>
        <v>0</v>
      </c>
      <c r="BA114" s="9">
        <f>Raw!BA115/Raw!$C115</f>
        <v>0</v>
      </c>
      <c r="BB114" s="9">
        <f>Raw!BB115/Raw!$C115</f>
        <v>0</v>
      </c>
      <c r="BC114" s="9">
        <f>Raw!BC115/Raw!$C115</f>
        <v>0</v>
      </c>
      <c r="BD114" s="9">
        <f>Raw!BD115/Raw!$C115</f>
        <v>0</v>
      </c>
      <c r="BE114" s="9">
        <f>Raw!BE115/Raw!$C115</f>
        <v>0</v>
      </c>
      <c r="BF114" s="9">
        <f>Raw!BF115/Raw!$C115</f>
        <v>0</v>
      </c>
      <c r="BG114" s="9">
        <f>Raw!BG115/Raw!$C115</f>
        <v>0</v>
      </c>
      <c r="BH114" s="9">
        <f>Raw!BH115/Raw!$C115</f>
        <v>0</v>
      </c>
      <c r="BI114" s="9">
        <f>Raw!BI115/Raw!$C115</f>
        <v>0</v>
      </c>
      <c r="BJ114" s="9">
        <f>Raw!BJ115/Raw!$C115</f>
        <v>0</v>
      </c>
      <c r="BK114" s="9">
        <f>Raw!BK115/Raw!$C115</f>
        <v>0</v>
      </c>
      <c r="BL114" s="9">
        <f>Raw!BL115/Raw!$C115</f>
        <v>0</v>
      </c>
      <c r="BM114" s="9">
        <f>Raw!BM115/Raw!$C115</f>
        <v>0</v>
      </c>
      <c r="BN114" s="9">
        <f>Raw!BN115/Raw!$C115</f>
        <v>0</v>
      </c>
      <c r="BO114" s="9">
        <f>Raw!BO115/Raw!$C115</f>
        <v>0</v>
      </c>
      <c r="BP114" s="9">
        <f>Raw!BP115/Raw!$C115</f>
        <v>0</v>
      </c>
      <c r="BQ114" s="9">
        <f>Raw!BQ115/Raw!$C115</f>
        <v>0</v>
      </c>
      <c r="BR114" s="9">
        <f>Raw!BR115/Raw!$C115</f>
        <v>0</v>
      </c>
      <c r="BS114" s="9">
        <f>Raw!BS115/Raw!$C115</f>
        <v>0</v>
      </c>
      <c r="BT114" s="9">
        <f>Raw!BT115/Raw!$C115</f>
        <v>0</v>
      </c>
      <c r="BU114" s="9">
        <f>Raw!BU115/Raw!$C115</f>
        <v>0</v>
      </c>
      <c r="BV114" s="9">
        <f>Raw!BV115/Raw!$C115</f>
        <v>0</v>
      </c>
      <c r="BW114" s="9">
        <f>Raw!BW115/Raw!$C115</f>
        <v>0</v>
      </c>
      <c r="BX114" s="9">
        <f>Raw!BX115/Raw!$C115</f>
        <v>0</v>
      </c>
      <c r="BY114" s="9">
        <f>Raw!BY115/Raw!$C115</f>
        <v>0</v>
      </c>
      <c r="BZ114" s="9">
        <f>Raw!BZ115/Raw!$C115</f>
        <v>0</v>
      </c>
      <c r="CA114" s="9">
        <f>Raw!CA115/Raw!$C115</f>
        <v>0</v>
      </c>
      <c r="CB114" s="9">
        <f>Raw!CB115/Raw!$C115</f>
        <v>4</v>
      </c>
      <c r="CC114" s="9">
        <f>Raw!CC115/Raw!$C115</f>
        <v>1.3200000000000003</v>
      </c>
      <c r="CD114" s="9">
        <f>Raw!CD115/Raw!$C115</f>
        <v>4</v>
      </c>
      <c r="CE114" s="9">
        <f>Raw!CE115/Raw!$C115</f>
        <v>4.0000000000000036E-2</v>
      </c>
      <c r="CF114" s="9">
        <f>Raw!CF115/Raw!$C115</f>
        <v>0</v>
      </c>
      <c r="CG114" s="9">
        <f>Raw!CG115/Raw!$C115</f>
        <v>0</v>
      </c>
      <c r="CH114" s="9">
        <f>Raw!CH115/Raw!$C115</f>
        <v>4</v>
      </c>
      <c r="CI114" s="9">
        <f>Raw!CI115/Raw!$C115</f>
        <v>1.7199999999999998</v>
      </c>
      <c r="CJ114" s="9">
        <f>Raw!CJ115/Raw!$C115</f>
        <v>4</v>
      </c>
      <c r="CK114" s="9">
        <f>Raw!CK115/Raw!$C115</f>
        <v>0.12000000000000011</v>
      </c>
      <c r="CL114" s="9">
        <f>Raw!CL115/Raw!$C115</f>
        <v>8</v>
      </c>
      <c r="CM114" s="9">
        <f>Raw!CM115/Raw!$C115</f>
        <v>0.16000000000000014</v>
      </c>
      <c r="CN114" s="9">
        <f>Raw!CN115/Raw!$C115</f>
        <v>4</v>
      </c>
      <c r="CO114" s="9">
        <f>Raw!CO115/Raw!$C115</f>
        <v>0.5600000000000005</v>
      </c>
      <c r="CP114" s="9">
        <f>Raw!CP115/Raw!$C115</f>
        <v>0</v>
      </c>
      <c r="CQ114" s="9">
        <f>Raw!CQ115/Raw!$C115</f>
        <v>0</v>
      </c>
      <c r="CR114" s="2">
        <f t="shared" si="39"/>
        <v>564</v>
      </c>
      <c r="CS114" s="2">
        <f t="shared" si="40"/>
        <v>290.04000000000002</v>
      </c>
      <c r="CT114" s="3">
        <f t="shared" si="110"/>
        <v>2.7512791039833422</v>
      </c>
      <c r="CU114" s="3">
        <f t="shared" si="111"/>
        <v>2.462457896455275</v>
      </c>
      <c r="CZ114" s="3">
        <f t="shared" si="112"/>
        <v>2.7512791039833422</v>
      </c>
      <c r="DA114" s="3">
        <f t="shared" si="113"/>
        <v>2.462457896455275</v>
      </c>
      <c r="DB114" s="6">
        <f t="shared" si="114"/>
        <v>0.8852361828855948</v>
      </c>
      <c r="DC114">
        <v>16</v>
      </c>
      <c r="DD114" s="3">
        <f>DC114/Raw!C115</f>
        <v>64</v>
      </c>
      <c r="DE114" s="5">
        <f t="shared" si="115"/>
        <v>2.8368794326241134E-2</v>
      </c>
      <c r="DF114">
        <f t="shared" si="116"/>
        <v>-1.5471591213274176</v>
      </c>
      <c r="DH114" s="4">
        <f>-SUM('Shannon-Weiner'!B113:Z113)</f>
        <v>1.6239259264674957</v>
      </c>
      <c r="DI114" s="4">
        <f>SUM('p^2'!B109:Z109)</f>
        <v>0.19936583432421723</v>
      </c>
      <c r="DJ114" s="4">
        <f t="shared" si="117"/>
        <v>0.80063416567578272</v>
      </c>
      <c r="DK114">
        <f t="shared" si="118"/>
        <v>5.0159045725646116</v>
      </c>
      <c r="DL114" s="4">
        <f>SUM('Shannon-Weiner_B'!B109:Z109)</f>
        <v>-0.22430458647149171</v>
      </c>
      <c r="DM114" s="4">
        <f>SUM('p_B^2'!B109:Z109)</f>
        <v>0.90712429571736353</v>
      </c>
      <c r="DN114" s="4">
        <f t="shared" si="119"/>
        <v>9.2875704282636473E-2</v>
      </c>
      <c r="DO114">
        <f t="shared" si="120"/>
        <v>1.1023847610753159</v>
      </c>
    </row>
    <row r="115" spans="2:119" x14ac:dyDescent="0.25">
      <c r="B115" t="str">
        <f>Raw!B116</f>
        <v>NB5</v>
      </c>
      <c r="C115">
        <v>1</v>
      </c>
      <c r="D115" s="9">
        <f>Raw!D116/Raw!$C116</f>
        <v>268</v>
      </c>
      <c r="E115" s="9">
        <f>Raw!E116/Raw!$C116</f>
        <v>187.56</v>
      </c>
      <c r="F115" s="9">
        <f>Raw!F116/Raw!$C116</f>
        <v>96</v>
      </c>
      <c r="G115" s="9">
        <f>Raw!G116/Raw!$C116</f>
        <v>26.48</v>
      </c>
      <c r="H115" s="9">
        <f>Raw!H116/Raw!$C116</f>
        <v>12</v>
      </c>
      <c r="I115" s="9">
        <f>Raw!I116/Raw!$C116</f>
        <v>21.24</v>
      </c>
      <c r="J115" s="9">
        <f>Raw!J116/Raw!$C116</f>
        <v>0</v>
      </c>
      <c r="K115" s="9">
        <f>Raw!K116/Raw!$C116</f>
        <v>0</v>
      </c>
      <c r="L115" s="9">
        <f>Raw!L116/Raw!$C116</f>
        <v>0</v>
      </c>
      <c r="M115" s="9">
        <f>Raw!M116/Raw!$C116</f>
        <v>0</v>
      </c>
      <c r="N115" s="9">
        <f>Raw!N116/Raw!$C116</f>
        <v>0</v>
      </c>
      <c r="O115" s="9">
        <f>Raw!O116/Raw!$C116</f>
        <v>0</v>
      </c>
      <c r="P115" s="9">
        <f>Raw!P116/Raw!$C116</f>
        <v>116</v>
      </c>
      <c r="Q115" s="9">
        <f>Raw!Q116/Raw!$C116</f>
        <v>9.1599999999999984</v>
      </c>
      <c r="R115" s="9">
        <f>Raw!R116/Raw!$C116</f>
        <v>0</v>
      </c>
      <c r="S115" s="9">
        <f>Raw!S116/Raw!$C116</f>
        <v>0</v>
      </c>
      <c r="T115" s="9">
        <f>Raw!T116/Raw!$C116</f>
        <v>0</v>
      </c>
      <c r="U115" s="9">
        <f>Raw!U116/Raw!$C116</f>
        <v>0</v>
      </c>
      <c r="V115" s="9">
        <f>Raw!V116/Raw!$C116</f>
        <v>0</v>
      </c>
      <c r="W115" s="9">
        <f>Raw!W116/Raw!$C116</f>
        <v>0</v>
      </c>
      <c r="X115" s="9">
        <f>Raw!X116/Raw!$C116</f>
        <v>28</v>
      </c>
      <c r="Y115" s="9">
        <f>Raw!Y116/Raw!$C116</f>
        <v>1.2400000000000002</v>
      </c>
      <c r="Z115" s="9">
        <f>Raw!Z116/Raw!$C116</f>
        <v>0</v>
      </c>
      <c r="AA115" s="9">
        <f>Raw!AA116/Raw!$C116</f>
        <v>0</v>
      </c>
      <c r="AB115" s="9">
        <f>Raw!AB116/Raw!$C116</f>
        <v>0</v>
      </c>
      <c r="AC115" s="9">
        <f>Raw!AC116/Raw!$C116</f>
        <v>0</v>
      </c>
      <c r="AD115" s="9">
        <f>Raw!AD116/Raw!$C116</f>
        <v>0</v>
      </c>
      <c r="AE115" s="9">
        <f>Raw!AE116/Raw!$C116</f>
        <v>0</v>
      </c>
      <c r="AF115" s="9">
        <f>Raw!AF116/Raw!$C116</f>
        <v>16</v>
      </c>
      <c r="AG115" s="9">
        <f>Raw!AG116/Raw!$C116</f>
        <v>3.5599999999999996</v>
      </c>
      <c r="AH115" s="9">
        <f>Raw!AH116/Raw!$C116</f>
        <v>20</v>
      </c>
      <c r="AI115" s="9">
        <f>Raw!AI116/Raw!$C116</f>
        <v>1.96</v>
      </c>
      <c r="AJ115" s="9">
        <f>Raw!AJ116/Raw!$C116</f>
        <v>0</v>
      </c>
      <c r="AK115" s="9">
        <f>Raw!AK116/Raw!$C116</f>
        <v>0</v>
      </c>
      <c r="AL115" s="9">
        <f>Raw!AL116/Raw!$C116</f>
        <v>8</v>
      </c>
      <c r="AM115" s="9">
        <f>Raw!AM116/Raw!$C116</f>
        <v>1.7999999999999998</v>
      </c>
      <c r="AN115" s="9">
        <f>Raw!AN116/Raw!$C116</f>
        <v>0</v>
      </c>
      <c r="AO115" s="9">
        <f>Raw!AO116/Raw!$C116</f>
        <v>0</v>
      </c>
      <c r="AP115" s="9">
        <f>Raw!AP116/Raw!$C116</f>
        <v>0</v>
      </c>
      <c r="AQ115" s="9">
        <f>Raw!AQ116/Raw!$C116</f>
        <v>0</v>
      </c>
      <c r="AR115" s="9">
        <f>Raw!AR116/Raw!$C116</f>
        <v>0</v>
      </c>
      <c r="AS115" s="9">
        <f>Raw!AS116/Raw!$C116</f>
        <v>0</v>
      </c>
      <c r="AT115" s="9">
        <f>Raw!AT116/Raw!$C116</f>
        <v>0</v>
      </c>
      <c r="AU115" s="9">
        <f>Raw!AU116/Raw!$C116</f>
        <v>0</v>
      </c>
      <c r="AV115" s="9">
        <f>Raw!AV116/Raw!$C116</f>
        <v>0</v>
      </c>
      <c r="AW115" s="9">
        <f>Raw!AW116/Raw!$C116</f>
        <v>0</v>
      </c>
      <c r="AX115" s="9">
        <f>Raw!AX116/Raw!$C116</f>
        <v>0</v>
      </c>
      <c r="AY115" s="9">
        <f>Raw!AY116/Raw!$C116</f>
        <v>0</v>
      </c>
      <c r="AZ115" s="9">
        <f>Raw!AZ116/Raw!$C116</f>
        <v>0</v>
      </c>
      <c r="BA115" s="9">
        <f>Raw!BA116/Raw!$C116</f>
        <v>0</v>
      </c>
      <c r="BB115" s="9">
        <f>Raw!BB116/Raw!$C116</f>
        <v>0</v>
      </c>
      <c r="BC115" s="9">
        <f>Raw!BC116/Raw!$C116</f>
        <v>0</v>
      </c>
      <c r="BD115" s="9">
        <f>Raw!BD116/Raw!$C116</f>
        <v>0</v>
      </c>
      <c r="BE115" s="9">
        <f>Raw!BE116/Raw!$C116</f>
        <v>0</v>
      </c>
      <c r="BF115" s="9">
        <f>Raw!BF116/Raw!$C116</f>
        <v>0</v>
      </c>
      <c r="BG115" s="9">
        <f>Raw!BG116/Raw!$C116</f>
        <v>0</v>
      </c>
      <c r="BH115" s="9">
        <f>Raw!BH116/Raw!$C116</f>
        <v>0</v>
      </c>
      <c r="BI115" s="9">
        <f>Raw!BI116/Raw!$C116</f>
        <v>0</v>
      </c>
      <c r="BJ115" s="9">
        <f>Raw!BJ116/Raw!$C116</f>
        <v>0</v>
      </c>
      <c r="BK115" s="9">
        <f>Raw!BK116/Raw!$C116</f>
        <v>0</v>
      </c>
      <c r="BL115" s="9">
        <f>Raw!BL116/Raw!$C116</f>
        <v>8</v>
      </c>
      <c r="BM115" s="9">
        <f>Raw!BM116/Raw!$C116</f>
        <v>0.36000000000000032</v>
      </c>
      <c r="BN115" s="9">
        <f>Raw!BN116/Raw!$C116</f>
        <v>0</v>
      </c>
      <c r="BO115" s="9">
        <f>Raw!BO116/Raw!$C116</f>
        <v>0</v>
      </c>
      <c r="BP115" s="9">
        <f>Raw!BP116/Raw!$C116</f>
        <v>0</v>
      </c>
      <c r="BQ115" s="9">
        <f>Raw!BQ116/Raw!$C116</f>
        <v>0</v>
      </c>
      <c r="BR115" s="9">
        <f>Raw!BR116/Raw!$C116</f>
        <v>0</v>
      </c>
      <c r="BS115" s="9">
        <f>Raw!BS116/Raw!$C116</f>
        <v>0</v>
      </c>
      <c r="BT115" s="9">
        <f>Raw!BT116/Raw!$C116</f>
        <v>0</v>
      </c>
      <c r="BU115" s="9">
        <f>Raw!BU116/Raw!$C116</f>
        <v>0</v>
      </c>
      <c r="BV115" s="9">
        <f>Raw!BV116/Raw!$C116</f>
        <v>8</v>
      </c>
      <c r="BW115" s="9">
        <f>Raw!BW116/Raw!$C116</f>
        <v>4.0000000000000036E-2</v>
      </c>
      <c r="BX115" s="9">
        <f>Raw!BX116/Raw!$C116</f>
        <v>0</v>
      </c>
      <c r="BY115" s="9">
        <f>Raw!BY116/Raw!$C116</f>
        <v>0</v>
      </c>
      <c r="BZ115" s="9">
        <f>Raw!BZ116/Raw!$C116</f>
        <v>0</v>
      </c>
      <c r="CA115" s="9">
        <f>Raw!CA116/Raw!$C116</f>
        <v>0</v>
      </c>
      <c r="CB115" s="9">
        <f>Raw!CB116/Raw!$C116</f>
        <v>4</v>
      </c>
      <c r="CC115" s="9">
        <f>Raw!CC116/Raw!$C116</f>
        <v>0.23999999999999932</v>
      </c>
      <c r="CD115" s="9">
        <f>Raw!CD116/Raw!$C116</f>
        <v>0</v>
      </c>
      <c r="CE115" s="9">
        <f>Raw!CE116/Raw!$C116</f>
        <v>0</v>
      </c>
      <c r="CF115" s="9">
        <f>Raw!CF116/Raw!$C116</f>
        <v>0</v>
      </c>
      <c r="CG115" s="9">
        <f>Raw!CG116/Raw!$C116</f>
        <v>0</v>
      </c>
      <c r="CH115" s="9">
        <f>Raw!CH116/Raw!$C116</f>
        <v>0</v>
      </c>
      <c r="CI115" s="9">
        <f>Raw!CI116/Raw!$C116</f>
        <v>0</v>
      </c>
      <c r="CJ115" s="9">
        <f>Raw!CJ116/Raw!$C116</f>
        <v>0</v>
      </c>
      <c r="CK115" s="9">
        <f>Raw!CK116/Raw!$C116</f>
        <v>0</v>
      </c>
      <c r="CL115" s="9">
        <f>Raw!CL116/Raw!$C116</f>
        <v>4</v>
      </c>
      <c r="CM115" s="9">
        <f>Raw!CM116/Raw!$C116</f>
        <v>0.02</v>
      </c>
      <c r="CN115" s="9">
        <f>Raw!CN116/Raw!$C116</f>
        <v>0</v>
      </c>
      <c r="CO115" s="9">
        <f>Raw!CO116/Raw!$C116</f>
        <v>0</v>
      </c>
      <c r="CP115" s="9">
        <f>Raw!CP116/Raw!$C116</f>
        <v>0</v>
      </c>
      <c r="CQ115" s="9">
        <f>Raw!CQ116/Raw!$C116</f>
        <v>0</v>
      </c>
      <c r="CR115" s="2">
        <f t="shared" si="39"/>
        <v>588</v>
      </c>
      <c r="CS115" s="2">
        <f t="shared" si="40"/>
        <v>253.66000000000005</v>
      </c>
      <c r="CT115" s="3">
        <f t="shared" si="110"/>
        <v>2.7693773260761385</v>
      </c>
      <c r="CU115" s="3">
        <f t="shared" si="111"/>
        <v>2.4042519881169055</v>
      </c>
      <c r="CZ115" s="3">
        <f t="shared" si="112"/>
        <v>2.7693773260761385</v>
      </c>
      <c r="DA115" s="3">
        <f t="shared" si="113"/>
        <v>2.4042519881169055</v>
      </c>
      <c r="DB115" s="6">
        <f t="shared" si="114"/>
        <v>0.91606998064674494</v>
      </c>
      <c r="DC115">
        <v>12</v>
      </c>
      <c r="DD115" s="3">
        <f>DC115/Raw!C116</f>
        <v>48</v>
      </c>
      <c r="DE115" s="5">
        <f t="shared" si="115"/>
        <v>2.0408163265306121E-2</v>
      </c>
      <c r="DF115">
        <f t="shared" si="116"/>
        <v>-1.6901960800285136</v>
      </c>
      <c r="DH115" s="4">
        <f>-SUM('Shannon-Weiner'!B114:Z114)</f>
        <v>1.4701758432754231</v>
      </c>
      <c r="DI115" s="4">
        <f>SUM('p^2'!B110:Z110)</f>
        <v>0.32796223958333331</v>
      </c>
      <c r="DJ115" s="4">
        <f t="shared" si="117"/>
        <v>0.67203776041666674</v>
      </c>
      <c r="DK115">
        <f t="shared" si="118"/>
        <v>3.0491315136476427</v>
      </c>
      <c r="DL115" s="4">
        <f>SUM('Shannon-Weiner_B'!B110:Z110)</f>
        <v>-1.2642828053949318</v>
      </c>
      <c r="DM115" s="4">
        <f>SUM('p_B^2'!B110:Z110)</f>
        <v>0.30749692874065732</v>
      </c>
      <c r="DN115" s="4">
        <f t="shared" si="119"/>
        <v>0.69250307125934274</v>
      </c>
      <c r="DO115">
        <f t="shared" si="120"/>
        <v>3.2520650014146946</v>
      </c>
    </row>
    <row r="116" spans="2:119" x14ac:dyDescent="0.25">
      <c r="B116" t="str">
        <f>Raw!B117</f>
        <v>NB6</v>
      </c>
      <c r="C116">
        <v>1</v>
      </c>
      <c r="D116" s="9">
        <f>Raw!D117/Raw!$C117</f>
        <v>348</v>
      </c>
      <c r="E116" s="9">
        <f>Raw!E117/Raw!$C117</f>
        <v>119.24000000000001</v>
      </c>
      <c r="F116" s="9">
        <f>Raw!F117/Raw!$C117</f>
        <v>228</v>
      </c>
      <c r="G116" s="9">
        <f>Raw!G117/Raw!$C117</f>
        <v>168.12</v>
      </c>
      <c r="H116" s="9">
        <f>Raw!H117/Raw!$C117</f>
        <v>12</v>
      </c>
      <c r="I116" s="9">
        <f>Raw!I117/Raw!$C117</f>
        <v>4.9200000000000008</v>
      </c>
      <c r="J116" s="9">
        <f>Raw!J117/Raw!$C117</f>
        <v>4</v>
      </c>
      <c r="K116" s="9">
        <f>Raw!K117/Raw!$C117</f>
        <v>4.0000000000000036E-2</v>
      </c>
      <c r="L116" s="9">
        <f>Raw!L117/Raw!$C117</f>
        <v>0</v>
      </c>
      <c r="M116" s="9">
        <f>Raw!M117/Raw!$C117</f>
        <v>0</v>
      </c>
      <c r="N116" s="9">
        <f>Raw!N117/Raw!$C117</f>
        <v>0</v>
      </c>
      <c r="O116" s="9">
        <f>Raw!O117/Raw!$C117</f>
        <v>0</v>
      </c>
      <c r="P116" s="9">
        <f>Raw!P117/Raw!$C117</f>
        <v>104</v>
      </c>
      <c r="Q116" s="9">
        <f>Raw!Q117/Raw!$C117</f>
        <v>6.16</v>
      </c>
      <c r="R116" s="9">
        <f>Raw!R117/Raw!$C117</f>
        <v>0</v>
      </c>
      <c r="S116" s="9">
        <f>Raw!S117/Raw!$C117</f>
        <v>0</v>
      </c>
      <c r="T116" s="9">
        <f>Raw!T117/Raw!$C117</f>
        <v>0</v>
      </c>
      <c r="U116" s="9">
        <f>Raw!U117/Raw!$C117</f>
        <v>0</v>
      </c>
      <c r="V116" s="9">
        <f>Raw!V117/Raw!$C117</f>
        <v>0</v>
      </c>
      <c r="W116" s="9">
        <f>Raw!W117/Raw!$C117</f>
        <v>0</v>
      </c>
      <c r="X116" s="9">
        <f>Raw!X117/Raw!$C117</f>
        <v>8</v>
      </c>
      <c r="Y116" s="9">
        <f>Raw!Y117/Raw!$C117</f>
        <v>8.0000000000000071E-2</v>
      </c>
      <c r="Z116" s="9">
        <f>Raw!Z117/Raw!$C117</f>
        <v>0</v>
      </c>
      <c r="AA116" s="9">
        <f>Raw!AA117/Raw!$C117</f>
        <v>0</v>
      </c>
      <c r="AB116" s="9">
        <f>Raw!AB117/Raw!$C117</f>
        <v>0</v>
      </c>
      <c r="AC116" s="9">
        <f>Raw!AC117/Raw!$C117</f>
        <v>0</v>
      </c>
      <c r="AD116" s="9">
        <f>Raw!AD117/Raw!$C117</f>
        <v>0</v>
      </c>
      <c r="AE116" s="9">
        <f>Raw!AE117/Raw!$C117</f>
        <v>0</v>
      </c>
      <c r="AF116" s="9">
        <f>Raw!AF117/Raw!$C117</f>
        <v>12</v>
      </c>
      <c r="AG116" s="9">
        <f>Raw!AG117/Raw!$C117</f>
        <v>1.6400000000000006</v>
      </c>
      <c r="AH116" s="9">
        <f>Raw!AH117/Raw!$C117</f>
        <v>12</v>
      </c>
      <c r="AI116" s="9">
        <f>Raw!AI117/Raw!$C117</f>
        <v>0.47999999999999954</v>
      </c>
      <c r="AJ116" s="9">
        <f>Raw!AJ117/Raw!$C117</f>
        <v>0</v>
      </c>
      <c r="AK116" s="9">
        <f>Raw!AK117/Raw!$C117</f>
        <v>0</v>
      </c>
      <c r="AL116" s="9">
        <f>Raw!AL117/Raw!$C117</f>
        <v>8</v>
      </c>
      <c r="AM116" s="9">
        <f>Raw!AM117/Raw!$C117</f>
        <v>1.1600000000000001</v>
      </c>
      <c r="AN116" s="9">
        <f>Raw!AN117/Raw!$C117</f>
        <v>0</v>
      </c>
      <c r="AO116" s="9">
        <f>Raw!AO117/Raw!$C117</f>
        <v>0</v>
      </c>
      <c r="AP116" s="9">
        <f>Raw!AP117/Raw!$C117</f>
        <v>0</v>
      </c>
      <c r="AQ116" s="9">
        <f>Raw!AQ117/Raw!$C117</f>
        <v>0</v>
      </c>
      <c r="AR116" s="9">
        <f>Raw!AR117/Raw!$C117</f>
        <v>0</v>
      </c>
      <c r="AS116" s="9">
        <f>Raw!AS117/Raw!$C117</f>
        <v>0</v>
      </c>
      <c r="AT116" s="9">
        <f>Raw!AT117/Raw!$C117</f>
        <v>0</v>
      </c>
      <c r="AU116" s="9">
        <f>Raw!AU117/Raw!$C117</f>
        <v>0</v>
      </c>
      <c r="AV116" s="9">
        <f>Raw!AV117/Raw!$C117</f>
        <v>0</v>
      </c>
      <c r="AW116" s="9">
        <f>Raw!AW117/Raw!$C117</f>
        <v>0</v>
      </c>
      <c r="AX116" s="9">
        <f>Raw!AX117/Raw!$C117</f>
        <v>0</v>
      </c>
      <c r="AY116" s="9">
        <f>Raw!AY117/Raw!$C117</f>
        <v>0</v>
      </c>
      <c r="AZ116" s="9">
        <f>Raw!AZ117/Raw!$C117</f>
        <v>0</v>
      </c>
      <c r="BA116" s="9">
        <f>Raw!BA117/Raw!$C117</f>
        <v>0</v>
      </c>
      <c r="BB116" s="9">
        <f>Raw!BB117/Raw!$C117</f>
        <v>0</v>
      </c>
      <c r="BC116" s="9">
        <f>Raw!BC117/Raw!$C117</f>
        <v>0</v>
      </c>
      <c r="BD116" s="9">
        <f>Raw!BD117/Raw!$C117</f>
        <v>0</v>
      </c>
      <c r="BE116" s="9">
        <f>Raw!BE117/Raw!$C117</f>
        <v>0</v>
      </c>
      <c r="BF116" s="9">
        <f>Raw!BF117/Raw!$C117</f>
        <v>0</v>
      </c>
      <c r="BG116" s="9">
        <f>Raw!BG117/Raw!$C117</f>
        <v>0</v>
      </c>
      <c r="BH116" s="9">
        <f>Raw!BH117/Raw!$C117</f>
        <v>0</v>
      </c>
      <c r="BI116" s="9">
        <f>Raw!BI117/Raw!$C117</f>
        <v>0</v>
      </c>
      <c r="BJ116" s="9">
        <f>Raw!BJ117/Raw!$C117</f>
        <v>0</v>
      </c>
      <c r="BK116" s="9">
        <f>Raw!BK117/Raw!$C117</f>
        <v>0</v>
      </c>
      <c r="BL116" s="9">
        <f>Raw!BL117/Raw!$C117</f>
        <v>0</v>
      </c>
      <c r="BM116" s="9">
        <f>Raw!BM117/Raw!$C117</f>
        <v>0</v>
      </c>
      <c r="BN116" s="9">
        <f>Raw!BN117/Raw!$C117</f>
        <v>0</v>
      </c>
      <c r="BO116" s="9">
        <f>Raw!BO117/Raw!$C117</f>
        <v>0</v>
      </c>
      <c r="BP116" s="9">
        <f>Raw!BP117/Raw!$C117</f>
        <v>0</v>
      </c>
      <c r="BQ116" s="9">
        <f>Raw!BQ117/Raw!$C117</f>
        <v>0</v>
      </c>
      <c r="BR116" s="9">
        <f>Raw!BR117/Raw!$C117</f>
        <v>0</v>
      </c>
      <c r="BS116" s="9">
        <f>Raw!BS117/Raw!$C117</f>
        <v>0</v>
      </c>
      <c r="BT116" s="9">
        <f>Raw!BT117/Raw!$C117</f>
        <v>0</v>
      </c>
      <c r="BU116" s="9">
        <f>Raw!BU117/Raw!$C117</f>
        <v>0</v>
      </c>
      <c r="BV116" s="9">
        <f>Raw!BV117/Raw!$C117</f>
        <v>0</v>
      </c>
      <c r="BW116" s="9">
        <f>Raw!BW117/Raw!$C117</f>
        <v>0</v>
      </c>
      <c r="BX116" s="9">
        <f>Raw!BX117/Raw!$C117</f>
        <v>36</v>
      </c>
      <c r="BY116" s="9">
        <f>Raw!BY117/Raw!$C117</f>
        <v>0.6800000000000006</v>
      </c>
      <c r="BZ116" s="9">
        <f>Raw!BZ117/Raw!$C117</f>
        <v>0</v>
      </c>
      <c r="CA116" s="9">
        <f>Raw!CA117/Raw!$C117</f>
        <v>0</v>
      </c>
      <c r="CB116" s="9">
        <f>Raw!CB117/Raw!$C117</f>
        <v>20</v>
      </c>
      <c r="CC116" s="9">
        <f>Raw!CC117/Raw!$C117</f>
        <v>2.3600000000000003</v>
      </c>
      <c r="CD116" s="9">
        <f>Raw!CD117/Raw!$C117</f>
        <v>0</v>
      </c>
      <c r="CE116" s="9">
        <f>Raw!CE117/Raw!$C117</f>
        <v>0</v>
      </c>
      <c r="CF116" s="9">
        <f>Raw!CF117/Raw!$C117</f>
        <v>0</v>
      </c>
      <c r="CG116" s="9">
        <f>Raw!CG117/Raw!$C117</f>
        <v>0</v>
      </c>
      <c r="CH116" s="9">
        <f>Raw!CH117/Raw!$C117</f>
        <v>0</v>
      </c>
      <c r="CI116" s="9">
        <f>Raw!CI117/Raw!$C117</f>
        <v>0</v>
      </c>
      <c r="CJ116" s="9">
        <f>Raw!CJ117/Raw!$C117</f>
        <v>0</v>
      </c>
      <c r="CK116" s="9">
        <f>Raw!CK117/Raw!$C117</f>
        <v>0</v>
      </c>
      <c r="CL116" s="9">
        <f>Raw!CL117/Raw!$C117</f>
        <v>0</v>
      </c>
      <c r="CM116" s="9">
        <f>Raw!CM117/Raw!$C117</f>
        <v>0</v>
      </c>
      <c r="CN116" s="9">
        <f>Raw!CN117/Raw!$C117</f>
        <v>4</v>
      </c>
      <c r="CO116" s="9">
        <f>Raw!CO117/Raw!$C117</f>
        <v>3.9999999999999147E-2</v>
      </c>
      <c r="CP116" s="9">
        <f>Raw!CP117/Raw!$C117</f>
        <v>0</v>
      </c>
      <c r="CQ116" s="9">
        <f>Raw!CQ117/Raw!$C117</f>
        <v>0</v>
      </c>
      <c r="CR116" s="2">
        <f t="shared" si="39"/>
        <v>796</v>
      </c>
      <c r="CS116" s="2">
        <f t="shared" si="40"/>
        <v>304.92000000000013</v>
      </c>
      <c r="CT116" s="3">
        <f t="shared" si="110"/>
        <v>2.9009130677376689</v>
      </c>
      <c r="CU116" s="3">
        <f t="shared" si="111"/>
        <v>2.4841859110979945</v>
      </c>
      <c r="CZ116" s="3">
        <f t="shared" si="112"/>
        <v>2.9009130677376689</v>
      </c>
      <c r="DA116" s="3">
        <f t="shared" si="113"/>
        <v>2.4841859110979945</v>
      </c>
      <c r="DB116" s="6">
        <f t="shared" si="114"/>
        <v>0.84326109158605955</v>
      </c>
      <c r="DC116">
        <v>12</v>
      </c>
      <c r="DD116" s="3">
        <f>DC116/Raw!C117</f>
        <v>48</v>
      </c>
      <c r="DE116" s="5">
        <f t="shared" si="115"/>
        <v>1.507537688442211E-2</v>
      </c>
      <c r="DF116">
        <f t="shared" si="116"/>
        <v>-1.8217318216900442</v>
      </c>
      <c r="DH116" s="4">
        <f>-SUM('Shannon-Weiner'!B115:Z115)</f>
        <v>1.2945203510099355</v>
      </c>
      <c r="DI116" s="4">
        <f>SUM('p^2'!B111:Z111)</f>
        <v>0.19039461247637043</v>
      </c>
      <c r="DJ116" s="4">
        <f t="shared" si="117"/>
        <v>0.80960538752362954</v>
      </c>
      <c r="DK116">
        <f t="shared" si="118"/>
        <v>5.2522494570276157</v>
      </c>
      <c r="DL116" s="4">
        <f>SUM('Shannon-Weiner_B'!B111:Z111)</f>
        <v>-1.1337261057680574</v>
      </c>
      <c r="DM116" s="4">
        <f>SUM('p_B^2'!B111:Z111)</f>
        <v>0.24615278352900394</v>
      </c>
      <c r="DN116" s="4">
        <f t="shared" si="119"/>
        <v>0.75384721647099606</v>
      </c>
      <c r="DO116">
        <f t="shared" si="120"/>
        <v>4.0625175375364826</v>
      </c>
    </row>
    <row r="117" spans="2:119" x14ac:dyDescent="0.25">
      <c r="B117" t="str">
        <f>Raw!B118</f>
        <v>NB7</v>
      </c>
      <c r="C117">
        <v>1</v>
      </c>
      <c r="D117" s="9">
        <f>Raw!D118/Raw!$C118</f>
        <v>968</v>
      </c>
      <c r="E117" s="9">
        <f>Raw!E118/Raw!$C118</f>
        <v>207.96000000000004</v>
      </c>
      <c r="F117" s="9">
        <f>Raw!F118/Raw!$C118</f>
        <v>8</v>
      </c>
      <c r="G117" s="9">
        <f>Raw!G118/Raw!$C118</f>
        <v>0.24000000000000199</v>
      </c>
      <c r="H117" s="9">
        <f>Raw!H118/Raw!$C118</f>
        <v>4</v>
      </c>
      <c r="I117" s="9">
        <f>Raw!I118/Raw!$C118</f>
        <v>0.95999999999999908</v>
      </c>
      <c r="J117" s="9">
        <f>Raw!J118/Raw!$C118</f>
        <v>24</v>
      </c>
      <c r="K117" s="9">
        <f>Raw!K118/Raw!$C118</f>
        <v>0.12000000000000099</v>
      </c>
      <c r="L117" s="9">
        <f>Raw!L118/Raw!$C118</f>
        <v>0</v>
      </c>
      <c r="M117" s="9">
        <f>Raw!M118/Raw!$C118</f>
        <v>0</v>
      </c>
      <c r="N117" s="9">
        <f>Raw!N118/Raw!$C118</f>
        <v>0</v>
      </c>
      <c r="O117" s="9">
        <f>Raw!O118/Raw!$C118</f>
        <v>0</v>
      </c>
      <c r="P117" s="9">
        <f>Raw!P118/Raw!$C118</f>
        <v>0</v>
      </c>
      <c r="Q117" s="9">
        <f>Raw!Q118/Raw!$C118</f>
        <v>0</v>
      </c>
      <c r="R117" s="9">
        <f>Raw!R118/Raw!$C118</f>
        <v>0</v>
      </c>
      <c r="S117" s="9">
        <f>Raw!S118/Raw!$C118</f>
        <v>0</v>
      </c>
      <c r="T117" s="9">
        <f>Raw!T118/Raw!$C118</f>
        <v>0</v>
      </c>
      <c r="U117" s="9">
        <f>Raw!U118/Raw!$C118</f>
        <v>0</v>
      </c>
      <c r="V117" s="9">
        <f>Raw!V118/Raw!$C118</f>
        <v>0</v>
      </c>
      <c r="W117" s="9">
        <f>Raw!W118/Raw!$C118</f>
        <v>0</v>
      </c>
      <c r="X117" s="9">
        <f>Raw!X118/Raw!$C118</f>
        <v>0</v>
      </c>
      <c r="Y117" s="9">
        <f>Raw!Y118/Raw!$C118</f>
        <v>0</v>
      </c>
      <c r="Z117" s="9">
        <f>Raw!Z118/Raw!$C118</f>
        <v>148</v>
      </c>
      <c r="AA117" s="9">
        <f>Raw!AA118/Raw!$C118</f>
        <v>25.32</v>
      </c>
      <c r="AB117" s="9">
        <f>Raw!AB118/Raw!$C118</f>
        <v>0</v>
      </c>
      <c r="AC117" s="9">
        <f>Raw!AC118/Raw!$C118</f>
        <v>0</v>
      </c>
      <c r="AD117" s="9">
        <f>Raw!AD118/Raw!$C118</f>
        <v>4</v>
      </c>
      <c r="AE117" s="9">
        <f>Raw!AE118/Raw!$C118</f>
        <v>1.3600000000000012</v>
      </c>
      <c r="AF117" s="9">
        <f>Raw!AF118/Raw!$C118</f>
        <v>0</v>
      </c>
      <c r="AG117" s="9">
        <f>Raw!AG118/Raw!$C118</f>
        <v>0</v>
      </c>
      <c r="AH117" s="9">
        <f>Raw!AH118/Raw!$C118</f>
        <v>0</v>
      </c>
      <c r="AI117" s="9">
        <f>Raw!AI118/Raw!$C118</f>
        <v>0</v>
      </c>
      <c r="AJ117" s="9">
        <f>Raw!AJ118/Raw!$C118</f>
        <v>0</v>
      </c>
      <c r="AK117" s="9">
        <f>Raw!AK118/Raw!$C118</f>
        <v>0</v>
      </c>
      <c r="AL117" s="9">
        <f>Raw!AL118/Raw!$C118</f>
        <v>32</v>
      </c>
      <c r="AM117" s="9">
        <f>Raw!AM118/Raw!$C118</f>
        <v>13.359999999999996</v>
      </c>
      <c r="AN117" s="9">
        <f>Raw!AN118/Raw!$C118</f>
        <v>0</v>
      </c>
      <c r="AO117" s="9">
        <f>Raw!AO118/Raw!$C118</f>
        <v>0</v>
      </c>
      <c r="AP117" s="9">
        <f>Raw!AP118/Raw!$C118</f>
        <v>0</v>
      </c>
      <c r="AQ117" s="9">
        <f>Raw!AQ118/Raw!$C118</f>
        <v>0</v>
      </c>
      <c r="AR117" s="9">
        <f>Raw!AR118/Raw!$C118</f>
        <v>0</v>
      </c>
      <c r="AS117" s="9">
        <f>Raw!AS118/Raw!$C118</f>
        <v>0</v>
      </c>
      <c r="AT117" s="9">
        <f>Raw!AT118/Raw!$C118</f>
        <v>0</v>
      </c>
      <c r="AU117" s="9">
        <f>Raw!AU118/Raw!$C118</f>
        <v>0</v>
      </c>
      <c r="AV117" s="9">
        <f>Raw!AV118/Raw!$C118</f>
        <v>0</v>
      </c>
      <c r="AW117" s="9">
        <f>Raw!AW118/Raw!$C118</f>
        <v>0</v>
      </c>
      <c r="AX117" s="9">
        <f>Raw!AX118/Raw!$C118</f>
        <v>0</v>
      </c>
      <c r="AY117" s="9">
        <f>Raw!AY118/Raw!$C118</f>
        <v>0</v>
      </c>
      <c r="AZ117" s="9">
        <f>Raw!AZ118/Raw!$C118</f>
        <v>0</v>
      </c>
      <c r="BA117" s="9">
        <f>Raw!BA118/Raw!$C118</f>
        <v>0</v>
      </c>
      <c r="BB117" s="9">
        <f>Raw!BB118/Raw!$C118</f>
        <v>0</v>
      </c>
      <c r="BC117" s="9">
        <f>Raw!BC118/Raw!$C118</f>
        <v>0</v>
      </c>
      <c r="BD117" s="9">
        <f>Raw!BD118/Raw!$C118</f>
        <v>0</v>
      </c>
      <c r="BE117" s="9">
        <f>Raw!BE118/Raw!$C118</f>
        <v>0</v>
      </c>
      <c r="BF117" s="9">
        <f>Raw!BF118/Raw!$C118</f>
        <v>0</v>
      </c>
      <c r="BG117" s="9">
        <f>Raw!BG118/Raw!$C118</f>
        <v>0</v>
      </c>
      <c r="BH117" s="9">
        <f>Raw!BH118/Raw!$C118</f>
        <v>0</v>
      </c>
      <c r="BI117" s="9">
        <f>Raw!BI118/Raw!$C118</f>
        <v>0</v>
      </c>
      <c r="BJ117" s="9">
        <f>Raw!BJ118/Raw!$C118</f>
        <v>0</v>
      </c>
      <c r="BK117" s="9">
        <f>Raw!BK118/Raw!$C118</f>
        <v>0</v>
      </c>
      <c r="BL117" s="9">
        <f>Raw!BL118/Raw!$C118</f>
        <v>0</v>
      </c>
      <c r="BM117" s="9">
        <f>Raw!BM118/Raw!$C118</f>
        <v>0</v>
      </c>
      <c r="BN117" s="9">
        <f>Raw!BN118/Raw!$C118</f>
        <v>0</v>
      </c>
      <c r="BO117" s="9">
        <f>Raw!BO118/Raw!$C118</f>
        <v>0</v>
      </c>
      <c r="BP117" s="9">
        <f>Raw!BP118/Raw!$C118</f>
        <v>4</v>
      </c>
      <c r="BQ117" s="9">
        <f>Raw!BQ118/Raw!$C118</f>
        <v>1</v>
      </c>
      <c r="BR117" s="9">
        <f>Raw!BR118/Raw!$C118</f>
        <v>0</v>
      </c>
      <c r="BS117" s="9">
        <f>Raw!BS118/Raw!$C118</f>
        <v>0</v>
      </c>
      <c r="BT117" s="9">
        <f>Raw!BT118/Raw!$C118</f>
        <v>0</v>
      </c>
      <c r="BU117" s="9">
        <f>Raw!BU118/Raw!$C118</f>
        <v>0</v>
      </c>
      <c r="BV117" s="9">
        <f>Raw!BV118/Raw!$C118</f>
        <v>0</v>
      </c>
      <c r="BW117" s="9">
        <f>Raw!BW118/Raw!$C118</f>
        <v>0</v>
      </c>
      <c r="BX117" s="9">
        <f>Raw!BX118/Raw!$C118</f>
        <v>0</v>
      </c>
      <c r="BY117" s="9">
        <f>Raw!BY118/Raw!$C118</f>
        <v>0</v>
      </c>
      <c r="BZ117" s="9">
        <f>Raw!BZ118/Raw!$C118</f>
        <v>0</v>
      </c>
      <c r="CA117" s="9">
        <f>Raw!CA118/Raw!$C118</f>
        <v>0</v>
      </c>
      <c r="CB117" s="9">
        <f>Raw!CB118/Raw!$C118</f>
        <v>0</v>
      </c>
      <c r="CC117" s="9">
        <f>Raw!CC118/Raw!$C118</f>
        <v>0</v>
      </c>
      <c r="CD117" s="9">
        <f>Raw!CD118/Raw!$C118</f>
        <v>0</v>
      </c>
      <c r="CE117" s="9">
        <f>Raw!CE118/Raw!$C118</f>
        <v>0</v>
      </c>
      <c r="CF117" s="9">
        <f>Raw!CF118/Raw!$C118</f>
        <v>0</v>
      </c>
      <c r="CG117" s="9">
        <f>Raw!CG118/Raw!$C118</f>
        <v>0</v>
      </c>
      <c r="CH117" s="9">
        <f>Raw!CH118/Raw!$C118</f>
        <v>0</v>
      </c>
      <c r="CI117" s="9">
        <f>Raw!CI118/Raw!$C118</f>
        <v>0</v>
      </c>
      <c r="CJ117" s="9">
        <f>Raw!CJ118/Raw!$C118</f>
        <v>0</v>
      </c>
      <c r="CK117" s="9">
        <f>Raw!CK118/Raw!$C118</f>
        <v>0</v>
      </c>
      <c r="CL117" s="9">
        <f>Raw!CL118/Raw!$C118</f>
        <v>0</v>
      </c>
      <c r="CM117" s="9">
        <f>Raw!CM118/Raw!$C118</f>
        <v>0</v>
      </c>
      <c r="CN117" s="9">
        <f>Raw!CN118/Raw!$C118</f>
        <v>0</v>
      </c>
      <c r="CO117" s="9">
        <f>Raw!CO118/Raw!$C118</f>
        <v>0</v>
      </c>
      <c r="CP117" s="9">
        <f>Raw!CP118/Raw!$C118</f>
        <v>0</v>
      </c>
      <c r="CQ117" s="9">
        <f>Raw!CQ118/Raw!$C118</f>
        <v>0</v>
      </c>
      <c r="CR117" s="2">
        <f t="shared" si="39"/>
        <v>1192</v>
      </c>
      <c r="CS117" s="2">
        <f t="shared" si="40"/>
        <v>250.32000000000005</v>
      </c>
      <c r="CT117" s="3">
        <f t="shared" si="110"/>
        <v>3.0762762554042178</v>
      </c>
      <c r="CU117" s="3">
        <f t="shared" si="111"/>
        <v>2.3984955501381369</v>
      </c>
      <c r="CZ117" s="3">
        <f t="shared" si="112"/>
        <v>3.0762762554042178</v>
      </c>
      <c r="DA117" s="3">
        <f t="shared" si="113"/>
        <v>2.3984955501381369</v>
      </c>
      <c r="DB117" s="6">
        <f t="shared" si="114"/>
        <v>0.85968373280997079</v>
      </c>
      <c r="DC117">
        <v>8</v>
      </c>
      <c r="DD117" s="3">
        <f>DC117/Raw!C118</f>
        <v>32</v>
      </c>
      <c r="DE117" s="5">
        <f t="shared" si="115"/>
        <v>6.7114093959731542E-3</v>
      </c>
      <c r="DF117">
        <f t="shared" si="116"/>
        <v>-2.173186268412274</v>
      </c>
      <c r="DH117" s="4">
        <f>-SUM('Shannon-Weiner'!B116:Z116)</f>
        <v>0.67562915934370382</v>
      </c>
      <c r="DI117" s="4">
        <f>SUM('p^2'!B112:Z112)</f>
        <v>0.19807257584770971</v>
      </c>
      <c r="DJ117" s="4">
        <f t="shared" si="117"/>
        <v>0.80192742415229024</v>
      </c>
      <c r="DK117">
        <f t="shared" si="118"/>
        <v>5.0486544930321955</v>
      </c>
      <c r="DL117" s="4">
        <f>SUM('Shannon-Weiner_B'!B112:Z112)</f>
        <v>-1.8143609259277547</v>
      </c>
      <c r="DM117" s="4">
        <f>SUM('p_B^2'!B112:Z112)</f>
        <v>0.20806992030688978</v>
      </c>
      <c r="DN117" s="4">
        <f t="shared" si="119"/>
        <v>0.79193007969311024</v>
      </c>
      <c r="DO117">
        <f t="shared" si="120"/>
        <v>4.8060767194271241</v>
      </c>
    </row>
    <row r="118" spans="2:119" x14ac:dyDescent="0.25">
      <c r="B118" t="str">
        <f>Raw!B119</f>
        <v>NB8</v>
      </c>
      <c r="C118">
        <v>1</v>
      </c>
      <c r="D118" s="9">
        <f>Raw!D119/Raw!$C119</f>
        <v>532</v>
      </c>
      <c r="E118" s="9">
        <f>Raw!E119/Raw!$C119</f>
        <v>230.48000000000002</v>
      </c>
      <c r="F118" s="9">
        <f>Raw!F119/Raw!$C119</f>
        <v>36</v>
      </c>
      <c r="G118" s="9">
        <f>Raw!G119/Raw!$C119</f>
        <v>8.0000000000001847E-2</v>
      </c>
      <c r="H118" s="9">
        <f>Raw!H119/Raw!$C119</f>
        <v>0</v>
      </c>
      <c r="I118" s="9">
        <f>Raw!I119/Raw!$C119</f>
        <v>0</v>
      </c>
      <c r="J118" s="9">
        <f>Raw!J119/Raw!$C119</f>
        <v>0</v>
      </c>
      <c r="K118" s="9">
        <f>Raw!K119/Raw!$C119</f>
        <v>0</v>
      </c>
      <c r="L118" s="9">
        <f>Raw!L119/Raw!$C119</f>
        <v>0</v>
      </c>
      <c r="M118" s="9">
        <f>Raw!M119/Raw!$C119</f>
        <v>0</v>
      </c>
      <c r="N118" s="9">
        <f>Raw!N119/Raw!$C119</f>
        <v>0</v>
      </c>
      <c r="O118" s="9">
        <f>Raw!O119/Raw!$C119</f>
        <v>0</v>
      </c>
      <c r="P118" s="9">
        <f>Raw!P119/Raw!$C119</f>
        <v>144</v>
      </c>
      <c r="Q118" s="9">
        <f>Raw!Q119/Raw!$C119</f>
        <v>21.68</v>
      </c>
      <c r="R118" s="9">
        <f>Raw!R119/Raw!$C119</f>
        <v>0</v>
      </c>
      <c r="S118" s="9">
        <f>Raw!S119/Raw!$C119</f>
        <v>0</v>
      </c>
      <c r="T118" s="9">
        <f>Raw!T119/Raw!$C119</f>
        <v>0</v>
      </c>
      <c r="U118" s="9">
        <f>Raw!U119/Raw!$C119</f>
        <v>0</v>
      </c>
      <c r="V118" s="9">
        <f>Raw!V119/Raw!$C119</f>
        <v>16</v>
      </c>
      <c r="W118" s="9">
        <f>Raw!W119/Raw!$C119</f>
        <v>3.8</v>
      </c>
      <c r="X118" s="9">
        <f>Raw!X119/Raw!$C119</f>
        <v>44</v>
      </c>
      <c r="Y118" s="9">
        <f>Raw!Y119/Raw!$C119</f>
        <v>3.6400000000000006</v>
      </c>
      <c r="Z118" s="9">
        <f>Raw!Z119/Raw!$C119</f>
        <v>0</v>
      </c>
      <c r="AA118" s="9">
        <f>Raw!AA119/Raw!$C119</f>
        <v>0</v>
      </c>
      <c r="AB118" s="9">
        <f>Raw!AB119/Raw!$C119</f>
        <v>0</v>
      </c>
      <c r="AC118" s="9">
        <f>Raw!AC119/Raw!$C119</f>
        <v>0</v>
      </c>
      <c r="AD118" s="9">
        <f>Raw!AD119/Raw!$C119</f>
        <v>0</v>
      </c>
      <c r="AE118" s="9">
        <f>Raw!AE119/Raw!$C119</f>
        <v>0</v>
      </c>
      <c r="AF118" s="9">
        <f>Raw!AF119/Raw!$C119</f>
        <v>0</v>
      </c>
      <c r="AG118" s="9">
        <f>Raw!AG119/Raw!$C119</f>
        <v>0</v>
      </c>
      <c r="AH118" s="9">
        <f>Raw!AH119/Raw!$C119</f>
        <v>16</v>
      </c>
      <c r="AI118" s="9">
        <f>Raw!AI119/Raw!$C119</f>
        <v>60.4</v>
      </c>
      <c r="AJ118" s="9">
        <f>Raw!AJ119/Raw!$C119</f>
        <v>0</v>
      </c>
      <c r="AK118" s="9">
        <f>Raw!AK119/Raw!$C119</f>
        <v>0</v>
      </c>
      <c r="AL118" s="9">
        <f>Raw!AL119/Raw!$C119</f>
        <v>0</v>
      </c>
      <c r="AM118" s="9">
        <f>Raw!AM119/Raw!$C119</f>
        <v>0</v>
      </c>
      <c r="AN118" s="9">
        <f>Raw!AN119/Raw!$C119</f>
        <v>0</v>
      </c>
      <c r="AO118" s="9">
        <f>Raw!AO119/Raw!$C119</f>
        <v>0</v>
      </c>
      <c r="AP118" s="9">
        <f>Raw!AP119/Raw!$C119</f>
        <v>0</v>
      </c>
      <c r="AQ118" s="9">
        <f>Raw!AQ119/Raw!$C119</f>
        <v>0</v>
      </c>
      <c r="AR118" s="9">
        <f>Raw!AR119/Raw!$C119</f>
        <v>0</v>
      </c>
      <c r="AS118" s="9">
        <f>Raw!AS119/Raw!$C119</f>
        <v>0</v>
      </c>
      <c r="AT118" s="9">
        <f>Raw!AT119/Raw!$C119</f>
        <v>0</v>
      </c>
      <c r="AU118" s="9">
        <f>Raw!AU119/Raw!$C119</f>
        <v>0</v>
      </c>
      <c r="AV118" s="9">
        <f>Raw!AV119/Raw!$C119</f>
        <v>0</v>
      </c>
      <c r="AW118" s="9">
        <f>Raw!AW119/Raw!$C119</f>
        <v>0</v>
      </c>
      <c r="AX118" s="9">
        <f>Raw!AX119/Raw!$C119</f>
        <v>0</v>
      </c>
      <c r="AY118" s="9">
        <f>Raw!AY119/Raw!$C119</f>
        <v>0</v>
      </c>
      <c r="AZ118" s="9">
        <f>Raw!AZ119/Raw!$C119</f>
        <v>0</v>
      </c>
      <c r="BA118" s="9">
        <f>Raw!BA119/Raw!$C119</f>
        <v>0</v>
      </c>
      <c r="BB118" s="9">
        <f>Raw!BB119/Raw!$C119</f>
        <v>0</v>
      </c>
      <c r="BC118" s="9">
        <f>Raw!BC119/Raw!$C119</f>
        <v>0</v>
      </c>
      <c r="BD118" s="9">
        <f>Raw!BD119/Raw!$C119</f>
        <v>0</v>
      </c>
      <c r="BE118" s="9">
        <f>Raw!BE119/Raw!$C119</f>
        <v>0</v>
      </c>
      <c r="BF118" s="9">
        <f>Raw!BF119/Raw!$C119</f>
        <v>0</v>
      </c>
      <c r="BG118" s="9">
        <f>Raw!BG119/Raw!$C119</f>
        <v>0</v>
      </c>
      <c r="BH118" s="9">
        <f>Raw!BH119/Raw!$C119</f>
        <v>0</v>
      </c>
      <c r="BI118" s="9">
        <f>Raw!BI119/Raw!$C119</f>
        <v>0</v>
      </c>
      <c r="BJ118" s="9">
        <f>Raw!BJ119/Raw!$C119</f>
        <v>0</v>
      </c>
      <c r="BK118" s="9">
        <f>Raw!BK119/Raw!$C119</f>
        <v>0</v>
      </c>
      <c r="BL118" s="9">
        <f>Raw!BL119/Raw!$C119</f>
        <v>0</v>
      </c>
      <c r="BM118" s="9">
        <f>Raw!BM119/Raw!$C119</f>
        <v>0</v>
      </c>
      <c r="BN118" s="9">
        <f>Raw!BN119/Raw!$C119</f>
        <v>0</v>
      </c>
      <c r="BO118" s="9">
        <f>Raw!BO119/Raw!$C119</f>
        <v>0</v>
      </c>
      <c r="BP118" s="9">
        <f>Raw!BP119/Raw!$C119</f>
        <v>0</v>
      </c>
      <c r="BQ118" s="9">
        <f>Raw!BQ119/Raw!$C119</f>
        <v>0</v>
      </c>
      <c r="BR118" s="9">
        <f>Raw!BR119/Raw!$C119</f>
        <v>0</v>
      </c>
      <c r="BS118" s="9">
        <f>Raw!BS119/Raw!$C119</f>
        <v>0</v>
      </c>
      <c r="BT118" s="9">
        <f>Raw!BT119/Raw!$C119</f>
        <v>0</v>
      </c>
      <c r="BU118" s="9">
        <f>Raw!BU119/Raw!$C119</f>
        <v>0</v>
      </c>
      <c r="BV118" s="9">
        <f>Raw!BV119/Raw!$C119</f>
        <v>0</v>
      </c>
      <c r="BW118" s="9">
        <f>Raw!BW119/Raw!$C119</f>
        <v>0</v>
      </c>
      <c r="BX118" s="9">
        <f>Raw!BX119/Raw!$C119</f>
        <v>0</v>
      </c>
      <c r="BY118" s="9">
        <f>Raw!BY119/Raw!$C119</f>
        <v>0</v>
      </c>
      <c r="BZ118" s="9">
        <f>Raw!BZ119/Raw!$C119</f>
        <v>44</v>
      </c>
      <c r="CA118" s="9">
        <f>Raw!CA119/Raw!$C119</f>
        <v>3.6000000000000014</v>
      </c>
      <c r="CB118" s="9">
        <f>Raw!CB119/Raw!$C119</f>
        <v>16</v>
      </c>
      <c r="CC118" s="9">
        <f>Raw!CC119/Raw!$C119</f>
        <v>39.360000000000007</v>
      </c>
      <c r="CD118" s="9">
        <f>Raw!CD119/Raw!$C119</f>
        <v>4</v>
      </c>
      <c r="CE118" s="9">
        <f>Raw!CE119/Raw!$C119</f>
        <v>3.7200000000000006</v>
      </c>
      <c r="CF118" s="9">
        <f>Raw!CF119/Raw!$C119</f>
        <v>0</v>
      </c>
      <c r="CG118" s="9">
        <f>Raw!CG119/Raw!$C119</f>
        <v>0</v>
      </c>
      <c r="CH118" s="9">
        <f>Raw!CH119/Raw!$C119</f>
        <v>0</v>
      </c>
      <c r="CI118" s="9">
        <f>Raw!CI119/Raw!$C119</f>
        <v>0</v>
      </c>
      <c r="CJ118" s="9">
        <f>Raw!CJ119/Raw!$C119</f>
        <v>0</v>
      </c>
      <c r="CK118" s="9">
        <f>Raw!CK119/Raw!$C119</f>
        <v>0</v>
      </c>
      <c r="CL118" s="9">
        <f>Raw!CL119/Raw!$C119</f>
        <v>0</v>
      </c>
      <c r="CM118" s="9">
        <f>Raw!CM119/Raw!$C119</f>
        <v>0</v>
      </c>
      <c r="CN118" s="9">
        <f>Raw!CN119/Raw!$C119</f>
        <v>0</v>
      </c>
      <c r="CO118" s="9">
        <f>Raw!CO119/Raw!$C119</f>
        <v>0</v>
      </c>
      <c r="CP118" s="9">
        <f>Raw!CP119/Raw!$C119</f>
        <v>0</v>
      </c>
      <c r="CQ118" s="9">
        <f>Raw!CQ119/Raw!$C119</f>
        <v>0</v>
      </c>
      <c r="CR118" s="2">
        <f t="shared" si="39"/>
        <v>852</v>
      </c>
      <c r="CS118" s="2">
        <f t="shared" si="40"/>
        <v>366.76000000000005</v>
      </c>
      <c r="CT118" s="3">
        <f t="shared" si="110"/>
        <v>2.9304395947667001</v>
      </c>
      <c r="CU118" s="3">
        <f t="shared" si="111"/>
        <v>2.5643819640575467</v>
      </c>
      <c r="CZ118" s="3">
        <f t="shared" si="112"/>
        <v>2.9304395947667001</v>
      </c>
      <c r="DA118" s="3">
        <f t="shared" si="113"/>
        <v>2.5643819640575467</v>
      </c>
      <c r="DB118" s="6">
        <f t="shared" si="114"/>
        <v>0.79016899400665941</v>
      </c>
      <c r="DC118">
        <v>9</v>
      </c>
      <c r="DD118" s="3">
        <f>DC118/Raw!C119</f>
        <v>36</v>
      </c>
      <c r="DE118" s="5">
        <f t="shared" si="115"/>
        <v>1.0563380281690141E-2</v>
      </c>
      <c r="DF118">
        <f t="shared" si="116"/>
        <v>-1.9761970853273751</v>
      </c>
      <c r="DH118" s="4">
        <f>-SUM('Shannon-Weiner'!B117:Z117)</f>
        <v>0.95591185682027335</v>
      </c>
      <c r="DI118" s="4">
        <f>SUM('p^2'!B113:Z113)</f>
        <v>0.21407373874553595</v>
      </c>
      <c r="DJ118" s="4">
        <f t="shared" si="117"/>
        <v>0.78592626125446408</v>
      </c>
      <c r="DK118">
        <f t="shared" si="118"/>
        <v>4.6712875939849621</v>
      </c>
      <c r="DL118" s="4">
        <f>SUM('Shannon-Weiner_B'!B113:Z113)</f>
        <v>-1.2407118972436577</v>
      </c>
      <c r="DM118" s="4">
        <f>SUM('p_B^2'!B113:Z113)</f>
        <v>0.40696792500584034</v>
      </c>
      <c r="DN118" s="4">
        <f t="shared" si="119"/>
        <v>0.59303207499415966</v>
      </c>
      <c r="DO118">
        <f t="shared" si="120"/>
        <v>2.4571961045471804</v>
      </c>
    </row>
    <row r="119" spans="2:119" x14ac:dyDescent="0.25">
      <c r="B119" t="str">
        <f>Raw!B120</f>
        <v>NB9</v>
      </c>
      <c r="C119">
        <v>1</v>
      </c>
      <c r="D119" s="9">
        <f>Raw!D120/Raw!$C120</f>
        <v>444</v>
      </c>
      <c r="E119" s="9">
        <f>Raw!E120/Raw!$C120</f>
        <v>170.92000000000002</v>
      </c>
      <c r="F119" s="9">
        <f>Raw!F120/Raw!$C120</f>
        <v>80</v>
      </c>
      <c r="G119" s="9">
        <f>Raw!G120/Raw!$C120</f>
        <v>49.56</v>
      </c>
      <c r="H119" s="9">
        <f>Raw!H120/Raw!$C120</f>
        <v>8</v>
      </c>
      <c r="I119" s="9">
        <f>Raw!I120/Raw!$C120</f>
        <v>2.5199999999999996</v>
      </c>
      <c r="J119" s="9">
        <f>Raw!J120/Raw!$C120</f>
        <v>28</v>
      </c>
      <c r="K119" s="9">
        <f>Raw!K120/Raw!$C120</f>
        <v>0.55999999999999872</v>
      </c>
      <c r="L119" s="9">
        <f>Raw!L120/Raw!$C120</f>
        <v>0</v>
      </c>
      <c r="M119" s="9">
        <f>Raw!M120/Raw!$C120</f>
        <v>0</v>
      </c>
      <c r="N119" s="9">
        <f>Raw!N120/Raw!$C120</f>
        <v>0</v>
      </c>
      <c r="O119" s="9">
        <f>Raw!O120/Raw!$C120</f>
        <v>0</v>
      </c>
      <c r="P119" s="9">
        <f>Raw!P120/Raw!$C120</f>
        <v>88</v>
      </c>
      <c r="Q119" s="9">
        <f>Raw!Q120/Raw!$C120</f>
        <v>12.52</v>
      </c>
      <c r="R119" s="9">
        <f>Raw!R120/Raw!$C120</f>
        <v>0</v>
      </c>
      <c r="S119" s="9">
        <f>Raw!S120/Raw!$C120</f>
        <v>0</v>
      </c>
      <c r="T119" s="9">
        <f>Raw!T120/Raw!$C120</f>
        <v>0</v>
      </c>
      <c r="U119" s="9">
        <f>Raw!U120/Raw!$C120</f>
        <v>0</v>
      </c>
      <c r="V119" s="9">
        <f>Raw!V120/Raw!$C120</f>
        <v>8</v>
      </c>
      <c r="W119" s="9">
        <f>Raw!W120/Raw!$C120</f>
        <v>2.4399999999999995</v>
      </c>
      <c r="X119" s="9">
        <f>Raw!X120/Raw!$C120</f>
        <v>0</v>
      </c>
      <c r="Y119" s="9">
        <f>Raw!Y120/Raw!$C120</f>
        <v>0</v>
      </c>
      <c r="Z119" s="9">
        <f>Raw!Z120/Raw!$C120</f>
        <v>0</v>
      </c>
      <c r="AA119" s="9">
        <f>Raw!AA120/Raw!$C120</f>
        <v>0</v>
      </c>
      <c r="AB119" s="9">
        <f>Raw!AB120/Raw!$C120</f>
        <v>0</v>
      </c>
      <c r="AC119" s="9">
        <f>Raw!AC120/Raw!$C120</f>
        <v>0</v>
      </c>
      <c r="AD119" s="9">
        <f>Raw!AD120/Raw!$C120</f>
        <v>0</v>
      </c>
      <c r="AE119" s="9">
        <f>Raw!AE120/Raw!$C120</f>
        <v>0</v>
      </c>
      <c r="AF119" s="9">
        <f>Raw!AF120/Raw!$C120</f>
        <v>8</v>
      </c>
      <c r="AG119" s="9">
        <f>Raw!AG120/Raw!$C120</f>
        <v>2.6799999999999997</v>
      </c>
      <c r="AH119" s="9">
        <f>Raw!AH120/Raw!$C120</f>
        <v>48</v>
      </c>
      <c r="AI119" s="9">
        <f>Raw!AI120/Raw!$C120</f>
        <v>26.8</v>
      </c>
      <c r="AJ119" s="9">
        <f>Raw!AJ120/Raw!$C120</f>
        <v>0</v>
      </c>
      <c r="AK119" s="9">
        <f>Raw!AK120/Raw!$C120</f>
        <v>0</v>
      </c>
      <c r="AL119" s="9">
        <f>Raw!AL120/Raw!$C120</f>
        <v>40</v>
      </c>
      <c r="AM119" s="9">
        <f>Raw!AM120/Raw!$C120</f>
        <v>43.2</v>
      </c>
      <c r="AN119" s="9">
        <f>Raw!AN120/Raw!$C120</f>
        <v>0</v>
      </c>
      <c r="AO119" s="9">
        <f>Raw!AO120/Raw!$C120</f>
        <v>0</v>
      </c>
      <c r="AP119" s="9">
        <f>Raw!AP120/Raw!$C120</f>
        <v>0</v>
      </c>
      <c r="AQ119" s="9">
        <f>Raw!AQ120/Raw!$C120</f>
        <v>0</v>
      </c>
      <c r="AR119" s="9">
        <f>Raw!AR120/Raw!$C120</f>
        <v>0</v>
      </c>
      <c r="AS119" s="9">
        <f>Raw!AS120/Raw!$C120</f>
        <v>0</v>
      </c>
      <c r="AT119" s="9">
        <f>Raw!AT120/Raw!$C120</f>
        <v>0</v>
      </c>
      <c r="AU119" s="9">
        <f>Raw!AU120/Raw!$C120</f>
        <v>0</v>
      </c>
      <c r="AV119" s="9">
        <f>Raw!AV120/Raw!$C120</f>
        <v>0</v>
      </c>
      <c r="AW119" s="9">
        <f>Raw!AW120/Raw!$C120</f>
        <v>0</v>
      </c>
      <c r="AX119" s="9">
        <f>Raw!AX120/Raw!$C120</f>
        <v>0</v>
      </c>
      <c r="AY119" s="9">
        <f>Raw!AY120/Raw!$C120</f>
        <v>0</v>
      </c>
      <c r="AZ119" s="9">
        <f>Raw!AZ120/Raw!$C120</f>
        <v>0</v>
      </c>
      <c r="BA119" s="9">
        <f>Raw!BA120/Raw!$C120</f>
        <v>0</v>
      </c>
      <c r="BB119" s="9">
        <f>Raw!BB120/Raw!$C120</f>
        <v>0</v>
      </c>
      <c r="BC119" s="9">
        <f>Raw!BC120/Raw!$C120</f>
        <v>0</v>
      </c>
      <c r="BD119" s="9">
        <f>Raw!BD120/Raw!$C120</f>
        <v>0</v>
      </c>
      <c r="BE119" s="9">
        <f>Raw!BE120/Raw!$C120</f>
        <v>0</v>
      </c>
      <c r="BF119" s="9">
        <f>Raw!BF120/Raw!$C120</f>
        <v>0</v>
      </c>
      <c r="BG119" s="9">
        <f>Raw!BG120/Raw!$C120</f>
        <v>0</v>
      </c>
      <c r="BH119" s="9">
        <f>Raw!BH120/Raw!$C120</f>
        <v>0</v>
      </c>
      <c r="BI119" s="9">
        <f>Raw!BI120/Raw!$C120</f>
        <v>0</v>
      </c>
      <c r="BJ119" s="9">
        <f>Raw!BJ120/Raw!$C120</f>
        <v>0</v>
      </c>
      <c r="BK119" s="9">
        <f>Raw!BK120/Raw!$C120</f>
        <v>0</v>
      </c>
      <c r="BL119" s="9">
        <f>Raw!BL120/Raw!$C120</f>
        <v>0</v>
      </c>
      <c r="BM119" s="9">
        <f>Raw!BM120/Raw!$C120</f>
        <v>0</v>
      </c>
      <c r="BN119" s="9">
        <f>Raw!BN120/Raw!$C120</f>
        <v>0</v>
      </c>
      <c r="BO119" s="9">
        <f>Raw!BO120/Raw!$C120</f>
        <v>0</v>
      </c>
      <c r="BP119" s="9">
        <f>Raw!BP120/Raw!$C120</f>
        <v>0</v>
      </c>
      <c r="BQ119" s="9">
        <f>Raw!BQ120/Raw!$C120</f>
        <v>0</v>
      </c>
      <c r="BR119" s="9">
        <f>Raw!BR120/Raw!$C120</f>
        <v>0</v>
      </c>
      <c r="BS119" s="9">
        <f>Raw!BS120/Raw!$C120</f>
        <v>0</v>
      </c>
      <c r="BT119" s="9">
        <f>Raw!BT120/Raw!$C120</f>
        <v>0</v>
      </c>
      <c r="BU119" s="9">
        <f>Raw!BU120/Raw!$C120</f>
        <v>0</v>
      </c>
      <c r="BV119" s="9">
        <f>Raw!BV120/Raw!$C120</f>
        <v>0</v>
      </c>
      <c r="BW119" s="9">
        <f>Raw!BW120/Raw!$C120</f>
        <v>0</v>
      </c>
      <c r="BX119" s="9">
        <f>Raw!BX120/Raw!$C120</f>
        <v>0</v>
      </c>
      <c r="BY119" s="9">
        <f>Raw!BY120/Raw!$C120</f>
        <v>0</v>
      </c>
      <c r="BZ119" s="9">
        <f>Raw!BZ120/Raw!$C120</f>
        <v>0</v>
      </c>
      <c r="CA119" s="9">
        <f>Raw!CA120/Raw!$C120</f>
        <v>0</v>
      </c>
      <c r="CB119" s="9">
        <f>Raw!CB120/Raw!$C120</f>
        <v>0</v>
      </c>
      <c r="CC119" s="9">
        <f>Raw!CC120/Raw!$C120</f>
        <v>0</v>
      </c>
      <c r="CD119" s="9">
        <f>Raw!CD120/Raw!$C120</f>
        <v>0</v>
      </c>
      <c r="CE119" s="9">
        <f>Raw!CE120/Raw!$C120</f>
        <v>0</v>
      </c>
      <c r="CF119" s="9">
        <f>Raw!CF120/Raw!$C120</f>
        <v>0</v>
      </c>
      <c r="CG119" s="9">
        <f>Raw!CG120/Raw!$C120</f>
        <v>0</v>
      </c>
      <c r="CH119" s="9">
        <f>Raw!CH120/Raw!$C120</f>
        <v>0</v>
      </c>
      <c r="CI119" s="9">
        <f>Raw!CI120/Raw!$C120</f>
        <v>0</v>
      </c>
      <c r="CJ119" s="9">
        <f>Raw!CJ120/Raw!$C120</f>
        <v>0</v>
      </c>
      <c r="CK119" s="9">
        <f>Raw!CK120/Raw!$C120</f>
        <v>0</v>
      </c>
      <c r="CL119" s="9">
        <f>Raw!CL120/Raw!$C120</f>
        <v>0</v>
      </c>
      <c r="CM119" s="9">
        <f>Raw!CM120/Raw!$C120</f>
        <v>0</v>
      </c>
      <c r="CN119" s="9">
        <f>Raw!CN120/Raw!$C120</f>
        <v>8</v>
      </c>
      <c r="CO119" s="9">
        <f>Raw!CO120/Raw!$C120</f>
        <v>2.7200000000000006</v>
      </c>
      <c r="CP119" s="9">
        <f>Raw!CP120/Raw!$C120</f>
        <v>0</v>
      </c>
      <c r="CQ119" s="9">
        <f>Raw!CQ120/Raw!$C120</f>
        <v>0</v>
      </c>
      <c r="CR119" s="2">
        <f t="shared" si="39"/>
        <v>760</v>
      </c>
      <c r="CS119" s="2">
        <f t="shared" si="40"/>
        <v>313.92000000000007</v>
      </c>
      <c r="CT119" s="3">
        <f t="shared" si="110"/>
        <v>2.8808135922807914</v>
      </c>
      <c r="CU119" s="3">
        <f t="shared" si="111"/>
        <v>2.4968189856998544</v>
      </c>
      <c r="CZ119" s="3">
        <f t="shared" si="112"/>
        <v>2.8808135922807914</v>
      </c>
      <c r="DA119" s="3">
        <f t="shared" si="113"/>
        <v>2.4968189856998544</v>
      </c>
      <c r="DB119" s="6">
        <f t="shared" si="114"/>
        <v>0.8397191033663719</v>
      </c>
      <c r="DC119">
        <v>10</v>
      </c>
      <c r="DD119" s="3">
        <f>DC119/Raw!C120</f>
        <v>40</v>
      </c>
      <c r="DE119" s="5">
        <f t="shared" si="115"/>
        <v>1.3157894736842105E-2</v>
      </c>
      <c r="DF119">
        <f t="shared" si="116"/>
        <v>-1.8808135922807914</v>
      </c>
      <c r="DH119" s="4">
        <f>-SUM('Shannon-Weiner'!B118:Z118)</f>
        <v>1.3475387112536588</v>
      </c>
      <c r="DI119" s="4">
        <f>SUM('p^2'!B114:Z114)</f>
        <v>0.27807857837012351</v>
      </c>
      <c r="DJ119" s="4">
        <f t="shared" si="117"/>
        <v>0.72192142162987649</v>
      </c>
      <c r="DK119">
        <f t="shared" si="118"/>
        <v>3.5961058412381433</v>
      </c>
      <c r="DL119" s="4">
        <f>SUM('Shannon-Weiner_B'!B114:Z114)</f>
        <v>-0.94528591314086474</v>
      </c>
      <c r="DM119" s="4">
        <f>SUM('p_B^2'!B114:Z114)</f>
        <v>0.56627847598394332</v>
      </c>
      <c r="DN119" s="4">
        <f t="shared" si="119"/>
        <v>0.43372152401605668</v>
      </c>
      <c r="DO119">
        <f t="shared" si="120"/>
        <v>1.7659156093871291</v>
      </c>
    </row>
    <row r="120" spans="2:119" x14ac:dyDescent="0.25">
      <c r="B120" t="str">
        <f>Raw!B121</f>
        <v>NB10</v>
      </c>
      <c r="C120">
        <v>1</v>
      </c>
      <c r="D120" s="9">
        <f>Raw!D121/Raw!$C121</f>
        <v>564</v>
      </c>
      <c r="E120" s="9">
        <f>Raw!E121/Raw!$C121</f>
        <v>187.24</v>
      </c>
      <c r="F120" s="9">
        <f>Raw!F121/Raw!$C121</f>
        <v>68</v>
      </c>
      <c r="G120" s="9">
        <f>Raw!G121/Raw!$C121</f>
        <v>7.1199999999999992</v>
      </c>
      <c r="H120" s="9">
        <f>Raw!H121/Raw!$C121</f>
        <v>12</v>
      </c>
      <c r="I120" s="9">
        <f>Raw!I121/Raw!$C121</f>
        <v>8.3199999999999985</v>
      </c>
      <c r="J120" s="9">
        <f>Raw!J121/Raw!$C121</f>
        <v>24</v>
      </c>
      <c r="K120" s="9">
        <f>Raw!K121/Raw!$C121</f>
        <v>0.59999999999999964</v>
      </c>
      <c r="L120" s="9">
        <f>Raw!L121/Raw!$C121</f>
        <v>0</v>
      </c>
      <c r="M120" s="9">
        <f>Raw!M121/Raw!$C121</f>
        <v>0</v>
      </c>
      <c r="N120" s="9">
        <f>Raw!N121/Raw!$C121</f>
        <v>0</v>
      </c>
      <c r="O120" s="9">
        <f>Raw!O121/Raw!$C121</f>
        <v>0</v>
      </c>
      <c r="P120" s="9">
        <f>Raw!P121/Raw!$C121</f>
        <v>132</v>
      </c>
      <c r="Q120" s="9">
        <f>Raw!Q121/Raw!$C121</f>
        <v>14.759999999999998</v>
      </c>
      <c r="R120" s="9">
        <f>Raw!R121/Raw!$C121</f>
        <v>0</v>
      </c>
      <c r="S120" s="9">
        <f>Raw!S121/Raw!$C121</f>
        <v>0</v>
      </c>
      <c r="T120" s="9">
        <f>Raw!T121/Raw!$C121</f>
        <v>0</v>
      </c>
      <c r="U120" s="9">
        <f>Raw!U121/Raw!$C121</f>
        <v>0</v>
      </c>
      <c r="V120" s="9">
        <f>Raw!V121/Raw!$C121</f>
        <v>0</v>
      </c>
      <c r="W120" s="9">
        <f>Raw!W121/Raw!$C121</f>
        <v>0</v>
      </c>
      <c r="X120" s="9">
        <f>Raw!X121/Raw!$C121</f>
        <v>12</v>
      </c>
      <c r="Y120" s="9">
        <f>Raw!Y121/Raw!$C121</f>
        <v>0.16000000000000014</v>
      </c>
      <c r="Z120" s="9">
        <f>Raw!Z121/Raw!$C121</f>
        <v>0</v>
      </c>
      <c r="AA120" s="9">
        <f>Raw!AA121/Raw!$C121</f>
        <v>0</v>
      </c>
      <c r="AB120" s="9">
        <f>Raw!AB121/Raw!$C121</f>
        <v>0</v>
      </c>
      <c r="AC120" s="9">
        <f>Raw!AC121/Raw!$C121</f>
        <v>0</v>
      </c>
      <c r="AD120" s="9">
        <f>Raw!AD121/Raw!$C121</f>
        <v>0</v>
      </c>
      <c r="AE120" s="9">
        <f>Raw!AE121/Raw!$C121</f>
        <v>0</v>
      </c>
      <c r="AF120" s="9">
        <f>Raw!AF121/Raw!$C121</f>
        <v>8</v>
      </c>
      <c r="AG120" s="9">
        <f>Raw!AG121/Raw!$C121</f>
        <v>2.5199999999999996</v>
      </c>
      <c r="AH120" s="9">
        <f>Raw!AH121/Raw!$C121</f>
        <v>56</v>
      </c>
      <c r="AI120" s="9">
        <f>Raw!AI121/Raw!$C121</f>
        <v>26.879999999999995</v>
      </c>
      <c r="AJ120" s="9">
        <f>Raw!AJ121/Raw!$C121</f>
        <v>0</v>
      </c>
      <c r="AK120" s="9">
        <f>Raw!AK121/Raw!$C121</f>
        <v>0</v>
      </c>
      <c r="AL120" s="9">
        <f>Raw!AL121/Raw!$C121</f>
        <v>52</v>
      </c>
      <c r="AM120" s="9">
        <f>Raw!AM121/Raw!$C121</f>
        <v>91.56</v>
      </c>
      <c r="AN120" s="9">
        <f>Raw!AN121/Raw!$C121</f>
        <v>0</v>
      </c>
      <c r="AO120" s="9">
        <f>Raw!AO121/Raw!$C121</f>
        <v>0</v>
      </c>
      <c r="AP120" s="9">
        <f>Raw!AP121/Raw!$C121</f>
        <v>0</v>
      </c>
      <c r="AQ120" s="9">
        <f>Raw!AQ121/Raw!$C121</f>
        <v>0</v>
      </c>
      <c r="AR120" s="9">
        <f>Raw!AR121/Raw!$C121</f>
        <v>0</v>
      </c>
      <c r="AS120" s="9">
        <f>Raw!AS121/Raw!$C121</f>
        <v>0</v>
      </c>
      <c r="AT120" s="9">
        <f>Raw!AT121/Raw!$C121</f>
        <v>0</v>
      </c>
      <c r="AU120" s="9">
        <f>Raw!AU121/Raw!$C121</f>
        <v>0</v>
      </c>
      <c r="AV120" s="9">
        <f>Raw!AV121/Raw!$C121</f>
        <v>0</v>
      </c>
      <c r="AW120" s="9">
        <f>Raw!AW121/Raw!$C121</f>
        <v>0</v>
      </c>
      <c r="AX120" s="9">
        <f>Raw!AX121/Raw!$C121</f>
        <v>0</v>
      </c>
      <c r="AY120" s="9">
        <f>Raw!AY121/Raw!$C121</f>
        <v>0</v>
      </c>
      <c r="AZ120" s="9">
        <f>Raw!AZ121/Raw!$C121</f>
        <v>0</v>
      </c>
      <c r="BA120" s="9">
        <f>Raw!BA121/Raw!$C121</f>
        <v>0</v>
      </c>
      <c r="BB120" s="9">
        <f>Raw!BB121/Raw!$C121</f>
        <v>0</v>
      </c>
      <c r="BC120" s="9">
        <f>Raw!BC121/Raw!$C121</f>
        <v>0</v>
      </c>
      <c r="BD120" s="9">
        <f>Raw!BD121/Raw!$C121</f>
        <v>0</v>
      </c>
      <c r="BE120" s="9">
        <f>Raw!BE121/Raw!$C121</f>
        <v>0</v>
      </c>
      <c r="BF120" s="9">
        <f>Raw!BF121/Raw!$C121</f>
        <v>0</v>
      </c>
      <c r="BG120" s="9">
        <f>Raw!BG121/Raw!$C121</f>
        <v>0</v>
      </c>
      <c r="BH120" s="9">
        <f>Raw!BH121/Raw!$C121</f>
        <v>0</v>
      </c>
      <c r="BI120" s="9">
        <f>Raw!BI121/Raw!$C121</f>
        <v>0</v>
      </c>
      <c r="BJ120" s="9">
        <f>Raw!BJ121/Raw!$C121</f>
        <v>0</v>
      </c>
      <c r="BK120" s="9">
        <f>Raw!BK121/Raw!$C121</f>
        <v>0</v>
      </c>
      <c r="BL120" s="9">
        <f>Raw!BL121/Raw!$C121</f>
        <v>0</v>
      </c>
      <c r="BM120" s="9">
        <f>Raw!BM121/Raw!$C121</f>
        <v>0</v>
      </c>
      <c r="BN120" s="9">
        <f>Raw!BN121/Raw!$C121</f>
        <v>0</v>
      </c>
      <c r="BO120" s="9">
        <f>Raw!BO121/Raw!$C121</f>
        <v>0</v>
      </c>
      <c r="BP120" s="9">
        <f>Raw!BP121/Raw!$C121</f>
        <v>0</v>
      </c>
      <c r="BQ120" s="9">
        <f>Raw!BQ121/Raw!$C121</f>
        <v>0</v>
      </c>
      <c r="BR120" s="9">
        <f>Raw!BR121/Raw!$C121</f>
        <v>0</v>
      </c>
      <c r="BS120" s="9">
        <f>Raw!BS121/Raw!$C121</f>
        <v>0</v>
      </c>
      <c r="BT120" s="9">
        <f>Raw!BT121/Raw!$C121</f>
        <v>0</v>
      </c>
      <c r="BU120" s="9">
        <f>Raw!BU121/Raw!$C121</f>
        <v>0</v>
      </c>
      <c r="BV120" s="9">
        <f>Raw!BV121/Raw!$C121</f>
        <v>4</v>
      </c>
      <c r="BW120" s="9">
        <f>Raw!BW121/Raw!$C121</f>
        <v>8.0000000000000071E-2</v>
      </c>
      <c r="BX120" s="9">
        <f>Raw!BX121/Raw!$C121</f>
        <v>4</v>
      </c>
      <c r="BY120" s="9">
        <f>Raw!BY121/Raw!$C121</f>
        <v>1.6400000000000006</v>
      </c>
      <c r="BZ120" s="9">
        <f>Raw!BZ121/Raw!$C121</f>
        <v>0</v>
      </c>
      <c r="CA120" s="9">
        <f>Raw!CA121/Raw!$C121</f>
        <v>0</v>
      </c>
      <c r="CB120" s="9">
        <f>Raw!CB121/Raw!$C121</f>
        <v>16</v>
      </c>
      <c r="CC120" s="9">
        <f>Raw!CC121/Raw!$C121</f>
        <v>4.0400000000000009</v>
      </c>
      <c r="CD120" s="9">
        <f>Raw!CD121/Raw!$C121</f>
        <v>0</v>
      </c>
      <c r="CE120" s="9">
        <f>Raw!CE121/Raw!$C121</f>
        <v>0</v>
      </c>
      <c r="CF120" s="9">
        <f>Raw!CF121/Raw!$C121</f>
        <v>0</v>
      </c>
      <c r="CG120" s="9">
        <f>Raw!CG121/Raw!$C121</f>
        <v>0</v>
      </c>
      <c r="CH120" s="9">
        <f>Raw!CH121/Raw!$C121</f>
        <v>0</v>
      </c>
      <c r="CI120" s="9">
        <f>Raw!CI121/Raw!$C121</f>
        <v>0</v>
      </c>
      <c r="CJ120" s="9">
        <f>Raw!CJ121/Raw!$C121</f>
        <v>0</v>
      </c>
      <c r="CK120" s="9">
        <f>Raw!CK121/Raw!$C121</f>
        <v>0</v>
      </c>
      <c r="CL120" s="9">
        <f>Raw!CL121/Raw!$C121</f>
        <v>0</v>
      </c>
      <c r="CM120" s="9">
        <f>Raw!CM121/Raw!$C121</f>
        <v>0</v>
      </c>
      <c r="CN120" s="9">
        <f>Raw!CN121/Raw!$C121</f>
        <v>0</v>
      </c>
      <c r="CO120" s="9">
        <f>Raw!CO121/Raw!$C121</f>
        <v>0</v>
      </c>
      <c r="CP120" s="9">
        <f>Raw!CP121/Raw!$C121</f>
        <v>4</v>
      </c>
      <c r="CQ120" s="9">
        <f>Raw!CQ121/Raw!$C121</f>
        <v>2.3599999999999994</v>
      </c>
      <c r="CR120" s="2">
        <f t="shared" si="39"/>
        <v>956</v>
      </c>
      <c r="CS120" s="2">
        <f t="shared" si="40"/>
        <v>347.28</v>
      </c>
      <c r="CT120" s="3">
        <f t="shared" si="110"/>
        <v>2.9804578922761</v>
      </c>
      <c r="CU120" s="3">
        <f t="shared" si="111"/>
        <v>2.5406797728306434</v>
      </c>
      <c r="CZ120" s="3">
        <f t="shared" si="112"/>
        <v>2.9804578922761</v>
      </c>
      <c r="DA120" s="3">
        <f t="shared" si="113"/>
        <v>2.5406797728306434</v>
      </c>
      <c r="DB120" s="6">
        <f t="shared" si="114"/>
        <v>0.79441693352443832</v>
      </c>
      <c r="DC120">
        <v>13</v>
      </c>
      <c r="DD120" s="3">
        <f>DC120/Raw!C121</f>
        <v>52</v>
      </c>
      <c r="DE120" s="5">
        <f t="shared" si="115"/>
        <v>1.3598326359832637E-2</v>
      </c>
      <c r="DF120">
        <f t="shared" si="116"/>
        <v>-1.8665145399692633</v>
      </c>
      <c r="DH120" s="4">
        <f>-SUM('Shannon-Weiner'!B119:Z119)</f>
        <v>1.3397295144658106</v>
      </c>
      <c r="DI120" s="4">
        <f>SUM('p^2'!B115:Z115)</f>
        <v>0.29115426378121756</v>
      </c>
      <c r="DJ120" s="4">
        <f t="shared" si="117"/>
        <v>0.70884573621878244</v>
      </c>
      <c r="DK120">
        <f t="shared" si="118"/>
        <v>3.4346053772766707</v>
      </c>
      <c r="DL120" s="4">
        <f>SUM('Shannon-Weiner_B'!B115:Z115)</f>
        <v>-0.90363750966773049</v>
      </c>
      <c r="DM120" s="4">
        <f>SUM('p_B^2'!B115:Z115)</f>
        <v>0.45763254113581431</v>
      </c>
      <c r="DN120" s="4">
        <f t="shared" si="119"/>
        <v>0.54236745886418569</v>
      </c>
      <c r="DO120">
        <f t="shared" si="120"/>
        <v>2.1851592929079406</v>
      </c>
    </row>
    <row r="121" spans="2:119" x14ac:dyDescent="0.25">
      <c r="B121" t="str">
        <f>Raw!B122</f>
        <v>NB11</v>
      </c>
      <c r="C121">
        <v>1</v>
      </c>
      <c r="D121" s="9">
        <f>Raw!D122/Raw!$C122</f>
        <v>448</v>
      </c>
      <c r="E121" s="9">
        <f>Raw!E122/Raw!$C122</f>
        <v>148.76</v>
      </c>
      <c r="F121" s="9">
        <f>Raw!F122/Raw!$C122</f>
        <v>28</v>
      </c>
      <c r="G121" s="9">
        <f>Raw!G122/Raw!$C122</f>
        <v>0.75999999999999979</v>
      </c>
      <c r="H121" s="9">
        <f>Raw!H122/Raw!$C122</f>
        <v>0</v>
      </c>
      <c r="I121" s="9">
        <f>Raw!I122/Raw!$C122</f>
        <v>0</v>
      </c>
      <c r="J121" s="9">
        <f>Raw!J122/Raw!$C122</f>
        <v>4</v>
      </c>
      <c r="K121" s="9">
        <f>Raw!K122/Raw!$C122</f>
        <v>0.20000000000000018</v>
      </c>
      <c r="L121" s="9">
        <f>Raw!L122/Raw!$C122</f>
        <v>0</v>
      </c>
      <c r="M121" s="9">
        <f>Raw!M122/Raw!$C122</f>
        <v>0</v>
      </c>
      <c r="N121" s="9">
        <f>Raw!N122/Raw!$C122</f>
        <v>0</v>
      </c>
      <c r="O121" s="9">
        <f>Raw!O122/Raw!$C122</f>
        <v>0</v>
      </c>
      <c r="P121" s="9">
        <f>Raw!P122/Raw!$C122</f>
        <v>100</v>
      </c>
      <c r="Q121" s="9">
        <f>Raw!Q122/Raw!$C122</f>
        <v>7.68</v>
      </c>
      <c r="R121" s="9">
        <f>Raw!R122/Raw!$C122</f>
        <v>0</v>
      </c>
      <c r="S121" s="9">
        <f>Raw!S122/Raw!$C122</f>
        <v>0</v>
      </c>
      <c r="T121" s="9">
        <f>Raw!T122/Raw!$C122</f>
        <v>0</v>
      </c>
      <c r="U121" s="9">
        <f>Raw!U122/Raw!$C122</f>
        <v>0</v>
      </c>
      <c r="V121" s="9">
        <f>Raw!V122/Raw!$C122</f>
        <v>0</v>
      </c>
      <c r="W121" s="9">
        <f>Raw!W122/Raw!$C122</f>
        <v>0</v>
      </c>
      <c r="X121" s="9">
        <f>Raw!X122/Raw!$C122</f>
        <v>0</v>
      </c>
      <c r="Y121" s="9">
        <f>Raw!Y122/Raw!$C122</f>
        <v>0</v>
      </c>
      <c r="Z121" s="9">
        <f>Raw!Z122/Raw!$C122</f>
        <v>0</v>
      </c>
      <c r="AA121" s="9">
        <f>Raw!AA122/Raw!$C122</f>
        <v>0</v>
      </c>
      <c r="AB121" s="9">
        <f>Raw!AB122/Raw!$C122</f>
        <v>0</v>
      </c>
      <c r="AC121" s="9">
        <f>Raw!AC122/Raw!$C122</f>
        <v>0</v>
      </c>
      <c r="AD121" s="9">
        <f>Raw!AD122/Raw!$C122</f>
        <v>0</v>
      </c>
      <c r="AE121" s="9">
        <f>Raw!AE122/Raw!$C122</f>
        <v>0</v>
      </c>
      <c r="AF121" s="9">
        <f>Raw!AF122/Raw!$C122</f>
        <v>24</v>
      </c>
      <c r="AG121" s="9">
        <f>Raw!AG122/Raw!$C122</f>
        <v>3.7199999999999989</v>
      </c>
      <c r="AH121" s="9">
        <f>Raw!AH122/Raw!$C122</f>
        <v>44</v>
      </c>
      <c r="AI121" s="9">
        <f>Raw!AI122/Raw!$C122</f>
        <v>6.6000000000000014</v>
      </c>
      <c r="AJ121" s="9">
        <f>Raw!AJ122/Raw!$C122</f>
        <v>0</v>
      </c>
      <c r="AK121" s="9">
        <f>Raw!AK122/Raw!$C122</f>
        <v>0</v>
      </c>
      <c r="AL121" s="9">
        <f>Raw!AL122/Raw!$C122</f>
        <v>76</v>
      </c>
      <c r="AM121" s="9">
        <f>Raw!AM122/Raw!$C122</f>
        <v>122.84</v>
      </c>
      <c r="AN121" s="9">
        <f>Raw!AN122/Raw!$C122</f>
        <v>0</v>
      </c>
      <c r="AO121" s="9">
        <f>Raw!AO122/Raw!$C122</f>
        <v>0</v>
      </c>
      <c r="AP121" s="9">
        <f>Raw!AP122/Raw!$C122</f>
        <v>0</v>
      </c>
      <c r="AQ121" s="9">
        <f>Raw!AQ122/Raw!$C122</f>
        <v>0</v>
      </c>
      <c r="AR121" s="9">
        <f>Raw!AR122/Raw!$C122</f>
        <v>0</v>
      </c>
      <c r="AS121" s="9">
        <f>Raw!AS122/Raw!$C122</f>
        <v>0</v>
      </c>
      <c r="AT121" s="9">
        <f>Raw!AT122/Raw!$C122</f>
        <v>0</v>
      </c>
      <c r="AU121" s="9">
        <f>Raw!AU122/Raw!$C122</f>
        <v>0</v>
      </c>
      <c r="AV121" s="9">
        <f>Raw!AV122/Raw!$C122</f>
        <v>0</v>
      </c>
      <c r="AW121" s="9">
        <f>Raw!AW122/Raw!$C122</f>
        <v>0</v>
      </c>
      <c r="AX121" s="9">
        <f>Raw!AX122/Raw!$C122</f>
        <v>0</v>
      </c>
      <c r="AY121" s="9">
        <f>Raw!AY122/Raw!$C122</f>
        <v>0</v>
      </c>
      <c r="AZ121" s="9">
        <f>Raw!AZ122/Raw!$C122</f>
        <v>0</v>
      </c>
      <c r="BA121" s="9">
        <f>Raw!BA122/Raw!$C122</f>
        <v>0</v>
      </c>
      <c r="BB121" s="9">
        <f>Raw!BB122/Raw!$C122</f>
        <v>0</v>
      </c>
      <c r="BC121" s="9">
        <f>Raw!BC122/Raw!$C122</f>
        <v>0</v>
      </c>
      <c r="BD121" s="9">
        <f>Raw!BD122/Raw!$C122</f>
        <v>0</v>
      </c>
      <c r="BE121" s="9">
        <f>Raw!BE122/Raw!$C122</f>
        <v>0</v>
      </c>
      <c r="BF121" s="9">
        <f>Raw!BF122/Raw!$C122</f>
        <v>0</v>
      </c>
      <c r="BG121" s="9">
        <f>Raw!BG122/Raw!$C122</f>
        <v>0</v>
      </c>
      <c r="BH121" s="9">
        <f>Raw!BH122/Raw!$C122</f>
        <v>0</v>
      </c>
      <c r="BI121" s="9">
        <f>Raw!BI122/Raw!$C122</f>
        <v>0</v>
      </c>
      <c r="BJ121" s="9">
        <f>Raw!BJ122/Raw!$C122</f>
        <v>0</v>
      </c>
      <c r="BK121" s="9">
        <f>Raw!BK122/Raw!$C122</f>
        <v>0</v>
      </c>
      <c r="BL121" s="9">
        <f>Raw!BL122/Raw!$C122</f>
        <v>0</v>
      </c>
      <c r="BM121" s="9">
        <f>Raw!BM122/Raw!$C122</f>
        <v>0</v>
      </c>
      <c r="BN121" s="9">
        <f>Raw!BN122/Raw!$C122</f>
        <v>0</v>
      </c>
      <c r="BO121" s="9">
        <f>Raw!BO122/Raw!$C122</f>
        <v>0</v>
      </c>
      <c r="BP121" s="9">
        <f>Raw!BP122/Raw!$C122</f>
        <v>0</v>
      </c>
      <c r="BQ121" s="9">
        <f>Raw!BQ122/Raw!$C122</f>
        <v>0</v>
      </c>
      <c r="BR121" s="9">
        <f>Raw!BR122/Raw!$C122</f>
        <v>0</v>
      </c>
      <c r="BS121" s="9">
        <f>Raw!BS122/Raw!$C122</f>
        <v>0</v>
      </c>
      <c r="BT121" s="9">
        <f>Raw!BT122/Raw!$C122</f>
        <v>0</v>
      </c>
      <c r="BU121" s="9">
        <f>Raw!BU122/Raw!$C122</f>
        <v>0</v>
      </c>
      <c r="BV121" s="9">
        <f>Raw!BV122/Raw!$C122</f>
        <v>0</v>
      </c>
      <c r="BW121" s="9">
        <f>Raw!BW122/Raw!$C122</f>
        <v>0</v>
      </c>
      <c r="BX121" s="9">
        <f>Raw!BX122/Raw!$C122</f>
        <v>4</v>
      </c>
      <c r="BY121" s="9">
        <f>Raw!BY122/Raw!$C122</f>
        <v>0.02</v>
      </c>
      <c r="BZ121" s="9">
        <f>Raw!BZ122/Raw!$C122</f>
        <v>0</v>
      </c>
      <c r="CA121" s="9">
        <f>Raw!CA122/Raw!$C122</f>
        <v>0</v>
      </c>
      <c r="CB121" s="9">
        <f>Raw!CB122/Raw!$C122</f>
        <v>4</v>
      </c>
      <c r="CC121" s="9">
        <f>Raw!CC122/Raw!$C122</f>
        <v>2</v>
      </c>
      <c r="CD121" s="9">
        <f>Raw!CD122/Raw!$C122</f>
        <v>0</v>
      </c>
      <c r="CE121" s="9">
        <f>Raw!CE122/Raw!$C122</f>
        <v>0</v>
      </c>
      <c r="CF121" s="9">
        <f>Raw!CF122/Raw!$C122</f>
        <v>0</v>
      </c>
      <c r="CG121" s="9">
        <f>Raw!CG122/Raw!$C122</f>
        <v>0</v>
      </c>
      <c r="CH121" s="9">
        <f>Raw!CH122/Raw!$C122</f>
        <v>0</v>
      </c>
      <c r="CI121" s="9">
        <f>Raw!CI122/Raw!$C122</f>
        <v>0</v>
      </c>
      <c r="CJ121" s="9">
        <f>Raw!CJ122/Raw!$C122</f>
        <v>0</v>
      </c>
      <c r="CK121" s="9">
        <f>Raw!CK122/Raw!$C122</f>
        <v>0</v>
      </c>
      <c r="CL121" s="9">
        <f>Raw!CL122/Raw!$C122</f>
        <v>0</v>
      </c>
      <c r="CM121" s="9">
        <f>Raw!CM122/Raw!$C122</f>
        <v>0</v>
      </c>
      <c r="CN121" s="9">
        <f>Raw!CN122/Raw!$C122</f>
        <v>4</v>
      </c>
      <c r="CO121" s="9">
        <f>Raw!CO122/Raw!$C122</f>
        <v>2</v>
      </c>
      <c r="CP121" s="9">
        <f>Raw!CP122/Raw!$C122</f>
        <v>0</v>
      </c>
      <c r="CQ121" s="9">
        <f>Raw!CQ122/Raw!$C122</f>
        <v>0</v>
      </c>
      <c r="CR121" s="2">
        <f t="shared" si="39"/>
        <v>736</v>
      </c>
      <c r="CS121" s="2">
        <f t="shared" si="40"/>
        <v>294.57999999999993</v>
      </c>
      <c r="CT121" s="3">
        <f t="shared" si="110"/>
        <v>2.8668778143374989</v>
      </c>
      <c r="CU121" s="3">
        <f t="shared" si="111"/>
        <v>2.4692032578342151</v>
      </c>
      <c r="CZ121" s="3">
        <f t="shared" si="112"/>
        <v>2.8668778143374989</v>
      </c>
      <c r="DA121" s="3">
        <f t="shared" si="113"/>
        <v>2.4692032578342151</v>
      </c>
      <c r="DB121" s="6">
        <f t="shared" si="114"/>
        <v>0.85873556863477651</v>
      </c>
      <c r="DC121">
        <v>10</v>
      </c>
      <c r="DD121" s="3">
        <f>DC121/Raw!C122</f>
        <v>40</v>
      </c>
      <c r="DE121" s="5">
        <f t="shared" si="115"/>
        <v>1.358695652173913E-2</v>
      </c>
      <c r="DF121">
        <f t="shared" si="116"/>
        <v>-1.8668778143374989</v>
      </c>
      <c r="DH121" s="4">
        <f>-SUM('Shannon-Weiner'!B120:Z120)</f>
        <v>1.2405787307433196</v>
      </c>
      <c r="DI121" s="4">
        <f>SUM('p^2'!B116:Z116)</f>
        <v>0.67608441061213465</v>
      </c>
      <c r="DJ121" s="4">
        <f t="shared" si="117"/>
        <v>0.32391558938786535</v>
      </c>
      <c r="DK121">
        <f t="shared" si="118"/>
        <v>1.4791052482553007</v>
      </c>
      <c r="DL121" s="4">
        <f>SUM('Shannon-Weiner_B'!B116:Z116)</f>
        <v>-0.60217501715934629</v>
      </c>
      <c r="DM121" s="4">
        <f>SUM('p_B^2'!B116:Z116)</f>
        <v>0.70331510980741729</v>
      </c>
      <c r="DN121" s="4">
        <f t="shared" si="119"/>
        <v>0.29668489019258271</v>
      </c>
      <c r="DO121">
        <f t="shared" si="120"/>
        <v>1.4218377880063195</v>
      </c>
    </row>
    <row r="122" spans="2:119" x14ac:dyDescent="0.25">
      <c r="B122" t="str">
        <f>Raw!B123</f>
        <v>NB12</v>
      </c>
      <c r="C122">
        <v>1</v>
      </c>
      <c r="D122" s="9">
        <f>Raw!D123/Raw!$C123</f>
        <v>280</v>
      </c>
      <c r="E122" s="9">
        <f>Raw!E123/Raw!$C123</f>
        <v>165.2</v>
      </c>
      <c r="F122" s="9">
        <f>Raw!F123/Raw!$C123</f>
        <v>96</v>
      </c>
      <c r="G122" s="9">
        <f>Raw!G123/Raw!$C123</f>
        <v>67.52</v>
      </c>
      <c r="H122" s="9">
        <f>Raw!H123/Raw!$C123</f>
        <v>4</v>
      </c>
      <c r="I122" s="9">
        <f>Raw!I123/Raw!$C123</f>
        <v>1.7200000000000006</v>
      </c>
      <c r="J122" s="9">
        <f>Raw!J123/Raw!$C123</f>
        <v>8</v>
      </c>
      <c r="K122" s="9">
        <f>Raw!K123/Raw!$C123</f>
        <v>4.0000000000000924E-2</v>
      </c>
      <c r="L122" s="9">
        <f>Raw!L123/Raw!$C123</f>
        <v>0</v>
      </c>
      <c r="M122" s="9">
        <f>Raw!M123/Raw!$C123</f>
        <v>0</v>
      </c>
      <c r="N122" s="9">
        <f>Raw!N123/Raw!$C123</f>
        <v>0</v>
      </c>
      <c r="O122" s="9">
        <f>Raw!O123/Raw!$C123</f>
        <v>0</v>
      </c>
      <c r="P122" s="9">
        <f>Raw!P123/Raw!$C123</f>
        <v>176</v>
      </c>
      <c r="Q122" s="9">
        <f>Raw!Q123/Raw!$C123</f>
        <v>31.040000000000003</v>
      </c>
      <c r="R122" s="9">
        <f>Raw!R123/Raw!$C123</f>
        <v>0</v>
      </c>
      <c r="S122" s="9">
        <f>Raw!S123/Raw!$C123</f>
        <v>0</v>
      </c>
      <c r="T122" s="9">
        <f>Raw!T123/Raw!$C123</f>
        <v>0</v>
      </c>
      <c r="U122" s="9">
        <f>Raw!U123/Raw!$C123</f>
        <v>0</v>
      </c>
      <c r="V122" s="9">
        <f>Raw!V123/Raw!$C123</f>
        <v>4</v>
      </c>
      <c r="W122" s="9">
        <f>Raw!W123/Raw!$C123</f>
        <v>8.0000000000000071E-2</v>
      </c>
      <c r="X122" s="9">
        <f>Raw!X123/Raw!$C123</f>
        <v>80</v>
      </c>
      <c r="Y122" s="9">
        <f>Raw!Y123/Raw!$C123</f>
        <v>14.440000000000001</v>
      </c>
      <c r="Z122" s="9">
        <f>Raw!Z123/Raw!$C123</f>
        <v>0</v>
      </c>
      <c r="AA122" s="9">
        <f>Raw!AA123/Raw!$C123</f>
        <v>0</v>
      </c>
      <c r="AB122" s="9">
        <f>Raw!AB123/Raw!$C123</f>
        <v>0</v>
      </c>
      <c r="AC122" s="9">
        <f>Raw!AC123/Raw!$C123</f>
        <v>0</v>
      </c>
      <c r="AD122" s="9">
        <f>Raw!AD123/Raw!$C123</f>
        <v>0</v>
      </c>
      <c r="AE122" s="9">
        <f>Raw!AE123/Raw!$C123</f>
        <v>0</v>
      </c>
      <c r="AF122" s="9">
        <f>Raw!AF123/Raw!$C123</f>
        <v>8</v>
      </c>
      <c r="AG122" s="9">
        <f>Raw!AG123/Raw!$C123</f>
        <v>1.96</v>
      </c>
      <c r="AH122" s="9">
        <f>Raw!AH123/Raw!$C123</f>
        <v>28</v>
      </c>
      <c r="AI122" s="9">
        <f>Raw!AI123/Raw!$C123</f>
        <v>5</v>
      </c>
      <c r="AJ122" s="9">
        <f>Raw!AJ123/Raw!$C123</f>
        <v>0</v>
      </c>
      <c r="AK122" s="9">
        <f>Raw!AK123/Raw!$C123</f>
        <v>0</v>
      </c>
      <c r="AL122" s="9">
        <f>Raw!AL123/Raw!$C123</f>
        <v>8</v>
      </c>
      <c r="AM122" s="9">
        <f>Raw!AM123/Raw!$C123</f>
        <v>5.4799999999999986</v>
      </c>
      <c r="AN122" s="9">
        <f>Raw!AN123/Raw!$C123</f>
        <v>0</v>
      </c>
      <c r="AO122" s="9">
        <f>Raw!AO123/Raw!$C123</f>
        <v>0</v>
      </c>
      <c r="AP122" s="9">
        <f>Raw!AP123/Raw!$C123</f>
        <v>0</v>
      </c>
      <c r="AQ122" s="9">
        <f>Raw!AQ123/Raw!$C123</f>
        <v>0</v>
      </c>
      <c r="AR122" s="9">
        <f>Raw!AR123/Raw!$C123</f>
        <v>0</v>
      </c>
      <c r="AS122" s="9">
        <f>Raw!AS123/Raw!$C123</f>
        <v>0</v>
      </c>
      <c r="AT122" s="9">
        <f>Raw!AT123/Raw!$C123</f>
        <v>0</v>
      </c>
      <c r="AU122" s="9">
        <f>Raw!AU123/Raw!$C123</f>
        <v>0</v>
      </c>
      <c r="AV122" s="9">
        <f>Raw!AV123/Raw!$C123</f>
        <v>0</v>
      </c>
      <c r="AW122" s="9">
        <f>Raw!AW123/Raw!$C123</f>
        <v>0</v>
      </c>
      <c r="AX122" s="9">
        <f>Raw!AX123/Raw!$C123</f>
        <v>0</v>
      </c>
      <c r="AY122" s="9">
        <f>Raw!AY123/Raw!$C123</f>
        <v>0</v>
      </c>
      <c r="AZ122" s="9">
        <f>Raw!AZ123/Raw!$C123</f>
        <v>0</v>
      </c>
      <c r="BA122" s="9">
        <f>Raw!BA123/Raw!$C123</f>
        <v>0</v>
      </c>
      <c r="BB122" s="9">
        <f>Raw!BB123/Raw!$C123</f>
        <v>0</v>
      </c>
      <c r="BC122" s="9">
        <f>Raw!BC123/Raw!$C123</f>
        <v>0</v>
      </c>
      <c r="BD122" s="9">
        <f>Raw!BD123/Raw!$C123</f>
        <v>0</v>
      </c>
      <c r="BE122" s="9">
        <f>Raw!BE123/Raw!$C123</f>
        <v>0</v>
      </c>
      <c r="BF122" s="9">
        <f>Raw!BF123/Raw!$C123</f>
        <v>0</v>
      </c>
      <c r="BG122" s="9">
        <f>Raw!BG123/Raw!$C123</f>
        <v>0</v>
      </c>
      <c r="BH122" s="9">
        <f>Raw!BH123/Raw!$C123</f>
        <v>0</v>
      </c>
      <c r="BI122" s="9">
        <f>Raw!BI123/Raw!$C123</f>
        <v>0</v>
      </c>
      <c r="BJ122" s="9">
        <f>Raw!BJ123/Raw!$C123</f>
        <v>0</v>
      </c>
      <c r="BK122" s="9">
        <f>Raw!BK123/Raw!$C123</f>
        <v>0</v>
      </c>
      <c r="BL122" s="9">
        <f>Raw!BL123/Raw!$C123</f>
        <v>0</v>
      </c>
      <c r="BM122" s="9">
        <f>Raw!BM123/Raw!$C123</f>
        <v>0</v>
      </c>
      <c r="BN122" s="9">
        <f>Raw!BN123/Raw!$C123</f>
        <v>0</v>
      </c>
      <c r="BO122" s="9">
        <f>Raw!BO123/Raw!$C123</f>
        <v>0</v>
      </c>
      <c r="BP122" s="9">
        <f>Raw!BP123/Raw!$C123</f>
        <v>0</v>
      </c>
      <c r="BQ122" s="9">
        <f>Raw!BQ123/Raw!$C123</f>
        <v>0</v>
      </c>
      <c r="BR122" s="9">
        <f>Raw!BR123/Raw!$C123</f>
        <v>0</v>
      </c>
      <c r="BS122" s="9">
        <f>Raw!BS123/Raw!$C123</f>
        <v>0</v>
      </c>
      <c r="BT122" s="9">
        <f>Raw!BT123/Raw!$C123</f>
        <v>0</v>
      </c>
      <c r="BU122" s="9">
        <f>Raw!BU123/Raw!$C123</f>
        <v>0</v>
      </c>
      <c r="BV122" s="9">
        <f>Raw!BV123/Raw!$C123</f>
        <v>0</v>
      </c>
      <c r="BW122" s="9">
        <f>Raw!BW123/Raw!$C123</f>
        <v>0</v>
      </c>
      <c r="BX122" s="9">
        <f>Raw!BX123/Raw!$C123</f>
        <v>0</v>
      </c>
      <c r="BY122" s="9">
        <f>Raw!BY123/Raw!$C123</f>
        <v>0</v>
      </c>
      <c r="BZ122" s="9">
        <f>Raw!BZ123/Raw!$C123</f>
        <v>0</v>
      </c>
      <c r="CA122" s="9">
        <f>Raw!CA123/Raw!$C123</f>
        <v>0</v>
      </c>
      <c r="CB122" s="9">
        <f>Raw!CB123/Raw!$C123</f>
        <v>60</v>
      </c>
      <c r="CC122" s="9">
        <f>Raw!CC123/Raw!$C123</f>
        <v>8.76</v>
      </c>
      <c r="CD122" s="9">
        <f>Raw!CD123/Raw!$C123</f>
        <v>0</v>
      </c>
      <c r="CE122" s="9">
        <f>Raw!CE123/Raw!$C123</f>
        <v>0</v>
      </c>
      <c r="CF122" s="9">
        <f>Raw!CF123/Raw!$C123</f>
        <v>0</v>
      </c>
      <c r="CG122" s="9">
        <f>Raw!CG123/Raw!$C123</f>
        <v>0</v>
      </c>
      <c r="CH122" s="9">
        <f>Raw!CH123/Raw!$C123</f>
        <v>0</v>
      </c>
      <c r="CI122" s="9">
        <f>Raw!CI123/Raw!$C123</f>
        <v>0</v>
      </c>
      <c r="CJ122" s="9">
        <f>Raw!CJ123/Raw!$C123</f>
        <v>0</v>
      </c>
      <c r="CK122" s="9">
        <f>Raw!CK123/Raw!$C123</f>
        <v>0</v>
      </c>
      <c r="CL122" s="9">
        <f>Raw!CL123/Raw!$C123</f>
        <v>0</v>
      </c>
      <c r="CM122" s="9">
        <f>Raw!CM123/Raw!$C123</f>
        <v>0</v>
      </c>
      <c r="CN122" s="9">
        <f>Raw!CN123/Raw!$C123</f>
        <v>8</v>
      </c>
      <c r="CO122" s="9">
        <f>Raw!CO123/Raw!$C123</f>
        <v>0.64000000000000057</v>
      </c>
      <c r="CP122" s="9">
        <f>Raw!CP123/Raw!$C123</f>
        <v>0</v>
      </c>
      <c r="CQ122" s="9">
        <f>Raw!CQ123/Raw!$C123</f>
        <v>0</v>
      </c>
      <c r="CR122" s="2">
        <f t="shared" si="39"/>
        <v>760</v>
      </c>
      <c r="CS122" s="2">
        <f t="shared" si="40"/>
        <v>301.87999999999994</v>
      </c>
      <c r="CT122" s="3">
        <f t="shared" si="110"/>
        <v>2.8808135922807914</v>
      </c>
      <c r="CU122" s="3">
        <f t="shared" si="111"/>
        <v>2.4798343413193602</v>
      </c>
      <c r="CZ122" s="3">
        <f t="shared" si="112"/>
        <v>2.8808135922807914</v>
      </c>
      <c r="DA122" s="3">
        <f t="shared" si="113"/>
        <v>2.4798343413193602</v>
      </c>
      <c r="DB122" s="6">
        <f t="shared" si="114"/>
        <v>0.84974525783668831</v>
      </c>
      <c r="DC122">
        <v>12</v>
      </c>
      <c r="DD122" s="3">
        <f>DC122/Raw!C123</f>
        <v>48</v>
      </c>
      <c r="DE122" s="5">
        <f t="shared" si="115"/>
        <v>1.5789473684210527E-2</v>
      </c>
      <c r="DF122">
        <f t="shared" si="116"/>
        <v>-1.8016323462331665</v>
      </c>
      <c r="DH122" s="4">
        <f>-SUM('Shannon-Weiner'!B121:Z121)</f>
        <v>1.4980049371029871</v>
      </c>
      <c r="DI122" s="4">
        <f>SUM('p^2'!B117:Z117)</f>
        <v>0.42326258017589102</v>
      </c>
      <c r="DJ122" s="4">
        <f t="shared" si="117"/>
        <v>0.57673741982410898</v>
      </c>
      <c r="DK122">
        <f t="shared" si="118"/>
        <v>2.3625995938134667</v>
      </c>
      <c r="DL122" s="4">
        <f>SUM('Shannon-Weiner_B'!B117:Z117)</f>
        <v>-0.80378253658644583</v>
      </c>
      <c r="DM122" s="4">
        <f>SUM('p_B^2'!B117:Z117)</f>
        <v>0.42562809828282211</v>
      </c>
      <c r="DN122" s="4">
        <f t="shared" si="119"/>
        <v>0.57437190171717789</v>
      </c>
      <c r="DO122">
        <f t="shared" si="120"/>
        <v>2.3494689472674763</v>
      </c>
    </row>
    <row r="123" spans="2:119" x14ac:dyDescent="0.25">
      <c r="B123" t="str">
        <f>Raw!B124</f>
        <v>NB13</v>
      </c>
      <c r="C123">
        <v>1</v>
      </c>
      <c r="D123" s="9">
        <f>Raw!D124/Raw!$C124</f>
        <v>216</v>
      </c>
      <c r="E123" s="9">
        <f>Raw!E124/Raw!$C124</f>
        <v>158.95999999999998</v>
      </c>
      <c r="F123" s="9">
        <f>Raw!F124/Raw!$C124</f>
        <v>152</v>
      </c>
      <c r="G123" s="9">
        <f>Raw!G124/Raw!$C124</f>
        <v>79.56</v>
      </c>
      <c r="H123" s="9">
        <f>Raw!H124/Raw!$C124</f>
        <v>0</v>
      </c>
      <c r="I123" s="9">
        <f>Raw!I124/Raw!$C124</f>
        <v>0</v>
      </c>
      <c r="J123" s="9">
        <f>Raw!J124/Raw!$C124</f>
        <v>4</v>
      </c>
      <c r="K123" s="9">
        <f>Raw!K124/Raw!$C124</f>
        <v>4.0000000000000036E-2</v>
      </c>
      <c r="L123" s="9">
        <f>Raw!L124/Raw!$C124</f>
        <v>0</v>
      </c>
      <c r="M123" s="9">
        <f>Raw!M124/Raw!$C124</f>
        <v>0</v>
      </c>
      <c r="N123" s="9">
        <f>Raw!N124/Raw!$C124</f>
        <v>4</v>
      </c>
      <c r="O123" s="9">
        <f>Raw!O124/Raw!$C124</f>
        <v>4.9999999999999982</v>
      </c>
      <c r="P123" s="9">
        <f>Raw!P124/Raw!$C124</f>
        <v>152</v>
      </c>
      <c r="Q123" s="9">
        <f>Raw!Q124/Raw!$C124</f>
        <v>18.28</v>
      </c>
      <c r="R123" s="9">
        <f>Raw!R124/Raw!$C124</f>
        <v>0</v>
      </c>
      <c r="S123" s="9">
        <f>Raw!S124/Raw!$C124</f>
        <v>0</v>
      </c>
      <c r="T123" s="9">
        <f>Raw!T124/Raw!$C124</f>
        <v>0</v>
      </c>
      <c r="U123" s="9">
        <f>Raw!U124/Raw!$C124</f>
        <v>0</v>
      </c>
      <c r="V123" s="9">
        <f>Raw!V124/Raw!$C124</f>
        <v>4</v>
      </c>
      <c r="W123" s="9">
        <f>Raw!W124/Raw!$C124</f>
        <v>0.02</v>
      </c>
      <c r="X123" s="9">
        <f>Raw!X124/Raw!$C124</f>
        <v>68</v>
      </c>
      <c r="Y123" s="9">
        <f>Raw!Y124/Raw!$C124</f>
        <v>5.6000000000000014</v>
      </c>
      <c r="Z123" s="9">
        <f>Raw!Z124/Raw!$C124</f>
        <v>0</v>
      </c>
      <c r="AA123" s="9">
        <f>Raw!AA124/Raw!$C124</f>
        <v>0</v>
      </c>
      <c r="AB123" s="9">
        <f>Raw!AB124/Raw!$C124</f>
        <v>0</v>
      </c>
      <c r="AC123" s="9">
        <f>Raw!AC124/Raw!$C124</f>
        <v>0</v>
      </c>
      <c r="AD123" s="9">
        <f>Raw!AD124/Raw!$C124</f>
        <v>0</v>
      </c>
      <c r="AE123" s="9">
        <f>Raw!AE124/Raw!$C124</f>
        <v>0</v>
      </c>
      <c r="AF123" s="9">
        <f>Raw!AF124/Raw!$C124</f>
        <v>20</v>
      </c>
      <c r="AG123" s="9">
        <f>Raw!AG124/Raw!$C124</f>
        <v>3.2399999999999984</v>
      </c>
      <c r="AH123" s="9">
        <f>Raw!AH124/Raw!$C124</f>
        <v>56</v>
      </c>
      <c r="AI123" s="9">
        <f>Raw!AI124/Raw!$C124</f>
        <v>7.1199999999999992</v>
      </c>
      <c r="AJ123" s="9">
        <f>Raw!AJ124/Raw!$C124</f>
        <v>0</v>
      </c>
      <c r="AK123" s="9">
        <f>Raw!AK124/Raw!$C124</f>
        <v>0</v>
      </c>
      <c r="AL123" s="9">
        <f>Raw!AL124/Raw!$C124</f>
        <v>12</v>
      </c>
      <c r="AM123" s="9">
        <f>Raw!AM124/Raw!$C124</f>
        <v>6.7600000000000016</v>
      </c>
      <c r="AN123" s="9">
        <f>Raw!AN124/Raw!$C124</f>
        <v>0</v>
      </c>
      <c r="AO123" s="9">
        <f>Raw!AO124/Raw!$C124</f>
        <v>0</v>
      </c>
      <c r="AP123" s="9">
        <f>Raw!AP124/Raw!$C124</f>
        <v>0</v>
      </c>
      <c r="AQ123" s="9">
        <f>Raw!AQ124/Raw!$C124</f>
        <v>0</v>
      </c>
      <c r="AR123" s="9">
        <f>Raw!AR124/Raw!$C124</f>
        <v>0</v>
      </c>
      <c r="AS123" s="9">
        <f>Raw!AS124/Raw!$C124</f>
        <v>0</v>
      </c>
      <c r="AT123" s="9">
        <f>Raw!AT124/Raw!$C124</f>
        <v>0</v>
      </c>
      <c r="AU123" s="9">
        <f>Raw!AU124/Raw!$C124</f>
        <v>0</v>
      </c>
      <c r="AV123" s="9">
        <f>Raw!AV124/Raw!$C124</f>
        <v>0</v>
      </c>
      <c r="AW123" s="9">
        <f>Raw!AW124/Raw!$C124</f>
        <v>0</v>
      </c>
      <c r="AX123" s="9">
        <f>Raw!AX124/Raw!$C124</f>
        <v>0</v>
      </c>
      <c r="AY123" s="9">
        <f>Raw!AY124/Raw!$C124</f>
        <v>0</v>
      </c>
      <c r="AZ123" s="9">
        <f>Raw!AZ124/Raw!$C124</f>
        <v>0</v>
      </c>
      <c r="BA123" s="9">
        <f>Raw!BA124/Raw!$C124</f>
        <v>0</v>
      </c>
      <c r="BB123" s="9">
        <f>Raw!BB124/Raw!$C124</f>
        <v>0</v>
      </c>
      <c r="BC123" s="9">
        <f>Raw!BC124/Raw!$C124</f>
        <v>0</v>
      </c>
      <c r="BD123" s="9">
        <f>Raw!BD124/Raw!$C124</f>
        <v>0</v>
      </c>
      <c r="BE123" s="9">
        <f>Raw!BE124/Raw!$C124</f>
        <v>0</v>
      </c>
      <c r="BF123" s="9">
        <f>Raw!BF124/Raw!$C124</f>
        <v>0</v>
      </c>
      <c r="BG123" s="9">
        <f>Raw!BG124/Raw!$C124</f>
        <v>0</v>
      </c>
      <c r="BH123" s="9">
        <f>Raw!BH124/Raw!$C124</f>
        <v>0</v>
      </c>
      <c r="BI123" s="9">
        <f>Raw!BI124/Raw!$C124</f>
        <v>0</v>
      </c>
      <c r="BJ123" s="9">
        <f>Raw!BJ124/Raw!$C124</f>
        <v>0</v>
      </c>
      <c r="BK123" s="9">
        <f>Raw!BK124/Raw!$C124</f>
        <v>0</v>
      </c>
      <c r="BL123" s="9">
        <f>Raw!BL124/Raw!$C124</f>
        <v>0</v>
      </c>
      <c r="BM123" s="9">
        <f>Raw!BM124/Raw!$C124</f>
        <v>0</v>
      </c>
      <c r="BN123" s="9">
        <f>Raw!BN124/Raw!$C124</f>
        <v>0</v>
      </c>
      <c r="BO123" s="9">
        <f>Raw!BO124/Raw!$C124</f>
        <v>0</v>
      </c>
      <c r="BP123" s="9">
        <f>Raw!BP124/Raw!$C124</f>
        <v>0</v>
      </c>
      <c r="BQ123" s="9">
        <f>Raw!BQ124/Raw!$C124</f>
        <v>0</v>
      </c>
      <c r="BR123" s="9">
        <f>Raw!BR124/Raw!$C124</f>
        <v>0</v>
      </c>
      <c r="BS123" s="9">
        <f>Raw!BS124/Raw!$C124</f>
        <v>0</v>
      </c>
      <c r="BT123" s="9">
        <f>Raw!BT124/Raw!$C124</f>
        <v>0</v>
      </c>
      <c r="BU123" s="9">
        <f>Raw!BU124/Raw!$C124</f>
        <v>0</v>
      </c>
      <c r="BV123" s="9">
        <f>Raw!BV124/Raw!$C124</f>
        <v>8</v>
      </c>
      <c r="BW123" s="9">
        <f>Raw!BW124/Raw!$C124</f>
        <v>8.0000000000000071E-2</v>
      </c>
      <c r="BX123" s="9">
        <f>Raw!BX124/Raw!$C124</f>
        <v>0</v>
      </c>
      <c r="BY123" s="9">
        <f>Raw!BY124/Raw!$C124</f>
        <v>0</v>
      </c>
      <c r="BZ123" s="9">
        <f>Raw!BZ124/Raw!$C124</f>
        <v>0</v>
      </c>
      <c r="CA123" s="9">
        <f>Raw!CA124/Raw!$C124</f>
        <v>0</v>
      </c>
      <c r="CB123" s="9">
        <f>Raw!CB124/Raw!$C124</f>
        <v>112</v>
      </c>
      <c r="CC123" s="9">
        <f>Raw!CC124/Raw!$C124</f>
        <v>29.560000000000009</v>
      </c>
      <c r="CD123" s="9">
        <f>Raw!CD124/Raw!$C124</f>
        <v>0</v>
      </c>
      <c r="CE123" s="9">
        <f>Raw!CE124/Raw!$C124</f>
        <v>0</v>
      </c>
      <c r="CF123" s="9">
        <f>Raw!CF124/Raw!$C124</f>
        <v>0</v>
      </c>
      <c r="CG123" s="9">
        <f>Raw!CG124/Raw!$C124</f>
        <v>0</v>
      </c>
      <c r="CH123" s="9">
        <f>Raw!CH124/Raw!$C124</f>
        <v>0</v>
      </c>
      <c r="CI123" s="9">
        <f>Raw!CI124/Raw!$C124</f>
        <v>0</v>
      </c>
      <c r="CJ123" s="9">
        <f>Raw!CJ124/Raw!$C124</f>
        <v>0</v>
      </c>
      <c r="CK123" s="9">
        <f>Raw!CK124/Raw!$C124</f>
        <v>0</v>
      </c>
      <c r="CL123" s="9">
        <f>Raw!CL124/Raw!$C124</f>
        <v>0</v>
      </c>
      <c r="CM123" s="9">
        <f>Raw!CM124/Raw!$C124</f>
        <v>0</v>
      </c>
      <c r="CN123" s="9">
        <f>Raw!CN124/Raw!$C124</f>
        <v>8</v>
      </c>
      <c r="CO123" s="9">
        <f>Raw!CO124/Raw!$C124</f>
        <v>1.08</v>
      </c>
      <c r="CP123" s="9">
        <f>Raw!CP124/Raw!$C124</f>
        <v>0</v>
      </c>
      <c r="CQ123" s="9">
        <f>Raw!CQ124/Raw!$C124</f>
        <v>0</v>
      </c>
      <c r="CR123" s="2">
        <f t="shared" si="39"/>
        <v>816</v>
      </c>
      <c r="CS123" s="2">
        <f t="shared" si="40"/>
        <v>315.29999999999995</v>
      </c>
      <c r="CT123" s="3">
        <f t="shared" si="110"/>
        <v>2.9116901587538613</v>
      </c>
      <c r="CU123" s="3">
        <f t="shared" si="111"/>
        <v>2.4987239707479048</v>
      </c>
      <c r="CZ123" s="3">
        <f t="shared" ref="CZ123:CZ125" si="121">LOG10(CR123+CV123)</f>
        <v>2.9116901587538613</v>
      </c>
      <c r="DA123" s="3">
        <f t="shared" ref="DA123:DA125" si="122">LOG10(CS123+CW123)</f>
        <v>2.4987239707479048</v>
      </c>
      <c r="DB123" s="6">
        <f t="shared" ref="DB123:DB125" si="123">0.590307*(4.87-0.33*CT123-CU123)</f>
        <v>0.83257978176035652</v>
      </c>
      <c r="DC123">
        <v>13</v>
      </c>
      <c r="DD123" s="3">
        <f>DC123/Raw!C124</f>
        <v>52</v>
      </c>
      <c r="DE123" s="5">
        <f t="shared" si="115"/>
        <v>1.5931372549019607E-2</v>
      </c>
      <c r="DF123">
        <f t="shared" si="116"/>
        <v>-1.7977468064470243</v>
      </c>
      <c r="DH123" s="4">
        <f>-SUM('Shannon-Weiner'!B122:Z122)</f>
        <v>1.5739332176565723</v>
      </c>
      <c r="DI123" s="4">
        <f>SUM('p^2'!B118:Z118)</f>
        <v>0.37412742382271474</v>
      </c>
      <c r="DJ123" s="4">
        <f t="shared" si="117"/>
        <v>0.6258725761772852</v>
      </c>
      <c r="DK123">
        <f t="shared" si="118"/>
        <v>2.6728861246853244</v>
      </c>
      <c r="DL123" s="4">
        <f>SUM('Shannon-Weiner_B'!B118:Z118)</f>
        <v>-1.3246269941673083</v>
      </c>
      <c r="DM123" s="4">
        <f>SUM('p_B^2'!B118:Z118)</f>
        <v>0.34932923105258823</v>
      </c>
      <c r="DN123" s="4">
        <f t="shared" si="119"/>
        <v>0.65067076894741183</v>
      </c>
      <c r="DO123">
        <f t="shared" si="120"/>
        <v>2.8626290361869526</v>
      </c>
    </row>
    <row r="124" spans="2:119" x14ac:dyDescent="0.25">
      <c r="B124" t="str">
        <f>Raw!B125</f>
        <v>NB14</v>
      </c>
      <c r="C124">
        <v>1</v>
      </c>
      <c r="D124" s="9">
        <f>Raw!D125/Raw!$C125</f>
        <v>276</v>
      </c>
      <c r="E124" s="9">
        <f>Raw!E125/Raw!$C125</f>
        <v>224.20000000000002</v>
      </c>
      <c r="F124" s="9">
        <f>Raw!F125/Raw!$C125</f>
        <v>72</v>
      </c>
      <c r="G124" s="9">
        <f>Raw!G125/Raw!$C125</f>
        <v>30.599999999999994</v>
      </c>
      <c r="H124" s="9">
        <f>Raw!H125/Raw!$C125</f>
        <v>4</v>
      </c>
      <c r="I124" s="9">
        <f>Raw!I125/Raw!$C125</f>
        <v>17.04</v>
      </c>
      <c r="J124" s="9">
        <f>Raw!J125/Raw!$C125</f>
        <v>4</v>
      </c>
      <c r="K124" s="9">
        <f>Raw!K125/Raw!$C125</f>
        <v>0.02</v>
      </c>
      <c r="L124" s="9">
        <f>Raw!L125/Raw!$C125</f>
        <v>0</v>
      </c>
      <c r="M124" s="9">
        <f>Raw!M125/Raw!$C125</f>
        <v>0</v>
      </c>
      <c r="N124" s="9">
        <f>Raw!N125/Raw!$C125</f>
        <v>0</v>
      </c>
      <c r="O124" s="9">
        <f>Raw!O125/Raw!$C125</f>
        <v>0</v>
      </c>
      <c r="P124" s="9">
        <f>Raw!P125/Raw!$C125</f>
        <v>172</v>
      </c>
      <c r="Q124" s="9">
        <f>Raw!Q125/Raw!$C125</f>
        <v>39.800000000000004</v>
      </c>
      <c r="R124" s="9">
        <f>Raw!R125/Raw!$C125</f>
        <v>0</v>
      </c>
      <c r="S124" s="9">
        <f>Raw!S125/Raw!$C125</f>
        <v>0</v>
      </c>
      <c r="T124" s="9">
        <f>Raw!T125/Raw!$C125</f>
        <v>0</v>
      </c>
      <c r="U124" s="9">
        <f>Raw!U125/Raw!$C125</f>
        <v>0</v>
      </c>
      <c r="V124" s="9">
        <f>Raw!V125/Raw!$C125</f>
        <v>4</v>
      </c>
      <c r="W124" s="9">
        <f>Raw!W125/Raw!$C125</f>
        <v>13.520000000000003</v>
      </c>
      <c r="X124" s="9">
        <f>Raw!X125/Raw!$C125</f>
        <v>8</v>
      </c>
      <c r="Y124" s="9">
        <f>Raw!Y125/Raw!$C125</f>
        <v>3.7200000000000006</v>
      </c>
      <c r="Z124" s="9">
        <f>Raw!Z125/Raw!$C125</f>
        <v>0</v>
      </c>
      <c r="AA124" s="9">
        <f>Raw!AA125/Raw!$C125</f>
        <v>0</v>
      </c>
      <c r="AB124" s="9">
        <f>Raw!AB125/Raw!$C125</f>
        <v>0</v>
      </c>
      <c r="AC124" s="9">
        <f>Raw!AC125/Raw!$C125</f>
        <v>0</v>
      </c>
      <c r="AD124" s="9">
        <f>Raw!AD125/Raw!$C125</f>
        <v>0</v>
      </c>
      <c r="AE124" s="9">
        <f>Raw!AE125/Raw!$C125</f>
        <v>0</v>
      </c>
      <c r="AF124" s="9">
        <f>Raw!AF125/Raw!$C125</f>
        <v>8</v>
      </c>
      <c r="AG124" s="9">
        <f>Raw!AG125/Raw!$C125</f>
        <v>10.28</v>
      </c>
      <c r="AH124" s="9">
        <f>Raw!AH125/Raw!$C125</f>
        <v>52</v>
      </c>
      <c r="AI124" s="9">
        <f>Raw!AI125/Raw!$C125</f>
        <v>38.880000000000003</v>
      </c>
      <c r="AJ124" s="9">
        <f>Raw!AJ125/Raw!$C125</f>
        <v>0</v>
      </c>
      <c r="AK124" s="9">
        <f>Raw!AK125/Raw!$C125</f>
        <v>0</v>
      </c>
      <c r="AL124" s="9">
        <f>Raw!AL125/Raw!$C125</f>
        <v>16</v>
      </c>
      <c r="AM124" s="9">
        <f>Raw!AM125/Raw!$C125</f>
        <v>41.559999999999995</v>
      </c>
      <c r="AN124" s="9">
        <f>Raw!AN125/Raw!$C125</f>
        <v>0</v>
      </c>
      <c r="AO124" s="9">
        <f>Raw!AO125/Raw!$C125</f>
        <v>0</v>
      </c>
      <c r="AP124" s="9">
        <f>Raw!AP125/Raw!$C125</f>
        <v>0</v>
      </c>
      <c r="AQ124" s="9">
        <f>Raw!AQ125/Raw!$C125</f>
        <v>0</v>
      </c>
      <c r="AR124" s="9">
        <f>Raw!AR125/Raw!$C125</f>
        <v>0</v>
      </c>
      <c r="AS124" s="9">
        <f>Raw!AS125/Raw!$C125</f>
        <v>0</v>
      </c>
      <c r="AT124" s="9">
        <f>Raw!AT125/Raw!$C125</f>
        <v>0</v>
      </c>
      <c r="AU124" s="9">
        <f>Raw!AU125/Raw!$C125</f>
        <v>0</v>
      </c>
      <c r="AV124" s="9">
        <f>Raw!AV125/Raw!$C125</f>
        <v>0</v>
      </c>
      <c r="AW124" s="9">
        <f>Raw!AW125/Raw!$C125</f>
        <v>0</v>
      </c>
      <c r="AX124" s="9">
        <f>Raw!AX125/Raw!$C125</f>
        <v>0</v>
      </c>
      <c r="AY124" s="9">
        <f>Raw!AY125/Raw!$C125</f>
        <v>0</v>
      </c>
      <c r="AZ124" s="9">
        <f>Raw!AZ125/Raw!$C125</f>
        <v>28</v>
      </c>
      <c r="BA124" s="9">
        <f>Raw!BA125/Raw!$C125</f>
        <v>0</v>
      </c>
      <c r="BB124" s="9">
        <f>Raw!BB125/Raw!$C125</f>
        <v>0</v>
      </c>
      <c r="BC124" s="9">
        <f>Raw!BC125/Raw!$C125</f>
        <v>0</v>
      </c>
      <c r="BD124" s="9">
        <f>Raw!BD125/Raw!$C125</f>
        <v>0</v>
      </c>
      <c r="BE124" s="9">
        <f>Raw!BE125/Raw!$C125</f>
        <v>0</v>
      </c>
      <c r="BF124" s="9">
        <f>Raw!BF125/Raw!$C125</f>
        <v>0</v>
      </c>
      <c r="BG124" s="9">
        <f>Raw!BG125/Raw!$C125</f>
        <v>0</v>
      </c>
      <c r="BH124" s="9">
        <f>Raw!BH125/Raw!$C125</f>
        <v>0</v>
      </c>
      <c r="BI124" s="9">
        <f>Raw!BI125/Raw!$C125</f>
        <v>0</v>
      </c>
      <c r="BJ124" s="9">
        <f>Raw!BJ125/Raw!$C125</f>
        <v>0</v>
      </c>
      <c r="BK124" s="9">
        <f>Raw!BK125/Raw!$C125</f>
        <v>0</v>
      </c>
      <c r="BL124" s="9">
        <f>Raw!BL125/Raw!$C125</f>
        <v>0</v>
      </c>
      <c r="BM124" s="9">
        <f>Raw!BM125/Raw!$C125</f>
        <v>0</v>
      </c>
      <c r="BN124" s="9">
        <f>Raw!BN125/Raw!$C125</f>
        <v>0</v>
      </c>
      <c r="BO124" s="9">
        <f>Raw!BO125/Raw!$C125</f>
        <v>0</v>
      </c>
      <c r="BP124" s="9">
        <f>Raw!BP125/Raw!$C125</f>
        <v>0</v>
      </c>
      <c r="BQ124" s="9">
        <f>Raw!BQ125/Raw!$C125</f>
        <v>0</v>
      </c>
      <c r="BR124" s="9">
        <f>Raw!BR125/Raw!$C125</f>
        <v>0</v>
      </c>
      <c r="BS124" s="9">
        <f>Raw!BS125/Raw!$C125</f>
        <v>0</v>
      </c>
      <c r="BT124" s="9">
        <f>Raw!BT125/Raw!$C125</f>
        <v>0</v>
      </c>
      <c r="BU124" s="9">
        <f>Raw!BU125/Raw!$C125</f>
        <v>0</v>
      </c>
      <c r="BV124" s="9">
        <f>Raw!BV125/Raw!$C125</f>
        <v>8</v>
      </c>
      <c r="BW124" s="9">
        <f>Raw!BW125/Raw!$C125</f>
        <v>0.23999999999999932</v>
      </c>
      <c r="BX124" s="9">
        <f>Raw!BX125/Raw!$C125</f>
        <v>0</v>
      </c>
      <c r="BY124" s="9">
        <f>Raw!BY125/Raw!$C125</f>
        <v>0</v>
      </c>
      <c r="BZ124" s="9">
        <f>Raw!BZ125/Raw!$C125</f>
        <v>0</v>
      </c>
      <c r="CA124" s="9">
        <f>Raw!CA125/Raw!$C125</f>
        <v>0</v>
      </c>
      <c r="CB124" s="9">
        <f>Raw!CB125/Raw!$C125</f>
        <v>52</v>
      </c>
      <c r="CC124" s="9">
        <f>Raw!CC125/Raw!$C125</f>
        <v>45.239999999999995</v>
      </c>
      <c r="CD124" s="9">
        <f>Raw!CD125/Raw!$C125</f>
        <v>0</v>
      </c>
      <c r="CE124" s="9">
        <f>Raw!CE125/Raw!$C125</f>
        <v>0</v>
      </c>
      <c r="CF124" s="9">
        <f>Raw!CF125/Raw!$C125</f>
        <v>0</v>
      </c>
      <c r="CG124" s="9">
        <f>Raw!CG125/Raw!$C125</f>
        <v>0</v>
      </c>
      <c r="CH124" s="9">
        <f>Raw!CH125/Raw!$C125</f>
        <v>0</v>
      </c>
      <c r="CI124" s="9">
        <f>Raw!CI125/Raw!$C125</f>
        <v>0</v>
      </c>
      <c r="CJ124" s="9">
        <f>Raw!CJ125/Raw!$C125</f>
        <v>0</v>
      </c>
      <c r="CK124" s="9">
        <f>Raw!CK125/Raw!$C125</f>
        <v>0</v>
      </c>
      <c r="CL124" s="9">
        <f>Raw!CL125/Raw!$C125</f>
        <v>0</v>
      </c>
      <c r="CM124" s="9">
        <f>Raw!CM125/Raw!$C125</f>
        <v>0</v>
      </c>
      <c r="CN124" s="9">
        <f>Raw!CN125/Raw!$C125</f>
        <v>4</v>
      </c>
      <c r="CO124" s="9">
        <f>Raw!CO125/Raw!$C125</f>
        <v>3.0800000000000018</v>
      </c>
      <c r="CP124" s="9">
        <f>Raw!CP125/Raw!$C125</f>
        <v>0</v>
      </c>
      <c r="CQ124" s="9">
        <f>Raw!CQ125/Raw!$C125</f>
        <v>0</v>
      </c>
      <c r="CR124" s="2">
        <f t="shared" si="39"/>
        <v>736</v>
      </c>
      <c r="CS124" s="2">
        <f t="shared" si="40"/>
        <v>468.18</v>
      </c>
      <c r="CT124" s="3">
        <f t="shared" ref="CT124:CT125" si="124">LOG10(CR124)</f>
        <v>2.8668778143374989</v>
      </c>
      <c r="CU124" s="3">
        <f t="shared" ref="CU124:CU125" si="125">LOG10(CS124)</f>
        <v>2.670412857299179</v>
      </c>
      <c r="CZ124" s="3">
        <f t="shared" si="121"/>
        <v>2.8668778143374989</v>
      </c>
      <c r="DA124" s="3">
        <f t="shared" si="122"/>
        <v>2.670412857299179</v>
      </c>
      <c r="DB124" s="6">
        <f t="shared" si="123"/>
        <v>0.73996013360341206</v>
      </c>
      <c r="DC124">
        <v>14</v>
      </c>
      <c r="DD124" s="3">
        <f>DC124/Raw!C125</f>
        <v>56</v>
      </c>
      <c r="DE124" s="5">
        <f t="shared" si="115"/>
        <v>1.9021739130434784E-2</v>
      </c>
      <c r="DF124">
        <f t="shared" si="116"/>
        <v>-1.7207497786592607</v>
      </c>
      <c r="DH124" s="4">
        <f>-SUM('Shannon-Weiner'!B123:Z123)</f>
        <v>1.4847532441639464</v>
      </c>
      <c r="DI124" s="4">
        <f>SUM('p^2'!B119:Z119)</f>
        <v>0.37958018942245408</v>
      </c>
      <c r="DJ124" s="4">
        <f t="shared" si="117"/>
        <v>0.62041981057754592</v>
      </c>
      <c r="DK124">
        <f t="shared" si="118"/>
        <v>2.6344894382437043</v>
      </c>
      <c r="DL124" s="4">
        <f>SUM('Shannon-Weiner_B'!B119:Z119)</f>
        <v>-1.2361895247362265</v>
      </c>
      <c r="DM124" s="4">
        <f>SUM('p_B^2'!B119:Z119)</f>
        <v>0.36905341466729358</v>
      </c>
      <c r="DN124" s="4">
        <f t="shared" si="119"/>
        <v>0.63094658533270642</v>
      </c>
      <c r="DO124">
        <f t="shared" si="120"/>
        <v>2.7096348665450312</v>
      </c>
    </row>
    <row r="125" spans="2:119" x14ac:dyDescent="0.25">
      <c r="B125" t="str">
        <f>Raw!B126</f>
        <v>NB15</v>
      </c>
      <c r="C125">
        <v>1</v>
      </c>
      <c r="D125" s="9">
        <f>Raw!D126/Raw!$C126</f>
        <v>260</v>
      </c>
      <c r="E125" s="9">
        <f>Raw!E126/Raw!$C126</f>
        <v>70.120000000000033</v>
      </c>
      <c r="F125" s="9">
        <f>Raw!F126/Raw!$C126</f>
        <v>40</v>
      </c>
      <c r="G125" s="9">
        <f>Raw!G126/Raw!$C126</f>
        <v>4.3999999999999995</v>
      </c>
      <c r="H125" s="9">
        <f>Raw!H126/Raw!$C126</f>
        <v>8</v>
      </c>
      <c r="I125" s="9">
        <f>Raw!I126/Raw!$C126</f>
        <v>10.680000000000003</v>
      </c>
      <c r="J125" s="9">
        <f>Raw!J126/Raw!$C126</f>
        <v>4</v>
      </c>
      <c r="K125" s="9">
        <f>Raw!K126/Raw!$C126</f>
        <v>0.02</v>
      </c>
      <c r="L125" s="9">
        <f>Raw!L126/Raw!$C126</f>
        <v>0</v>
      </c>
      <c r="M125" s="9">
        <f>Raw!M126/Raw!$C126</f>
        <v>0</v>
      </c>
      <c r="N125" s="9">
        <f>Raw!N126/Raw!$C126</f>
        <v>0</v>
      </c>
      <c r="O125" s="9">
        <f>Raw!O126/Raw!$C126</f>
        <v>0</v>
      </c>
      <c r="P125" s="9">
        <f>Raw!P126/Raw!$C126</f>
        <v>232</v>
      </c>
      <c r="Q125" s="9">
        <f>Raw!Q126/Raw!$C126</f>
        <v>49.64</v>
      </c>
      <c r="R125" s="9">
        <f>Raw!R126/Raw!$C126</f>
        <v>0</v>
      </c>
      <c r="S125" s="9">
        <f>Raw!S126/Raw!$C126</f>
        <v>0</v>
      </c>
      <c r="T125" s="9">
        <f>Raw!T126/Raw!$C126</f>
        <v>0</v>
      </c>
      <c r="U125" s="9">
        <f>Raw!U126/Raw!$C126</f>
        <v>0</v>
      </c>
      <c r="V125" s="9">
        <f>Raw!V126/Raw!$C126</f>
        <v>0</v>
      </c>
      <c r="W125" s="9">
        <f>Raw!W126/Raw!$C126</f>
        <v>0</v>
      </c>
      <c r="X125" s="9">
        <f>Raw!X126/Raw!$C126</f>
        <v>28</v>
      </c>
      <c r="Y125" s="9">
        <f>Raw!Y126/Raw!$C126</f>
        <v>0.83999999999999986</v>
      </c>
      <c r="Z125" s="9">
        <f>Raw!Z126/Raw!$C126</f>
        <v>0</v>
      </c>
      <c r="AA125" s="9">
        <f>Raw!AA126/Raw!$C126</f>
        <v>0</v>
      </c>
      <c r="AB125" s="9">
        <f>Raw!AB126/Raw!$C126</f>
        <v>0</v>
      </c>
      <c r="AC125" s="9">
        <f>Raw!AC126/Raw!$C126</f>
        <v>0</v>
      </c>
      <c r="AD125" s="9">
        <f>Raw!AD126/Raw!$C126</f>
        <v>0</v>
      </c>
      <c r="AE125" s="9">
        <f>Raw!AE126/Raw!$C126</f>
        <v>0</v>
      </c>
      <c r="AF125" s="9">
        <f>Raw!AF126/Raw!$C126</f>
        <v>8</v>
      </c>
      <c r="AG125" s="9">
        <f>Raw!AG126/Raw!$C126</f>
        <v>0.60000000000000053</v>
      </c>
      <c r="AH125" s="9">
        <f>Raw!AH126/Raw!$C126</f>
        <v>60</v>
      </c>
      <c r="AI125" s="9">
        <f>Raw!AI126/Raw!$C126</f>
        <v>48.56</v>
      </c>
      <c r="AJ125" s="9">
        <f>Raw!AJ126/Raw!$C126</f>
        <v>0</v>
      </c>
      <c r="AK125" s="9">
        <f>Raw!AK126/Raw!$C126</f>
        <v>0</v>
      </c>
      <c r="AL125" s="9">
        <f>Raw!AL126/Raw!$C126</f>
        <v>28</v>
      </c>
      <c r="AM125" s="9">
        <f>Raw!AM126/Raw!$C126</f>
        <v>34.639999999999993</v>
      </c>
      <c r="AN125" s="9">
        <f>Raw!AN126/Raw!$C126</f>
        <v>0</v>
      </c>
      <c r="AO125" s="9">
        <f>Raw!AO126/Raw!$C126</f>
        <v>0</v>
      </c>
      <c r="AP125" s="9">
        <f>Raw!AP126/Raw!$C126</f>
        <v>0</v>
      </c>
      <c r="AQ125" s="9">
        <f>Raw!AQ126/Raw!$C126</f>
        <v>0</v>
      </c>
      <c r="AR125" s="9">
        <f>Raw!AR126/Raw!$C126</f>
        <v>0</v>
      </c>
      <c r="AS125" s="9">
        <f>Raw!AS126/Raw!$C126</f>
        <v>0</v>
      </c>
      <c r="AT125" s="9">
        <f>Raw!AT126/Raw!$C126</f>
        <v>0</v>
      </c>
      <c r="AU125" s="9">
        <f>Raw!AU126/Raw!$C126</f>
        <v>0</v>
      </c>
      <c r="AV125" s="9">
        <f>Raw!AV126/Raw!$C126</f>
        <v>0</v>
      </c>
      <c r="AW125" s="9">
        <f>Raw!AW126/Raw!$C126</f>
        <v>0</v>
      </c>
      <c r="AX125" s="9">
        <f>Raw!AX126/Raw!$C126</f>
        <v>0</v>
      </c>
      <c r="AY125" s="9">
        <f>Raw!AY126/Raw!$C126</f>
        <v>0</v>
      </c>
      <c r="AZ125" s="9">
        <f>Raw!AZ126/Raw!$C126</f>
        <v>0</v>
      </c>
      <c r="BA125" s="9">
        <f>Raw!BA126/Raw!$C126</f>
        <v>0</v>
      </c>
      <c r="BB125" s="9">
        <f>Raw!BB126/Raw!$C126</f>
        <v>0</v>
      </c>
      <c r="BC125" s="9">
        <f>Raw!BC126/Raw!$C126</f>
        <v>0</v>
      </c>
      <c r="BD125" s="9">
        <f>Raw!BD126/Raw!$C126</f>
        <v>0</v>
      </c>
      <c r="BE125" s="9">
        <f>Raw!BE126/Raw!$C126</f>
        <v>0</v>
      </c>
      <c r="BF125" s="9">
        <f>Raw!BF126/Raw!$C126</f>
        <v>0</v>
      </c>
      <c r="BG125" s="9">
        <f>Raw!BG126/Raw!$C126</f>
        <v>0</v>
      </c>
      <c r="BH125" s="9">
        <f>Raw!BH126/Raw!$C126</f>
        <v>0</v>
      </c>
      <c r="BI125" s="9">
        <f>Raw!BI126/Raw!$C126</f>
        <v>0</v>
      </c>
      <c r="BJ125" s="9">
        <f>Raw!BJ126/Raw!$C126</f>
        <v>0</v>
      </c>
      <c r="BK125" s="9">
        <f>Raw!BK126/Raw!$C126</f>
        <v>0</v>
      </c>
      <c r="BL125" s="9">
        <f>Raw!BL126/Raw!$C126</f>
        <v>0</v>
      </c>
      <c r="BM125" s="9">
        <f>Raw!BM126/Raw!$C126</f>
        <v>0</v>
      </c>
      <c r="BN125" s="9">
        <f>Raw!BN126/Raw!$C126</f>
        <v>0</v>
      </c>
      <c r="BO125" s="9">
        <f>Raw!BO126/Raw!$C126</f>
        <v>0</v>
      </c>
      <c r="BP125" s="9">
        <f>Raw!BP126/Raw!$C126</f>
        <v>0</v>
      </c>
      <c r="BQ125" s="9">
        <f>Raw!BQ126/Raw!$C126</f>
        <v>0</v>
      </c>
      <c r="BR125" s="9">
        <f>Raw!BR126/Raw!$C126</f>
        <v>0</v>
      </c>
      <c r="BS125" s="9">
        <f>Raw!BS126/Raw!$C126</f>
        <v>0</v>
      </c>
      <c r="BT125" s="9">
        <f>Raw!BT126/Raw!$C126</f>
        <v>0</v>
      </c>
      <c r="BU125" s="9">
        <f>Raw!BU126/Raw!$C126</f>
        <v>0</v>
      </c>
      <c r="BV125" s="9">
        <f>Raw!BV126/Raw!$C126</f>
        <v>0</v>
      </c>
      <c r="BW125" s="9">
        <f>Raw!BW126/Raw!$C126</f>
        <v>0</v>
      </c>
      <c r="BX125" s="9">
        <f>Raw!BX126/Raw!$C126</f>
        <v>0</v>
      </c>
      <c r="BY125" s="9">
        <f>Raw!BY126/Raw!$C126</f>
        <v>0</v>
      </c>
      <c r="BZ125" s="9">
        <f>Raw!BZ126/Raw!$C126</f>
        <v>0</v>
      </c>
      <c r="CA125" s="9">
        <f>Raw!CA126/Raw!$C126</f>
        <v>0</v>
      </c>
      <c r="CB125" s="9">
        <f>Raw!CB126/Raw!$C126</f>
        <v>48</v>
      </c>
      <c r="CC125" s="9">
        <f>Raw!CC126/Raw!$C126</f>
        <v>16.240000000000002</v>
      </c>
      <c r="CD125" s="9">
        <f>Raw!CD126/Raw!$C126</f>
        <v>0</v>
      </c>
      <c r="CE125" s="9">
        <f>Raw!CE126/Raw!$C126</f>
        <v>0</v>
      </c>
      <c r="CF125" s="9">
        <f>Raw!CF126/Raw!$C126</f>
        <v>0</v>
      </c>
      <c r="CG125" s="9">
        <f>Raw!CG126/Raw!$C126</f>
        <v>0</v>
      </c>
      <c r="CH125" s="9">
        <f>Raw!CH126/Raw!$C126</f>
        <v>0</v>
      </c>
      <c r="CI125" s="9">
        <f>Raw!CI126/Raw!$C126</f>
        <v>0</v>
      </c>
      <c r="CJ125" s="9">
        <f>Raw!CJ126/Raw!$C126</f>
        <v>0</v>
      </c>
      <c r="CK125" s="9">
        <f>Raw!CK126/Raw!$C126</f>
        <v>0</v>
      </c>
      <c r="CL125" s="9">
        <f>Raw!CL126/Raw!$C126</f>
        <v>0</v>
      </c>
      <c r="CM125" s="9">
        <f>Raw!CM126/Raw!$C126</f>
        <v>0</v>
      </c>
      <c r="CN125" s="9">
        <f>Raw!CN126/Raw!$C126</f>
        <v>0</v>
      </c>
      <c r="CO125" s="9">
        <f>Raw!CO126/Raw!$C126</f>
        <v>0</v>
      </c>
      <c r="CP125" s="9">
        <f>Raw!CP126/Raw!$C126</f>
        <v>0</v>
      </c>
      <c r="CQ125" s="9">
        <f>Raw!CQ126/Raw!$C126</f>
        <v>0</v>
      </c>
      <c r="CR125" s="2">
        <f t="shared" si="39"/>
        <v>716</v>
      </c>
      <c r="CS125" s="2">
        <f t="shared" si="40"/>
        <v>235.74000000000004</v>
      </c>
      <c r="CT125" s="3">
        <f t="shared" si="124"/>
        <v>2.8549130223078554</v>
      </c>
      <c r="CU125" s="3">
        <f t="shared" si="125"/>
        <v>2.3724332791954499</v>
      </c>
      <c r="CZ125" s="3">
        <f t="shared" si="121"/>
        <v>2.8549130223078554</v>
      </c>
      <c r="DA125" s="3">
        <f t="shared" si="122"/>
        <v>2.3724332791954499</v>
      </c>
      <c r="DB125" s="6">
        <f t="shared" si="123"/>
        <v>0.91819032157634206</v>
      </c>
      <c r="DC125">
        <v>10</v>
      </c>
      <c r="DD125" s="3">
        <f>DC125/Raw!C126</f>
        <v>40</v>
      </c>
      <c r="DE125" s="5">
        <f t="shared" si="115"/>
        <v>1.3966480446927373E-2</v>
      </c>
      <c r="DF125">
        <f t="shared" si="116"/>
        <v>-1.8549130223078556</v>
      </c>
      <c r="DH125" s="4">
        <f>-SUM('Shannon-Weiner'!B124:Z124)</f>
        <v>1.4848638417039641</v>
      </c>
      <c r="DI125" s="4">
        <f>SUM('p^2'!B120:Z120)</f>
        <v>0.40574787334593576</v>
      </c>
      <c r="DJ125" s="4">
        <f t="shared" si="117"/>
        <v>0.59425212665406424</v>
      </c>
      <c r="DK125">
        <f t="shared" si="118"/>
        <v>2.4645846982601731</v>
      </c>
      <c r="DL125" s="4">
        <f>SUM('Shannon-Weiner_B'!B120:Z120)</f>
        <v>-0.96547511601425506</v>
      </c>
      <c r="DM125" s="4">
        <f>SUM('p_B^2'!B120:Z120)</f>
        <v>0.43025271273354626</v>
      </c>
      <c r="DN125" s="4">
        <f t="shared" si="119"/>
        <v>0.56974728726645374</v>
      </c>
      <c r="DO125">
        <f t="shared" si="120"/>
        <v>2.3242154445619869</v>
      </c>
    </row>
    <row r="126" spans="2:119" x14ac:dyDescent="0.25">
      <c r="B126" t="str">
        <f>Raw!B127</f>
        <v>NB16</v>
      </c>
      <c r="C126">
        <v>1</v>
      </c>
      <c r="D126" s="9">
        <f>Raw!D127/Raw!$C127</f>
        <v>12</v>
      </c>
      <c r="E126" s="9">
        <f>Raw!E127/Raw!$C127</f>
        <v>1.5600000000000023</v>
      </c>
      <c r="F126" s="9">
        <f>Raw!F127/Raw!$C127</f>
        <v>0</v>
      </c>
      <c r="G126" s="9">
        <f>Raw!G127/Raw!$C127</f>
        <v>0</v>
      </c>
      <c r="H126" s="9">
        <f>Raw!H127/Raw!$C127</f>
        <v>0</v>
      </c>
      <c r="I126" s="9">
        <f>Raw!I127/Raw!$C127</f>
        <v>0</v>
      </c>
      <c r="J126" s="9">
        <f>Raw!J127/Raw!$C127</f>
        <v>0</v>
      </c>
      <c r="K126" s="9">
        <f>Raw!K127/Raw!$C127</f>
        <v>0</v>
      </c>
      <c r="L126" s="9">
        <f>Raw!L127/Raw!$C127</f>
        <v>0</v>
      </c>
      <c r="M126" s="9">
        <f>Raw!M127/Raw!$C127</f>
        <v>0</v>
      </c>
      <c r="N126" s="9">
        <f>Raw!N127/Raw!$C127</f>
        <v>0</v>
      </c>
      <c r="O126" s="9">
        <f>Raw!O127/Raw!$C127</f>
        <v>0</v>
      </c>
      <c r="P126" s="9">
        <f>Raw!P127/Raw!$C127</f>
        <v>0</v>
      </c>
      <c r="Q126" s="9">
        <f>Raw!Q127/Raw!$C127</f>
        <v>0</v>
      </c>
      <c r="R126" s="9">
        <f>Raw!R127/Raw!$C127</f>
        <v>0</v>
      </c>
      <c r="S126" s="9">
        <f>Raw!S127/Raw!$C127</f>
        <v>0</v>
      </c>
      <c r="T126" s="9">
        <f>Raw!T127/Raw!$C127</f>
        <v>0</v>
      </c>
      <c r="U126" s="9">
        <f>Raw!U127/Raw!$C127</f>
        <v>0</v>
      </c>
      <c r="V126" s="9">
        <f>Raw!V127/Raw!$C127</f>
        <v>0</v>
      </c>
      <c r="W126" s="9">
        <f>Raw!W127/Raw!$C127</f>
        <v>0</v>
      </c>
      <c r="X126" s="9">
        <f>Raw!X127/Raw!$C127</f>
        <v>264</v>
      </c>
      <c r="Y126" s="9">
        <f>Raw!Y127/Raw!$C127</f>
        <v>127.68</v>
      </c>
      <c r="Z126" s="9">
        <f>Raw!Z127/Raw!$C127</f>
        <v>0</v>
      </c>
      <c r="AA126" s="9">
        <f>Raw!AA127/Raw!$C127</f>
        <v>0</v>
      </c>
      <c r="AB126" s="9">
        <f>Raw!AB127/Raw!$C127</f>
        <v>0</v>
      </c>
      <c r="AC126" s="9">
        <f>Raw!AC127/Raw!$C127</f>
        <v>0</v>
      </c>
      <c r="AD126" s="9">
        <f>Raw!AD127/Raw!$C127</f>
        <v>0</v>
      </c>
      <c r="AE126" s="9">
        <f>Raw!AE127/Raw!$C127</f>
        <v>0</v>
      </c>
      <c r="AF126" s="9">
        <f>Raw!AF127/Raw!$C127</f>
        <v>0</v>
      </c>
      <c r="AG126" s="9">
        <f>Raw!AG127/Raw!$C127</f>
        <v>0</v>
      </c>
      <c r="AH126" s="9">
        <f>Raw!AH127/Raw!$C127</f>
        <v>0</v>
      </c>
      <c r="AI126" s="9">
        <f>Raw!AI127/Raw!$C127</f>
        <v>0</v>
      </c>
      <c r="AJ126" s="9">
        <f>Raw!AJ127/Raw!$C127</f>
        <v>0</v>
      </c>
      <c r="AK126" s="9">
        <f>Raw!AK127/Raw!$C127</f>
        <v>0</v>
      </c>
      <c r="AL126" s="9">
        <f>Raw!AL127/Raw!$C127</f>
        <v>8</v>
      </c>
      <c r="AM126" s="9">
        <f>Raw!AM127/Raw!$C127</f>
        <v>342.31999999999994</v>
      </c>
      <c r="AN126" s="9">
        <f>Raw!AN127/Raw!$C127</f>
        <v>0</v>
      </c>
      <c r="AO126" s="9">
        <f>Raw!AO127/Raw!$C127</f>
        <v>0</v>
      </c>
      <c r="AP126" s="9">
        <f>Raw!AP127/Raw!$C127</f>
        <v>0</v>
      </c>
      <c r="AQ126" s="9">
        <f>Raw!AQ127/Raw!$C127</f>
        <v>0</v>
      </c>
      <c r="AR126" s="9">
        <f>Raw!AR127/Raw!$C127</f>
        <v>0</v>
      </c>
      <c r="AS126" s="9">
        <f>Raw!AS127/Raw!$C127</f>
        <v>0</v>
      </c>
      <c r="AT126" s="9">
        <f>Raw!AT127/Raw!$C127</f>
        <v>0</v>
      </c>
      <c r="AU126" s="9">
        <f>Raw!AU127/Raw!$C127</f>
        <v>0</v>
      </c>
      <c r="AV126" s="9">
        <f>Raw!AV127/Raw!$C127</f>
        <v>0</v>
      </c>
      <c r="AW126" s="9">
        <f>Raw!AW127/Raw!$C127</f>
        <v>0</v>
      </c>
      <c r="AX126" s="9">
        <f>Raw!AX127/Raw!$C127</f>
        <v>0</v>
      </c>
      <c r="AY126" s="9">
        <f>Raw!AY127/Raw!$C127</f>
        <v>0</v>
      </c>
      <c r="AZ126" s="9">
        <f>Raw!AZ127/Raw!$C127</f>
        <v>0</v>
      </c>
      <c r="BA126" s="9">
        <f>Raw!BA127/Raw!$C127</f>
        <v>0</v>
      </c>
      <c r="BB126" s="9">
        <f>Raw!BB127/Raw!$C127</f>
        <v>0</v>
      </c>
      <c r="BC126" s="9">
        <f>Raw!BC127/Raw!$C127</f>
        <v>0</v>
      </c>
      <c r="BD126" s="9">
        <f>Raw!BD127/Raw!$C127</f>
        <v>0</v>
      </c>
      <c r="BE126" s="9">
        <f>Raw!BE127/Raw!$C127</f>
        <v>0</v>
      </c>
      <c r="BF126" s="9">
        <f>Raw!BF127/Raw!$C127</f>
        <v>0</v>
      </c>
      <c r="BG126" s="9">
        <f>Raw!BG127/Raw!$C127</f>
        <v>0</v>
      </c>
      <c r="BH126" s="9">
        <f>Raw!BH127/Raw!$C127</f>
        <v>0</v>
      </c>
      <c r="BI126" s="9">
        <f>Raw!BI127/Raw!$C127</f>
        <v>0</v>
      </c>
      <c r="BJ126" s="9">
        <f>Raw!BJ127/Raw!$C127</f>
        <v>0</v>
      </c>
      <c r="BK126" s="9">
        <f>Raw!BK127/Raw!$C127</f>
        <v>0</v>
      </c>
      <c r="BL126" s="9">
        <f>Raw!BL127/Raw!$C127</f>
        <v>0</v>
      </c>
      <c r="BM126" s="9">
        <f>Raw!BM127/Raw!$C127</f>
        <v>0</v>
      </c>
      <c r="BN126" s="9">
        <f>Raw!BN127/Raw!$C127</f>
        <v>0</v>
      </c>
      <c r="BO126" s="9">
        <f>Raw!BO127/Raw!$C127</f>
        <v>0</v>
      </c>
      <c r="BP126" s="9">
        <f>Raw!BP127/Raw!$C127</f>
        <v>0</v>
      </c>
      <c r="BQ126" s="9">
        <f>Raw!BQ127/Raw!$C127</f>
        <v>0</v>
      </c>
      <c r="BR126" s="9">
        <f>Raw!BR127/Raw!$C127</f>
        <v>0</v>
      </c>
      <c r="BS126" s="9">
        <f>Raw!BS127/Raw!$C127</f>
        <v>0</v>
      </c>
      <c r="BT126" s="9">
        <f>Raw!BT127/Raw!$C127</f>
        <v>0</v>
      </c>
      <c r="BU126" s="9">
        <f>Raw!BU127/Raw!$C127</f>
        <v>0</v>
      </c>
      <c r="BV126" s="9">
        <f>Raw!BV127/Raw!$C127</f>
        <v>0</v>
      </c>
      <c r="BW126" s="9">
        <f>Raw!BW127/Raw!$C127</f>
        <v>0</v>
      </c>
      <c r="BX126" s="9">
        <f>Raw!BX127/Raw!$C127</f>
        <v>0</v>
      </c>
      <c r="BY126" s="9">
        <f>Raw!BY127/Raw!$C127</f>
        <v>0</v>
      </c>
      <c r="BZ126" s="9">
        <f>Raw!BZ127/Raw!$C127</f>
        <v>0</v>
      </c>
      <c r="CA126" s="9">
        <f>Raw!CA127/Raw!$C127</f>
        <v>0</v>
      </c>
      <c r="CB126" s="9">
        <f>Raw!CB127/Raw!$C127</f>
        <v>0</v>
      </c>
      <c r="CC126" s="9">
        <f>Raw!CC127/Raw!$C127</f>
        <v>0</v>
      </c>
      <c r="CD126" s="9">
        <f>Raw!CD127/Raw!$C127</f>
        <v>744</v>
      </c>
      <c r="CE126" s="9">
        <f>Raw!CE127/Raw!$C127</f>
        <v>9.6399999999999988</v>
      </c>
      <c r="CF126" s="9">
        <f>Raw!CF127/Raw!$C127</f>
        <v>0</v>
      </c>
      <c r="CG126" s="9">
        <f>Raw!CG127/Raw!$C127</f>
        <v>0</v>
      </c>
      <c r="CH126" s="9">
        <f>Raw!CH127/Raw!$C127</f>
        <v>0</v>
      </c>
      <c r="CI126" s="9">
        <f>Raw!CI127/Raw!$C127</f>
        <v>0</v>
      </c>
      <c r="CJ126" s="9">
        <f>Raw!CJ127/Raw!$C127</f>
        <v>0</v>
      </c>
      <c r="CK126" s="9">
        <f>Raw!CK127/Raw!$C127</f>
        <v>0</v>
      </c>
      <c r="CL126" s="9">
        <f>Raw!CL127/Raw!$C127</f>
        <v>0</v>
      </c>
      <c r="CM126" s="9">
        <f>Raw!CM127/Raw!$C127</f>
        <v>0</v>
      </c>
      <c r="CN126" s="9">
        <f>Raw!CN127/Raw!$C127</f>
        <v>0</v>
      </c>
      <c r="CO126" s="9">
        <f>Raw!CO127/Raw!$C127</f>
        <v>0</v>
      </c>
      <c r="CP126" s="9">
        <f>Raw!CP127/Raw!$C127</f>
        <v>0</v>
      </c>
      <c r="CQ126" s="9">
        <f>Raw!CQ127/Raw!$C127</f>
        <v>0</v>
      </c>
      <c r="CR126" s="2">
        <f t="shared" si="39"/>
        <v>1028</v>
      </c>
      <c r="CS126" s="2">
        <f t="shared" si="40"/>
        <v>481.19999999999993</v>
      </c>
      <c r="CT126" s="3">
        <f t="shared" ref="CT126:CT127" si="126">LOG10(CR126)</f>
        <v>3.0119931146592571</v>
      </c>
      <c r="CU126" s="3">
        <f t="shared" ref="CU126:CU127" si="127">LOG10(CS126)</f>
        <v>2.6823256186678073</v>
      </c>
      <c r="CZ126" s="3">
        <f t="shared" ref="CZ126:CZ127" si="128">LOG10(CR126+CV126)</f>
        <v>3.0119931146592571</v>
      </c>
      <c r="DA126" s="3">
        <f t="shared" ref="DA126:DA127" si="129">LOG10(CS126+CW126)</f>
        <v>2.6823256186678073</v>
      </c>
      <c r="DB126" s="6">
        <f t="shared" ref="DB126:DB127" si="130">0.590307*(4.87-0.33*CT126-CU126)</f>
        <v>0.70465929657445936</v>
      </c>
      <c r="DC126">
        <v>4</v>
      </c>
      <c r="DD126" s="3">
        <f>DC126/Raw!C127</f>
        <v>16</v>
      </c>
      <c r="DE126" s="5">
        <f t="shared" si="115"/>
        <v>3.8910505836575876E-3</v>
      </c>
      <c r="DF126">
        <f t="shared" si="116"/>
        <v>-2.4099331233312946</v>
      </c>
      <c r="DH126" s="4">
        <f>-SUM('Shannon-Weiner'!B125:Z125)</f>
        <v>0.43885236508440584</v>
      </c>
      <c r="DI126" s="4">
        <f>SUM('p^2'!B121:Z121)</f>
        <v>0.21811634349030468</v>
      </c>
      <c r="DJ126" s="4">
        <f t="shared" si="117"/>
        <v>0.78188365650969538</v>
      </c>
      <c r="DK126">
        <f t="shared" si="118"/>
        <v>4.5847091694183399</v>
      </c>
      <c r="DL126" s="4">
        <f>SUM('Shannon-Weiner_B'!B121:Z121)</f>
        <v>-1.2482092244522218</v>
      </c>
      <c r="DM126" s="4">
        <f>SUM('p_B^2'!B121:Z121)</f>
        <v>0.36303369429495752</v>
      </c>
      <c r="DN126" s="4">
        <f t="shared" si="119"/>
        <v>0.63696630570504253</v>
      </c>
      <c r="DO126">
        <f t="shared" si="120"/>
        <v>2.7545652530740585</v>
      </c>
    </row>
    <row r="127" spans="2:119" x14ac:dyDescent="0.25">
      <c r="B127" t="str">
        <f>Raw!B128</f>
        <v>NB17</v>
      </c>
      <c r="C127">
        <v>1</v>
      </c>
      <c r="D127" s="9">
        <f>Raw!D128/Raw!$C128</f>
        <v>8</v>
      </c>
      <c r="E127" s="9">
        <f>Raw!E128/Raw!$C128</f>
        <v>0.87999999999999989</v>
      </c>
      <c r="F127" s="9">
        <f>Raw!F128/Raw!$C128</f>
        <v>0</v>
      </c>
      <c r="G127" s="9">
        <f>Raw!G128/Raw!$C128</f>
        <v>0</v>
      </c>
      <c r="H127" s="9">
        <f>Raw!H128/Raw!$C128</f>
        <v>0</v>
      </c>
      <c r="I127" s="9">
        <f>Raw!I128/Raw!$C128</f>
        <v>0</v>
      </c>
      <c r="J127" s="9">
        <f>Raw!J128/Raw!$C128</f>
        <v>0</v>
      </c>
      <c r="K127" s="9">
        <f>Raw!K128/Raw!$C128</f>
        <v>0</v>
      </c>
      <c r="L127" s="9">
        <f>Raw!L128/Raw!$C128</f>
        <v>0</v>
      </c>
      <c r="M127" s="9">
        <f>Raw!M128/Raw!$C128</f>
        <v>0</v>
      </c>
      <c r="N127" s="9">
        <f>Raw!N128/Raw!$C128</f>
        <v>0</v>
      </c>
      <c r="O127" s="9">
        <f>Raw!O128/Raw!$C128</f>
        <v>0</v>
      </c>
      <c r="P127" s="9">
        <f>Raw!P128/Raw!$C128</f>
        <v>0</v>
      </c>
      <c r="Q127" s="9">
        <f>Raw!Q128/Raw!$C128</f>
        <v>0</v>
      </c>
      <c r="R127" s="9">
        <f>Raw!R128/Raw!$C128</f>
        <v>0</v>
      </c>
      <c r="S127" s="9">
        <f>Raw!S128/Raw!$C128</f>
        <v>0</v>
      </c>
      <c r="T127" s="9">
        <f>Raw!T128/Raw!$C128</f>
        <v>0</v>
      </c>
      <c r="U127" s="9">
        <f>Raw!U128/Raw!$C128</f>
        <v>0</v>
      </c>
      <c r="V127" s="9">
        <f>Raw!V128/Raw!$C128</f>
        <v>0</v>
      </c>
      <c r="W127" s="9">
        <f>Raw!W128/Raw!$C128</f>
        <v>0</v>
      </c>
      <c r="X127" s="9">
        <f>Raw!X128/Raw!$C128</f>
        <v>280</v>
      </c>
      <c r="Y127" s="9">
        <f>Raw!Y128/Raw!$C128</f>
        <v>126.80000000000001</v>
      </c>
      <c r="Z127" s="9">
        <f>Raw!Z128/Raw!$C128</f>
        <v>0</v>
      </c>
      <c r="AA127" s="9">
        <f>Raw!AA128/Raw!$C128</f>
        <v>0</v>
      </c>
      <c r="AB127" s="9">
        <f>Raw!AB128/Raw!$C128</f>
        <v>0</v>
      </c>
      <c r="AC127" s="9">
        <f>Raw!AC128/Raw!$C128</f>
        <v>0</v>
      </c>
      <c r="AD127" s="9">
        <f>Raw!AD128/Raw!$C128</f>
        <v>0</v>
      </c>
      <c r="AE127" s="9">
        <f>Raw!AE128/Raw!$C128</f>
        <v>0</v>
      </c>
      <c r="AF127" s="9">
        <f>Raw!AF128/Raw!$C128</f>
        <v>0</v>
      </c>
      <c r="AG127" s="9">
        <f>Raw!AG128/Raw!$C128</f>
        <v>0</v>
      </c>
      <c r="AH127" s="9">
        <f>Raw!AH128/Raw!$C128</f>
        <v>4</v>
      </c>
      <c r="AI127" s="9">
        <f>Raw!AI128/Raw!$C128</f>
        <v>8.0000000000000071E-2</v>
      </c>
      <c r="AJ127" s="9">
        <f>Raw!AJ128/Raw!$C128</f>
        <v>0</v>
      </c>
      <c r="AK127" s="9">
        <f>Raw!AK128/Raw!$C128</f>
        <v>0</v>
      </c>
      <c r="AL127" s="9">
        <f>Raw!AL128/Raw!$C128</f>
        <v>0</v>
      </c>
      <c r="AM127" s="9">
        <f>Raw!AM128/Raw!$C128</f>
        <v>0</v>
      </c>
      <c r="AN127" s="9">
        <f>Raw!AN128/Raw!$C128</f>
        <v>0</v>
      </c>
      <c r="AO127" s="9">
        <f>Raw!AO128/Raw!$C128</f>
        <v>0</v>
      </c>
      <c r="AP127" s="9">
        <f>Raw!AP128/Raw!$C128</f>
        <v>0</v>
      </c>
      <c r="AQ127" s="9">
        <f>Raw!AQ128/Raw!$C128</f>
        <v>0</v>
      </c>
      <c r="AR127" s="9">
        <f>Raw!AR128/Raw!$C128</f>
        <v>0</v>
      </c>
      <c r="AS127" s="9">
        <f>Raw!AS128/Raw!$C128</f>
        <v>0</v>
      </c>
      <c r="AT127" s="9">
        <f>Raw!AT128/Raw!$C128</f>
        <v>0</v>
      </c>
      <c r="AU127" s="9">
        <f>Raw!AU128/Raw!$C128</f>
        <v>0</v>
      </c>
      <c r="AV127" s="9">
        <f>Raw!AV128/Raw!$C128</f>
        <v>0</v>
      </c>
      <c r="AW127" s="9">
        <f>Raw!AW128/Raw!$C128</f>
        <v>0</v>
      </c>
      <c r="AX127" s="9">
        <f>Raw!AX128/Raw!$C128</f>
        <v>0</v>
      </c>
      <c r="AY127" s="9">
        <f>Raw!AY128/Raw!$C128</f>
        <v>0</v>
      </c>
      <c r="AZ127" s="9">
        <f>Raw!AZ128/Raw!$C128</f>
        <v>0</v>
      </c>
      <c r="BA127" s="9">
        <f>Raw!BA128/Raw!$C128</f>
        <v>0</v>
      </c>
      <c r="BB127" s="9">
        <f>Raw!BB128/Raw!$C128</f>
        <v>0</v>
      </c>
      <c r="BC127" s="9">
        <f>Raw!BC128/Raw!$C128</f>
        <v>0</v>
      </c>
      <c r="BD127" s="9">
        <f>Raw!BD128/Raw!$C128</f>
        <v>0</v>
      </c>
      <c r="BE127" s="9">
        <f>Raw!BE128/Raw!$C128</f>
        <v>0</v>
      </c>
      <c r="BF127" s="9">
        <f>Raw!BF128/Raw!$C128</f>
        <v>0</v>
      </c>
      <c r="BG127" s="9">
        <f>Raw!BG128/Raw!$C128</f>
        <v>0</v>
      </c>
      <c r="BH127" s="9">
        <f>Raw!BH128/Raw!$C128</f>
        <v>0</v>
      </c>
      <c r="BI127" s="9">
        <f>Raw!BI128/Raw!$C128</f>
        <v>0</v>
      </c>
      <c r="BJ127" s="9">
        <f>Raw!BJ128/Raw!$C128</f>
        <v>0</v>
      </c>
      <c r="BK127" s="9">
        <f>Raw!BK128/Raw!$C128</f>
        <v>0</v>
      </c>
      <c r="BL127" s="9">
        <f>Raw!BL128/Raw!$C128</f>
        <v>0</v>
      </c>
      <c r="BM127" s="9">
        <f>Raw!BM128/Raw!$C128</f>
        <v>0</v>
      </c>
      <c r="BN127" s="9">
        <f>Raw!BN128/Raw!$C128</f>
        <v>0</v>
      </c>
      <c r="BO127" s="9">
        <f>Raw!BO128/Raw!$C128</f>
        <v>0</v>
      </c>
      <c r="BP127" s="9">
        <f>Raw!BP128/Raw!$C128</f>
        <v>0</v>
      </c>
      <c r="BQ127" s="9">
        <f>Raw!BQ128/Raw!$C128</f>
        <v>0</v>
      </c>
      <c r="BR127" s="9">
        <f>Raw!BR128/Raw!$C128</f>
        <v>0</v>
      </c>
      <c r="BS127" s="9">
        <f>Raw!BS128/Raw!$C128</f>
        <v>0</v>
      </c>
      <c r="BT127" s="9">
        <f>Raw!BT128/Raw!$C128</f>
        <v>0</v>
      </c>
      <c r="BU127" s="9">
        <f>Raw!BU128/Raw!$C128</f>
        <v>0</v>
      </c>
      <c r="BV127" s="9">
        <f>Raw!BV128/Raw!$C128</f>
        <v>0</v>
      </c>
      <c r="BW127" s="9">
        <f>Raw!BW128/Raw!$C128</f>
        <v>0</v>
      </c>
      <c r="BX127" s="9">
        <f>Raw!BX128/Raw!$C128</f>
        <v>0</v>
      </c>
      <c r="BY127" s="9">
        <f>Raw!BY128/Raw!$C128</f>
        <v>0</v>
      </c>
      <c r="BZ127" s="9">
        <f>Raw!BZ128/Raw!$C128</f>
        <v>0</v>
      </c>
      <c r="CA127" s="9">
        <f>Raw!CA128/Raw!$C128</f>
        <v>0</v>
      </c>
      <c r="CB127" s="9">
        <f>Raw!CB128/Raw!$C128</f>
        <v>0</v>
      </c>
      <c r="CC127" s="9">
        <f>Raw!CC128/Raw!$C128</f>
        <v>0</v>
      </c>
      <c r="CD127" s="9">
        <f>Raw!CD128/Raw!$C128</f>
        <v>244</v>
      </c>
      <c r="CE127" s="9">
        <f>Raw!CE128/Raw!$C128</f>
        <v>3.6800000000000006</v>
      </c>
      <c r="CF127" s="9">
        <f>Raw!CF128/Raw!$C128</f>
        <v>0</v>
      </c>
      <c r="CG127" s="9">
        <f>Raw!CG128/Raw!$C128</f>
        <v>0</v>
      </c>
      <c r="CH127" s="9">
        <f>Raw!CH128/Raw!$C128</f>
        <v>0</v>
      </c>
      <c r="CI127" s="9">
        <f>Raw!CI128/Raw!$C128</f>
        <v>0</v>
      </c>
      <c r="CJ127" s="9">
        <f>Raw!CJ128/Raw!$C128</f>
        <v>0</v>
      </c>
      <c r="CK127" s="9">
        <f>Raw!CK128/Raw!$C128</f>
        <v>0</v>
      </c>
      <c r="CL127" s="9">
        <f>Raw!CL128/Raw!$C128</f>
        <v>0</v>
      </c>
      <c r="CM127" s="9">
        <f>Raw!CM128/Raw!$C128</f>
        <v>0</v>
      </c>
      <c r="CN127" s="9">
        <f>Raw!CN128/Raw!$C128</f>
        <v>0</v>
      </c>
      <c r="CO127" s="9">
        <f>Raw!CO128/Raw!$C128</f>
        <v>0</v>
      </c>
      <c r="CP127" s="9">
        <f>Raw!CP128/Raw!$C128</f>
        <v>0</v>
      </c>
      <c r="CQ127" s="9">
        <f>Raw!CQ128/Raw!$C128</f>
        <v>0</v>
      </c>
      <c r="CR127" s="2">
        <f t="shared" si="39"/>
        <v>536</v>
      </c>
      <c r="CS127" s="2">
        <f t="shared" si="40"/>
        <v>131.44</v>
      </c>
      <c r="CT127" s="3">
        <f t="shared" si="126"/>
        <v>2.7291647896927702</v>
      </c>
      <c r="CU127" s="3">
        <f t="shared" si="127"/>
        <v>2.1187275504270051</v>
      </c>
      <c r="CZ127" s="3">
        <f t="shared" si="128"/>
        <v>2.7291647896927702</v>
      </c>
      <c r="DA127" s="3">
        <f t="shared" si="129"/>
        <v>2.1187275504270051</v>
      </c>
      <c r="DB127" s="6">
        <f t="shared" si="130"/>
        <v>1.09245050965206</v>
      </c>
      <c r="DC127">
        <v>4</v>
      </c>
      <c r="DD127" s="3">
        <f>DC127/Raw!C128</f>
        <v>16</v>
      </c>
      <c r="DE127" s="5">
        <f t="shared" si="115"/>
        <v>7.462686567164179E-3</v>
      </c>
      <c r="DF127">
        <f t="shared" si="116"/>
        <v>-2.1271047983648077</v>
      </c>
      <c r="DH127" s="4">
        <f>-SUM('Shannon-Weiner'!B126:Z126)</f>
        <v>0.43851749322269779</v>
      </c>
      <c r="DI127" s="4">
        <f>SUM('p^2'!B122:Z122)</f>
        <v>0.15198481353325644</v>
      </c>
      <c r="DJ127" s="4">
        <f t="shared" si="117"/>
        <v>0.84801518646674356</v>
      </c>
      <c r="DK127">
        <f t="shared" si="118"/>
        <v>6.5796047430830038</v>
      </c>
      <c r="DL127" s="4">
        <f>SUM('Shannon-Weiner_B'!B122:Z122)</f>
        <v>-1.2113140413828618</v>
      </c>
      <c r="DM127" s="4">
        <f>SUM('p_B^2'!B122:Z122)</f>
        <v>0.32284643756232134</v>
      </c>
      <c r="DN127" s="4">
        <f t="shared" si="119"/>
        <v>0.67715356243767866</v>
      </c>
      <c r="DO127">
        <f t="shared" si="120"/>
        <v>3.0974478378965014</v>
      </c>
    </row>
    <row r="128" spans="2:119" x14ac:dyDescent="0.25">
      <c r="B128" t="str">
        <f>Raw!B129</f>
        <v>NB18</v>
      </c>
      <c r="C128">
        <v>1</v>
      </c>
      <c r="D128" s="9">
        <f>Raw!D129/Raw!$C129</f>
        <v>12</v>
      </c>
      <c r="E128" s="9">
        <f>Raw!E129/Raw!$C129</f>
        <v>0.16000000000000014</v>
      </c>
      <c r="F128" s="9">
        <f>Raw!F129/Raw!$C129</f>
        <v>56</v>
      </c>
      <c r="G128" s="9">
        <f>Raw!G129/Raw!$C129</f>
        <v>116.72</v>
      </c>
      <c r="H128" s="9">
        <f>Raw!H129/Raw!$C129</f>
        <v>0</v>
      </c>
      <c r="I128" s="9">
        <f>Raw!I129/Raw!$C129</f>
        <v>0</v>
      </c>
      <c r="J128" s="9">
        <f>Raw!J129/Raw!$C129</f>
        <v>4</v>
      </c>
      <c r="K128" s="9">
        <f>Raw!K129/Raw!$C129</f>
        <v>2.5599999999999987</v>
      </c>
      <c r="L128" s="9">
        <f>Raw!L129/Raw!$C129</f>
        <v>0</v>
      </c>
      <c r="M128" s="9">
        <f>Raw!M129/Raw!$C129</f>
        <v>0</v>
      </c>
      <c r="N128" s="9">
        <f>Raw!N129/Raw!$C129</f>
        <v>0</v>
      </c>
      <c r="O128" s="9">
        <f>Raw!O129/Raw!$C129</f>
        <v>0</v>
      </c>
      <c r="P128" s="9">
        <f>Raw!P129/Raw!$C129</f>
        <v>12</v>
      </c>
      <c r="Q128" s="9">
        <f>Raw!Q129/Raw!$C129</f>
        <v>11.24</v>
      </c>
      <c r="R128" s="9">
        <f>Raw!R129/Raw!$C129</f>
        <v>12</v>
      </c>
      <c r="S128" s="9">
        <f>Raw!S129/Raw!$C129</f>
        <v>16.439999999999998</v>
      </c>
      <c r="T128" s="9">
        <f>Raw!T129/Raw!$C129</f>
        <v>0</v>
      </c>
      <c r="U128" s="9">
        <f>Raw!U129/Raw!$C129</f>
        <v>0</v>
      </c>
      <c r="V128" s="9">
        <f>Raw!V129/Raw!$C129</f>
        <v>0</v>
      </c>
      <c r="W128" s="9">
        <f>Raw!W129/Raw!$C129</f>
        <v>0</v>
      </c>
      <c r="X128" s="9">
        <f>Raw!X129/Raw!$C129</f>
        <v>28</v>
      </c>
      <c r="Y128" s="9">
        <f>Raw!Y129/Raw!$C129</f>
        <v>25.359999999999996</v>
      </c>
      <c r="Z128" s="9">
        <f>Raw!Z129/Raw!$C129</f>
        <v>0</v>
      </c>
      <c r="AA128" s="9">
        <f>Raw!AA129/Raw!$C129</f>
        <v>0</v>
      </c>
      <c r="AB128" s="9">
        <f>Raw!AB129/Raw!$C129</f>
        <v>0</v>
      </c>
      <c r="AC128" s="9">
        <f>Raw!AC129/Raw!$C129</f>
        <v>0</v>
      </c>
      <c r="AD128" s="9">
        <f>Raw!AD129/Raw!$C129</f>
        <v>0</v>
      </c>
      <c r="AE128" s="9">
        <f>Raw!AE129/Raw!$C129</f>
        <v>0</v>
      </c>
      <c r="AF128" s="9">
        <f>Raw!AF129/Raw!$C129</f>
        <v>0</v>
      </c>
      <c r="AG128" s="9">
        <f>Raw!AG129/Raw!$C129</f>
        <v>0</v>
      </c>
      <c r="AH128" s="9">
        <f>Raw!AH129/Raw!$C129</f>
        <v>32</v>
      </c>
      <c r="AI128" s="9">
        <f>Raw!AI129/Raw!$C129</f>
        <v>88.88</v>
      </c>
      <c r="AJ128" s="9">
        <f>Raw!AJ129/Raw!$C129</f>
        <v>0</v>
      </c>
      <c r="AK128" s="9">
        <f>Raw!AK129/Raw!$C129</f>
        <v>0</v>
      </c>
      <c r="AL128" s="9">
        <f>Raw!AL129/Raw!$C129</f>
        <v>16</v>
      </c>
      <c r="AM128" s="9">
        <f>Raw!AM129/Raw!$C129</f>
        <v>367.48</v>
      </c>
      <c r="AN128" s="9">
        <f>Raw!AN129/Raw!$C129</f>
        <v>0</v>
      </c>
      <c r="AO128" s="9">
        <f>Raw!AO129/Raw!$C129</f>
        <v>0</v>
      </c>
      <c r="AP128" s="9">
        <f>Raw!AP129/Raw!$C129</f>
        <v>0</v>
      </c>
      <c r="AQ128" s="9">
        <f>Raw!AQ129/Raw!$C129</f>
        <v>0</v>
      </c>
      <c r="AR128" s="9">
        <f>Raw!AR129/Raw!$C129</f>
        <v>0</v>
      </c>
      <c r="AS128" s="9">
        <f>Raw!AS129/Raw!$C129</f>
        <v>0</v>
      </c>
      <c r="AT128" s="9">
        <f>Raw!AT129/Raw!$C129</f>
        <v>0</v>
      </c>
      <c r="AU128" s="9">
        <f>Raw!AU129/Raw!$C129</f>
        <v>0</v>
      </c>
      <c r="AV128" s="9">
        <f>Raw!AV129/Raw!$C129</f>
        <v>0</v>
      </c>
      <c r="AW128" s="9">
        <f>Raw!AW129/Raw!$C129</f>
        <v>0</v>
      </c>
      <c r="AX128" s="9">
        <f>Raw!AX129/Raw!$C129</f>
        <v>0</v>
      </c>
      <c r="AY128" s="9">
        <f>Raw!AY129/Raw!$C129</f>
        <v>0</v>
      </c>
      <c r="AZ128" s="9">
        <f>Raw!AZ129/Raw!$C129</f>
        <v>28</v>
      </c>
      <c r="BA128" s="9">
        <f>Raw!BA129/Raw!$C129</f>
        <v>20.119999999999997</v>
      </c>
      <c r="BB128" s="9">
        <f>Raw!BB129/Raw!$C129</f>
        <v>0</v>
      </c>
      <c r="BC128" s="9">
        <f>Raw!BC129/Raw!$C129</f>
        <v>0</v>
      </c>
      <c r="BD128" s="9">
        <f>Raw!BD129/Raw!$C129</f>
        <v>0</v>
      </c>
      <c r="BE128" s="9">
        <f>Raw!BE129/Raw!$C129</f>
        <v>0</v>
      </c>
      <c r="BF128" s="9">
        <f>Raw!BF129/Raw!$C129</f>
        <v>0</v>
      </c>
      <c r="BG128" s="9">
        <f>Raw!BG129/Raw!$C129</f>
        <v>0</v>
      </c>
      <c r="BH128" s="9">
        <f>Raw!BH129/Raw!$C129</f>
        <v>0</v>
      </c>
      <c r="BI128" s="9">
        <f>Raw!BI129/Raw!$C129</f>
        <v>0</v>
      </c>
      <c r="BJ128" s="9">
        <f>Raw!BJ129/Raw!$C129</f>
        <v>0</v>
      </c>
      <c r="BK128" s="9">
        <f>Raw!BK129/Raw!$C129</f>
        <v>0</v>
      </c>
      <c r="BL128" s="9">
        <f>Raw!BL129/Raw!$C129</f>
        <v>0</v>
      </c>
      <c r="BM128" s="9">
        <f>Raw!BM129/Raw!$C129</f>
        <v>0</v>
      </c>
      <c r="BN128" s="9">
        <f>Raw!BN129/Raw!$C129</f>
        <v>0</v>
      </c>
      <c r="BO128" s="9">
        <f>Raw!BO129/Raw!$C129</f>
        <v>0</v>
      </c>
      <c r="BP128" s="9">
        <f>Raw!BP129/Raw!$C129</f>
        <v>0</v>
      </c>
      <c r="BQ128" s="9">
        <f>Raw!BQ129/Raw!$C129</f>
        <v>0</v>
      </c>
      <c r="BR128" s="9">
        <f>Raw!BR129/Raw!$C129</f>
        <v>0</v>
      </c>
      <c r="BS128" s="9">
        <f>Raw!BS129/Raw!$C129</f>
        <v>0</v>
      </c>
      <c r="BT128" s="9">
        <f>Raw!BT129/Raw!$C129</f>
        <v>0</v>
      </c>
      <c r="BU128" s="9">
        <f>Raw!BU129/Raw!$C129</f>
        <v>0</v>
      </c>
      <c r="BV128" s="9">
        <f>Raw!BV129/Raw!$C129</f>
        <v>16</v>
      </c>
      <c r="BW128" s="9">
        <f>Raw!BW129/Raw!$C129</f>
        <v>0.15999999999999925</v>
      </c>
      <c r="BX128" s="9">
        <f>Raw!BX129/Raw!$C129</f>
        <v>0</v>
      </c>
      <c r="BY128" s="9">
        <f>Raw!BY129/Raw!$C129</f>
        <v>0</v>
      </c>
      <c r="BZ128" s="9">
        <f>Raw!BZ129/Raw!$C129</f>
        <v>0</v>
      </c>
      <c r="CA128" s="9">
        <f>Raw!CA129/Raw!$C129</f>
        <v>0</v>
      </c>
      <c r="CB128" s="9">
        <f>Raw!CB129/Raw!$C129</f>
        <v>92</v>
      </c>
      <c r="CC128" s="9">
        <f>Raw!CC129/Raw!$C129</f>
        <v>167.84</v>
      </c>
      <c r="CD128" s="9">
        <f>Raw!CD129/Raw!$C129</f>
        <v>0</v>
      </c>
      <c r="CE128" s="9">
        <f>Raw!CE129/Raw!$C129</f>
        <v>0</v>
      </c>
      <c r="CF128" s="9">
        <f>Raw!CF129/Raw!$C129</f>
        <v>0</v>
      </c>
      <c r="CG128" s="9">
        <f>Raw!CG129/Raw!$C129</f>
        <v>0</v>
      </c>
      <c r="CH128" s="9">
        <f>Raw!CH129/Raw!$C129</f>
        <v>0</v>
      </c>
      <c r="CI128" s="9">
        <f>Raw!CI129/Raw!$C129</f>
        <v>0</v>
      </c>
      <c r="CJ128" s="9">
        <f>Raw!CJ129/Raw!$C129</f>
        <v>0</v>
      </c>
      <c r="CK128" s="9">
        <f>Raw!CK129/Raw!$C129</f>
        <v>0</v>
      </c>
      <c r="CL128" s="9">
        <f>Raw!CL129/Raw!$C129</f>
        <v>0</v>
      </c>
      <c r="CM128" s="9">
        <f>Raw!CM129/Raw!$C129</f>
        <v>0</v>
      </c>
      <c r="CN128" s="9">
        <f>Raw!CN129/Raw!$C129</f>
        <v>0</v>
      </c>
      <c r="CO128" s="9">
        <f>Raw!CO129/Raw!$C129</f>
        <v>0</v>
      </c>
      <c r="CP128" s="9">
        <f>Raw!CP129/Raw!$C129</f>
        <v>0</v>
      </c>
      <c r="CQ128" s="9">
        <f>Raw!CQ129/Raw!$C129</f>
        <v>0</v>
      </c>
      <c r="CR128" s="2">
        <f t="shared" si="39"/>
        <v>336</v>
      </c>
      <c r="CS128" s="2">
        <f t="shared" si="40"/>
        <v>837.08</v>
      </c>
      <c r="CT128" s="3">
        <f t="shared" ref="CT128:CT129" si="131">LOG10(CR128)</f>
        <v>2.5263392773898441</v>
      </c>
      <c r="CU128" s="3">
        <f t="shared" ref="CU128:CU129" si="132">LOG10(CS128)</f>
        <v>2.9227669656375528</v>
      </c>
      <c r="CZ128" s="3">
        <f t="shared" ref="CZ128:CZ129" si="133">LOG10(CR128+CV128)</f>
        <v>2.5263392773898441</v>
      </c>
      <c r="DA128" s="3">
        <f t="shared" ref="DA128:DA129" si="134">LOG10(CS128+CW128)</f>
        <v>2.9227669656375528</v>
      </c>
      <c r="DB128" s="6">
        <f t="shared" ref="DB128:DB129" si="135">0.590307*(4.87-0.33*CT128-CU128)</f>
        <v>0.65733109007539814</v>
      </c>
      <c r="DC128">
        <v>11</v>
      </c>
      <c r="DD128" s="3">
        <f>DC128/Raw!C129</f>
        <v>44</v>
      </c>
      <c r="DE128" s="5">
        <f t="shared" si="115"/>
        <v>3.273809523809524E-2</v>
      </c>
      <c r="DF128">
        <f t="shared" si="116"/>
        <v>-1.484946592231619</v>
      </c>
      <c r="DH128" s="4">
        <f>-SUM('Shannon-Weiner'!B127:Z127)</f>
        <v>1.4914651769624574</v>
      </c>
      <c r="DI128" s="4">
        <f>SUM('p^2'!B123:Z123)</f>
        <v>0.21201559546313797</v>
      </c>
      <c r="DJ128" s="4">
        <f t="shared" si="117"/>
        <v>0.78798440453686203</v>
      </c>
      <c r="DK128">
        <f t="shared" si="118"/>
        <v>4.7166341599331298</v>
      </c>
      <c r="DL128" s="4">
        <f>SUM('Shannon-Weiner_B'!B123:Z123)</f>
        <v>-1.4053502997211695</v>
      </c>
      <c r="DM128" s="4">
        <f>SUM('p_B^2'!B123:Z123)</f>
        <v>0.25746685496725941</v>
      </c>
      <c r="DN128" s="4">
        <f t="shared" si="119"/>
        <v>0.74253314503274059</v>
      </c>
      <c r="DO128">
        <f t="shared" si="120"/>
        <v>3.8839950879392391</v>
      </c>
    </row>
    <row r="129" spans="2:119" x14ac:dyDescent="0.25">
      <c r="B129" t="str">
        <f>Raw!B130</f>
        <v>NB19</v>
      </c>
      <c r="C129">
        <v>1</v>
      </c>
      <c r="D129" s="9">
        <f>Raw!D130/Raw!$C130</f>
        <v>3.3333333333333335</v>
      </c>
      <c r="E129" s="9">
        <f>Raw!E130/Raw!$C130</f>
        <v>6.6666666666666735E-2</v>
      </c>
      <c r="F129" s="9">
        <f>Raw!F130/Raw!$C130</f>
        <v>30</v>
      </c>
      <c r="G129" s="9">
        <f>Raw!G130/Raw!$C130</f>
        <v>66.500000000000014</v>
      </c>
      <c r="H129" s="9">
        <f>Raw!H130/Raw!$C130</f>
        <v>0</v>
      </c>
      <c r="I129" s="9">
        <f>Raw!I130/Raw!$C130</f>
        <v>0</v>
      </c>
      <c r="J129" s="9">
        <f>Raw!J130/Raw!$C130</f>
        <v>0</v>
      </c>
      <c r="K129" s="9">
        <f>Raw!K130/Raw!$C130</f>
        <v>0</v>
      </c>
      <c r="L129" s="9">
        <f>Raw!L130/Raw!$C130</f>
        <v>0</v>
      </c>
      <c r="M129" s="9">
        <f>Raw!M130/Raw!$C130</f>
        <v>0</v>
      </c>
      <c r="N129" s="9">
        <f>Raw!N130/Raw!$C130</f>
        <v>0</v>
      </c>
      <c r="O129" s="9">
        <f>Raw!O130/Raw!$C130</f>
        <v>0</v>
      </c>
      <c r="P129" s="9">
        <f>Raw!P130/Raw!$C130</f>
        <v>10</v>
      </c>
      <c r="Q129" s="9">
        <f>Raw!Q130/Raw!$C130</f>
        <v>2.6666666666666661</v>
      </c>
      <c r="R129" s="9">
        <f>Raw!R130/Raw!$C130</f>
        <v>13.333333333333334</v>
      </c>
      <c r="S129" s="9">
        <f>Raw!S130/Raw!$C130</f>
        <v>12.733333333333334</v>
      </c>
      <c r="T129" s="9">
        <f>Raw!T130/Raw!$C130</f>
        <v>0</v>
      </c>
      <c r="U129" s="9">
        <f>Raw!U130/Raw!$C130</f>
        <v>0</v>
      </c>
      <c r="V129" s="9">
        <f>Raw!V130/Raw!$C130</f>
        <v>0</v>
      </c>
      <c r="W129" s="9">
        <f>Raw!W130/Raw!$C130</f>
        <v>0</v>
      </c>
      <c r="X129" s="9">
        <f>Raw!X130/Raw!$C130</f>
        <v>20</v>
      </c>
      <c r="Y129" s="9">
        <f>Raw!Y130/Raw!$C130</f>
        <v>7.6</v>
      </c>
      <c r="Z129" s="9">
        <f>Raw!Z130/Raw!$C130</f>
        <v>0</v>
      </c>
      <c r="AA129" s="9">
        <f>Raw!AA130/Raw!$C130</f>
        <v>0</v>
      </c>
      <c r="AB129" s="9">
        <f>Raw!AB130/Raw!$C130</f>
        <v>0</v>
      </c>
      <c r="AC129" s="9">
        <f>Raw!AC130/Raw!$C130</f>
        <v>0</v>
      </c>
      <c r="AD129" s="9">
        <f>Raw!AD130/Raw!$C130</f>
        <v>0</v>
      </c>
      <c r="AE129" s="9">
        <f>Raw!AE130/Raw!$C130</f>
        <v>0</v>
      </c>
      <c r="AF129" s="9">
        <f>Raw!AF130/Raw!$C130</f>
        <v>0</v>
      </c>
      <c r="AG129" s="9">
        <f>Raw!AG130/Raw!$C130</f>
        <v>0</v>
      </c>
      <c r="AH129" s="9">
        <f>Raw!AH130/Raw!$C130</f>
        <v>10</v>
      </c>
      <c r="AI129" s="9">
        <f>Raw!AI130/Raw!$C130</f>
        <v>15.466666666666667</v>
      </c>
      <c r="AJ129" s="9">
        <f>Raw!AJ130/Raw!$C130</f>
        <v>0</v>
      </c>
      <c r="AK129" s="9">
        <f>Raw!AK130/Raw!$C130</f>
        <v>0</v>
      </c>
      <c r="AL129" s="9">
        <f>Raw!AL130/Raw!$C130</f>
        <v>36.666666666666671</v>
      </c>
      <c r="AM129" s="9">
        <f>Raw!AM130/Raw!$C130</f>
        <v>281.89999999999998</v>
      </c>
      <c r="AN129" s="9">
        <f>Raw!AN130/Raw!$C130</f>
        <v>0</v>
      </c>
      <c r="AO129" s="9">
        <f>Raw!AO130/Raw!$C130</f>
        <v>0</v>
      </c>
      <c r="AP129" s="9">
        <f>Raw!AP130/Raw!$C130</f>
        <v>0</v>
      </c>
      <c r="AQ129" s="9">
        <f>Raw!AQ130/Raw!$C130</f>
        <v>0</v>
      </c>
      <c r="AR129" s="9">
        <f>Raw!AR130/Raw!$C130</f>
        <v>0</v>
      </c>
      <c r="AS129" s="9">
        <f>Raw!AS130/Raw!$C130</f>
        <v>0</v>
      </c>
      <c r="AT129" s="9">
        <f>Raw!AT130/Raw!$C130</f>
        <v>0</v>
      </c>
      <c r="AU129" s="9">
        <f>Raw!AU130/Raw!$C130</f>
        <v>0</v>
      </c>
      <c r="AV129" s="9">
        <f>Raw!AV130/Raw!$C130</f>
        <v>0</v>
      </c>
      <c r="AW129" s="9">
        <f>Raw!AW130/Raw!$C130</f>
        <v>0</v>
      </c>
      <c r="AX129" s="9">
        <f>Raw!AX130/Raw!$C130</f>
        <v>0</v>
      </c>
      <c r="AY129" s="9">
        <f>Raw!AY130/Raw!$C130</f>
        <v>0</v>
      </c>
      <c r="AZ129" s="9">
        <f>Raw!AZ130/Raw!$C130</f>
        <v>33.333333333333336</v>
      </c>
      <c r="BA129" s="9">
        <f>Raw!BA130/Raw!$C130</f>
        <v>5.633333333333332</v>
      </c>
      <c r="BB129" s="9">
        <f>Raw!BB130/Raw!$C130</f>
        <v>0</v>
      </c>
      <c r="BC129" s="9">
        <f>Raw!BC130/Raw!$C130</f>
        <v>0</v>
      </c>
      <c r="BD129" s="9">
        <f>Raw!BD130/Raw!$C130</f>
        <v>0</v>
      </c>
      <c r="BE129" s="9">
        <f>Raw!BE130/Raw!$C130</f>
        <v>0</v>
      </c>
      <c r="BF129" s="9">
        <f>Raw!BF130/Raw!$C130</f>
        <v>0</v>
      </c>
      <c r="BG129" s="9">
        <f>Raw!BG130/Raw!$C130</f>
        <v>0</v>
      </c>
      <c r="BH129" s="9">
        <f>Raw!BH130/Raw!$C130</f>
        <v>0</v>
      </c>
      <c r="BI129" s="9">
        <f>Raw!BI130/Raw!$C130</f>
        <v>0</v>
      </c>
      <c r="BJ129" s="9">
        <f>Raw!BJ130/Raw!$C130</f>
        <v>6.666666666666667</v>
      </c>
      <c r="BK129" s="9">
        <f>Raw!BK130/Raw!$C130</f>
        <v>4.9666666666666668</v>
      </c>
      <c r="BL129" s="9">
        <f>Raw!BL130/Raw!$C130</f>
        <v>0</v>
      </c>
      <c r="BM129" s="9">
        <f>Raw!BM130/Raw!$C130</f>
        <v>0</v>
      </c>
      <c r="BN129" s="9">
        <f>Raw!BN130/Raw!$C130</f>
        <v>0</v>
      </c>
      <c r="BO129" s="9">
        <f>Raw!BO130/Raw!$C130</f>
        <v>0</v>
      </c>
      <c r="BP129" s="9">
        <f>Raw!BP130/Raw!$C130</f>
        <v>0</v>
      </c>
      <c r="BQ129" s="9">
        <f>Raw!BQ130/Raw!$C130</f>
        <v>0</v>
      </c>
      <c r="BR129" s="9">
        <f>Raw!BR130/Raw!$C130</f>
        <v>0</v>
      </c>
      <c r="BS129" s="9">
        <f>Raw!BS130/Raw!$C130</f>
        <v>0</v>
      </c>
      <c r="BT129" s="9">
        <f>Raw!BT130/Raw!$C130</f>
        <v>0</v>
      </c>
      <c r="BU129" s="9">
        <f>Raw!BU130/Raw!$C130</f>
        <v>0</v>
      </c>
      <c r="BV129" s="9">
        <f>Raw!BV130/Raw!$C130</f>
        <v>10</v>
      </c>
      <c r="BW129" s="9">
        <f>Raw!BW130/Raw!$C130</f>
        <v>6.6666666666668206E-2</v>
      </c>
      <c r="BX129" s="9">
        <f>Raw!BX130/Raw!$C130</f>
        <v>0</v>
      </c>
      <c r="BY129" s="9">
        <f>Raw!BY130/Raw!$C130</f>
        <v>0</v>
      </c>
      <c r="BZ129" s="9">
        <f>Raw!BZ130/Raw!$C130</f>
        <v>0</v>
      </c>
      <c r="CA129" s="9">
        <f>Raw!CA130/Raw!$C130</f>
        <v>0</v>
      </c>
      <c r="CB129" s="9">
        <f>Raw!CB130/Raw!$C130</f>
        <v>93.333333333333343</v>
      </c>
      <c r="CC129" s="9">
        <f>Raw!CC130/Raw!$C130</f>
        <v>243.83333333333331</v>
      </c>
      <c r="CD129" s="9">
        <f>Raw!CD130/Raw!$C130</f>
        <v>0</v>
      </c>
      <c r="CE129" s="9">
        <f>Raw!CE130/Raw!$C130</f>
        <v>0</v>
      </c>
      <c r="CF129" s="9">
        <f>Raw!CF130/Raw!$C130</f>
        <v>0</v>
      </c>
      <c r="CG129" s="9">
        <f>Raw!CG130/Raw!$C130</f>
        <v>0</v>
      </c>
      <c r="CH129" s="9">
        <f>Raw!CH130/Raw!$C130</f>
        <v>0</v>
      </c>
      <c r="CI129" s="9">
        <f>Raw!CI130/Raw!$C130</f>
        <v>0</v>
      </c>
      <c r="CJ129" s="9">
        <f>Raw!CJ130/Raw!$C130</f>
        <v>0</v>
      </c>
      <c r="CK129" s="9">
        <f>Raw!CK130/Raw!$C130</f>
        <v>0</v>
      </c>
      <c r="CL129" s="9">
        <f>Raw!CL130/Raw!$C130</f>
        <v>0</v>
      </c>
      <c r="CM129" s="9">
        <f>Raw!CM130/Raw!$C130</f>
        <v>0</v>
      </c>
      <c r="CN129" s="9">
        <f>Raw!CN130/Raw!$C130</f>
        <v>0</v>
      </c>
      <c r="CO129" s="9">
        <f>Raw!CO130/Raw!$C130</f>
        <v>0</v>
      </c>
      <c r="CP129" s="9">
        <f>Raw!CP130/Raw!$C130</f>
        <v>0</v>
      </c>
      <c r="CQ129" s="9">
        <f>Raw!CQ130/Raw!$C130</f>
        <v>0</v>
      </c>
      <c r="CR129" s="2">
        <f t="shared" si="39"/>
        <v>300</v>
      </c>
      <c r="CS129" s="2">
        <f t="shared" si="40"/>
        <v>647.06666666666661</v>
      </c>
      <c r="CT129" s="3">
        <f t="shared" si="131"/>
        <v>2.4771212547196626</v>
      </c>
      <c r="CU129" s="3">
        <f t="shared" si="132"/>
        <v>2.8109490279235856</v>
      </c>
      <c r="CZ129" s="3">
        <f t="shared" si="133"/>
        <v>2.4771212547196626</v>
      </c>
      <c r="DA129" s="3">
        <f t="shared" si="134"/>
        <v>2.8109490279235856</v>
      </c>
      <c r="DB129" s="6">
        <f t="shared" si="135"/>
        <v>0.73292573672527817</v>
      </c>
      <c r="DC129">
        <v>11</v>
      </c>
      <c r="DD129" s="3">
        <f>DC129/Raw!C130</f>
        <v>36.666666666666671</v>
      </c>
      <c r="DE129" s="5">
        <f t="shared" si="115"/>
        <v>3.6666666666666667E-2</v>
      </c>
      <c r="DF129">
        <f t="shared" si="116"/>
        <v>-1.4357285695614375</v>
      </c>
      <c r="DH129" s="4">
        <f>-SUM('Shannon-Weiner'!B128:Z128)</f>
        <v>1.3269547376324156</v>
      </c>
      <c r="DI129" s="4">
        <f>SUM('p^2'!B124:Z124)</f>
        <v>0.250335507630848</v>
      </c>
      <c r="DJ129" s="4">
        <f t="shared" si="117"/>
        <v>0.749664492369152</v>
      </c>
      <c r="DK129">
        <f t="shared" si="118"/>
        <v>3.9946390724348579</v>
      </c>
      <c r="DL129" s="4">
        <f>SUM('Shannon-Weiner_B'!B124:Z124)</f>
        <v>-1.5465361696538911</v>
      </c>
      <c r="DM129" s="4">
        <f>SUM('p_B^2'!B124:Z124)</f>
        <v>0.1992580270618789</v>
      </c>
      <c r="DN129" s="4">
        <f t="shared" si="119"/>
        <v>0.8007419729381211</v>
      </c>
      <c r="DO129">
        <f t="shared" si="120"/>
        <v>5.0186183951799013</v>
      </c>
    </row>
    <row r="130" spans="2:119" x14ac:dyDescent="0.25">
      <c r="B130" t="str">
        <f>Raw!B131</f>
        <v>NB20</v>
      </c>
      <c r="C130">
        <v>1</v>
      </c>
      <c r="D130" s="9">
        <f>Raw!D131/Raw!$C131</f>
        <v>0</v>
      </c>
      <c r="E130" s="9">
        <f>Raw!E131/Raw!$C131</f>
        <v>0</v>
      </c>
      <c r="F130" s="9">
        <f>Raw!F131/Raw!$C131</f>
        <v>25.714285714285715</v>
      </c>
      <c r="G130" s="9">
        <f>Raw!G131/Raw!$C131</f>
        <v>463.94285714285718</v>
      </c>
      <c r="H130" s="9">
        <f>Raw!H131/Raw!$C131</f>
        <v>0</v>
      </c>
      <c r="I130" s="9">
        <f>Raw!I131/Raw!$C131</f>
        <v>0</v>
      </c>
      <c r="J130" s="9">
        <f>Raw!J131/Raw!$C131</f>
        <v>0</v>
      </c>
      <c r="K130" s="9">
        <f>Raw!K131/Raw!$C131</f>
        <v>0</v>
      </c>
      <c r="L130" s="9">
        <f>Raw!L131/Raw!$C131</f>
        <v>0</v>
      </c>
      <c r="M130" s="9">
        <f>Raw!M131/Raw!$C131</f>
        <v>0</v>
      </c>
      <c r="N130" s="9">
        <f>Raw!N131/Raw!$C131</f>
        <v>0</v>
      </c>
      <c r="O130" s="9">
        <f>Raw!O131/Raw!$C131</f>
        <v>0</v>
      </c>
      <c r="P130" s="9">
        <f>Raw!P131/Raw!$C131</f>
        <v>0</v>
      </c>
      <c r="Q130" s="9">
        <f>Raw!Q131/Raw!$C131</f>
        <v>0</v>
      </c>
      <c r="R130" s="9">
        <f>Raw!R131/Raw!$C131</f>
        <v>5.7142857142857144</v>
      </c>
      <c r="S130" s="9">
        <f>Raw!S131/Raw!$C131</f>
        <v>8.2857142857142865</v>
      </c>
      <c r="T130" s="9">
        <f>Raw!T131/Raw!$C131</f>
        <v>0</v>
      </c>
      <c r="U130" s="9">
        <f>Raw!U131/Raw!$C131</f>
        <v>0</v>
      </c>
      <c r="V130" s="9">
        <f>Raw!V131/Raw!$C131</f>
        <v>0</v>
      </c>
      <c r="W130" s="9">
        <f>Raw!W131/Raw!$C131</f>
        <v>0</v>
      </c>
      <c r="X130" s="9">
        <f>Raw!X131/Raw!$C131</f>
        <v>65.714285714285722</v>
      </c>
      <c r="Y130" s="9">
        <f>Raw!Y131/Raw!$C131</f>
        <v>24.942857142857147</v>
      </c>
      <c r="Z130" s="9">
        <f>Raw!Z131/Raw!$C131</f>
        <v>0</v>
      </c>
      <c r="AA130" s="9">
        <f>Raw!AA131/Raw!$C131</f>
        <v>0</v>
      </c>
      <c r="AB130" s="9">
        <f>Raw!AB131/Raw!$C131</f>
        <v>0</v>
      </c>
      <c r="AC130" s="9">
        <f>Raw!AC131/Raw!$C131</f>
        <v>0</v>
      </c>
      <c r="AD130" s="9">
        <f>Raw!AD131/Raw!$C131</f>
        <v>0</v>
      </c>
      <c r="AE130" s="9">
        <f>Raw!AE131/Raw!$C131</f>
        <v>0</v>
      </c>
      <c r="AF130" s="9">
        <f>Raw!AF131/Raw!$C131</f>
        <v>0</v>
      </c>
      <c r="AG130" s="9">
        <f>Raw!AG131/Raw!$C131</f>
        <v>0</v>
      </c>
      <c r="AH130" s="9">
        <f>Raw!AH131/Raw!$C131</f>
        <v>17.142857142857142</v>
      </c>
      <c r="AI130" s="9">
        <f>Raw!AI131/Raw!$C131</f>
        <v>11.77142857142857</v>
      </c>
      <c r="AJ130" s="9">
        <f>Raw!AJ131/Raw!$C131</f>
        <v>0</v>
      </c>
      <c r="AK130" s="9">
        <f>Raw!AK131/Raw!$C131</f>
        <v>0</v>
      </c>
      <c r="AL130" s="9">
        <f>Raw!AL131/Raw!$C131</f>
        <v>0</v>
      </c>
      <c r="AM130" s="9">
        <f>Raw!AM131/Raw!$C131</f>
        <v>0</v>
      </c>
      <c r="AN130" s="9">
        <f>Raw!AN131/Raw!$C131</f>
        <v>0</v>
      </c>
      <c r="AO130" s="9">
        <f>Raw!AO131/Raw!$C131</f>
        <v>0</v>
      </c>
      <c r="AP130" s="9">
        <f>Raw!AP131/Raw!$C131</f>
        <v>0</v>
      </c>
      <c r="AQ130" s="9">
        <f>Raw!AQ131/Raw!$C131</f>
        <v>0</v>
      </c>
      <c r="AR130" s="9">
        <f>Raw!AR131/Raw!$C131</f>
        <v>0</v>
      </c>
      <c r="AS130" s="9">
        <f>Raw!AS131/Raw!$C131</f>
        <v>0</v>
      </c>
      <c r="AT130" s="9">
        <f>Raw!AT131/Raw!$C131</f>
        <v>0</v>
      </c>
      <c r="AU130" s="9">
        <f>Raw!AU131/Raw!$C131</f>
        <v>0</v>
      </c>
      <c r="AV130" s="9">
        <f>Raw!AV131/Raw!$C131</f>
        <v>0</v>
      </c>
      <c r="AW130" s="9">
        <f>Raw!AW131/Raw!$C131</f>
        <v>0</v>
      </c>
      <c r="AX130" s="9">
        <f>Raw!AX131/Raw!$C131</f>
        <v>0</v>
      </c>
      <c r="AY130" s="9">
        <f>Raw!AY131/Raw!$C131</f>
        <v>0</v>
      </c>
      <c r="AZ130" s="9">
        <f>Raw!AZ131/Raw!$C131</f>
        <v>0</v>
      </c>
      <c r="BA130" s="9">
        <f>Raw!BA131/Raw!$C131</f>
        <v>0</v>
      </c>
      <c r="BB130" s="9">
        <f>Raw!BB131/Raw!$C131</f>
        <v>2.8571428571428572</v>
      </c>
      <c r="BC130" s="9">
        <f>Raw!BC131/Raw!$C131</f>
        <v>0.77142857142857024</v>
      </c>
      <c r="BD130" s="9">
        <f>Raw!BD131/Raw!$C131</f>
        <v>0</v>
      </c>
      <c r="BE130" s="9">
        <f>Raw!BE131/Raw!$C131</f>
        <v>0</v>
      </c>
      <c r="BF130" s="9">
        <f>Raw!BF131/Raw!$C131</f>
        <v>0</v>
      </c>
      <c r="BG130" s="9">
        <f>Raw!BG131/Raw!$C131</f>
        <v>0</v>
      </c>
      <c r="BH130" s="9">
        <f>Raw!BH131/Raw!$C131</f>
        <v>0</v>
      </c>
      <c r="BI130" s="9">
        <f>Raw!BI131/Raw!$C131</f>
        <v>0</v>
      </c>
      <c r="BJ130" s="9">
        <f>Raw!BJ131/Raw!$C131</f>
        <v>0</v>
      </c>
      <c r="BK130" s="9">
        <f>Raw!BK131/Raw!$C131</f>
        <v>0</v>
      </c>
      <c r="BL130" s="9">
        <f>Raw!BL131/Raw!$C131</f>
        <v>0</v>
      </c>
      <c r="BM130" s="9">
        <f>Raw!BM131/Raw!$C131</f>
        <v>0</v>
      </c>
      <c r="BN130" s="9">
        <f>Raw!BN131/Raw!$C131</f>
        <v>0</v>
      </c>
      <c r="BO130" s="9">
        <f>Raw!BO131/Raw!$C131</f>
        <v>0</v>
      </c>
      <c r="BP130" s="9">
        <f>Raw!BP131/Raw!$C131</f>
        <v>0</v>
      </c>
      <c r="BQ130" s="9">
        <f>Raw!BQ131/Raw!$C131</f>
        <v>0</v>
      </c>
      <c r="BR130" s="9">
        <f>Raw!BR131/Raw!$C131</f>
        <v>0</v>
      </c>
      <c r="BS130" s="9">
        <f>Raw!BS131/Raw!$C131</f>
        <v>0</v>
      </c>
      <c r="BT130" s="9">
        <f>Raw!BT131/Raw!$C131</f>
        <v>0</v>
      </c>
      <c r="BU130" s="9">
        <f>Raw!BU131/Raw!$C131</f>
        <v>0</v>
      </c>
      <c r="BV130" s="9">
        <f>Raw!BV131/Raw!$C131</f>
        <v>31.428571428571431</v>
      </c>
      <c r="BW130" s="9">
        <f>Raw!BW131/Raw!$C131</f>
        <v>0.34285714285714319</v>
      </c>
      <c r="BX130" s="9">
        <f>Raw!BX131/Raw!$C131</f>
        <v>0</v>
      </c>
      <c r="BY130" s="9">
        <f>Raw!BY131/Raw!$C131</f>
        <v>0</v>
      </c>
      <c r="BZ130" s="9">
        <f>Raw!BZ131/Raw!$C131</f>
        <v>0</v>
      </c>
      <c r="CA130" s="9">
        <f>Raw!CA131/Raw!$C131</f>
        <v>0</v>
      </c>
      <c r="CB130" s="9">
        <f>Raw!CB131/Raw!$C131</f>
        <v>162.85714285714286</v>
      </c>
      <c r="CC130" s="9">
        <f>Raw!CC131/Raw!$C131</f>
        <v>137.02857142857144</v>
      </c>
      <c r="CD130" s="9">
        <f>Raw!CD131/Raw!$C131</f>
        <v>0</v>
      </c>
      <c r="CE130" s="9">
        <f>Raw!CE131/Raw!$C131</f>
        <v>0</v>
      </c>
      <c r="CF130" s="9">
        <f>Raw!CF131/Raw!$C131</f>
        <v>0</v>
      </c>
      <c r="CG130" s="9">
        <f>Raw!CG131/Raw!$C131</f>
        <v>0</v>
      </c>
      <c r="CH130" s="9">
        <f>Raw!CH131/Raw!$C131</f>
        <v>0</v>
      </c>
      <c r="CI130" s="9">
        <f>Raw!CI131/Raw!$C131</f>
        <v>0</v>
      </c>
      <c r="CJ130" s="9">
        <f>Raw!CJ131/Raw!$C131</f>
        <v>0</v>
      </c>
      <c r="CK130" s="9">
        <f>Raw!CK131/Raw!$C131</f>
        <v>0</v>
      </c>
      <c r="CL130" s="9">
        <f>Raw!CL131/Raw!$C131</f>
        <v>0</v>
      </c>
      <c r="CM130" s="9">
        <f>Raw!CM131/Raw!$C131</f>
        <v>0</v>
      </c>
      <c r="CN130" s="9">
        <f>Raw!CN131/Raw!$C131</f>
        <v>0</v>
      </c>
      <c r="CO130" s="9">
        <f>Raw!CO131/Raw!$C131</f>
        <v>0</v>
      </c>
      <c r="CP130" s="9">
        <f>Raw!CP131/Raw!$C131</f>
        <v>0</v>
      </c>
      <c r="CQ130" s="9">
        <f>Raw!CQ131/Raw!$C131</f>
        <v>0</v>
      </c>
      <c r="CR130" s="2">
        <f t="shared" si="39"/>
        <v>311.42857142857144</v>
      </c>
      <c r="CS130" s="2">
        <f t="shared" si="40"/>
        <v>647.08571428571429</v>
      </c>
      <c r="CT130" s="3">
        <f t="shared" ref="CT130:CT134" si="136">LOG10(CR130)</f>
        <v>2.4933584535903481</v>
      </c>
      <c r="CU130" s="3">
        <f t="shared" ref="CU130:CU134" si="137">LOG10(CS130)</f>
        <v>2.810961812006771</v>
      </c>
      <c r="CZ130" s="3">
        <f t="shared" ref="CZ130:CZ134" si="138">LOG10(CR130+CV130)</f>
        <v>2.4933584535903481</v>
      </c>
      <c r="DA130" s="3">
        <f t="shared" ref="DA130:DA134" si="139">LOG10(CS130+CW130)</f>
        <v>2.810961812006771</v>
      </c>
      <c r="DB130" s="6">
        <f t="shared" ref="DB130:DB134" si="140">0.590307*(4.87-0.33*CT130-CU130)</f>
        <v>0.72975516258074502</v>
      </c>
      <c r="DC130">
        <v>7</v>
      </c>
      <c r="DD130" s="3">
        <f>DC130/Raw!C131</f>
        <v>20</v>
      </c>
      <c r="DE130" s="5">
        <f t="shared" si="115"/>
        <v>2.2477064220183484E-2</v>
      </c>
      <c r="DF130">
        <f t="shared" si="116"/>
        <v>-1.6482604135760912</v>
      </c>
      <c r="DH130" s="4">
        <f>-SUM('Shannon-Weiner'!B129:Z129)</f>
        <v>0.81024792506890142</v>
      </c>
      <c r="DI130" s="4">
        <f>SUM('p^2'!B125:Z125)</f>
        <v>6.6147859922178975E-2</v>
      </c>
      <c r="DJ130" s="4">
        <f t="shared" si="117"/>
        <v>0.93385214007782102</v>
      </c>
      <c r="DK130">
        <f t="shared" si="118"/>
        <v>15.117647058823533</v>
      </c>
      <c r="DL130" s="4">
        <f>SUM('Shannon-Weiner_B'!B125:Z125)</f>
        <v>-0.61287221217386767</v>
      </c>
      <c r="DM130" s="4">
        <f>SUM('p_B^2'!B125:Z125)</f>
        <v>0.57648721781028167</v>
      </c>
      <c r="DN130" s="4">
        <f t="shared" si="119"/>
        <v>0.42351278218971833</v>
      </c>
      <c r="DO130">
        <f t="shared" si="120"/>
        <v>1.7346438378952813</v>
      </c>
    </row>
    <row r="131" spans="2:119" x14ac:dyDescent="0.25">
      <c r="B131" t="str">
        <f>Raw!B132</f>
        <v>NC1</v>
      </c>
      <c r="C131">
        <v>1</v>
      </c>
      <c r="D131" s="9">
        <f>Raw!D132/Raw!$C132</f>
        <v>40.624999999999993</v>
      </c>
      <c r="E131" s="9">
        <f>Raw!E132/Raw!$C132</f>
        <v>7.0312499999999982</v>
      </c>
      <c r="F131" s="9">
        <f>Raw!F132/Raw!$C132</f>
        <v>0</v>
      </c>
      <c r="G131" s="9">
        <f>Raw!G132/Raw!$C132</f>
        <v>0</v>
      </c>
      <c r="H131" s="9">
        <f>Raw!H132/Raw!$C132</f>
        <v>0</v>
      </c>
      <c r="I131" s="9">
        <f>Raw!I132/Raw!$C132</f>
        <v>0</v>
      </c>
      <c r="J131" s="9">
        <f>Raw!J132/Raw!$C132</f>
        <v>12.499999999999998</v>
      </c>
      <c r="K131" s="9">
        <f>Raw!K132/Raw!$C132</f>
        <v>1.5312500000000004</v>
      </c>
      <c r="L131" s="9">
        <f>Raw!L132/Raw!$C132</f>
        <v>0</v>
      </c>
      <c r="M131" s="9">
        <f>Raw!M132/Raw!$C132</f>
        <v>0</v>
      </c>
      <c r="N131" s="9">
        <f>Raw!N132/Raw!$C132</f>
        <v>0</v>
      </c>
      <c r="O131" s="9">
        <f>Raw!O132/Raw!$C132</f>
        <v>0</v>
      </c>
      <c r="P131" s="9">
        <f>Raw!P132/Raw!$C132</f>
        <v>0</v>
      </c>
      <c r="Q131" s="9">
        <f>Raw!Q132/Raw!$C132</f>
        <v>0</v>
      </c>
      <c r="R131" s="9">
        <f>Raw!R132/Raw!$C132</f>
        <v>0</v>
      </c>
      <c r="S131" s="9">
        <f>Raw!S132/Raw!$C132</f>
        <v>0</v>
      </c>
      <c r="T131" s="9">
        <f>Raw!T132/Raw!$C132</f>
        <v>0</v>
      </c>
      <c r="U131" s="9">
        <f>Raw!U132/Raw!$C132</f>
        <v>0</v>
      </c>
      <c r="V131" s="9">
        <f>Raw!V132/Raw!$C132</f>
        <v>3.1249999999999996</v>
      </c>
      <c r="W131" s="9">
        <f>Raw!W132/Raw!$C132</f>
        <v>0.74999999999999978</v>
      </c>
      <c r="X131" s="9">
        <f>Raw!X132/Raw!$C132</f>
        <v>0</v>
      </c>
      <c r="Y131" s="9">
        <f>Raw!Y132/Raw!$C132</f>
        <v>0</v>
      </c>
      <c r="Z131" s="9">
        <f>Raw!Z132/Raw!$C132</f>
        <v>0</v>
      </c>
      <c r="AA131" s="9">
        <f>Raw!AA132/Raw!$C132</f>
        <v>0</v>
      </c>
      <c r="AB131" s="9">
        <f>Raw!AB132/Raw!$C132</f>
        <v>0</v>
      </c>
      <c r="AC131" s="9">
        <f>Raw!AC132/Raw!$C132</f>
        <v>0</v>
      </c>
      <c r="AD131" s="9">
        <f>Raw!AD132/Raw!$C132</f>
        <v>0</v>
      </c>
      <c r="AE131" s="9">
        <f>Raw!AE132/Raw!$C132</f>
        <v>0</v>
      </c>
      <c r="AF131" s="9">
        <f>Raw!AF132/Raw!$C132</f>
        <v>9.3749999999999982</v>
      </c>
      <c r="AG131" s="9">
        <f>Raw!AG132/Raw!$C132</f>
        <v>4.2812499999999982</v>
      </c>
      <c r="AH131" s="9">
        <f>Raw!AH132/Raw!$C132</f>
        <v>0</v>
      </c>
      <c r="AI131" s="9">
        <f>Raw!AI132/Raw!$C132</f>
        <v>0</v>
      </c>
      <c r="AJ131" s="9">
        <f>Raw!AJ132/Raw!$C132</f>
        <v>0</v>
      </c>
      <c r="AK131" s="9">
        <f>Raw!AK132/Raw!$C132</f>
        <v>0</v>
      </c>
      <c r="AL131" s="9">
        <f>Raw!AL132/Raw!$C132</f>
        <v>0</v>
      </c>
      <c r="AM131" s="9">
        <f>Raw!AM132/Raw!$C132</f>
        <v>0</v>
      </c>
      <c r="AN131" s="9">
        <f>Raw!AN132/Raw!$C132</f>
        <v>0</v>
      </c>
      <c r="AO131" s="9">
        <f>Raw!AO132/Raw!$C132</f>
        <v>0</v>
      </c>
      <c r="AP131" s="9">
        <f>Raw!AP132/Raw!$C132</f>
        <v>0</v>
      </c>
      <c r="AQ131" s="9">
        <f>Raw!AQ132/Raw!$C132</f>
        <v>0</v>
      </c>
      <c r="AR131" s="9">
        <f>Raw!AR132/Raw!$C132</f>
        <v>0</v>
      </c>
      <c r="AS131" s="9">
        <f>Raw!AS132/Raw!$C132</f>
        <v>0</v>
      </c>
      <c r="AT131" s="9">
        <f>Raw!AT132/Raw!$C132</f>
        <v>0</v>
      </c>
      <c r="AU131" s="9">
        <f>Raw!AU132/Raw!$C132</f>
        <v>0</v>
      </c>
      <c r="AV131" s="9">
        <f>Raw!AV132/Raw!$C132</f>
        <v>0</v>
      </c>
      <c r="AW131" s="9">
        <f>Raw!AW132/Raw!$C132</f>
        <v>0</v>
      </c>
      <c r="AX131" s="9">
        <f>Raw!AX132/Raw!$C132</f>
        <v>0</v>
      </c>
      <c r="AY131" s="9">
        <f>Raw!AY132/Raw!$C132</f>
        <v>0</v>
      </c>
      <c r="AZ131" s="9">
        <f>Raw!AZ132/Raw!$C132</f>
        <v>15.624999999999996</v>
      </c>
      <c r="BA131" s="9">
        <f>Raw!BA132/Raw!$C132</f>
        <v>0.56250000000000044</v>
      </c>
      <c r="BB131" s="9">
        <f>Raw!BB132/Raw!$C132</f>
        <v>0</v>
      </c>
      <c r="BC131" s="9">
        <f>Raw!BC132/Raw!$C132</f>
        <v>0</v>
      </c>
      <c r="BD131" s="9">
        <f>Raw!BD132/Raw!$C132</f>
        <v>0</v>
      </c>
      <c r="BE131" s="9">
        <f>Raw!BE132/Raw!$C132</f>
        <v>0</v>
      </c>
      <c r="BF131" s="9">
        <f>Raw!BF132/Raw!$C132</f>
        <v>0</v>
      </c>
      <c r="BG131" s="9">
        <f>Raw!BG132/Raw!$C132</f>
        <v>0</v>
      </c>
      <c r="BH131" s="9">
        <f>Raw!BH132/Raw!$C132</f>
        <v>0</v>
      </c>
      <c r="BI131" s="9">
        <f>Raw!BI132/Raw!$C132</f>
        <v>0</v>
      </c>
      <c r="BJ131" s="9">
        <f>Raw!BJ132/Raw!$C132</f>
        <v>0</v>
      </c>
      <c r="BK131" s="9">
        <f>Raw!BK132/Raw!$C132</f>
        <v>0</v>
      </c>
      <c r="BL131" s="9">
        <f>Raw!BL132/Raw!$C132</f>
        <v>0</v>
      </c>
      <c r="BM131" s="9">
        <f>Raw!BM132/Raw!$C132</f>
        <v>0</v>
      </c>
      <c r="BN131" s="9">
        <f>Raw!BN132/Raw!$C132</f>
        <v>0</v>
      </c>
      <c r="BO131" s="9">
        <f>Raw!BO132/Raw!$C132</f>
        <v>0</v>
      </c>
      <c r="BP131" s="9">
        <f>Raw!BP132/Raw!$C132</f>
        <v>0</v>
      </c>
      <c r="BQ131" s="9">
        <f>Raw!BQ132/Raw!$C132</f>
        <v>0</v>
      </c>
      <c r="BR131" s="9">
        <f>Raw!BR132/Raw!$C132</f>
        <v>0</v>
      </c>
      <c r="BS131" s="9">
        <f>Raw!BS132/Raw!$C132</f>
        <v>0</v>
      </c>
      <c r="BT131" s="9">
        <f>Raw!BT132/Raw!$C132</f>
        <v>0</v>
      </c>
      <c r="BU131" s="9">
        <f>Raw!BU132/Raw!$C132</f>
        <v>0</v>
      </c>
      <c r="BV131" s="9">
        <f>Raw!BV132/Raw!$C132</f>
        <v>6.2499999999999991</v>
      </c>
      <c r="BW131" s="9">
        <f>Raw!BW132/Raw!$C132</f>
        <v>3.125</v>
      </c>
      <c r="BX131" s="9">
        <f>Raw!BX132/Raw!$C132</f>
        <v>6.2499999999999991</v>
      </c>
      <c r="BY131" s="9">
        <f>Raw!BY132/Raw!$C132</f>
        <v>0.28125000000000022</v>
      </c>
      <c r="BZ131" s="9">
        <f>Raw!BZ132/Raw!$C132</f>
        <v>0</v>
      </c>
      <c r="CA131" s="9">
        <f>Raw!CA132/Raw!$C132</f>
        <v>0</v>
      </c>
      <c r="CB131" s="9">
        <f>Raw!CB132/Raw!$C132</f>
        <v>0</v>
      </c>
      <c r="CC131" s="9">
        <f>Raw!CC132/Raw!$C132</f>
        <v>0</v>
      </c>
      <c r="CD131" s="9">
        <f>Raw!CD132/Raw!$C132</f>
        <v>0</v>
      </c>
      <c r="CE131" s="9">
        <f>Raw!CE132/Raw!$C132</f>
        <v>0</v>
      </c>
      <c r="CF131" s="9">
        <f>Raw!CF132/Raw!$C132</f>
        <v>0</v>
      </c>
      <c r="CG131" s="9">
        <f>Raw!CG132/Raw!$C132</f>
        <v>0</v>
      </c>
      <c r="CH131" s="9">
        <f>Raw!CH132/Raw!$C132</f>
        <v>0</v>
      </c>
      <c r="CI131" s="9">
        <f>Raw!CI132/Raw!$C132</f>
        <v>0</v>
      </c>
      <c r="CJ131" s="9">
        <f>Raw!CJ132/Raw!$C132</f>
        <v>0</v>
      </c>
      <c r="CK131" s="9">
        <f>Raw!CK132/Raw!$C132</f>
        <v>0</v>
      </c>
      <c r="CL131" s="9">
        <f>Raw!CL132/Raw!$C132</f>
        <v>0</v>
      </c>
      <c r="CM131" s="9">
        <f>Raw!CM132/Raw!$C132</f>
        <v>0</v>
      </c>
      <c r="CN131" s="9">
        <f>Raw!CN132/Raw!$C132</f>
        <v>0</v>
      </c>
      <c r="CO131" s="9">
        <f>Raw!CO132/Raw!$C132</f>
        <v>0</v>
      </c>
      <c r="CP131" s="9">
        <f>Raw!CP132/Raw!$C132</f>
        <v>0</v>
      </c>
      <c r="CQ131" s="9">
        <f>Raw!CQ132/Raw!$C132</f>
        <v>0</v>
      </c>
      <c r="CR131" s="2">
        <f t="shared" si="39"/>
        <v>109.37499999999999</v>
      </c>
      <c r="CS131" s="2">
        <f t="shared" si="40"/>
        <v>18.124999999999996</v>
      </c>
      <c r="CT131" s="3">
        <f t="shared" si="136"/>
        <v>2.0389180660303694</v>
      </c>
      <c r="CU131" s="3">
        <f t="shared" si="137"/>
        <v>1.2582780152430313</v>
      </c>
      <c r="CZ131" s="3">
        <f t="shared" si="138"/>
        <v>2.0389180660303694</v>
      </c>
      <c r="DA131" s="3">
        <f t="shared" si="139"/>
        <v>1.2582780152430313</v>
      </c>
      <c r="DB131" s="6">
        <f t="shared" si="140"/>
        <v>1.7348408594105493</v>
      </c>
      <c r="DC131">
        <v>7</v>
      </c>
      <c r="DD131" s="3">
        <f>DC131/Raw!C132</f>
        <v>21.874999999999996</v>
      </c>
      <c r="DE131" s="5">
        <f t="shared" si="115"/>
        <v>6.4000000000000015E-2</v>
      </c>
      <c r="DF131">
        <f t="shared" si="116"/>
        <v>-1.1938200260161127</v>
      </c>
      <c r="DH131" s="4">
        <f>-SUM('Shannon-Weiner'!B130:Z130)</f>
        <v>1.1043187433594563</v>
      </c>
      <c r="DI131" s="4">
        <f>SUM('p^2'!B126:Z126)</f>
        <v>0.27316774337268873</v>
      </c>
      <c r="DJ131" s="4">
        <f t="shared" si="117"/>
        <v>0.72683225662731132</v>
      </c>
      <c r="DK131">
        <f t="shared" si="118"/>
        <v>3.6607543323139664</v>
      </c>
      <c r="DL131" s="4">
        <f>SUM('Shannon-Weiner_B'!B126:Z126)</f>
        <v>-7.2695374742054841E-2</v>
      </c>
      <c r="DM131" s="4">
        <f>SUM('p_B^2'!B126:Z126)</f>
        <v>0.93068881834774442</v>
      </c>
      <c r="DN131" s="4">
        <f t="shared" si="119"/>
        <v>6.9311181652255582E-2</v>
      </c>
      <c r="DO131">
        <f t="shared" si="120"/>
        <v>1.0744729927832419</v>
      </c>
    </row>
    <row r="132" spans="2:119" x14ac:dyDescent="0.25">
      <c r="B132" t="str">
        <f>Raw!B133</f>
        <v>NC2</v>
      </c>
      <c r="C132">
        <v>1</v>
      </c>
      <c r="D132" s="9">
        <f>Raw!D133/Raw!$C133</f>
        <v>0</v>
      </c>
      <c r="E132" s="9">
        <f>Raw!E133/Raw!$C133</f>
        <v>0</v>
      </c>
      <c r="F132" s="9">
        <f>Raw!F133/Raw!$C133</f>
        <v>0</v>
      </c>
      <c r="G132" s="9">
        <f>Raw!G133/Raw!$C133</f>
        <v>0</v>
      </c>
      <c r="H132" s="9">
        <f>Raw!H133/Raw!$C133</f>
        <v>0</v>
      </c>
      <c r="I132" s="9">
        <f>Raw!I133/Raw!$C133</f>
        <v>0</v>
      </c>
      <c r="J132" s="9">
        <f>Raw!J133/Raw!$C133</f>
        <v>0</v>
      </c>
      <c r="K132" s="9">
        <f>Raw!K133/Raw!$C133</f>
        <v>0</v>
      </c>
      <c r="L132" s="9">
        <f>Raw!L133/Raw!$C133</f>
        <v>36.666666666666671</v>
      </c>
      <c r="M132" s="9">
        <f>Raw!M133/Raw!$C133</f>
        <v>634.16666666666674</v>
      </c>
      <c r="N132" s="9">
        <f>Raw!N133/Raw!$C133</f>
        <v>0</v>
      </c>
      <c r="O132" s="9">
        <f>Raw!O133/Raw!$C133</f>
        <v>0</v>
      </c>
      <c r="P132" s="9">
        <f>Raw!P133/Raw!$C133</f>
        <v>0</v>
      </c>
      <c r="Q132" s="9">
        <f>Raw!Q133/Raw!$C133</f>
        <v>0</v>
      </c>
      <c r="R132" s="9">
        <f>Raw!R133/Raw!$C133</f>
        <v>3.3333333333333335</v>
      </c>
      <c r="S132" s="9">
        <f>Raw!S133/Raw!$C133</f>
        <v>13.533333333333333</v>
      </c>
      <c r="T132" s="9">
        <f>Raw!T133/Raw!$C133</f>
        <v>0</v>
      </c>
      <c r="U132" s="9">
        <f>Raw!U133/Raw!$C133</f>
        <v>0</v>
      </c>
      <c r="V132" s="9">
        <f>Raw!V133/Raw!$C133</f>
        <v>0</v>
      </c>
      <c r="W132" s="9">
        <f>Raw!W133/Raw!$C133</f>
        <v>0</v>
      </c>
      <c r="X132" s="9">
        <f>Raw!X133/Raw!$C133</f>
        <v>290</v>
      </c>
      <c r="Y132" s="9">
        <f>Raw!Y133/Raw!$C133</f>
        <v>64.066666666666663</v>
      </c>
      <c r="Z132" s="9">
        <f>Raw!Z133/Raw!$C133</f>
        <v>0</v>
      </c>
      <c r="AA132" s="9">
        <f>Raw!AA133/Raw!$C133</f>
        <v>0</v>
      </c>
      <c r="AB132" s="9">
        <f>Raw!AB133/Raw!$C133</f>
        <v>0</v>
      </c>
      <c r="AC132" s="9">
        <f>Raw!AC133/Raw!$C133</f>
        <v>0</v>
      </c>
      <c r="AD132" s="9">
        <f>Raw!AD133/Raw!$C133</f>
        <v>0</v>
      </c>
      <c r="AE132" s="9">
        <f>Raw!AE133/Raw!$C133</f>
        <v>0</v>
      </c>
      <c r="AF132" s="9">
        <f>Raw!AF133/Raw!$C133</f>
        <v>0</v>
      </c>
      <c r="AG132" s="9">
        <f>Raw!AG133/Raw!$C133</f>
        <v>0</v>
      </c>
      <c r="AH132" s="9">
        <f>Raw!AH133/Raw!$C133</f>
        <v>6.666666666666667</v>
      </c>
      <c r="AI132" s="9">
        <f>Raw!AI133/Raw!$C133</f>
        <v>1.0333333333333337</v>
      </c>
      <c r="AJ132" s="9">
        <f>Raw!AJ133/Raw!$C133</f>
        <v>0</v>
      </c>
      <c r="AK132" s="9">
        <f>Raw!AK133/Raw!$C133</f>
        <v>0</v>
      </c>
      <c r="AL132" s="9">
        <f>Raw!AL133/Raw!$C133</f>
        <v>20</v>
      </c>
      <c r="AM132" s="9">
        <f>Raw!AM133/Raw!$C133</f>
        <v>82.966666666666669</v>
      </c>
      <c r="AN132" s="9">
        <f>Raw!AN133/Raw!$C133</f>
        <v>0</v>
      </c>
      <c r="AO132" s="9">
        <f>Raw!AO133/Raw!$C133</f>
        <v>0</v>
      </c>
      <c r="AP132" s="9">
        <f>Raw!AP133/Raw!$C133</f>
        <v>0</v>
      </c>
      <c r="AQ132" s="9">
        <f>Raw!AQ133/Raw!$C133</f>
        <v>0</v>
      </c>
      <c r="AR132" s="9">
        <f>Raw!AR133/Raw!$C133</f>
        <v>0</v>
      </c>
      <c r="AS132" s="9">
        <f>Raw!AS133/Raw!$C133</f>
        <v>0</v>
      </c>
      <c r="AT132" s="9">
        <f>Raw!AT133/Raw!$C133</f>
        <v>0</v>
      </c>
      <c r="AU132" s="9">
        <f>Raw!AU133/Raw!$C133</f>
        <v>0</v>
      </c>
      <c r="AV132" s="9">
        <f>Raw!AV133/Raw!$C133</f>
        <v>0</v>
      </c>
      <c r="AW132" s="9">
        <f>Raw!AW133/Raw!$C133</f>
        <v>0</v>
      </c>
      <c r="AX132" s="9">
        <f>Raw!AX133/Raw!$C133</f>
        <v>0</v>
      </c>
      <c r="AY132" s="9">
        <f>Raw!AY133/Raw!$C133</f>
        <v>0</v>
      </c>
      <c r="AZ132" s="9">
        <f>Raw!AZ133/Raw!$C133</f>
        <v>16.666666666666668</v>
      </c>
      <c r="BA132" s="9">
        <f>Raw!BA133/Raw!$C133</f>
        <v>0</v>
      </c>
      <c r="BB132" s="9">
        <f>Raw!BB133/Raw!$C133</f>
        <v>0</v>
      </c>
      <c r="BC132" s="9">
        <f>Raw!BC133/Raw!$C133</f>
        <v>0</v>
      </c>
      <c r="BD132" s="9">
        <f>Raw!BD133/Raw!$C133</f>
        <v>0</v>
      </c>
      <c r="BE132" s="9">
        <f>Raw!BE133/Raw!$C133</f>
        <v>0</v>
      </c>
      <c r="BF132" s="9">
        <f>Raw!BF133/Raw!$C133</f>
        <v>13.333333333333334</v>
      </c>
      <c r="BG132" s="9">
        <f>Raw!BG133/Raw!$C133</f>
        <v>2.5000000000000009</v>
      </c>
      <c r="BH132" s="9">
        <f>Raw!BH133/Raw!$C133</f>
        <v>0</v>
      </c>
      <c r="BI132" s="9">
        <f>Raw!BI133/Raw!$C133</f>
        <v>0</v>
      </c>
      <c r="BJ132" s="9">
        <f>Raw!BJ133/Raw!$C133</f>
        <v>0</v>
      </c>
      <c r="BK132" s="9">
        <f>Raw!BK133/Raw!$C133</f>
        <v>0</v>
      </c>
      <c r="BL132" s="9">
        <f>Raw!BL133/Raw!$C133</f>
        <v>0</v>
      </c>
      <c r="BM132" s="9">
        <f>Raw!BM133/Raw!$C133</f>
        <v>0</v>
      </c>
      <c r="BN132" s="9">
        <f>Raw!BN133/Raw!$C133</f>
        <v>0</v>
      </c>
      <c r="BO132" s="9">
        <f>Raw!BO133/Raw!$C133</f>
        <v>0</v>
      </c>
      <c r="BP132" s="9">
        <f>Raw!BP133/Raw!$C133</f>
        <v>0</v>
      </c>
      <c r="BQ132" s="9">
        <f>Raw!BQ133/Raw!$C133</f>
        <v>0</v>
      </c>
      <c r="BR132" s="9">
        <f>Raw!BR133/Raw!$C133</f>
        <v>0</v>
      </c>
      <c r="BS132" s="9">
        <f>Raw!BS133/Raw!$C133</f>
        <v>0</v>
      </c>
      <c r="BT132" s="9">
        <f>Raw!BT133/Raw!$C133</f>
        <v>0</v>
      </c>
      <c r="BU132" s="9">
        <f>Raw!BU133/Raw!$C133</f>
        <v>0</v>
      </c>
      <c r="BV132" s="9">
        <f>Raw!BV133/Raw!$C133</f>
        <v>0</v>
      </c>
      <c r="BW132" s="9">
        <f>Raw!BW133/Raw!$C133</f>
        <v>0</v>
      </c>
      <c r="BX132" s="9">
        <f>Raw!BX133/Raw!$C133</f>
        <v>0</v>
      </c>
      <c r="BY132" s="9">
        <f>Raw!BY133/Raw!$C133</f>
        <v>0</v>
      </c>
      <c r="BZ132" s="9">
        <f>Raw!BZ133/Raw!$C133</f>
        <v>0</v>
      </c>
      <c r="CA132" s="9">
        <f>Raw!CA133/Raw!$C133</f>
        <v>0</v>
      </c>
      <c r="CB132" s="9">
        <f>Raw!CB133/Raw!$C133</f>
        <v>6.666666666666667</v>
      </c>
      <c r="CC132" s="9">
        <f>Raw!CC133/Raw!$C133</f>
        <v>2.8000000000000003</v>
      </c>
      <c r="CD132" s="9">
        <f>Raw!CD133/Raw!$C133</f>
        <v>0</v>
      </c>
      <c r="CE132" s="9">
        <f>Raw!CE133/Raw!$C133</f>
        <v>0</v>
      </c>
      <c r="CF132" s="9">
        <f>Raw!CF133/Raw!$C133</f>
        <v>0</v>
      </c>
      <c r="CG132" s="9">
        <f>Raw!CG133/Raw!$C133</f>
        <v>0</v>
      </c>
      <c r="CH132" s="9">
        <f>Raw!CH133/Raw!$C133</f>
        <v>0</v>
      </c>
      <c r="CI132" s="9">
        <f>Raw!CI133/Raw!$C133</f>
        <v>0</v>
      </c>
      <c r="CJ132" s="9">
        <f>Raw!CJ133/Raw!$C133</f>
        <v>0</v>
      </c>
      <c r="CK132" s="9">
        <f>Raw!CK133/Raw!$C133</f>
        <v>0</v>
      </c>
      <c r="CL132" s="9">
        <f>Raw!CL133/Raw!$C133</f>
        <v>0</v>
      </c>
      <c r="CM132" s="9">
        <f>Raw!CM133/Raw!$C133</f>
        <v>0</v>
      </c>
      <c r="CN132" s="9">
        <f>Raw!CN133/Raw!$C133</f>
        <v>0</v>
      </c>
      <c r="CO132" s="9">
        <f>Raw!CO133/Raw!$C133</f>
        <v>0</v>
      </c>
      <c r="CP132" s="9">
        <f>Raw!CP133/Raw!$C133</f>
        <v>0</v>
      </c>
      <c r="CQ132" s="9">
        <f>Raw!CQ133/Raw!$C133</f>
        <v>0</v>
      </c>
      <c r="CR132" s="2">
        <f t="shared" ref="CR132:CR134" si="141">D132+F132+H132+J132+L132+N132+P132+R132+T132+V132+X132+Z132+AB132+AD132+AF132+AH132+AJ132+AL132+AN132+AP132+AR132+AT132+AV132+AX132+AZ132+AZ132+BB132+BD132+BF132+BH132+BJ132+BL132+BN132+BP132+BR132+BT132+BV132+BX132+BZ132+CB132+CD132+CF132+CH132+CJ132+CL132+CN132+CP132</f>
        <v>410.00000000000006</v>
      </c>
      <c r="CS132" s="2">
        <f t="shared" ref="CS132:CS134" si="142">E132+G132+I132+K132+M132+O132+Q132+S132+U132+W132+Y132+AA132+AC132+AE132+AG132+AI132+AK132+AM132+AO132+AQ132+AS132+AU132+AW132+AY132+BA132+BA132+BC132+BE132+BG132+BI132+BK132+BM132+BO132+BQ132+BS132+BU132+BW132+BY132+CA132+CC132+CE132+CG132+CI132+CK132+CM132+CO132+CQ132</f>
        <v>801.06666666666661</v>
      </c>
      <c r="CT132" s="3">
        <f t="shared" si="136"/>
        <v>2.6127838567197355</v>
      </c>
      <c r="CU132" s="3">
        <f t="shared" si="137"/>
        <v>2.9036686606044118</v>
      </c>
      <c r="CZ132" s="3">
        <f t="shared" si="138"/>
        <v>2.6127838567197355</v>
      </c>
      <c r="DA132" s="3">
        <f t="shared" si="139"/>
        <v>2.9036686606044118</v>
      </c>
      <c r="DB132" s="6">
        <f t="shared" si="140"/>
        <v>0.65176543592873459</v>
      </c>
      <c r="DC132">
        <v>8</v>
      </c>
      <c r="DD132" s="3">
        <f>DC132/Raw!C133</f>
        <v>26.666666666666668</v>
      </c>
      <c r="DE132" s="5">
        <f t="shared" si="115"/>
        <v>1.9512195121951216E-2</v>
      </c>
      <c r="DF132">
        <f t="shared" si="116"/>
        <v>-1.7096938697277919</v>
      </c>
      <c r="DH132" s="4">
        <f>-SUM('Shannon-Weiner'!B131:Z131)</f>
        <v>0.84446953446602591</v>
      </c>
      <c r="DI132" s="4">
        <f>SUM('p^2'!B127:Z127)</f>
        <v>5.6972789115646252E-2</v>
      </c>
      <c r="DJ132" s="4">
        <f t="shared" si="117"/>
        <v>0.94302721088435371</v>
      </c>
      <c r="DK132">
        <f t="shared" si="118"/>
        <v>17.552238805970152</v>
      </c>
      <c r="DL132" s="4">
        <f>SUM('Shannon-Weiner_B'!B127:Z127)</f>
        <v>-1.2241976203999709</v>
      </c>
      <c r="DM132" s="4">
        <f>SUM('p_B^2'!B127:Z127)</f>
        <v>0.22551054326522935</v>
      </c>
      <c r="DN132" s="4">
        <f t="shared" si="119"/>
        <v>0.77448945673477065</v>
      </c>
      <c r="DO132">
        <f t="shared" si="120"/>
        <v>4.4343824706407258</v>
      </c>
    </row>
    <row r="133" spans="2:119" x14ac:dyDescent="0.25">
      <c r="B133" t="str">
        <f>Raw!B134</f>
        <v>NC3</v>
      </c>
      <c r="C133">
        <v>1</v>
      </c>
      <c r="D133" s="9">
        <f>Raw!D134/Raw!$C134</f>
        <v>0</v>
      </c>
      <c r="E133" s="9">
        <f>Raw!E134/Raw!$C134</f>
        <v>0</v>
      </c>
      <c r="F133" s="9">
        <f>Raw!F134/Raw!$C134</f>
        <v>0</v>
      </c>
      <c r="G133" s="9">
        <f>Raw!G134/Raw!$C134</f>
        <v>0</v>
      </c>
      <c r="H133" s="9">
        <f>Raw!H134/Raw!$C134</f>
        <v>0</v>
      </c>
      <c r="I133" s="9">
        <f>Raw!I134/Raw!$C134</f>
        <v>0</v>
      </c>
      <c r="J133" s="9">
        <f>Raw!J134/Raw!$C134</f>
        <v>0</v>
      </c>
      <c r="K133" s="9">
        <f>Raw!K134/Raw!$C134</f>
        <v>0</v>
      </c>
      <c r="L133" s="9">
        <f>Raw!L134/Raw!$C134</f>
        <v>16.666666666666668</v>
      </c>
      <c r="M133" s="9">
        <f>Raw!M134/Raw!$C134</f>
        <v>122.76666666666667</v>
      </c>
      <c r="N133" s="9">
        <f>Raw!N134/Raw!$C134</f>
        <v>0</v>
      </c>
      <c r="O133" s="9">
        <f>Raw!O134/Raw!$C134</f>
        <v>0</v>
      </c>
      <c r="P133" s="9">
        <f>Raw!P134/Raw!$C134</f>
        <v>0</v>
      </c>
      <c r="Q133" s="9">
        <f>Raw!Q134/Raw!$C134</f>
        <v>0</v>
      </c>
      <c r="R133" s="9">
        <f>Raw!R134/Raw!$C134</f>
        <v>0</v>
      </c>
      <c r="S133" s="9">
        <f>Raw!S134/Raw!$C134</f>
        <v>0</v>
      </c>
      <c r="T133" s="9">
        <f>Raw!T134/Raw!$C134</f>
        <v>0</v>
      </c>
      <c r="U133" s="9">
        <f>Raw!U134/Raw!$C134</f>
        <v>0</v>
      </c>
      <c r="V133" s="9">
        <f>Raw!V134/Raw!$C134</f>
        <v>0</v>
      </c>
      <c r="W133" s="9">
        <f>Raw!W134/Raw!$C134</f>
        <v>0</v>
      </c>
      <c r="X133" s="9">
        <f>Raw!X134/Raw!$C134</f>
        <v>680</v>
      </c>
      <c r="Y133" s="9">
        <f>Raw!Y134/Raw!$C134</f>
        <v>31.933333333333334</v>
      </c>
      <c r="Z133" s="9">
        <f>Raw!Z134/Raw!$C134</f>
        <v>0</v>
      </c>
      <c r="AA133" s="9">
        <f>Raw!AA134/Raw!$C134</f>
        <v>0</v>
      </c>
      <c r="AB133" s="9">
        <f>Raw!AB134/Raw!$C134</f>
        <v>0</v>
      </c>
      <c r="AC133" s="9">
        <f>Raw!AC134/Raw!$C134</f>
        <v>0</v>
      </c>
      <c r="AD133" s="9">
        <f>Raw!AD134/Raw!$C134</f>
        <v>0</v>
      </c>
      <c r="AE133" s="9">
        <f>Raw!AE134/Raw!$C134</f>
        <v>0</v>
      </c>
      <c r="AF133" s="9">
        <f>Raw!AF134/Raw!$C134</f>
        <v>6.666666666666667</v>
      </c>
      <c r="AG133" s="9">
        <f>Raw!AG134/Raw!$C134</f>
        <v>0.63333333333333319</v>
      </c>
      <c r="AH133" s="9">
        <f>Raw!AH134/Raw!$C134</f>
        <v>0</v>
      </c>
      <c r="AI133" s="9">
        <f>Raw!AI134/Raw!$C134</f>
        <v>0</v>
      </c>
      <c r="AJ133" s="9">
        <f>Raw!AJ134/Raw!$C134</f>
        <v>0</v>
      </c>
      <c r="AK133" s="9">
        <f>Raw!AK134/Raw!$C134</f>
        <v>0</v>
      </c>
      <c r="AL133" s="9">
        <f>Raw!AL134/Raw!$C134</f>
        <v>6.666666666666667</v>
      </c>
      <c r="AM133" s="9">
        <f>Raw!AM134/Raw!$C134</f>
        <v>16.3</v>
      </c>
      <c r="AN133" s="9">
        <f>Raw!AN134/Raw!$C134</f>
        <v>0</v>
      </c>
      <c r="AO133" s="9">
        <f>Raw!AO134/Raw!$C134</f>
        <v>0</v>
      </c>
      <c r="AP133" s="9">
        <f>Raw!AP134/Raw!$C134</f>
        <v>0</v>
      </c>
      <c r="AQ133" s="9">
        <f>Raw!AQ134/Raw!$C134</f>
        <v>0</v>
      </c>
      <c r="AR133" s="9">
        <f>Raw!AR134/Raw!$C134</f>
        <v>0</v>
      </c>
      <c r="AS133" s="9">
        <f>Raw!AS134/Raw!$C134</f>
        <v>0</v>
      </c>
      <c r="AT133" s="9">
        <f>Raw!AT134/Raw!$C134</f>
        <v>0</v>
      </c>
      <c r="AU133" s="9">
        <f>Raw!AU134/Raw!$C134</f>
        <v>0</v>
      </c>
      <c r="AV133" s="9">
        <f>Raw!AV134/Raw!$C134</f>
        <v>0</v>
      </c>
      <c r="AW133" s="9">
        <f>Raw!AW134/Raw!$C134</f>
        <v>0</v>
      </c>
      <c r="AX133" s="9">
        <f>Raw!AX134/Raw!$C134</f>
        <v>0</v>
      </c>
      <c r="AY133" s="9">
        <f>Raw!AY134/Raw!$C134</f>
        <v>0</v>
      </c>
      <c r="AZ133" s="9">
        <f>Raw!AZ134/Raw!$C134</f>
        <v>16.666666666666668</v>
      </c>
      <c r="BA133" s="9">
        <f>Raw!BA134/Raw!$C134</f>
        <v>0</v>
      </c>
      <c r="BB133" s="9">
        <f>Raw!BB134/Raw!$C134</f>
        <v>0</v>
      </c>
      <c r="BC133" s="9">
        <f>Raw!BC134/Raw!$C134</f>
        <v>0</v>
      </c>
      <c r="BD133" s="9">
        <f>Raw!BD134/Raw!$C134</f>
        <v>0</v>
      </c>
      <c r="BE133" s="9">
        <f>Raw!BE134/Raw!$C134</f>
        <v>0</v>
      </c>
      <c r="BF133" s="9">
        <f>Raw!BF134/Raw!$C134</f>
        <v>3.3333333333333335</v>
      </c>
      <c r="BG133" s="9">
        <f>Raw!BG134/Raw!$C134</f>
        <v>0.83333333333333337</v>
      </c>
      <c r="BH133" s="9">
        <f>Raw!BH134/Raw!$C134</f>
        <v>0</v>
      </c>
      <c r="BI133" s="9">
        <f>Raw!BI134/Raw!$C134</f>
        <v>0</v>
      </c>
      <c r="BJ133" s="9">
        <f>Raw!BJ134/Raw!$C134</f>
        <v>0</v>
      </c>
      <c r="BK133" s="9">
        <f>Raw!BK134/Raw!$C134</f>
        <v>0</v>
      </c>
      <c r="BL133" s="9">
        <f>Raw!BL134/Raw!$C134</f>
        <v>3.3333333333333335</v>
      </c>
      <c r="BM133" s="9">
        <f>Raw!BM134/Raw!$C134</f>
        <v>3.3333333333333368E-2</v>
      </c>
      <c r="BN133" s="9">
        <f>Raw!BN134/Raw!$C134</f>
        <v>0</v>
      </c>
      <c r="BO133" s="9">
        <f>Raw!BO134/Raw!$C134</f>
        <v>0</v>
      </c>
      <c r="BP133" s="9">
        <f>Raw!BP134/Raw!$C134</f>
        <v>0</v>
      </c>
      <c r="BQ133" s="9">
        <f>Raw!BQ134/Raw!$C134</f>
        <v>0</v>
      </c>
      <c r="BR133" s="9">
        <f>Raw!BR134/Raw!$C134</f>
        <v>0</v>
      </c>
      <c r="BS133" s="9">
        <f>Raw!BS134/Raw!$C134</f>
        <v>0</v>
      </c>
      <c r="BT133" s="9">
        <f>Raw!BT134/Raw!$C134</f>
        <v>0</v>
      </c>
      <c r="BU133" s="9">
        <f>Raw!BU134/Raw!$C134</f>
        <v>0</v>
      </c>
      <c r="BV133" s="9">
        <f>Raw!BV134/Raw!$C134</f>
        <v>0</v>
      </c>
      <c r="BW133" s="9">
        <f>Raw!BW134/Raw!$C134</f>
        <v>0</v>
      </c>
      <c r="BX133" s="9">
        <f>Raw!BX134/Raw!$C134</f>
        <v>0</v>
      </c>
      <c r="BY133" s="9">
        <f>Raw!BY134/Raw!$C134</f>
        <v>0</v>
      </c>
      <c r="BZ133" s="9">
        <f>Raw!BZ134/Raw!$C134</f>
        <v>0</v>
      </c>
      <c r="CA133" s="9">
        <f>Raw!CA134/Raw!$C134</f>
        <v>0</v>
      </c>
      <c r="CB133" s="9">
        <f>Raw!CB134/Raw!$C134</f>
        <v>10</v>
      </c>
      <c r="CC133" s="9">
        <f>Raw!CC134/Raw!$C134</f>
        <v>10.433333333333334</v>
      </c>
      <c r="CD133" s="9">
        <f>Raw!CD134/Raw!$C134</f>
        <v>0</v>
      </c>
      <c r="CE133" s="9">
        <f>Raw!CE134/Raw!$C134</f>
        <v>0</v>
      </c>
      <c r="CF133" s="9">
        <f>Raw!CF134/Raw!$C134</f>
        <v>0</v>
      </c>
      <c r="CG133" s="9">
        <f>Raw!CG134/Raw!$C134</f>
        <v>0</v>
      </c>
      <c r="CH133" s="9">
        <f>Raw!CH134/Raw!$C134</f>
        <v>0</v>
      </c>
      <c r="CI133" s="9">
        <f>Raw!CI134/Raw!$C134</f>
        <v>0</v>
      </c>
      <c r="CJ133" s="9">
        <f>Raw!CJ134/Raw!$C134</f>
        <v>0</v>
      </c>
      <c r="CK133" s="9">
        <f>Raw!CK134/Raw!$C134</f>
        <v>0</v>
      </c>
      <c r="CL133" s="9">
        <f>Raw!CL134/Raw!$C134</f>
        <v>0</v>
      </c>
      <c r="CM133" s="9">
        <f>Raw!CM134/Raw!$C134</f>
        <v>0</v>
      </c>
      <c r="CN133" s="9">
        <f>Raw!CN134/Raw!$C134</f>
        <v>0</v>
      </c>
      <c r="CO133" s="9">
        <f>Raw!CO134/Raw!$C134</f>
        <v>0</v>
      </c>
      <c r="CP133" s="9">
        <f>Raw!CP134/Raw!$C134</f>
        <v>0</v>
      </c>
      <c r="CQ133" s="9">
        <f>Raw!CQ134/Raw!$C134</f>
        <v>0</v>
      </c>
      <c r="CR133" s="2">
        <f t="shared" si="141"/>
        <v>759.99999999999989</v>
      </c>
      <c r="CS133" s="2">
        <f t="shared" si="142"/>
        <v>182.93333333333334</v>
      </c>
      <c r="CT133" s="3">
        <f t="shared" si="136"/>
        <v>2.8808135922807914</v>
      </c>
      <c r="CU133" s="3">
        <f t="shared" si="137"/>
        <v>2.2622928479790327</v>
      </c>
      <c r="CZ133" s="3">
        <f t="shared" si="138"/>
        <v>2.8808135922807914</v>
      </c>
      <c r="DA133" s="3">
        <f t="shared" si="139"/>
        <v>2.2622928479790327</v>
      </c>
      <c r="DB133" s="6">
        <f t="shared" si="140"/>
        <v>0.97816152414593704</v>
      </c>
      <c r="DC133">
        <v>8</v>
      </c>
      <c r="DD133" s="3">
        <f>DC133/Raw!C134</f>
        <v>26.666666666666668</v>
      </c>
      <c r="DE133" s="5">
        <f t="shared" si="115"/>
        <v>1.0526315789473686E-2</v>
      </c>
      <c r="DF133">
        <f t="shared" si="116"/>
        <v>-1.9777236052888476</v>
      </c>
      <c r="DH133" s="4">
        <f>-SUM('Shannon-Weiner'!B132:Z132)</f>
        <v>0.35014868649678571</v>
      </c>
      <c r="DI133" s="4">
        <f>SUM('p^2'!B128:Z128)</f>
        <v>4.6049382716049386E-2</v>
      </c>
      <c r="DJ133" s="4">
        <f t="shared" si="117"/>
        <v>0.95395061728395059</v>
      </c>
      <c r="DK133">
        <f t="shared" si="118"/>
        <v>21.715817694369971</v>
      </c>
      <c r="DL133" s="4">
        <f>SUM('Shannon-Weiner_B'!B128:Z128)</f>
        <v>-0.87944294993587913</v>
      </c>
      <c r="DM133" s="4">
        <f>SUM('p_B^2'!B128:Z128)</f>
        <v>0.2015495071907826</v>
      </c>
      <c r="DN133" s="4">
        <f t="shared" si="119"/>
        <v>0.79845049280921743</v>
      </c>
      <c r="DO133">
        <f t="shared" si="120"/>
        <v>4.9615601344706866</v>
      </c>
    </row>
    <row r="134" spans="2:119" x14ac:dyDescent="0.25">
      <c r="B134" t="str">
        <f>Raw!B135</f>
        <v>NC4</v>
      </c>
      <c r="C134">
        <v>1</v>
      </c>
      <c r="D134" s="9">
        <f>Raw!D135/Raw!$C135</f>
        <v>2.8571428571428572</v>
      </c>
      <c r="E134" s="9">
        <f>Raw!E135/Raw!$C135</f>
        <v>0.48571428571428615</v>
      </c>
      <c r="F134" s="9">
        <f>Raw!F135/Raw!$C135</f>
        <v>0</v>
      </c>
      <c r="G134" s="9">
        <f>Raw!G135/Raw!$C135</f>
        <v>0</v>
      </c>
      <c r="H134" s="9">
        <f>Raw!H135/Raw!$C135</f>
        <v>0</v>
      </c>
      <c r="I134" s="9">
        <f>Raw!I135/Raw!$C135</f>
        <v>0</v>
      </c>
      <c r="J134" s="9">
        <f>Raw!J135/Raw!$C135</f>
        <v>0</v>
      </c>
      <c r="K134" s="9">
        <f>Raw!K135/Raw!$C135</f>
        <v>0</v>
      </c>
      <c r="L134" s="9">
        <f>Raw!L135/Raw!$C135</f>
        <v>8.5714285714285712</v>
      </c>
      <c r="M134" s="9">
        <f>Raw!M135/Raw!$C135</f>
        <v>247.88571428571427</v>
      </c>
      <c r="N134" s="9">
        <f>Raw!N135/Raw!$C135</f>
        <v>0</v>
      </c>
      <c r="O134" s="9">
        <f>Raw!O135/Raw!$C135</f>
        <v>0</v>
      </c>
      <c r="P134" s="9">
        <f>Raw!P135/Raw!$C135</f>
        <v>0</v>
      </c>
      <c r="Q134" s="9">
        <f>Raw!Q135/Raw!$C135</f>
        <v>0</v>
      </c>
      <c r="R134" s="9">
        <f>Raw!R135/Raw!$C135</f>
        <v>2.8571428571428572</v>
      </c>
      <c r="S134" s="9">
        <f>Raw!S135/Raw!$C135</f>
        <v>1.4285714285714287E-2</v>
      </c>
      <c r="T134" s="9">
        <f>Raw!T135/Raw!$C135</f>
        <v>0</v>
      </c>
      <c r="U134" s="9">
        <f>Raw!U135/Raw!$C135</f>
        <v>0</v>
      </c>
      <c r="V134" s="9">
        <f>Raw!V135/Raw!$C135</f>
        <v>0</v>
      </c>
      <c r="W134" s="9">
        <f>Raw!W135/Raw!$C135</f>
        <v>0</v>
      </c>
      <c r="X134" s="9">
        <f>Raw!X135/Raw!$C135</f>
        <v>240.00000000000003</v>
      </c>
      <c r="Y134" s="9">
        <f>Raw!Y135/Raw!$C135</f>
        <v>15.028571428571432</v>
      </c>
      <c r="Z134" s="9">
        <f>Raw!Z135/Raw!$C135</f>
        <v>0</v>
      </c>
      <c r="AA134" s="9">
        <f>Raw!AA135/Raw!$C135</f>
        <v>0</v>
      </c>
      <c r="AB134" s="9">
        <f>Raw!AB135/Raw!$C135</f>
        <v>0</v>
      </c>
      <c r="AC134" s="9">
        <f>Raw!AC135/Raw!$C135</f>
        <v>0</v>
      </c>
      <c r="AD134" s="9">
        <f>Raw!AD135/Raw!$C135</f>
        <v>0</v>
      </c>
      <c r="AE134" s="9">
        <f>Raw!AE135/Raw!$C135</f>
        <v>0</v>
      </c>
      <c r="AF134" s="9">
        <f>Raw!AF135/Raw!$C135</f>
        <v>2.8571428571428572</v>
      </c>
      <c r="AG134" s="9">
        <f>Raw!AG135/Raw!$C135</f>
        <v>0.34285714285714192</v>
      </c>
      <c r="AH134" s="9">
        <f>Raw!AH135/Raw!$C135</f>
        <v>2.8571428571428572</v>
      </c>
      <c r="AI134" s="9">
        <f>Raw!AI135/Raw!$C135</f>
        <v>0.39999999999999974</v>
      </c>
      <c r="AJ134" s="9">
        <f>Raw!AJ135/Raw!$C135</f>
        <v>0</v>
      </c>
      <c r="AK134" s="9">
        <f>Raw!AK135/Raw!$C135</f>
        <v>0</v>
      </c>
      <c r="AL134" s="9">
        <f>Raw!AL135/Raw!$C135</f>
        <v>60.000000000000007</v>
      </c>
      <c r="AM134" s="9">
        <f>Raw!AM135/Raw!$C135</f>
        <v>190.8</v>
      </c>
      <c r="AN134" s="9">
        <f>Raw!AN135/Raw!$C135</f>
        <v>0</v>
      </c>
      <c r="AO134" s="9">
        <f>Raw!AO135/Raw!$C135</f>
        <v>0</v>
      </c>
      <c r="AP134" s="9">
        <f>Raw!AP135/Raw!$C135</f>
        <v>0</v>
      </c>
      <c r="AQ134" s="9">
        <f>Raw!AQ135/Raw!$C135</f>
        <v>0</v>
      </c>
      <c r="AR134" s="9">
        <f>Raw!AR135/Raw!$C135</f>
        <v>0</v>
      </c>
      <c r="AS134" s="9">
        <f>Raw!AS135/Raw!$C135</f>
        <v>0</v>
      </c>
      <c r="AT134" s="9">
        <f>Raw!AT135/Raw!$C135</f>
        <v>0</v>
      </c>
      <c r="AU134" s="9">
        <f>Raw!AU135/Raw!$C135</f>
        <v>0</v>
      </c>
      <c r="AV134" s="9">
        <f>Raw!AV135/Raw!$C135</f>
        <v>0</v>
      </c>
      <c r="AW134" s="9">
        <f>Raw!AW135/Raw!$C135</f>
        <v>0</v>
      </c>
      <c r="AX134" s="9">
        <f>Raw!AX135/Raw!$C135</f>
        <v>0</v>
      </c>
      <c r="AY134" s="9">
        <f>Raw!AY135/Raw!$C135</f>
        <v>0</v>
      </c>
      <c r="AZ134" s="9">
        <f>Raw!AZ135/Raw!$C135</f>
        <v>14.285714285714286</v>
      </c>
      <c r="BA134" s="9">
        <f>Raw!BA135/Raw!$C135</f>
        <v>0</v>
      </c>
      <c r="BB134" s="9">
        <f>Raw!BB135/Raw!$C135</f>
        <v>0</v>
      </c>
      <c r="BC134" s="9">
        <f>Raw!BC135/Raw!$C135</f>
        <v>0</v>
      </c>
      <c r="BD134" s="9">
        <f>Raw!BD135/Raw!$C135</f>
        <v>0</v>
      </c>
      <c r="BE134" s="9">
        <f>Raw!BE135/Raw!$C135</f>
        <v>0</v>
      </c>
      <c r="BF134" s="9">
        <f>Raw!BF135/Raw!$C135</f>
        <v>11.428571428571429</v>
      </c>
      <c r="BG134" s="9">
        <f>Raw!BG135/Raw!$C135</f>
        <v>0.85714285714285732</v>
      </c>
      <c r="BH134" s="9">
        <f>Raw!BH135/Raw!$C135</f>
        <v>0</v>
      </c>
      <c r="BI134" s="9">
        <f>Raw!BI135/Raw!$C135</f>
        <v>0</v>
      </c>
      <c r="BJ134" s="9">
        <f>Raw!BJ135/Raw!$C135</f>
        <v>0</v>
      </c>
      <c r="BK134" s="9">
        <f>Raw!BK135/Raw!$C135</f>
        <v>0</v>
      </c>
      <c r="BL134" s="9">
        <f>Raw!BL135/Raw!$C135</f>
        <v>0</v>
      </c>
      <c r="BM134" s="9">
        <f>Raw!BM135/Raw!$C135</f>
        <v>0</v>
      </c>
      <c r="BN134" s="9">
        <f>Raw!BN135/Raw!$C135</f>
        <v>0</v>
      </c>
      <c r="BO134" s="9">
        <f>Raw!BO135/Raw!$C135</f>
        <v>0</v>
      </c>
      <c r="BP134" s="9">
        <f>Raw!BP135/Raw!$C135</f>
        <v>0</v>
      </c>
      <c r="BQ134" s="9">
        <f>Raw!BQ135/Raw!$C135</f>
        <v>0</v>
      </c>
      <c r="BR134" s="9">
        <f>Raw!BR135/Raw!$C135</f>
        <v>0</v>
      </c>
      <c r="BS134" s="9">
        <f>Raw!BS135/Raw!$C135</f>
        <v>0</v>
      </c>
      <c r="BT134" s="9">
        <f>Raw!BT135/Raw!$C135</f>
        <v>0</v>
      </c>
      <c r="BU134" s="9">
        <f>Raw!BU135/Raw!$C135</f>
        <v>0</v>
      </c>
      <c r="BV134" s="9">
        <f>Raw!BV135/Raw!$C135</f>
        <v>0</v>
      </c>
      <c r="BW134" s="9">
        <f>Raw!BW135/Raw!$C135</f>
        <v>0</v>
      </c>
      <c r="BX134" s="9">
        <f>Raw!BX135/Raw!$C135</f>
        <v>0</v>
      </c>
      <c r="BY134" s="9">
        <f>Raw!BY135/Raw!$C135</f>
        <v>0</v>
      </c>
      <c r="BZ134" s="9">
        <f>Raw!BZ135/Raw!$C135</f>
        <v>0</v>
      </c>
      <c r="CA134" s="9">
        <f>Raw!CA135/Raw!$C135</f>
        <v>0</v>
      </c>
      <c r="CB134" s="9">
        <f>Raw!CB135/Raw!$C135</f>
        <v>8.5714285714285712</v>
      </c>
      <c r="CC134" s="9">
        <f>Raw!CC135/Raw!$C135</f>
        <v>2.1428571428571428</v>
      </c>
      <c r="CD134" s="9">
        <f>Raw!CD135/Raw!$C135</f>
        <v>0</v>
      </c>
      <c r="CE134" s="9">
        <f>Raw!CE135/Raw!$C135</f>
        <v>0</v>
      </c>
      <c r="CF134" s="9">
        <f>Raw!CF135/Raw!$C135</f>
        <v>0</v>
      </c>
      <c r="CG134" s="9">
        <f>Raw!CG135/Raw!$C135</f>
        <v>0</v>
      </c>
      <c r="CH134" s="9">
        <f>Raw!CH135/Raw!$C135</f>
        <v>0</v>
      </c>
      <c r="CI134" s="9">
        <f>Raw!CI135/Raw!$C135</f>
        <v>0</v>
      </c>
      <c r="CJ134" s="9">
        <f>Raw!CJ135/Raw!$C135</f>
        <v>0</v>
      </c>
      <c r="CK134" s="9">
        <f>Raw!CK135/Raw!$C135</f>
        <v>0</v>
      </c>
      <c r="CL134" s="9">
        <f>Raw!CL135/Raw!$C135</f>
        <v>0</v>
      </c>
      <c r="CM134" s="9">
        <f>Raw!CM135/Raw!$C135</f>
        <v>0</v>
      </c>
      <c r="CN134" s="9">
        <f>Raw!CN135/Raw!$C135</f>
        <v>0</v>
      </c>
      <c r="CO134" s="9">
        <f>Raw!CO135/Raw!$C135</f>
        <v>0</v>
      </c>
      <c r="CP134" s="9">
        <f>Raw!CP135/Raw!$C135</f>
        <v>0</v>
      </c>
      <c r="CQ134" s="9">
        <f>Raw!CQ135/Raw!$C135</f>
        <v>0</v>
      </c>
      <c r="CR134" s="2">
        <f t="shared" si="141"/>
        <v>368.57142857142856</v>
      </c>
      <c r="CS134" s="2">
        <f t="shared" si="142"/>
        <v>457.95714285714286</v>
      </c>
      <c r="CT134" s="3">
        <f t="shared" si="136"/>
        <v>2.5665216659489731</v>
      </c>
      <c r="CU134" s="3">
        <f t="shared" si="137"/>
        <v>2.660824837192644</v>
      </c>
      <c r="CZ134" s="3">
        <f t="shared" si="138"/>
        <v>2.5665216659489731</v>
      </c>
      <c r="DA134" s="3">
        <f t="shared" si="139"/>
        <v>2.660824837192644</v>
      </c>
      <c r="DB134" s="6">
        <f t="shared" si="140"/>
        <v>0.80412978016107983</v>
      </c>
      <c r="DC134">
        <v>10</v>
      </c>
      <c r="DD134" s="3">
        <f>DC134/Raw!C135</f>
        <v>28.571428571428573</v>
      </c>
      <c r="DE134" s="5">
        <f t="shared" si="115"/>
        <v>2.7131782945736434E-2</v>
      </c>
      <c r="DF134">
        <f t="shared" si="116"/>
        <v>-1.5665216659489734</v>
      </c>
      <c r="DH134" s="4">
        <f>-SUM('Shannon-Weiner'!B133:Z133)</f>
        <v>0.93900343090783389</v>
      </c>
      <c r="DI134" s="4">
        <f>SUM('p^2'!B129:Z129)</f>
        <v>5.4793367561653067E-2</v>
      </c>
      <c r="DJ134" s="4">
        <f t="shared" si="117"/>
        <v>0.94520663243834691</v>
      </c>
      <c r="DK134">
        <f t="shared" si="118"/>
        <v>18.250384024577571</v>
      </c>
      <c r="DL134" s="4">
        <f>SUM('Shannon-Weiner_B'!B129:Z129)</f>
        <v>-0.50076955413569935</v>
      </c>
      <c r="DM134" s="4">
        <f>SUM('p_B^2'!B129:Z129)</f>
        <v>0.51603213591486807</v>
      </c>
      <c r="DN134" s="4">
        <f t="shared" si="119"/>
        <v>0.48396786408513193</v>
      </c>
      <c r="DO134">
        <f t="shared" si="120"/>
        <v>1.9378638080884445</v>
      </c>
    </row>
  </sheetData>
  <mergeCells count="50">
    <mergeCell ref="R1:S1"/>
    <mergeCell ref="Z1:AA1"/>
    <mergeCell ref="AB1:AC1"/>
    <mergeCell ref="AD1:AE1"/>
    <mergeCell ref="T1:U1"/>
    <mergeCell ref="V1:W1"/>
    <mergeCell ref="N1:O1"/>
    <mergeCell ref="P1:Q1"/>
    <mergeCell ref="D1:E1"/>
    <mergeCell ref="F1:G1"/>
    <mergeCell ref="H1:I1"/>
    <mergeCell ref="J1:K1"/>
    <mergeCell ref="L1:M1"/>
    <mergeCell ref="DH1:DK1"/>
    <mergeCell ref="BF1:BG1"/>
    <mergeCell ref="DL1:DO1"/>
    <mergeCell ref="AJ1:AK1"/>
    <mergeCell ref="CR1:CU1"/>
    <mergeCell ref="CV1:CY1"/>
    <mergeCell ref="CZ1:DA1"/>
    <mergeCell ref="AL1:AM1"/>
    <mergeCell ref="AN1:AO1"/>
    <mergeCell ref="AP1:AQ1"/>
    <mergeCell ref="AR1:AS1"/>
    <mergeCell ref="AT1:AU1"/>
    <mergeCell ref="AV1:AW1"/>
    <mergeCell ref="AX1:AY1"/>
    <mergeCell ref="AZ1:BA1"/>
    <mergeCell ref="BB1:BC1"/>
    <mergeCell ref="BJ1:BK1"/>
    <mergeCell ref="BL1:BM1"/>
    <mergeCell ref="BN1:BO1"/>
    <mergeCell ref="BD1:BE1"/>
    <mergeCell ref="BH1:BI1"/>
    <mergeCell ref="CN1:CO1"/>
    <mergeCell ref="CP1:CQ1"/>
    <mergeCell ref="X1:Y1"/>
    <mergeCell ref="BP1:BQ1"/>
    <mergeCell ref="BR1:BS1"/>
    <mergeCell ref="BT1:BU1"/>
    <mergeCell ref="BV1:BW1"/>
    <mergeCell ref="BX1:BY1"/>
    <mergeCell ref="BZ1:CA1"/>
    <mergeCell ref="CB1:CC1"/>
    <mergeCell ref="CD1:CE1"/>
    <mergeCell ref="CF1:CG1"/>
    <mergeCell ref="CH1:CI1"/>
    <mergeCell ref="CJ1:CK1"/>
    <mergeCell ref="CL1:CM1"/>
    <mergeCell ref="AH1:AI1"/>
  </mergeCells>
  <phoneticPr fontId="1" type="noConversion"/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F8D226-AAF5-46A0-BA56-B6E96D143FC4}">
  <dimension ref="A1:B22"/>
  <sheetViews>
    <sheetView workbookViewId="0">
      <selection activeCell="I32" sqref="I32"/>
    </sheetView>
  </sheetViews>
  <sheetFormatPr defaultRowHeight="15" x14ac:dyDescent="0.25"/>
  <sheetData>
    <row r="1" spans="1:2" ht="18" x14ac:dyDescent="0.35">
      <c r="A1" t="s">
        <v>34</v>
      </c>
      <c r="B1" t="s">
        <v>33</v>
      </c>
    </row>
    <row r="2" spans="1:2" x14ac:dyDescent="0.25">
      <c r="A2">
        <v>2</v>
      </c>
      <c r="B2">
        <f>4.87-0.33*A2</f>
        <v>4.21</v>
      </c>
    </row>
    <row r="3" spans="1:2" x14ac:dyDescent="0.25">
      <c r="A3">
        <v>2.1</v>
      </c>
      <c r="B3">
        <f t="shared" ref="B3:B22" si="0">4.87-0.33*A3</f>
        <v>4.1769999999999996</v>
      </c>
    </row>
    <row r="4" spans="1:2" x14ac:dyDescent="0.25">
      <c r="A4">
        <v>2.2000000000000002</v>
      </c>
      <c r="B4">
        <f t="shared" si="0"/>
        <v>4.1440000000000001</v>
      </c>
    </row>
    <row r="5" spans="1:2" x14ac:dyDescent="0.25">
      <c r="A5">
        <v>2.2999999999999998</v>
      </c>
      <c r="B5">
        <f t="shared" si="0"/>
        <v>4.1109999999999998</v>
      </c>
    </row>
    <row r="6" spans="1:2" x14ac:dyDescent="0.25">
      <c r="A6">
        <v>2.4</v>
      </c>
      <c r="B6">
        <f t="shared" si="0"/>
        <v>4.0780000000000003</v>
      </c>
    </row>
    <row r="7" spans="1:2" x14ac:dyDescent="0.25">
      <c r="A7">
        <v>2.5</v>
      </c>
      <c r="B7">
        <f t="shared" si="0"/>
        <v>4.0449999999999999</v>
      </c>
    </row>
    <row r="8" spans="1:2" x14ac:dyDescent="0.25">
      <c r="A8">
        <v>2.6</v>
      </c>
      <c r="B8">
        <f t="shared" si="0"/>
        <v>4.0120000000000005</v>
      </c>
    </row>
    <row r="9" spans="1:2" x14ac:dyDescent="0.25">
      <c r="A9">
        <v>2.7</v>
      </c>
      <c r="B9">
        <f t="shared" si="0"/>
        <v>3.9790000000000001</v>
      </c>
    </row>
    <row r="10" spans="1:2" x14ac:dyDescent="0.25">
      <c r="A10">
        <v>2.8</v>
      </c>
      <c r="B10">
        <f t="shared" si="0"/>
        <v>3.9460000000000002</v>
      </c>
    </row>
    <row r="11" spans="1:2" x14ac:dyDescent="0.25">
      <c r="A11">
        <v>2.9</v>
      </c>
      <c r="B11">
        <f t="shared" si="0"/>
        <v>3.9130000000000003</v>
      </c>
    </row>
    <row r="12" spans="1:2" x14ac:dyDescent="0.25">
      <c r="A12">
        <v>3</v>
      </c>
      <c r="B12">
        <f t="shared" si="0"/>
        <v>3.88</v>
      </c>
    </row>
    <row r="13" spans="1:2" x14ac:dyDescent="0.25">
      <c r="A13">
        <v>3.1</v>
      </c>
      <c r="B13">
        <f t="shared" si="0"/>
        <v>3.847</v>
      </c>
    </row>
    <row r="14" spans="1:2" x14ac:dyDescent="0.25">
      <c r="A14">
        <v>3.2</v>
      </c>
      <c r="B14">
        <f t="shared" si="0"/>
        <v>3.8140000000000001</v>
      </c>
    </row>
    <row r="15" spans="1:2" x14ac:dyDescent="0.25">
      <c r="A15">
        <v>3.3</v>
      </c>
      <c r="B15">
        <f t="shared" si="0"/>
        <v>3.7810000000000001</v>
      </c>
    </row>
    <row r="16" spans="1:2" x14ac:dyDescent="0.25">
      <c r="A16">
        <v>3.4</v>
      </c>
      <c r="B16">
        <f t="shared" si="0"/>
        <v>3.7480000000000002</v>
      </c>
    </row>
    <row r="17" spans="1:2" x14ac:dyDescent="0.25">
      <c r="A17">
        <v>3.5</v>
      </c>
      <c r="B17">
        <f t="shared" si="0"/>
        <v>3.7149999999999999</v>
      </c>
    </row>
    <row r="18" spans="1:2" x14ac:dyDescent="0.25">
      <c r="A18">
        <v>3.6</v>
      </c>
      <c r="B18">
        <f t="shared" si="0"/>
        <v>3.6819999999999999</v>
      </c>
    </row>
    <row r="19" spans="1:2" x14ac:dyDescent="0.25">
      <c r="A19">
        <v>3.7</v>
      </c>
      <c r="B19">
        <f t="shared" si="0"/>
        <v>3.649</v>
      </c>
    </row>
    <row r="20" spans="1:2" x14ac:dyDescent="0.25">
      <c r="A20">
        <v>3.8</v>
      </c>
      <c r="B20">
        <f t="shared" si="0"/>
        <v>3.6160000000000001</v>
      </c>
    </row>
    <row r="21" spans="1:2" x14ac:dyDescent="0.25">
      <c r="A21">
        <v>3.9</v>
      </c>
      <c r="B21">
        <f t="shared" si="0"/>
        <v>3.5830000000000002</v>
      </c>
    </row>
    <row r="22" spans="1:2" x14ac:dyDescent="0.25">
      <c r="A22">
        <v>4</v>
      </c>
      <c r="B22">
        <f t="shared" si="0"/>
        <v>3.55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73887-8B9E-4FE4-9A7A-3AE56C91D57F}">
  <dimension ref="A1:AA134"/>
  <sheetViews>
    <sheetView topLeftCell="A64" workbookViewId="0">
      <selection activeCell="B134" sqref="B134:AA134"/>
    </sheetView>
  </sheetViews>
  <sheetFormatPr defaultRowHeight="15" x14ac:dyDescent="0.25"/>
  <sheetData>
    <row r="1" spans="1:27" x14ac:dyDescent="0.25">
      <c r="A1" t="s">
        <v>0</v>
      </c>
      <c r="B1" t="s">
        <v>4</v>
      </c>
      <c r="C1" t="s">
        <v>26</v>
      </c>
      <c r="D1" t="s">
        <v>9</v>
      </c>
      <c r="E1" t="s">
        <v>5</v>
      </c>
      <c r="F1" t="s">
        <v>6</v>
      </c>
      <c r="G1" t="s">
        <v>7</v>
      </c>
      <c r="H1" t="s">
        <v>69</v>
      </c>
      <c r="I1" t="s">
        <v>8</v>
      </c>
      <c r="J1" t="s">
        <v>10</v>
      </c>
      <c r="K1" t="s">
        <v>39</v>
      </c>
      <c r="L1" t="s">
        <v>28</v>
      </c>
      <c r="M1" t="s">
        <v>29</v>
      </c>
      <c r="N1" t="s">
        <v>30</v>
      </c>
      <c r="O1" t="s">
        <v>36</v>
      </c>
      <c r="P1" t="s">
        <v>58</v>
      </c>
      <c r="Q1" t="s">
        <v>68</v>
      </c>
      <c r="R1" t="s">
        <v>81</v>
      </c>
      <c r="S1" t="s">
        <v>82</v>
      </c>
      <c r="T1" t="s">
        <v>98</v>
      </c>
      <c r="U1" t="s">
        <v>102</v>
      </c>
      <c r="V1" t="s">
        <v>112</v>
      </c>
      <c r="X1" t="s">
        <v>119</v>
      </c>
      <c r="Y1" t="s">
        <v>126</v>
      </c>
      <c r="Z1" t="s">
        <v>127</v>
      </c>
    </row>
    <row r="2" spans="1:27" x14ac:dyDescent="0.25">
      <c r="A2" t="s">
        <v>11</v>
      </c>
      <c r="B2" s="3">
        <f>Analyzed!D3/Analyzed!$CR3</f>
        <v>0.77931034482758621</v>
      </c>
      <c r="C2" s="3">
        <f>Analyzed!F3/Analyzed!$CR3</f>
        <v>0.19999999999999998</v>
      </c>
      <c r="D2" s="3">
        <f>Analyzed!H3/Analyzed!$CR3</f>
        <v>0</v>
      </c>
      <c r="E2" s="3">
        <f>Analyzed!J3/Analyzed!$CR3</f>
        <v>0</v>
      </c>
      <c r="F2" s="3">
        <f>Analyzed!L3/Analyzed!$CR3</f>
        <v>0</v>
      </c>
      <c r="G2" s="3">
        <f>Analyzed!N3/Analyzed!$CR3</f>
        <v>0</v>
      </c>
      <c r="H2" s="3">
        <f>Analyzed!P3/Analyzed!$CR3</f>
        <v>0</v>
      </c>
      <c r="I2" s="3">
        <f>Analyzed!R3/Analyzed!$CR3</f>
        <v>0</v>
      </c>
      <c r="J2" s="3">
        <f>Analyzed!X3/Analyzed!$CR3</f>
        <v>2.0689655172413793E-2</v>
      </c>
      <c r="K2" s="3">
        <f>Analyzed!Z3/Analyzed!$CR3</f>
        <v>0</v>
      </c>
      <c r="L2" s="3">
        <f>Analyzed!AB3/Analyzed!$CR3</f>
        <v>0</v>
      </c>
      <c r="M2" s="3">
        <f>Analyzed!AD3/Analyzed!$CR3</f>
        <v>0</v>
      </c>
      <c r="N2" s="3">
        <f>Analyzed!AF3/Analyzed!$CR3</f>
        <v>0</v>
      </c>
      <c r="O2" s="3">
        <f>Analyzed!AH3/Analyzed!$CR3</f>
        <v>0</v>
      </c>
      <c r="P2" s="3">
        <f>Analyzed!AJ3/Analyzed!$CR3</f>
        <v>0</v>
      </c>
      <c r="Q2" s="3">
        <f>Analyzed!AL3/Analyzed!$CR3</f>
        <v>0</v>
      </c>
      <c r="R2" s="3">
        <f>Analyzed!AN3/Analyzed!$CR3</f>
        <v>0</v>
      </c>
      <c r="S2" s="3">
        <f>Analyzed!AP3/Analyzed!$CR3</f>
        <v>0</v>
      </c>
      <c r="T2" s="3">
        <f>Analyzed!AR3/Analyzed!$CR3</f>
        <v>0</v>
      </c>
      <c r="U2" s="3">
        <f>Analyzed!AT3/Analyzed!$CR3</f>
        <v>0</v>
      </c>
      <c r="V2" s="3">
        <f>Analyzed!AV3/Analyzed!$CR3</f>
        <v>0</v>
      </c>
      <c r="W2" s="3">
        <f>Analyzed!AX3/Analyzed!$CR3</f>
        <v>0</v>
      </c>
      <c r="X2" s="3">
        <f>Analyzed!AZ3/Analyzed!$CR3</f>
        <v>0</v>
      </c>
      <c r="Y2" s="3">
        <f>Analyzed!BB3/Analyzed!$CR3</f>
        <v>0</v>
      </c>
      <c r="Z2" s="3">
        <f>Analyzed!BD3/Analyzed!$CR3</f>
        <v>0</v>
      </c>
      <c r="AA2" s="3">
        <f>Analyzed!BF3/Analyzed!$CR3</f>
        <v>0</v>
      </c>
    </row>
    <row r="3" spans="1:27" x14ac:dyDescent="0.25">
      <c r="A3" t="s">
        <v>12</v>
      </c>
      <c r="B3" s="3">
        <f>Analyzed!D4/Analyzed!$CR4</f>
        <v>0.70329670329670335</v>
      </c>
      <c r="C3" s="3">
        <f>Analyzed!F4/Analyzed!$CR4</f>
        <v>0.2967032967032967</v>
      </c>
      <c r="D3" s="3">
        <f>Analyzed!H4/Analyzed!$CR4</f>
        <v>0</v>
      </c>
      <c r="E3" s="3">
        <f>Analyzed!J4/Analyzed!$CR4</f>
        <v>0</v>
      </c>
      <c r="F3" s="3">
        <f>Analyzed!L4/Analyzed!$CR4</f>
        <v>0</v>
      </c>
      <c r="G3" s="3">
        <f>Analyzed!N4/Analyzed!$CR4</f>
        <v>0</v>
      </c>
      <c r="H3" s="3">
        <f>Analyzed!P4/Analyzed!$CR4</f>
        <v>0</v>
      </c>
      <c r="I3" s="3">
        <f>Analyzed!R4/Analyzed!$CR4</f>
        <v>0</v>
      </c>
      <c r="J3" s="3">
        <f>Analyzed!X4/Analyzed!$CR4</f>
        <v>0</v>
      </c>
      <c r="K3" s="3">
        <f>Analyzed!Z4/Analyzed!$CR4</f>
        <v>0</v>
      </c>
      <c r="L3" s="3">
        <f>Analyzed!AB4/Analyzed!$CR4</f>
        <v>0</v>
      </c>
      <c r="M3" s="3">
        <f>Analyzed!AD4/Analyzed!$CR4</f>
        <v>0</v>
      </c>
      <c r="N3" s="3">
        <f>Analyzed!AF4/Analyzed!$CR4</f>
        <v>0</v>
      </c>
      <c r="O3" s="3">
        <f>Analyzed!AH4/Analyzed!$CR4</f>
        <v>0</v>
      </c>
      <c r="P3" s="3">
        <f>Analyzed!AJ4/Analyzed!$CR4</f>
        <v>0</v>
      </c>
      <c r="Q3" s="3">
        <f>Analyzed!AL4/Analyzed!$CR4</f>
        <v>0</v>
      </c>
      <c r="R3" s="3">
        <f>Analyzed!AN4/Analyzed!$CR4</f>
        <v>0</v>
      </c>
      <c r="S3" s="3">
        <f>Analyzed!AP4/Analyzed!$CR4</f>
        <v>0</v>
      </c>
      <c r="T3" s="3">
        <f>Analyzed!AR4/Analyzed!$CR4</f>
        <v>0</v>
      </c>
      <c r="U3" s="3">
        <f>Analyzed!AT4/Analyzed!$CR4</f>
        <v>0</v>
      </c>
      <c r="V3" s="3">
        <f>Analyzed!AV4/Analyzed!$CR4</f>
        <v>0</v>
      </c>
      <c r="W3" s="3">
        <f>Analyzed!AX4/Analyzed!$CR4</f>
        <v>0</v>
      </c>
      <c r="X3" s="3">
        <f>Analyzed!AZ4/Analyzed!$CR4</f>
        <v>0</v>
      </c>
      <c r="Y3" s="3">
        <f>Analyzed!BB4/Analyzed!$CR4</f>
        <v>0</v>
      </c>
      <c r="Z3" s="3">
        <f>Analyzed!BD4/Analyzed!$CR4</f>
        <v>0</v>
      </c>
      <c r="AA3" s="3">
        <f>Analyzed!BF4/Analyzed!$CR4</f>
        <v>0</v>
      </c>
    </row>
    <row r="4" spans="1:27" x14ac:dyDescent="0.25">
      <c r="A4" t="s">
        <v>13</v>
      </c>
      <c r="B4" s="3">
        <f>Analyzed!D5/Analyzed!$CR5</f>
        <v>0.94444444444444442</v>
      </c>
      <c r="C4" s="3">
        <f>Analyzed!F5/Analyzed!$CR5</f>
        <v>3.968253968253968E-2</v>
      </c>
      <c r="D4" s="3">
        <f>Analyzed!H5/Analyzed!$CR5</f>
        <v>0</v>
      </c>
      <c r="E4" s="3">
        <f>Analyzed!J5/Analyzed!$CR5</f>
        <v>0</v>
      </c>
      <c r="F4" s="3">
        <f>Analyzed!L5/Analyzed!$CR5</f>
        <v>0</v>
      </c>
      <c r="G4" s="3">
        <f>Analyzed!N5/Analyzed!$CR5</f>
        <v>0</v>
      </c>
      <c r="H4" s="3">
        <f>Analyzed!P5/Analyzed!$CR5</f>
        <v>0</v>
      </c>
      <c r="I4" s="3">
        <f>Analyzed!R5/Analyzed!$CR5</f>
        <v>0</v>
      </c>
      <c r="J4" s="3">
        <f>Analyzed!X5/Analyzed!$CR5</f>
        <v>1.5873015873015872E-2</v>
      </c>
      <c r="K4" s="3">
        <f>Analyzed!Z5/Analyzed!$CR5</f>
        <v>0</v>
      </c>
      <c r="L4" s="3">
        <f>Analyzed!AB5/Analyzed!$CR5</f>
        <v>0</v>
      </c>
      <c r="M4" s="3">
        <f>Analyzed!AD5/Analyzed!$CR5</f>
        <v>0</v>
      </c>
      <c r="N4" s="3">
        <f>Analyzed!AF5/Analyzed!$CR5</f>
        <v>0</v>
      </c>
      <c r="O4" s="3">
        <f>Analyzed!AH5/Analyzed!$CR5</f>
        <v>0</v>
      </c>
      <c r="P4" s="3">
        <f>Analyzed!AJ5/Analyzed!$CR5</f>
        <v>0</v>
      </c>
      <c r="Q4" s="3">
        <f>Analyzed!AL5/Analyzed!$CR5</f>
        <v>0</v>
      </c>
      <c r="R4" s="3">
        <f>Analyzed!AN5/Analyzed!$CR5</f>
        <v>0</v>
      </c>
      <c r="S4" s="3">
        <f>Analyzed!AP5/Analyzed!$CR5</f>
        <v>0</v>
      </c>
      <c r="T4" s="3">
        <f>Analyzed!AR5/Analyzed!$CR5</f>
        <v>0</v>
      </c>
      <c r="U4" s="3">
        <f>Analyzed!AT5/Analyzed!$CR5</f>
        <v>0</v>
      </c>
      <c r="V4" s="3">
        <f>Analyzed!AV5/Analyzed!$CR5</f>
        <v>0</v>
      </c>
      <c r="W4" s="3">
        <f>Analyzed!AX5/Analyzed!$CR5</f>
        <v>0</v>
      </c>
      <c r="X4" s="3">
        <f>Analyzed!AZ5/Analyzed!$CR5</f>
        <v>0</v>
      </c>
      <c r="Y4" s="3">
        <f>Analyzed!BB5/Analyzed!$CR5</f>
        <v>0</v>
      </c>
      <c r="Z4" s="3">
        <f>Analyzed!BD5/Analyzed!$CR5</f>
        <v>0</v>
      </c>
      <c r="AA4" s="3">
        <f>Analyzed!BF5/Analyzed!$CR5</f>
        <v>0</v>
      </c>
    </row>
    <row r="5" spans="1:27" x14ac:dyDescent="0.25">
      <c r="A5" t="s">
        <v>14</v>
      </c>
      <c r="B5" s="3">
        <f>Analyzed!D6/Analyzed!$CR6</f>
        <v>0.92567567567567566</v>
      </c>
      <c r="C5" s="3">
        <f>Analyzed!F6/Analyzed!$CR6</f>
        <v>2.7027027027027025E-2</v>
      </c>
      <c r="D5" s="3">
        <f>Analyzed!H6/Analyzed!$CR6</f>
        <v>6.7567567567567563E-3</v>
      </c>
      <c r="E5" s="3">
        <f>Analyzed!J6/Analyzed!$CR6</f>
        <v>0</v>
      </c>
      <c r="F5" s="3">
        <f>Analyzed!L6/Analyzed!$CR6</f>
        <v>0</v>
      </c>
      <c r="G5" s="3">
        <f>Analyzed!N6/Analyzed!$CR6</f>
        <v>0</v>
      </c>
      <c r="H5" s="3">
        <f>Analyzed!P6/Analyzed!$CR6</f>
        <v>0</v>
      </c>
      <c r="I5" s="3">
        <f>Analyzed!R6/Analyzed!$CR6</f>
        <v>0</v>
      </c>
      <c r="J5" s="3">
        <f>Analyzed!X6/Analyzed!$CR6</f>
        <v>0</v>
      </c>
      <c r="K5" s="3">
        <f>Analyzed!Z6/Analyzed!$CR6</f>
        <v>0</v>
      </c>
      <c r="L5" s="3">
        <f>Analyzed!AB6/Analyzed!$CR6</f>
        <v>0</v>
      </c>
      <c r="M5" s="3">
        <f>Analyzed!AD6/Analyzed!$CR6</f>
        <v>1.3513513513513513E-2</v>
      </c>
      <c r="N5" s="3">
        <f>Analyzed!AF6/Analyzed!$CR6</f>
        <v>0</v>
      </c>
      <c r="O5" s="3">
        <f>Analyzed!AH6/Analyzed!$CR6</f>
        <v>0</v>
      </c>
      <c r="P5" s="3">
        <f>Analyzed!AJ6/Analyzed!$CR6</f>
        <v>0</v>
      </c>
      <c r="Q5" s="3">
        <f>Analyzed!AL6/Analyzed!$CR6</f>
        <v>0</v>
      </c>
      <c r="R5" s="3">
        <f>Analyzed!AN6/Analyzed!$CR6</f>
        <v>2.7027027027027025E-2</v>
      </c>
      <c r="S5" s="3">
        <f>Analyzed!AP6/Analyzed!$CR6</f>
        <v>0</v>
      </c>
      <c r="T5" s="3">
        <f>Analyzed!AR6/Analyzed!$CR6</f>
        <v>0</v>
      </c>
      <c r="U5" s="3">
        <f>Analyzed!AT6/Analyzed!$CR6</f>
        <v>0</v>
      </c>
      <c r="V5" s="3">
        <f>Analyzed!AV6/Analyzed!$CR6</f>
        <v>0</v>
      </c>
      <c r="W5" s="3">
        <f>Analyzed!AX6/Analyzed!$CR6</f>
        <v>0</v>
      </c>
      <c r="X5" s="3">
        <f>Analyzed!AZ6/Analyzed!$CR6</f>
        <v>0</v>
      </c>
      <c r="Y5" s="3">
        <f>Analyzed!BB6/Analyzed!$CR6</f>
        <v>0</v>
      </c>
      <c r="Z5" s="3">
        <f>Analyzed!BD6/Analyzed!$CR6</f>
        <v>0</v>
      </c>
      <c r="AA5" s="3">
        <f>Analyzed!BF6/Analyzed!$CR6</f>
        <v>0</v>
      </c>
    </row>
    <row r="6" spans="1:27" x14ac:dyDescent="0.25">
      <c r="A6" t="s">
        <v>15</v>
      </c>
      <c r="B6" s="3">
        <f>Analyzed!D7/Analyzed!$CR7</f>
        <v>0.96244131455399062</v>
      </c>
      <c r="C6" s="3">
        <f>Analyzed!F7/Analyzed!$CR7</f>
        <v>3.7558685446009391E-2</v>
      </c>
      <c r="D6" s="3">
        <f>Analyzed!H7/Analyzed!$CR7</f>
        <v>0</v>
      </c>
      <c r="E6" s="3">
        <f>Analyzed!J7/Analyzed!$CR7</f>
        <v>0</v>
      </c>
      <c r="F6" s="3">
        <f>Analyzed!L7/Analyzed!$CR7</f>
        <v>0</v>
      </c>
      <c r="G6" s="3">
        <f>Analyzed!N7/Analyzed!$CR7</f>
        <v>0</v>
      </c>
      <c r="H6" s="3">
        <f>Analyzed!P7/Analyzed!$CR7</f>
        <v>0</v>
      </c>
      <c r="I6" s="3">
        <f>Analyzed!R7/Analyzed!$CR7</f>
        <v>0</v>
      </c>
      <c r="J6" s="3">
        <f>Analyzed!X7/Analyzed!$CR7</f>
        <v>0</v>
      </c>
      <c r="K6" s="3">
        <f>Analyzed!Z7/Analyzed!$CR7</f>
        <v>0</v>
      </c>
      <c r="L6" s="3">
        <f>Analyzed!AB7/Analyzed!$CR7</f>
        <v>0</v>
      </c>
      <c r="M6" s="3">
        <f>Analyzed!AD7/Analyzed!$CR7</f>
        <v>0</v>
      </c>
      <c r="N6" s="3">
        <f>Analyzed!AF7/Analyzed!$CR7</f>
        <v>0</v>
      </c>
      <c r="O6" s="3">
        <f>Analyzed!AH7/Analyzed!$CR7</f>
        <v>0</v>
      </c>
      <c r="P6" s="3">
        <f>Analyzed!AJ7/Analyzed!$CR7</f>
        <v>0</v>
      </c>
      <c r="Q6" s="3">
        <f>Analyzed!AL7/Analyzed!$CR7</f>
        <v>0</v>
      </c>
      <c r="R6" s="3">
        <f>Analyzed!AN7/Analyzed!$CR7</f>
        <v>0</v>
      </c>
      <c r="S6" s="3">
        <f>Analyzed!AP7/Analyzed!$CR7</f>
        <v>0</v>
      </c>
      <c r="T6" s="3">
        <f>Analyzed!AR7/Analyzed!$CR7</f>
        <v>0</v>
      </c>
      <c r="U6" s="3">
        <f>Analyzed!AT7/Analyzed!$CR7</f>
        <v>0</v>
      </c>
      <c r="V6" s="3">
        <f>Analyzed!AV7/Analyzed!$CR7</f>
        <v>0</v>
      </c>
      <c r="W6" s="3">
        <f>Analyzed!AX7/Analyzed!$CR7</f>
        <v>0</v>
      </c>
      <c r="X6" s="3">
        <f>Analyzed!AZ7/Analyzed!$CR7</f>
        <v>0</v>
      </c>
      <c r="Y6" s="3">
        <f>Analyzed!BB7/Analyzed!$CR7</f>
        <v>0</v>
      </c>
      <c r="Z6" s="3">
        <f>Analyzed!BD7/Analyzed!$CR7</f>
        <v>0</v>
      </c>
      <c r="AA6" s="3">
        <f>Analyzed!BF7/Analyzed!$CR7</f>
        <v>0</v>
      </c>
    </row>
    <row r="7" spans="1:27" x14ac:dyDescent="0.25">
      <c r="A7" t="s">
        <v>16</v>
      </c>
      <c r="B7" s="3">
        <f>Analyzed!D8/Analyzed!$CR8</f>
        <v>0.95469255663430419</v>
      </c>
      <c r="C7" s="3">
        <f>Analyzed!F8/Analyzed!$CR8</f>
        <v>4.5307443365695796E-2</v>
      </c>
      <c r="D7" s="3">
        <f>Analyzed!H8/Analyzed!$CR8</f>
        <v>0</v>
      </c>
      <c r="E7" s="3">
        <f>Analyzed!J8/Analyzed!$CR8</f>
        <v>0</v>
      </c>
      <c r="F7" s="3">
        <f>Analyzed!L8/Analyzed!$CR8</f>
        <v>0</v>
      </c>
      <c r="G7" s="3">
        <f>Analyzed!N8/Analyzed!$CR8</f>
        <v>0</v>
      </c>
      <c r="H7" s="3">
        <f>Analyzed!P8/Analyzed!$CR8</f>
        <v>0</v>
      </c>
      <c r="I7" s="3">
        <f>Analyzed!R8/Analyzed!$CR8</f>
        <v>0</v>
      </c>
      <c r="J7" s="3">
        <f>Analyzed!X8/Analyzed!$CR8</f>
        <v>0</v>
      </c>
      <c r="K7" s="3">
        <f>Analyzed!Z8/Analyzed!$CR8</f>
        <v>0</v>
      </c>
      <c r="L7" s="3">
        <f>Analyzed!AB8/Analyzed!$CR8</f>
        <v>0</v>
      </c>
      <c r="M7" s="3">
        <f>Analyzed!AD8/Analyzed!$CR8</f>
        <v>0</v>
      </c>
      <c r="N7" s="3">
        <f>Analyzed!AF8/Analyzed!$CR8</f>
        <v>0</v>
      </c>
      <c r="O7" s="3">
        <f>Analyzed!AH8/Analyzed!$CR8</f>
        <v>0</v>
      </c>
      <c r="P7" s="3">
        <f>Analyzed!AJ8/Analyzed!$CR8</f>
        <v>0</v>
      </c>
      <c r="Q7" s="3">
        <f>Analyzed!AL8/Analyzed!$CR8</f>
        <v>0</v>
      </c>
      <c r="R7" s="3">
        <f>Analyzed!AN8/Analyzed!$CR8</f>
        <v>0</v>
      </c>
      <c r="S7" s="3">
        <f>Analyzed!AP8/Analyzed!$CR8</f>
        <v>0</v>
      </c>
      <c r="T7" s="3">
        <f>Analyzed!AR8/Analyzed!$CR8</f>
        <v>0</v>
      </c>
      <c r="U7" s="3">
        <f>Analyzed!AT8/Analyzed!$CR8</f>
        <v>0</v>
      </c>
      <c r="V7" s="3">
        <f>Analyzed!AV8/Analyzed!$CR8</f>
        <v>0</v>
      </c>
      <c r="W7" s="3">
        <f>Analyzed!AX8/Analyzed!$CR8</f>
        <v>0</v>
      </c>
      <c r="X7" s="3">
        <f>Analyzed!AZ8/Analyzed!$CR8</f>
        <v>0</v>
      </c>
      <c r="Y7" s="3">
        <f>Analyzed!BB8/Analyzed!$CR8</f>
        <v>0</v>
      </c>
      <c r="Z7" s="3">
        <f>Analyzed!BD8/Analyzed!$CR8</f>
        <v>0</v>
      </c>
      <c r="AA7" s="3">
        <f>Analyzed!BF8/Analyzed!$CR8</f>
        <v>0</v>
      </c>
    </row>
    <row r="8" spans="1:27" x14ac:dyDescent="0.25">
      <c r="A8" t="s">
        <v>17</v>
      </c>
      <c r="B8" s="3">
        <f>Analyzed!D9/Analyzed!$CR9</f>
        <v>0.96296296296296291</v>
      </c>
      <c r="C8" s="3">
        <f>Analyzed!F9/Analyzed!$CR9</f>
        <v>9.2592592592592587E-3</v>
      </c>
      <c r="D8" s="3">
        <f>Analyzed!H9/Analyzed!$CR9</f>
        <v>0</v>
      </c>
      <c r="E8" s="3">
        <f>Analyzed!J9/Analyzed!$CR9</f>
        <v>0</v>
      </c>
      <c r="F8" s="3">
        <f>Analyzed!L9/Analyzed!$CR9</f>
        <v>0</v>
      </c>
      <c r="G8" s="3">
        <f>Analyzed!N9/Analyzed!$CR9</f>
        <v>0</v>
      </c>
      <c r="H8" s="3">
        <f>Analyzed!P9/Analyzed!$CR9</f>
        <v>0</v>
      </c>
      <c r="I8" s="3">
        <f>Analyzed!R9/Analyzed!$CR9</f>
        <v>0</v>
      </c>
      <c r="J8" s="3">
        <f>Analyzed!X9/Analyzed!$CR9</f>
        <v>9.2592592592592587E-3</v>
      </c>
      <c r="K8" s="3">
        <f>Analyzed!Z9/Analyzed!$CR9</f>
        <v>0</v>
      </c>
      <c r="L8" s="3">
        <f>Analyzed!AB9/Analyzed!$CR9</f>
        <v>0</v>
      </c>
      <c r="M8" s="3">
        <f>Analyzed!AD9/Analyzed!$CR9</f>
        <v>0</v>
      </c>
      <c r="N8" s="3">
        <f>Analyzed!AF9/Analyzed!$CR9</f>
        <v>0</v>
      </c>
      <c r="O8" s="3">
        <f>Analyzed!AH9/Analyzed!$CR9</f>
        <v>9.2592592592592587E-3</v>
      </c>
      <c r="P8" s="3">
        <f>Analyzed!AJ9/Analyzed!$CR9</f>
        <v>0</v>
      </c>
      <c r="Q8" s="3">
        <f>Analyzed!AL9/Analyzed!$CR9</f>
        <v>0</v>
      </c>
      <c r="R8" s="3">
        <f>Analyzed!AN9/Analyzed!$CR9</f>
        <v>0</v>
      </c>
      <c r="S8" s="3">
        <f>Analyzed!AP9/Analyzed!$CR9</f>
        <v>9.2592592592592587E-3</v>
      </c>
      <c r="T8" s="3">
        <f>Analyzed!AR9/Analyzed!$CR9</f>
        <v>0</v>
      </c>
      <c r="U8" s="3">
        <f>Analyzed!AT9/Analyzed!$CR9</f>
        <v>0</v>
      </c>
      <c r="V8" s="3">
        <f>Analyzed!AV9/Analyzed!$CR9</f>
        <v>0</v>
      </c>
      <c r="W8" s="3">
        <f>Analyzed!AX9/Analyzed!$CR9</f>
        <v>0</v>
      </c>
      <c r="X8" s="3">
        <f>Analyzed!AZ9/Analyzed!$CR9</f>
        <v>0</v>
      </c>
      <c r="Y8" s="3">
        <f>Analyzed!BB9/Analyzed!$CR9</f>
        <v>0</v>
      </c>
      <c r="Z8" s="3">
        <f>Analyzed!BD9/Analyzed!$CR9</f>
        <v>0</v>
      </c>
      <c r="AA8" s="3">
        <f>Analyzed!BF9/Analyzed!$CR9</f>
        <v>0</v>
      </c>
    </row>
    <row r="9" spans="1:27" x14ac:dyDescent="0.25">
      <c r="A9" t="s">
        <v>73</v>
      </c>
      <c r="B9" s="3">
        <f>Analyzed!D10/Analyzed!$CR10</f>
        <v>0.84210526315789469</v>
      </c>
      <c r="C9" s="3">
        <f>Analyzed!F10/Analyzed!$CR10</f>
        <v>0.11578947368421053</v>
      </c>
      <c r="D9" s="3">
        <f>Analyzed!H10/Analyzed!$CR10</f>
        <v>0</v>
      </c>
      <c r="E9" s="3">
        <f>Analyzed!J10/Analyzed!$CR10</f>
        <v>0</v>
      </c>
      <c r="F9" s="3">
        <f>Analyzed!L10/Analyzed!$CR10</f>
        <v>0</v>
      </c>
      <c r="G9" s="3">
        <f>Analyzed!N10/Analyzed!$CR10</f>
        <v>0</v>
      </c>
      <c r="H9" s="3">
        <f>Analyzed!P10/Analyzed!$CR10</f>
        <v>0</v>
      </c>
      <c r="I9" s="3">
        <f>Analyzed!R10/Analyzed!$CR10</f>
        <v>0</v>
      </c>
      <c r="J9" s="3">
        <f>Analyzed!X10/Analyzed!$CR10</f>
        <v>0</v>
      </c>
      <c r="K9" s="3">
        <f>Analyzed!Z10/Analyzed!$CR10</f>
        <v>0</v>
      </c>
      <c r="L9" s="3">
        <f>Analyzed!AB10/Analyzed!$CR10</f>
        <v>0</v>
      </c>
      <c r="M9" s="3">
        <f>Analyzed!AD10/Analyzed!$CR10</f>
        <v>0</v>
      </c>
      <c r="N9" s="3">
        <f>Analyzed!AF10/Analyzed!$CR10</f>
        <v>0</v>
      </c>
      <c r="O9" s="3">
        <f>Analyzed!AH10/Analyzed!$CR10</f>
        <v>0</v>
      </c>
      <c r="P9" s="3">
        <f>Analyzed!AJ10/Analyzed!$CR10</f>
        <v>0</v>
      </c>
      <c r="Q9" s="3">
        <f>Analyzed!AL10/Analyzed!$CR10</f>
        <v>0</v>
      </c>
      <c r="R9" s="3">
        <f>Analyzed!AN10/Analyzed!$CR10</f>
        <v>0</v>
      </c>
      <c r="S9" s="3">
        <f>Analyzed!AP10/Analyzed!$CR10</f>
        <v>0</v>
      </c>
      <c r="T9" s="3">
        <f>Analyzed!AR10/Analyzed!$CR10</f>
        <v>0</v>
      </c>
      <c r="U9" s="3">
        <f>Analyzed!AT10/Analyzed!$CR10</f>
        <v>0</v>
      </c>
      <c r="V9" s="3">
        <f>Analyzed!AV10/Analyzed!$CR10</f>
        <v>3.1578947368421054E-2</v>
      </c>
      <c r="W9" s="3">
        <f>Analyzed!AX10/Analyzed!$CR10</f>
        <v>1.0526315789473684E-2</v>
      </c>
      <c r="X9" s="3">
        <f>Analyzed!AZ10/Analyzed!$CR10</f>
        <v>0</v>
      </c>
      <c r="Y9" s="3">
        <f>Analyzed!BB10/Analyzed!$CR10</f>
        <v>0</v>
      </c>
      <c r="Z9" s="3">
        <f>Analyzed!BD10/Analyzed!$CR10</f>
        <v>0</v>
      </c>
      <c r="AA9" s="3">
        <f>Analyzed!BF10/Analyzed!$CR10</f>
        <v>0</v>
      </c>
    </row>
    <row r="10" spans="1:27" x14ac:dyDescent="0.25">
      <c r="A10" t="s">
        <v>74</v>
      </c>
      <c r="B10" s="3">
        <f>Analyzed!D11/Analyzed!$CR11</f>
        <v>0.87878787878787878</v>
      </c>
      <c r="C10" s="3">
        <f>Analyzed!F11/Analyzed!$CR11</f>
        <v>0.10606060606060606</v>
      </c>
      <c r="D10" s="3">
        <f>Analyzed!H11/Analyzed!$CR11</f>
        <v>0</v>
      </c>
      <c r="E10" s="3">
        <f>Analyzed!J11/Analyzed!$CR11</f>
        <v>0</v>
      </c>
      <c r="F10" s="3">
        <f>Analyzed!L11/Analyzed!$CR11</f>
        <v>0</v>
      </c>
      <c r="G10" s="3">
        <f>Analyzed!N11/Analyzed!$CR11</f>
        <v>0</v>
      </c>
      <c r="H10" s="3">
        <f>Analyzed!P11/Analyzed!$CR11</f>
        <v>0</v>
      </c>
      <c r="I10" s="3">
        <f>Analyzed!R11/Analyzed!$CR11</f>
        <v>0</v>
      </c>
      <c r="J10" s="3">
        <f>Analyzed!X11/Analyzed!$CR11</f>
        <v>7.5757575757575751E-3</v>
      </c>
      <c r="K10" s="3">
        <f>Analyzed!Z11/Analyzed!$CR11</f>
        <v>0</v>
      </c>
      <c r="L10" s="3">
        <f>Analyzed!AB11/Analyzed!$CR11</f>
        <v>0</v>
      </c>
      <c r="M10" s="3">
        <f>Analyzed!AD11/Analyzed!$CR11</f>
        <v>0</v>
      </c>
      <c r="N10" s="3">
        <f>Analyzed!AF11/Analyzed!$CR11</f>
        <v>0</v>
      </c>
      <c r="O10" s="3">
        <f>Analyzed!AH11/Analyzed!$CR11</f>
        <v>7.5757575757575751E-3</v>
      </c>
      <c r="P10" s="3">
        <f>Analyzed!AJ11/Analyzed!$CR11</f>
        <v>0</v>
      </c>
      <c r="Q10" s="3">
        <f>Analyzed!AL11/Analyzed!$CR11</f>
        <v>0</v>
      </c>
      <c r="R10" s="3">
        <f>Analyzed!AN11/Analyzed!$CR11</f>
        <v>0</v>
      </c>
      <c r="S10" s="3">
        <f>Analyzed!AP11/Analyzed!$CR11</f>
        <v>0</v>
      </c>
      <c r="T10" s="3">
        <f>Analyzed!AR11/Analyzed!$CR11</f>
        <v>0</v>
      </c>
      <c r="U10" s="3">
        <f>Analyzed!AT11/Analyzed!$CR11</f>
        <v>0</v>
      </c>
      <c r="V10" s="3">
        <f>Analyzed!AV11/Analyzed!$CR11</f>
        <v>0</v>
      </c>
      <c r="W10" s="3">
        <f>Analyzed!AX11/Analyzed!$CR11</f>
        <v>0</v>
      </c>
      <c r="X10" s="3">
        <f>Analyzed!AZ11/Analyzed!$CR11</f>
        <v>0</v>
      </c>
      <c r="Y10" s="3">
        <f>Analyzed!BB11/Analyzed!$CR11</f>
        <v>0</v>
      </c>
      <c r="Z10" s="3">
        <f>Analyzed!BD11/Analyzed!$CR11</f>
        <v>0</v>
      </c>
      <c r="AA10" s="3">
        <f>Analyzed!BF11/Analyzed!$CR11</f>
        <v>0</v>
      </c>
    </row>
    <row r="11" spans="1:27" x14ac:dyDescent="0.25">
      <c r="A11" t="s">
        <v>75</v>
      </c>
      <c r="B11" s="3">
        <f>Analyzed!D12/Analyzed!$CR12</f>
        <v>0.87826086956521732</v>
      </c>
      <c r="C11" s="3">
        <f>Analyzed!F12/Analyzed!$CR12</f>
        <v>7.8260869565217384E-2</v>
      </c>
      <c r="D11" s="3">
        <f>Analyzed!H12/Analyzed!$CR12</f>
        <v>0</v>
      </c>
      <c r="E11" s="3">
        <f>Analyzed!J12/Analyzed!$CR12</f>
        <v>0</v>
      </c>
      <c r="F11" s="3">
        <f>Analyzed!L12/Analyzed!$CR12</f>
        <v>0</v>
      </c>
      <c r="G11" s="3">
        <f>Analyzed!N12/Analyzed!$CR12</f>
        <v>0</v>
      </c>
      <c r="H11" s="3">
        <f>Analyzed!P12/Analyzed!$CR12</f>
        <v>0</v>
      </c>
      <c r="I11" s="3">
        <f>Analyzed!R12/Analyzed!$CR12</f>
        <v>0</v>
      </c>
      <c r="J11" s="3">
        <f>Analyzed!X12/Analyzed!$CR12</f>
        <v>0</v>
      </c>
      <c r="K11" s="3">
        <f>Analyzed!Z12/Analyzed!$CR12</f>
        <v>0</v>
      </c>
      <c r="L11" s="3">
        <f>Analyzed!AB12/Analyzed!$CR12</f>
        <v>0</v>
      </c>
      <c r="M11" s="3">
        <f>Analyzed!AD12/Analyzed!$CR12</f>
        <v>0</v>
      </c>
      <c r="N11" s="3">
        <f>Analyzed!AF12/Analyzed!$CR12</f>
        <v>0</v>
      </c>
      <c r="O11" s="3">
        <f>Analyzed!AH12/Analyzed!$CR12</f>
        <v>4.3478260869565216E-2</v>
      </c>
      <c r="P11" s="3">
        <f>Analyzed!AJ12/Analyzed!$CR12</f>
        <v>0</v>
      </c>
      <c r="Q11" s="3">
        <f>Analyzed!AL12/Analyzed!$CR12</f>
        <v>0</v>
      </c>
      <c r="R11" s="3">
        <f>Analyzed!AN12/Analyzed!$CR12</f>
        <v>0</v>
      </c>
      <c r="S11" s="3">
        <f>Analyzed!AP12/Analyzed!$CR12</f>
        <v>0</v>
      </c>
      <c r="T11" s="3">
        <f>Analyzed!AR12/Analyzed!$CR12</f>
        <v>0</v>
      </c>
      <c r="U11" s="3">
        <f>Analyzed!AT12/Analyzed!$CR12</f>
        <v>0</v>
      </c>
      <c r="V11" s="3">
        <f>Analyzed!AV12/Analyzed!$CR12</f>
        <v>0</v>
      </c>
      <c r="W11" s="3">
        <f>Analyzed!AX12/Analyzed!$CR12</f>
        <v>0</v>
      </c>
      <c r="X11" s="3">
        <f>Analyzed!AZ12/Analyzed!$CR12</f>
        <v>0</v>
      </c>
      <c r="Y11" s="3">
        <f>Analyzed!BB12/Analyzed!$CR12</f>
        <v>0</v>
      </c>
      <c r="Z11" s="3">
        <f>Analyzed!BD12/Analyzed!$CR12</f>
        <v>0</v>
      </c>
      <c r="AA11" s="3">
        <f>Analyzed!BF12/Analyzed!$CR12</f>
        <v>0</v>
      </c>
    </row>
    <row r="12" spans="1:27" x14ac:dyDescent="0.25">
      <c r="A12" t="s">
        <v>76</v>
      </c>
      <c r="B12" s="3">
        <f>Analyzed!D13/Analyzed!$CR13</f>
        <v>0.81132075471698106</v>
      </c>
      <c r="C12" s="3">
        <f>Analyzed!F13/Analyzed!$CR13</f>
        <v>0.18238993710691823</v>
      </c>
      <c r="D12" s="3">
        <f>Analyzed!H13/Analyzed!$CR13</f>
        <v>0</v>
      </c>
      <c r="E12" s="3">
        <f>Analyzed!J13/Analyzed!$CR13</f>
        <v>0</v>
      </c>
      <c r="F12" s="3">
        <f>Analyzed!L13/Analyzed!$CR13</f>
        <v>0</v>
      </c>
      <c r="G12" s="3">
        <f>Analyzed!N13/Analyzed!$CR13</f>
        <v>0</v>
      </c>
      <c r="H12" s="3">
        <f>Analyzed!P13/Analyzed!$CR13</f>
        <v>0</v>
      </c>
      <c r="I12" s="3">
        <f>Analyzed!R13/Analyzed!$CR13</f>
        <v>0</v>
      </c>
      <c r="J12" s="3">
        <f>Analyzed!X13/Analyzed!$CR13</f>
        <v>0</v>
      </c>
      <c r="K12" s="3">
        <f>Analyzed!Z13/Analyzed!$CR13</f>
        <v>0</v>
      </c>
      <c r="L12" s="3">
        <f>Analyzed!AB13/Analyzed!$CR13</f>
        <v>0</v>
      </c>
      <c r="M12" s="3">
        <f>Analyzed!AD13/Analyzed!$CR13</f>
        <v>0</v>
      </c>
      <c r="N12" s="3">
        <f>Analyzed!AF13/Analyzed!$CR13</f>
        <v>0</v>
      </c>
      <c r="O12" s="3">
        <f>Analyzed!AH13/Analyzed!$CR13</f>
        <v>0</v>
      </c>
      <c r="P12" s="3">
        <f>Analyzed!AJ13/Analyzed!$CR13</f>
        <v>0</v>
      </c>
      <c r="Q12" s="3">
        <f>Analyzed!AL13/Analyzed!$CR13</f>
        <v>6.2893081761006284E-3</v>
      </c>
      <c r="R12" s="3">
        <f>Analyzed!AN13/Analyzed!$CR13</f>
        <v>0</v>
      </c>
      <c r="S12" s="3">
        <f>Analyzed!AP13/Analyzed!$CR13</f>
        <v>0</v>
      </c>
      <c r="T12" s="3">
        <f>Analyzed!AR13/Analyzed!$CR13</f>
        <v>0</v>
      </c>
      <c r="U12" s="3">
        <f>Analyzed!AT13/Analyzed!$CR13</f>
        <v>0</v>
      </c>
      <c r="V12" s="3">
        <f>Analyzed!AV13/Analyzed!$CR13</f>
        <v>0</v>
      </c>
      <c r="W12" s="3">
        <f>Analyzed!AX13/Analyzed!$CR13</f>
        <v>0</v>
      </c>
      <c r="X12" s="3">
        <f>Analyzed!AZ13/Analyzed!$CR13</f>
        <v>0</v>
      </c>
      <c r="Y12" s="3">
        <f>Analyzed!BB13/Analyzed!$CR13</f>
        <v>0</v>
      </c>
      <c r="Z12" s="3">
        <f>Analyzed!BD13/Analyzed!$CR13</f>
        <v>0</v>
      </c>
      <c r="AA12" s="3">
        <f>Analyzed!BF13/Analyzed!$CR13</f>
        <v>0</v>
      </c>
    </row>
    <row r="13" spans="1:27" x14ac:dyDescent="0.25">
      <c r="A13" t="s">
        <v>83</v>
      </c>
      <c r="B13" s="3">
        <f>Analyzed!D14/Analyzed!$CR14</f>
        <v>0.93457943925233644</v>
      </c>
      <c r="C13" s="3">
        <f>Analyzed!F14/Analyzed!$CR14</f>
        <v>5.6074766355140186E-2</v>
      </c>
      <c r="D13" s="3">
        <f>Analyzed!H14/Analyzed!$CR14</f>
        <v>0</v>
      </c>
      <c r="E13" s="3">
        <f>Analyzed!J14/Analyzed!$CR14</f>
        <v>0</v>
      </c>
      <c r="F13" s="3">
        <f>Analyzed!L14/Analyzed!$CR14</f>
        <v>0</v>
      </c>
      <c r="G13" s="3">
        <f>Analyzed!N14/Analyzed!$CR14</f>
        <v>0</v>
      </c>
      <c r="H13" s="3">
        <f>Analyzed!P14/Analyzed!$CR14</f>
        <v>0</v>
      </c>
      <c r="I13" s="3">
        <f>Analyzed!R14/Analyzed!$CR14</f>
        <v>0</v>
      </c>
      <c r="J13" s="3">
        <f>Analyzed!X14/Analyzed!$CR14</f>
        <v>0</v>
      </c>
      <c r="K13" s="3">
        <f>Analyzed!Z14/Analyzed!$CR14</f>
        <v>0</v>
      </c>
      <c r="L13" s="3">
        <f>Analyzed!AB14/Analyzed!$CR14</f>
        <v>0</v>
      </c>
      <c r="M13" s="3">
        <f>Analyzed!AD14/Analyzed!$CR14</f>
        <v>0</v>
      </c>
      <c r="N13" s="3">
        <f>Analyzed!AF14/Analyzed!$CR14</f>
        <v>0</v>
      </c>
      <c r="O13" s="3">
        <f>Analyzed!AH14/Analyzed!$CR14</f>
        <v>0</v>
      </c>
      <c r="P13" s="3">
        <f>Analyzed!AJ14/Analyzed!$CR14</f>
        <v>0</v>
      </c>
      <c r="Q13" s="3">
        <f>Analyzed!AL14/Analyzed!$CR14</f>
        <v>9.3457943925233655E-3</v>
      </c>
      <c r="R13" s="3">
        <f>Analyzed!AN14/Analyzed!$CR14</f>
        <v>0</v>
      </c>
      <c r="S13" s="3">
        <f>Analyzed!AP14/Analyzed!$CR14</f>
        <v>0</v>
      </c>
      <c r="T13" s="3">
        <f>Analyzed!AR14/Analyzed!$CR14</f>
        <v>0</v>
      </c>
      <c r="U13" s="3">
        <f>Analyzed!AT14/Analyzed!$CR14</f>
        <v>0</v>
      </c>
      <c r="V13" s="3">
        <f>Analyzed!AV14/Analyzed!$CR14</f>
        <v>0</v>
      </c>
      <c r="W13" s="3">
        <f>Analyzed!AX14/Analyzed!$CR14</f>
        <v>0</v>
      </c>
      <c r="X13" s="3">
        <f>Analyzed!AZ14/Analyzed!$CR14</f>
        <v>0</v>
      </c>
      <c r="Y13" s="3">
        <f>Analyzed!BB14/Analyzed!$CR14</f>
        <v>0</v>
      </c>
      <c r="Z13" s="3">
        <f>Analyzed!BD14/Analyzed!$CR14</f>
        <v>0</v>
      </c>
      <c r="AA13" s="3">
        <f>Analyzed!BF14/Analyzed!$CR14</f>
        <v>0</v>
      </c>
    </row>
    <row r="14" spans="1:27" x14ac:dyDescent="0.25">
      <c r="A14" t="s">
        <v>84</v>
      </c>
      <c r="B14" s="3">
        <f>Analyzed!D15/Analyzed!$CR15</f>
        <v>0.92372881355932202</v>
      </c>
      <c r="C14" s="3">
        <f>Analyzed!F15/Analyzed!$CR15</f>
        <v>7.6271186440677957E-2</v>
      </c>
      <c r="D14" s="3">
        <f>Analyzed!H15/Analyzed!$CR15</f>
        <v>0</v>
      </c>
      <c r="E14" s="3">
        <f>Analyzed!J15/Analyzed!$CR15</f>
        <v>0</v>
      </c>
      <c r="F14" s="3">
        <f>Analyzed!L15/Analyzed!$CR15</f>
        <v>0</v>
      </c>
      <c r="G14" s="3">
        <f>Analyzed!N15/Analyzed!$CR15</f>
        <v>0</v>
      </c>
      <c r="H14" s="3">
        <f>Analyzed!P15/Analyzed!$CR15</f>
        <v>0</v>
      </c>
      <c r="I14" s="3">
        <f>Analyzed!R15/Analyzed!$CR15</f>
        <v>0</v>
      </c>
      <c r="J14" s="3">
        <f>Analyzed!X15/Analyzed!$CR15</f>
        <v>0</v>
      </c>
      <c r="K14" s="3">
        <f>Analyzed!Z15/Analyzed!$CR15</f>
        <v>0</v>
      </c>
      <c r="L14" s="3">
        <f>Analyzed!AB15/Analyzed!$CR15</f>
        <v>0</v>
      </c>
      <c r="M14" s="3">
        <f>Analyzed!AD15/Analyzed!$CR15</f>
        <v>0</v>
      </c>
      <c r="N14" s="3">
        <f>Analyzed!AF15/Analyzed!$CR15</f>
        <v>0</v>
      </c>
      <c r="O14" s="3">
        <f>Analyzed!AH15/Analyzed!$CR15</f>
        <v>0</v>
      </c>
      <c r="P14" s="3">
        <f>Analyzed!AJ15/Analyzed!$CR15</f>
        <v>0</v>
      </c>
      <c r="Q14" s="3">
        <f>Analyzed!AL15/Analyzed!$CR15</f>
        <v>0</v>
      </c>
      <c r="R14" s="3">
        <f>Analyzed!AN15/Analyzed!$CR15</f>
        <v>0</v>
      </c>
      <c r="S14" s="3">
        <f>Analyzed!AP15/Analyzed!$CR15</f>
        <v>0</v>
      </c>
      <c r="T14" s="3">
        <f>Analyzed!AR15/Analyzed!$CR15</f>
        <v>0</v>
      </c>
      <c r="U14" s="3">
        <f>Analyzed!AT15/Analyzed!$CR15</f>
        <v>0</v>
      </c>
      <c r="V14" s="3">
        <f>Analyzed!AV15/Analyzed!$CR15</f>
        <v>0</v>
      </c>
      <c r="W14" s="3">
        <f>Analyzed!AX15/Analyzed!$CR15</f>
        <v>0</v>
      </c>
      <c r="X14" s="3">
        <f>Analyzed!AZ15/Analyzed!$CR15</f>
        <v>0</v>
      </c>
      <c r="Y14" s="3">
        <f>Analyzed!BB15/Analyzed!$CR15</f>
        <v>0</v>
      </c>
      <c r="Z14" s="3">
        <f>Analyzed!BD15/Analyzed!$CR15</f>
        <v>0</v>
      </c>
      <c r="AA14" s="3">
        <f>Analyzed!BF15/Analyzed!$CR15</f>
        <v>0</v>
      </c>
    </row>
    <row r="15" spans="1:27" x14ac:dyDescent="0.25">
      <c r="A15" t="s">
        <v>85</v>
      </c>
      <c r="B15" s="3">
        <f>Analyzed!D16/Analyzed!$CR16</f>
        <v>0.83018867924528295</v>
      </c>
      <c r="C15" s="3">
        <f>Analyzed!F16/Analyzed!$CR16</f>
        <v>0.16037735849056606</v>
      </c>
      <c r="D15" s="3">
        <f>Analyzed!H16/Analyzed!$CR16</f>
        <v>0</v>
      </c>
      <c r="E15" s="3">
        <f>Analyzed!J16/Analyzed!$CR16</f>
        <v>0</v>
      </c>
      <c r="F15" s="3">
        <f>Analyzed!L16/Analyzed!$CR16</f>
        <v>0</v>
      </c>
      <c r="G15" s="3">
        <f>Analyzed!N16/Analyzed!$CR16</f>
        <v>0</v>
      </c>
      <c r="H15" s="3">
        <f>Analyzed!P16/Analyzed!$CR16</f>
        <v>0</v>
      </c>
      <c r="I15" s="3">
        <f>Analyzed!R16/Analyzed!$CR16</f>
        <v>0</v>
      </c>
      <c r="J15" s="3">
        <f>Analyzed!X16/Analyzed!$CR16</f>
        <v>9.433962264150943E-3</v>
      </c>
      <c r="K15" s="3">
        <f>Analyzed!Z16/Analyzed!$CR16</f>
        <v>0</v>
      </c>
      <c r="L15" s="3">
        <f>Analyzed!AB16/Analyzed!$CR16</f>
        <v>0</v>
      </c>
      <c r="M15" s="3">
        <f>Analyzed!AD16/Analyzed!$CR16</f>
        <v>0</v>
      </c>
      <c r="N15" s="3">
        <f>Analyzed!AF16/Analyzed!$CR16</f>
        <v>0</v>
      </c>
      <c r="O15" s="3">
        <f>Analyzed!AH16/Analyzed!$CR16</f>
        <v>0</v>
      </c>
      <c r="P15" s="3">
        <f>Analyzed!AJ16/Analyzed!$CR16</f>
        <v>0</v>
      </c>
      <c r="Q15" s="3">
        <f>Analyzed!AL16/Analyzed!$CR16</f>
        <v>0</v>
      </c>
      <c r="R15" s="3">
        <f>Analyzed!AN16/Analyzed!$CR16</f>
        <v>0</v>
      </c>
      <c r="S15" s="3">
        <f>Analyzed!AP16/Analyzed!$CR16</f>
        <v>0</v>
      </c>
      <c r="T15" s="3">
        <f>Analyzed!AR16/Analyzed!$CR16</f>
        <v>0</v>
      </c>
      <c r="U15" s="3">
        <f>Analyzed!AT16/Analyzed!$CR16</f>
        <v>0</v>
      </c>
      <c r="V15" s="3">
        <f>Analyzed!AV16/Analyzed!$CR16</f>
        <v>0</v>
      </c>
      <c r="W15" s="3">
        <f>Analyzed!AX16/Analyzed!$CR16</f>
        <v>0</v>
      </c>
      <c r="X15" s="3">
        <f>Analyzed!AZ16/Analyzed!$CR16</f>
        <v>0</v>
      </c>
      <c r="Y15" s="3">
        <f>Analyzed!BB16/Analyzed!$CR16</f>
        <v>0</v>
      </c>
      <c r="Z15" s="3">
        <f>Analyzed!BD16/Analyzed!$CR16</f>
        <v>0</v>
      </c>
      <c r="AA15" s="3">
        <f>Analyzed!BF16/Analyzed!$CR16</f>
        <v>0</v>
      </c>
    </row>
    <row r="16" spans="1:27" x14ac:dyDescent="0.25">
      <c r="A16" t="s">
        <v>86</v>
      </c>
      <c r="B16" s="3">
        <f>Analyzed!D17/Analyzed!$CR17</f>
        <v>0.9642857142857143</v>
      </c>
      <c r="C16" s="3">
        <f>Analyzed!F17/Analyzed!$CR17</f>
        <v>0</v>
      </c>
      <c r="D16" s="3">
        <f>Analyzed!H17/Analyzed!$CR17</f>
        <v>0</v>
      </c>
      <c r="E16" s="3">
        <f>Analyzed!J17/Analyzed!$CR17</f>
        <v>0</v>
      </c>
      <c r="F16" s="3">
        <f>Analyzed!L17/Analyzed!$CR17</f>
        <v>0</v>
      </c>
      <c r="G16" s="3">
        <f>Analyzed!N17/Analyzed!$CR17</f>
        <v>0</v>
      </c>
      <c r="H16" s="3">
        <f>Analyzed!P17/Analyzed!$CR17</f>
        <v>0</v>
      </c>
      <c r="I16" s="3">
        <f>Analyzed!R17/Analyzed!$CR17</f>
        <v>0</v>
      </c>
      <c r="J16" s="3">
        <f>Analyzed!X17/Analyzed!$CR17</f>
        <v>1.1904761904761906E-2</v>
      </c>
      <c r="K16" s="3">
        <f>Analyzed!Z17/Analyzed!$CR17</f>
        <v>0</v>
      </c>
      <c r="L16" s="3">
        <f>Analyzed!AB17/Analyzed!$CR17</f>
        <v>0</v>
      </c>
      <c r="M16" s="3">
        <f>Analyzed!AD17/Analyzed!$CR17</f>
        <v>0</v>
      </c>
      <c r="N16" s="3">
        <f>Analyzed!AF17/Analyzed!$CR17</f>
        <v>0</v>
      </c>
      <c r="O16" s="3">
        <f>Analyzed!AH17/Analyzed!$CR17</f>
        <v>0</v>
      </c>
      <c r="P16" s="3">
        <f>Analyzed!AJ17/Analyzed!$CR17</f>
        <v>0</v>
      </c>
      <c r="Q16" s="3">
        <f>Analyzed!AL17/Analyzed!$CR17</f>
        <v>2.3809523809523812E-2</v>
      </c>
      <c r="R16" s="3">
        <f>Analyzed!AN17/Analyzed!$CR17</f>
        <v>0</v>
      </c>
      <c r="S16" s="3">
        <f>Analyzed!AP17/Analyzed!$CR17</f>
        <v>0</v>
      </c>
      <c r="T16" s="3">
        <f>Analyzed!AR17/Analyzed!$CR17</f>
        <v>0</v>
      </c>
      <c r="U16" s="3">
        <f>Analyzed!AT17/Analyzed!$CR17</f>
        <v>0</v>
      </c>
      <c r="V16" s="3">
        <f>Analyzed!AV17/Analyzed!$CR17</f>
        <v>0</v>
      </c>
      <c r="W16" s="3">
        <f>Analyzed!AX17/Analyzed!$CR17</f>
        <v>0</v>
      </c>
      <c r="X16" s="3">
        <f>Analyzed!AZ17/Analyzed!$CR17</f>
        <v>0</v>
      </c>
      <c r="Y16" s="3">
        <f>Analyzed!BB17/Analyzed!$CR17</f>
        <v>0</v>
      </c>
      <c r="Z16" s="3">
        <f>Analyzed!BD17/Analyzed!$CR17</f>
        <v>0</v>
      </c>
      <c r="AA16" s="3">
        <f>Analyzed!BF17/Analyzed!$CR17</f>
        <v>0</v>
      </c>
    </row>
    <row r="17" spans="1:27" x14ac:dyDescent="0.25">
      <c r="A17" t="s">
        <v>90</v>
      </c>
      <c r="B17" s="3">
        <f>Analyzed!D18/Analyzed!$CR18</f>
        <v>0.6393442622950819</v>
      </c>
      <c r="C17" s="3">
        <f>Analyzed!F18/Analyzed!$CR18</f>
        <v>0.11475409836065574</v>
      </c>
      <c r="D17" s="3">
        <f>Analyzed!H18/Analyzed!$CR18</f>
        <v>0</v>
      </c>
      <c r="E17" s="3">
        <f>Analyzed!J18/Analyzed!$CR18</f>
        <v>0</v>
      </c>
      <c r="F17" s="3">
        <f>Analyzed!L18/Analyzed!$CR18</f>
        <v>0</v>
      </c>
      <c r="G17" s="3">
        <f>Analyzed!N18/Analyzed!$CR18</f>
        <v>0</v>
      </c>
      <c r="H17" s="3">
        <f>Analyzed!P18/Analyzed!$CR18</f>
        <v>1.6393442622950821E-2</v>
      </c>
      <c r="I17" s="3">
        <f>Analyzed!R18/Analyzed!$CR18</f>
        <v>0</v>
      </c>
      <c r="J17" s="3">
        <f>Analyzed!X18/Analyzed!$CR18</f>
        <v>8.1967213114754092E-2</v>
      </c>
      <c r="K17" s="3">
        <f>Analyzed!Z18/Analyzed!$CR18</f>
        <v>0</v>
      </c>
      <c r="L17" s="3">
        <f>Analyzed!AB18/Analyzed!$CR18</f>
        <v>0</v>
      </c>
      <c r="M17" s="3">
        <f>Analyzed!AD18/Analyzed!$CR18</f>
        <v>3.2786885245901641E-2</v>
      </c>
      <c r="N17" s="3">
        <f>Analyzed!AF18/Analyzed!$CR18</f>
        <v>0</v>
      </c>
      <c r="O17" s="3">
        <f>Analyzed!AH18/Analyzed!$CR18</f>
        <v>4.9180327868852458E-2</v>
      </c>
      <c r="P17" s="3">
        <f>Analyzed!AJ18/Analyzed!$CR18</f>
        <v>0</v>
      </c>
      <c r="Q17" s="3">
        <f>Analyzed!AL18/Analyzed!$CR18</f>
        <v>0</v>
      </c>
      <c r="R17" s="3">
        <f>Analyzed!AN18/Analyzed!$CR18</f>
        <v>0</v>
      </c>
      <c r="S17" s="3">
        <f>Analyzed!AP18/Analyzed!$CR18</f>
        <v>0</v>
      </c>
      <c r="T17" s="3">
        <f>Analyzed!AR18/Analyzed!$CR18</f>
        <v>0</v>
      </c>
      <c r="U17" s="3">
        <f>Analyzed!AT18/Analyzed!$CR18</f>
        <v>0</v>
      </c>
      <c r="V17" s="3">
        <f>Analyzed!AV18/Analyzed!$CR18</f>
        <v>0</v>
      </c>
      <c r="W17" s="3">
        <f>Analyzed!AX18/Analyzed!$CR18</f>
        <v>0</v>
      </c>
      <c r="X17" s="3">
        <f>Analyzed!AZ18/Analyzed!$CR18</f>
        <v>1.6393442622950821E-2</v>
      </c>
      <c r="Y17" s="3">
        <f>Analyzed!BB18/Analyzed!$CR18</f>
        <v>3.2786885245901641E-2</v>
      </c>
      <c r="Z17" s="3">
        <f>Analyzed!BD18/Analyzed!$CR18</f>
        <v>0</v>
      </c>
      <c r="AA17" s="3">
        <f>Analyzed!BF18/Analyzed!$CR18</f>
        <v>0</v>
      </c>
    </row>
    <row r="18" spans="1:27" x14ac:dyDescent="0.25">
      <c r="A18" t="s">
        <v>91</v>
      </c>
      <c r="B18" s="3">
        <f>Analyzed!D19/Analyzed!$CR19</f>
        <v>0.86466165413533835</v>
      </c>
      <c r="C18" s="3">
        <f>Analyzed!F19/Analyzed!$CR19</f>
        <v>6.7669172932330823E-2</v>
      </c>
      <c r="D18" s="3">
        <f>Analyzed!H19/Analyzed!$CR19</f>
        <v>0</v>
      </c>
      <c r="E18" s="3">
        <f>Analyzed!J19/Analyzed!$CR19</f>
        <v>0</v>
      </c>
      <c r="F18" s="3">
        <f>Analyzed!L19/Analyzed!$CR19</f>
        <v>0</v>
      </c>
      <c r="G18" s="3">
        <f>Analyzed!N19/Analyzed!$CR19</f>
        <v>0</v>
      </c>
      <c r="H18" s="3">
        <f>Analyzed!P19/Analyzed!$CR19</f>
        <v>1.5037593984962405E-2</v>
      </c>
      <c r="I18" s="3">
        <f>Analyzed!R19/Analyzed!$CR19</f>
        <v>0</v>
      </c>
      <c r="J18" s="3">
        <f>Analyzed!X19/Analyzed!$CR19</f>
        <v>4.5112781954887216E-2</v>
      </c>
      <c r="K18" s="3">
        <f>Analyzed!Z19/Analyzed!$CR19</f>
        <v>0</v>
      </c>
      <c r="L18" s="3">
        <f>Analyzed!AB19/Analyzed!$CR19</f>
        <v>0</v>
      </c>
      <c r="M18" s="3">
        <f>Analyzed!AD19/Analyzed!$CR19</f>
        <v>0</v>
      </c>
      <c r="N18" s="3">
        <f>Analyzed!AF19/Analyzed!$CR19</f>
        <v>0</v>
      </c>
      <c r="O18" s="3">
        <f>Analyzed!AH19/Analyzed!$CR19</f>
        <v>0</v>
      </c>
      <c r="P18" s="3">
        <f>Analyzed!AJ19/Analyzed!$CR19</f>
        <v>0</v>
      </c>
      <c r="Q18" s="3">
        <f>Analyzed!AL19/Analyzed!$CR19</f>
        <v>7.5187969924812026E-3</v>
      </c>
      <c r="R18" s="3">
        <f>Analyzed!AN19/Analyzed!$CR19</f>
        <v>0</v>
      </c>
      <c r="S18" s="3">
        <f>Analyzed!AP19/Analyzed!$CR19</f>
        <v>0</v>
      </c>
      <c r="T18" s="3">
        <f>Analyzed!AR19/Analyzed!$CR19</f>
        <v>0</v>
      </c>
      <c r="U18" s="3">
        <f>Analyzed!AT19/Analyzed!$CR19</f>
        <v>0</v>
      </c>
      <c r="V18" s="3">
        <f>Analyzed!AV19/Analyzed!$CR19</f>
        <v>0</v>
      </c>
      <c r="W18" s="3">
        <f>Analyzed!AX19/Analyzed!$CR19</f>
        <v>0</v>
      </c>
      <c r="X18" s="3">
        <f>Analyzed!AZ19/Analyzed!$CR19</f>
        <v>0</v>
      </c>
      <c r="Y18" s="3">
        <f>Analyzed!BB19/Analyzed!$CR19</f>
        <v>0</v>
      </c>
      <c r="Z18" s="3">
        <f>Analyzed!BD19/Analyzed!$CR19</f>
        <v>0</v>
      </c>
      <c r="AA18" s="3">
        <f>Analyzed!BF19/Analyzed!$CR19</f>
        <v>0</v>
      </c>
    </row>
    <row r="19" spans="1:27" x14ac:dyDescent="0.25">
      <c r="A19" t="s">
        <v>92</v>
      </c>
      <c r="B19" s="3">
        <f>Analyzed!D20/Analyzed!$CR20</f>
        <v>0.98333333333333328</v>
      </c>
      <c r="C19" s="3">
        <f>Analyzed!F20/Analyzed!$CR20</f>
        <v>0</v>
      </c>
      <c r="D19" s="3">
        <f>Analyzed!H20/Analyzed!$CR20</f>
        <v>0</v>
      </c>
      <c r="E19" s="3">
        <f>Analyzed!J20/Analyzed!$CR20</f>
        <v>0</v>
      </c>
      <c r="F19" s="3">
        <f>Analyzed!L20/Analyzed!$CR20</f>
        <v>0</v>
      </c>
      <c r="G19" s="3">
        <f>Analyzed!N20/Analyzed!$CR20</f>
        <v>0</v>
      </c>
      <c r="H19" s="3">
        <f>Analyzed!P20/Analyzed!$CR20</f>
        <v>0</v>
      </c>
      <c r="I19" s="3">
        <f>Analyzed!R20/Analyzed!$CR20</f>
        <v>0</v>
      </c>
      <c r="J19" s="3">
        <f>Analyzed!X20/Analyzed!$CR20</f>
        <v>8.3333333333333332E-3</v>
      </c>
      <c r="K19" s="3">
        <f>Analyzed!Z20/Analyzed!$CR20</f>
        <v>0</v>
      </c>
      <c r="L19" s="3">
        <f>Analyzed!AB20/Analyzed!$CR20</f>
        <v>0</v>
      </c>
      <c r="M19" s="3">
        <f>Analyzed!AD20/Analyzed!$CR20</f>
        <v>0</v>
      </c>
      <c r="N19" s="3">
        <f>Analyzed!AF20/Analyzed!$CR20</f>
        <v>0</v>
      </c>
      <c r="O19" s="3">
        <f>Analyzed!AH20/Analyzed!$CR20</f>
        <v>8.3333333333333332E-3</v>
      </c>
      <c r="P19" s="3">
        <f>Analyzed!AJ20/Analyzed!$CR20</f>
        <v>0</v>
      </c>
      <c r="Q19" s="3">
        <f>Analyzed!AL20/Analyzed!$CR20</f>
        <v>0</v>
      </c>
      <c r="R19" s="3">
        <f>Analyzed!AN20/Analyzed!$CR20</f>
        <v>0</v>
      </c>
      <c r="S19" s="3">
        <f>Analyzed!AP20/Analyzed!$CR20</f>
        <v>0</v>
      </c>
      <c r="T19" s="3">
        <f>Analyzed!AR20/Analyzed!$CR20</f>
        <v>0</v>
      </c>
      <c r="U19" s="3">
        <f>Analyzed!AT20/Analyzed!$CR20</f>
        <v>0</v>
      </c>
      <c r="V19" s="3">
        <f>Analyzed!AV20/Analyzed!$CR20</f>
        <v>0</v>
      </c>
      <c r="W19" s="3">
        <f>Analyzed!AX20/Analyzed!$CR20</f>
        <v>0</v>
      </c>
      <c r="X19" s="3">
        <f>Analyzed!AZ20/Analyzed!$CR20</f>
        <v>0</v>
      </c>
      <c r="Y19" s="3">
        <f>Analyzed!BB20/Analyzed!$CR20</f>
        <v>0</v>
      </c>
      <c r="Z19" s="3">
        <f>Analyzed!BD20/Analyzed!$CR20</f>
        <v>0</v>
      </c>
      <c r="AA19" s="3">
        <f>Analyzed!BF20/Analyzed!$CR20</f>
        <v>0</v>
      </c>
    </row>
    <row r="20" spans="1:27" x14ac:dyDescent="0.25">
      <c r="A20" t="s">
        <v>93</v>
      </c>
      <c r="B20" s="3">
        <f>Analyzed!D21/Analyzed!$CR21</f>
        <v>0.96703296703296704</v>
      </c>
      <c r="C20" s="3">
        <f>Analyzed!F21/Analyzed!$CR21</f>
        <v>0</v>
      </c>
      <c r="D20" s="3">
        <f>Analyzed!H21/Analyzed!$CR21</f>
        <v>0</v>
      </c>
      <c r="E20" s="3">
        <f>Analyzed!J21/Analyzed!$CR21</f>
        <v>0</v>
      </c>
      <c r="F20" s="3">
        <f>Analyzed!L21/Analyzed!$CR21</f>
        <v>0</v>
      </c>
      <c r="G20" s="3">
        <f>Analyzed!N21/Analyzed!$CR21</f>
        <v>0</v>
      </c>
      <c r="H20" s="3">
        <f>Analyzed!P21/Analyzed!$CR21</f>
        <v>0</v>
      </c>
      <c r="I20" s="3">
        <f>Analyzed!R21/Analyzed!$CR21</f>
        <v>0</v>
      </c>
      <c r="J20" s="3">
        <f>Analyzed!X21/Analyzed!$CR21</f>
        <v>2.197802197802198E-2</v>
      </c>
      <c r="K20" s="3">
        <f>Analyzed!Z21/Analyzed!$CR21</f>
        <v>0</v>
      </c>
      <c r="L20" s="3">
        <f>Analyzed!AB21/Analyzed!$CR21</f>
        <v>0</v>
      </c>
      <c r="M20" s="3">
        <f>Analyzed!AD21/Analyzed!$CR21</f>
        <v>0</v>
      </c>
      <c r="N20" s="3">
        <f>Analyzed!AF21/Analyzed!$CR21</f>
        <v>0</v>
      </c>
      <c r="O20" s="3">
        <f>Analyzed!AH21/Analyzed!$CR21</f>
        <v>0</v>
      </c>
      <c r="P20" s="3">
        <f>Analyzed!AJ21/Analyzed!$CR21</f>
        <v>0</v>
      </c>
      <c r="Q20" s="3">
        <f>Analyzed!AL21/Analyzed!$CR21</f>
        <v>1.098901098901099E-2</v>
      </c>
      <c r="R20" s="3">
        <f>Analyzed!AN21/Analyzed!$CR21</f>
        <v>0</v>
      </c>
      <c r="S20" s="3">
        <f>Analyzed!AP21/Analyzed!$CR21</f>
        <v>0</v>
      </c>
      <c r="T20" s="3">
        <f>Analyzed!AR21/Analyzed!$CR21</f>
        <v>0</v>
      </c>
      <c r="U20" s="3">
        <f>Analyzed!AT21/Analyzed!$CR21</f>
        <v>0</v>
      </c>
      <c r="V20" s="3">
        <f>Analyzed!AV21/Analyzed!$CR21</f>
        <v>0</v>
      </c>
      <c r="W20" s="3">
        <f>Analyzed!AX21/Analyzed!$CR21</f>
        <v>0</v>
      </c>
      <c r="X20" s="3">
        <f>Analyzed!AZ21/Analyzed!$CR21</f>
        <v>0</v>
      </c>
      <c r="Y20" s="3">
        <f>Analyzed!BB21/Analyzed!$CR21</f>
        <v>0</v>
      </c>
      <c r="Z20" s="3">
        <f>Analyzed!BD21/Analyzed!$CR21</f>
        <v>0</v>
      </c>
      <c r="AA20" s="3">
        <f>Analyzed!BF21/Analyzed!$CR21</f>
        <v>0</v>
      </c>
    </row>
    <row r="21" spans="1:27" x14ac:dyDescent="0.25">
      <c r="A21" t="s">
        <v>18</v>
      </c>
      <c r="B21" s="3">
        <f>Analyzed!D22/Analyzed!$CR22</f>
        <v>0.89787234042553188</v>
      </c>
      <c r="C21" s="3">
        <f>Analyzed!F22/Analyzed!$CR22</f>
        <v>5.106382978723404E-2</v>
      </c>
      <c r="D21" s="3">
        <f>Analyzed!H22/Analyzed!$CR22</f>
        <v>0</v>
      </c>
      <c r="E21" s="3">
        <f>Analyzed!J22/Analyzed!$CR22</f>
        <v>5.106382978723404E-2</v>
      </c>
      <c r="F21" s="3">
        <f>Analyzed!L22/Analyzed!$CR22</f>
        <v>0</v>
      </c>
      <c r="G21" s="3">
        <f>Analyzed!N22/Analyzed!$CR22</f>
        <v>0</v>
      </c>
      <c r="H21" s="3">
        <f>Analyzed!P22/Analyzed!$CR22</f>
        <v>0</v>
      </c>
      <c r="I21" s="3">
        <f>Analyzed!R22/Analyzed!$CR22</f>
        <v>0</v>
      </c>
      <c r="J21" s="3">
        <f>Analyzed!X22/Analyzed!$CR22</f>
        <v>0</v>
      </c>
      <c r="K21" s="3">
        <f>Analyzed!Z22/Analyzed!$CR22</f>
        <v>0</v>
      </c>
      <c r="L21" s="3">
        <f>Analyzed!AB22/Analyzed!$CR22</f>
        <v>0</v>
      </c>
      <c r="M21" s="3">
        <f>Analyzed!AD22/Analyzed!$CR22</f>
        <v>0</v>
      </c>
      <c r="N21" s="3">
        <f>Analyzed!AF22/Analyzed!$CR22</f>
        <v>0</v>
      </c>
      <c r="O21" s="3">
        <f>Analyzed!AH22/Analyzed!$CR22</f>
        <v>0</v>
      </c>
      <c r="P21" s="3">
        <f>Analyzed!AJ22/Analyzed!$CR22</f>
        <v>0</v>
      </c>
      <c r="Q21" s="3">
        <f>Analyzed!AL22/Analyzed!$CR22</f>
        <v>0</v>
      </c>
      <c r="R21" s="3">
        <f>Analyzed!AN22/Analyzed!$CR22</f>
        <v>0</v>
      </c>
      <c r="S21" s="3">
        <f>Analyzed!AP22/Analyzed!$CR22</f>
        <v>0</v>
      </c>
      <c r="T21" s="3">
        <f>Analyzed!AR22/Analyzed!$CR22</f>
        <v>0</v>
      </c>
      <c r="U21" s="3">
        <f>Analyzed!AT22/Analyzed!$CR22</f>
        <v>0</v>
      </c>
      <c r="V21" s="3">
        <f>Analyzed!AV22/Analyzed!$CR22</f>
        <v>0</v>
      </c>
      <c r="W21" s="3">
        <f>Analyzed!AX22/Analyzed!$CR22</f>
        <v>0</v>
      </c>
      <c r="X21" s="3">
        <f>Analyzed!AZ22/Analyzed!$CR22</f>
        <v>0</v>
      </c>
      <c r="Y21" s="3">
        <f>Analyzed!BB22/Analyzed!$CR22</f>
        <v>0</v>
      </c>
      <c r="Z21" s="3">
        <f>Analyzed!BD22/Analyzed!$CR22</f>
        <v>0</v>
      </c>
      <c r="AA21" s="3">
        <f>Analyzed!BF22/Analyzed!$CR22</f>
        <v>0</v>
      </c>
    </row>
    <row r="22" spans="1:27" x14ac:dyDescent="0.25">
      <c r="A22" t="s">
        <v>19</v>
      </c>
      <c r="B22" s="3">
        <f>Analyzed!D23/Analyzed!$CR23</f>
        <v>0.66433566433566438</v>
      </c>
      <c r="C22" s="3">
        <f>Analyzed!F23/Analyzed!$CR23</f>
        <v>0.26573426573426573</v>
      </c>
      <c r="D22" s="3">
        <f>Analyzed!H23/Analyzed!$CR23</f>
        <v>0</v>
      </c>
      <c r="E22" s="3">
        <f>Analyzed!J23/Analyzed!$CR23</f>
        <v>0</v>
      </c>
      <c r="F22" s="3">
        <f>Analyzed!L23/Analyzed!$CR23</f>
        <v>0</v>
      </c>
      <c r="G22" s="3">
        <f>Analyzed!N23/Analyzed!$CR23</f>
        <v>0</v>
      </c>
      <c r="H22" s="3">
        <f>Analyzed!P23/Analyzed!$CR23</f>
        <v>6.2937062937062943E-2</v>
      </c>
      <c r="I22" s="3">
        <f>Analyzed!R23/Analyzed!$CR23</f>
        <v>0</v>
      </c>
      <c r="J22" s="3">
        <f>Analyzed!X23/Analyzed!$CR23</f>
        <v>0</v>
      </c>
      <c r="K22" s="3">
        <f>Analyzed!Z23/Analyzed!$CR23</f>
        <v>0</v>
      </c>
      <c r="L22" s="3">
        <f>Analyzed!AB23/Analyzed!$CR23</f>
        <v>0</v>
      </c>
      <c r="M22" s="3">
        <f>Analyzed!AD23/Analyzed!$CR23</f>
        <v>0</v>
      </c>
      <c r="N22" s="3">
        <f>Analyzed!AF23/Analyzed!$CR23</f>
        <v>0</v>
      </c>
      <c r="O22" s="3">
        <f>Analyzed!AH23/Analyzed!$CR23</f>
        <v>0</v>
      </c>
      <c r="P22" s="3">
        <f>Analyzed!AJ23/Analyzed!$CR23</f>
        <v>0</v>
      </c>
      <c r="Q22" s="3">
        <f>Analyzed!AL23/Analyzed!$CR23</f>
        <v>6.9930069930069939E-3</v>
      </c>
      <c r="R22" s="3">
        <f>Analyzed!AN23/Analyzed!$CR23</f>
        <v>0</v>
      </c>
      <c r="S22" s="3">
        <f>Analyzed!AP23/Analyzed!$CR23</f>
        <v>0</v>
      </c>
      <c r="T22" s="3">
        <f>Analyzed!AR23/Analyzed!$CR23</f>
        <v>0</v>
      </c>
      <c r="U22" s="3">
        <f>Analyzed!AT23/Analyzed!$CR23</f>
        <v>0</v>
      </c>
      <c r="V22" s="3">
        <f>Analyzed!AV23/Analyzed!$CR23</f>
        <v>0</v>
      </c>
      <c r="W22" s="3">
        <f>Analyzed!AX23/Analyzed!$CR23</f>
        <v>0</v>
      </c>
      <c r="X22" s="3">
        <f>Analyzed!AZ23/Analyzed!$CR23</f>
        <v>0</v>
      </c>
      <c r="Y22" s="3">
        <f>Analyzed!BB23/Analyzed!$CR23</f>
        <v>0</v>
      </c>
      <c r="Z22" s="3">
        <f>Analyzed!BD23/Analyzed!$CR23</f>
        <v>0</v>
      </c>
      <c r="AA22" s="3">
        <f>Analyzed!BF23/Analyzed!$CR23</f>
        <v>0</v>
      </c>
    </row>
    <row r="23" spans="1:27" x14ac:dyDescent="0.25">
      <c r="A23" t="s">
        <v>20</v>
      </c>
      <c r="B23" s="3">
        <f>Analyzed!D24/Analyzed!$CR24</f>
        <v>0.52592592592592591</v>
      </c>
      <c r="C23" s="3">
        <f>Analyzed!F24/Analyzed!$CR24</f>
        <v>0.3925925925925926</v>
      </c>
      <c r="D23" s="3">
        <f>Analyzed!H24/Analyzed!$CR24</f>
        <v>0</v>
      </c>
      <c r="E23" s="3">
        <f>Analyzed!J24/Analyzed!$CR24</f>
        <v>7.4074074074074086E-3</v>
      </c>
      <c r="F23" s="3">
        <f>Analyzed!L24/Analyzed!$CR24</f>
        <v>0</v>
      </c>
      <c r="G23" s="3">
        <f>Analyzed!N24/Analyzed!$CR24</f>
        <v>0</v>
      </c>
      <c r="H23" s="3">
        <f>Analyzed!P24/Analyzed!$CR24</f>
        <v>5.9259259259259268E-2</v>
      </c>
      <c r="I23" s="3">
        <f>Analyzed!R24/Analyzed!$CR24</f>
        <v>0</v>
      </c>
      <c r="J23" s="3">
        <f>Analyzed!X24/Analyzed!$CR24</f>
        <v>7.4074074074074086E-3</v>
      </c>
      <c r="K23" s="3">
        <f>Analyzed!Z24/Analyzed!$CR24</f>
        <v>0</v>
      </c>
      <c r="L23" s="3">
        <f>Analyzed!AB24/Analyzed!$CR24</f>
        <v>0</v>
      </c>
      <c r="M23" s="3">
        <f>Analyzed!AD24/Analyzed!$CR24</f>
        <v>0</v>
      </c>
      <c r="N23" s="3">
        <f>Analyzed!AF24/Analyzed!$CR24</f>
        <v>0</v>
      </c>
      <c r="O23" s="3">
        <f>Analyzed!AH24/Analyzed!$CR24</f>
        <v>7.4074074074074086E-3</v>
      </c>
      <c r="P23" s="3">
        <f>Analyzed!AJ24/Analyzed!$CR24</f>
        <v>0</v>
      </c>
      <c r="Q23" s="3">
        <f>Analyzed!AL24/Analyzed!$CR24</f>
        <v>0</v>
      </c>
      <c r="R23" s="3">
        <f>Analyzed!AN24/Analyzed!$CR24</f>
        <v>0</v>
      </c>
      <c r="S23" s="3">
        <f>Analyzed!AP24/Analyzed!$CR24</f>
        <v>0</v>
      </c>
      <c r="T23" s="3">
        <f>Analyzed!AR24/Analyzed!$CR24</f>
        <v>0</v>
      </c>
      <c r="U23" s="3">
        <f>Analyzed!AT24/Analyzed!$CR24</f>
        <v>0</v>
      </c>
      <c r="V23" s="3">
        <f>Analyzed!AV24/Analyzed!$CR24</f>
        <v>0</v>
      </c>
      <c r="W23" s="3">
        <f>Analyzed!AX24/Analyzed!$CR24</f>
        <v>0</v>
      </c>
      <c r="X23" s="3">
        <f>Analyzed!AZ24/Analyzed!$CR24</f>
        <v>0</v>
      </c>
      <c r="Y23" s="3">
        <f>Analyzed!BB24/Analyzed!$CR24</f>
        <v>0</v>
      </c>
      <c r="Z23" s="3">
        <f>Analyzed!BD24/Analyzed!$CR24</f>
        <v>0</v>
      </c>
      <c r="AA23" s="3">
        <f>Analyzed!BF24/Analyzed!$CR24</f>
        <v>0</v>
      </c>
    </row>
    <row r="24" spans="1:27" x14ac:dyDescent="0.25">
      <c r="A24" t="s">
        <v>21</v>
      </c>
      <c r="B24" s="3">
        <f>Analyzed!D25/Analyzed!$CR25</f>
        <v>0.44210526315789472</v>
      </c>
      <c r="C24" s="3">
        <f>Analyzed!F25/Analyzed!$CR25</f>
        <v>0.33684210526315789</v>
      </c>
      <c r="D24" s="3">
        <f>Analyzed!H25/Analyzed!$CR25</f>
        <v>1.0526315789473684E-2</v>
      </c>
      <c r="E24" s="3">
        <f>Analyzed!J25/Analyzed!$CR25</f>
        <v>0</v>
      </c>
      <c r="F24" s="3">
        <f>Analyzed!L25/Analyzed!$CR25</f>
        <v>0</v>
      </c>
      <c r="G24" s="3">
        <f>Analyzed!N25/Analyzed!$CR25</f>
        <v>0</v>
      </c>
      <c r="H24" s="3">
        <f>Analyzed!P25/Analyzed!$CR25</f>
        <v>0.18947368421052629</v>
      </c>
      <c r="I24" s="3">
        <f>Analyzed!R25/Analyzed!$CR25</f>
        <v>0</v>
      </c>
      <c r="J24" s="3">
        <f>Analyzed!X25/Analyzed!$CR25</f>
        <v>0</v>
      </c>
      <c r="K24" s="3">
        <f>Analyzed!Z25/Analyzed!$CR25</f>
        <v>0</v>
      </c>
      <c r="L24" s="3">
        <f>Analyzed!AB25/Analyzed!$CR25</f>
        <v>0</v>
      </c>
      <c r="M24" s="3">
        <f>Analyzed!AD25/Analyzed!$CR25</f>
        <v>0</v>
      </c>
      <c r="N24" s="3">
        <f>Analyzed!AF25/Analyzed!$CR25</f>
        <v>1.0526315789473684E-2</v>
      </c>
      <c r="O24" s="3">
        <f>Analyzed!AH25/Analyzed!$CR25</f>
        <v>0</v>
      </c>
      <c r="P24" s="3">
        <f>Analyzed!AJ25/Analyzed!$CR25</f>
        <v>1.0526315789473684E-2</v>
      </c>
      <c r="Q24" s="3">
        <f>Analyzed!AL25/Analyzed!$CR25</f>
        <v>0</v>
      </c>
      <c r="R24" s="3">
        <f>Analyzed!AN25/Analyzed!$CR25</f>
        <v>0</v>
      </c>
      <c r="S24" s="3">
        <f>Analyzed!AP25/Analyzed!$CR25</f>
        <v>0</v>
      </c>
      <c r="T24" s="3">
        <f>Analyzed!AR25/Analyzed!$CR25</f>
        <v>0</v>
      </c>
      <c r="U24" s="3">
        <f>Analyzed!AT25/Analyzed!$CR25</f>
        <v>0</v>
      </c>
      <c r="V24" s="3">
        <f>Analyzed!AV25/Analyzed!$CR25</f>
        <v>0</v>
      </c>
      <c r="W24" s="3">
        <f>Analyzed!AX25/Analyzed!$CR25</f>
        <v>0</v>
      </c>
      <c r="X24" s="3">
        <f>Analyzed!AZ25/Analyzed!$CR25</f>
        <v>0</v>
      </c>
      <c r="Y24" s="3">
        <f>Analyzed!BB25/Analyzed!$CR25</f>
        <v>0</v>
      </c>
      <c r="Z24" s="3">
        <f>Analyzed!BD25/Analyzed!$CR25</f>
        <v>0</v>
      </c>
      <c r="AA24" s="3">
        <f>Analyzed!BF25/Analyzed!$CR25</f>
        <v>0</v>
      </c>
    </row>
    <row r="25" spans="1:27" x14ac:dyDescent="0.25">
      <c r="A25" t="s">
        <v>22</v>
      </c>
      <c r="B25" s="3">
        <f>Analyzed!D26/Analyzed!$CR26</f>
        <v>0.46226415094339623</v>
      </c>
      <c r="C25" s="3">
        <f>Analyzed!F26/Analyzed!$CR26</f>
        <v>9.433962264150943E-3</v>
      </c>
      <c r="D25" s="3">
        <f>Analyzed!H26/Analyzed!$CR26</f>
        <v>0</v>
      </c>
      <c r="E25" s="3">
        <f>Analyzed!J26/Analyzed!$CR26</f>
        <v>0</v>
      </c>
      <c r="F25" s="3">
        <f>Analyzed!L26/Analyzed!$CR26</f>
        <v>0</v>
      </c>
      <c r="G25" s="3">
        <f>Analyzed!N26/Analyzed!$CR26</f>
        <v>0</v>
      </c>
      <c r="H25" s="3">
        <f>Analyzed!P26/Analyzed!$CR26</f>
        <v>0.44339622641509435</v>
      </c>
      <c r="I25" s="3">
        <f>Analyzed!R26/Analyzed!$CR26</f>
        <v>0</v>
      </c>
      <c r="J25" s="3">
        <f>Analyzed!X26/Analyzed!$CR26</f>
        <v>7.5471698113207544E-2</v>
      </c>
      <c r="K25" s="3">
        <f>Analyzed!Z26/Analyzed!$CR26</f>
        <v>0</v>
      </c>
      <c r="L25" s="3">
        <f>Analyzed!AB26/Analyzed!$CR26</f>
        <v>0</v>
      </c>
      <c r="M25" s="3">
        <f>Analyzed!AD26/Analyzed!$CR26</f>
        <v>0</v>
      </c>
      <c r="N25" s="3">
        <f>Analyzed!AF26/Analyzed!$CR26</f>
        <v>0</v>
      </c>
      <c r="O25" s="3">
        <f>Analyzed!AH26/Analyzed!$CR26</f>
        <v>0</v>
      </c>
      <c r="P25" s="3">
        <f>Analyzed!AJ26/Analyzed!$CR26</f>
        <v>0</v>
      </c>
      <c r="Q25" s="3">
        <f>Analyzed!AL26/Analyzed!$CR26</f>
        <v>9.433962264150943E-3</v>
      </c>
      <c r="R25" s="3">
        <f>Analyzed!AN26/Analyzed!$CR26</f>
        <v>0</v>
      </c>
      <c r="S25" s="3">
        <f>Analyzed!AP26/Analyzed!$CR26</f>
        <v>0</v>
      </c>
      <c r="T25" s="3">
        <f>Analyzed!AR26/Analyzed!$CR26</f>
        <v>0</v>
      </c>
      <c r="U25" s="3">
        <f>Analyzed!AT26/Analyzed!$CR26</f>
        <v>0</v>
      </c>
      <c r="V25" s="3">
        <f>Analyzed!AV26/Analyzed!$CR26</f>
        <v>0</v>
      </c>
      <c r="W25" s="3">
        <f>Analyzed!AX26/Analyzed!$CR26</f>
        <v>0</v>
      </c>
      <c r="X25" s="3">
        <f>Analyzed!AZ26/Analyzed!$CR26</f>
        <v>0</v>
      </c>
      <c r="Y25" s="3">
        <f>Analyzed!BB26/Analyzed!$CR26</f>
        <v>0</v>
      </c>
      <c r="Z25" s="3">
        <f>Analyzed!BD26/Analyzed!$CR26</f>
        <v>0</v>
      </c>
      <c r="AA25" s="3">
        <f>Analyzed!BF26/Analyzed!$CR26</f>
        <v>0</v>
      </c>
    </row>
    <row r="26" spans="1:27" x14ac:dyDescent="0.25">
      <c r="A26" t="s">
        <v>23</v>
      </c>
      <c r="B26" s="3">
        <f>Analyzed!D27/Analyzed!$CR27</f>
        <v>9.5000000000000001E-2</v>
      </c>
      <c r="C26" s="3">
        <f>Analyzed!F27/Analyzed!$CR27</f>
        <v>4.9999999999999996E-2</v>
      </c>
      <c r="D26" s="3">
        <f>Analyzed!H27/Analyzed!$CR27</f>
        <v>0</v>
      </c>
      <c r="E26" s="3">
        <f>Analyzed!J27/Analyzed!$CR27</f>
        <v>0</v>
      </c>
      <c r="F26" s="3">
        <f>Analyzed!L27/Analyzed!$CR27</f>
        <v>0</v>
      </c>
      <c r="G26" s="3">
        <f>Analyzed!N27/Analyzed!$CR27</f>
        <v>0</v>
      </c>
      <c r="H26" s="3">
        <f>Analyzed!P27/Analyzed!$CR27</f>
        <v>0.64500000000000002</v>
      </c>
      <c r="I26" s="3">
        <f>Analyzed!R27/Analyzed!$CR27</f>
        <v>0</v>
      </c>
      <c r="J26" s="3">
        <f>Analyzed!X27/Analyzed!$CR27</f>
        <v>0.19499999999999998</v>
      </c>
      <c r="K26" s="3">
        <f>Analyzed!Z27/Analyzed!$CR27</f>
        <v>0</v>
      </c>
      <c r="L26" s="3">
        <f>Analyzed!AB27/Analyzed!$CR27</f>
        <v>0</v>
      </c>
      <c r="M26" s="3">
        <f>Analyzed!AD27/Analyzed!$CR27</f>
        <v>0</v>
      </c>
      <c r="N26" s="3">
        <f>Analyzed!AF27/Analyzed!$CR27</f>
        <v>5.0000000000000001E-3</v>
      </c>
      <c r="O26" s="3">
        <f>Analyzed!AH27/Analyzed!$CR27</f>
        <v>0.01</v>
      </c>
      <c r="P26" s="3">
        <f>Analyzed!AJ27/Analyzed!$CR27</f>
        <v>0</v>
      </c>
      <c r="Q26" s="3">
        <f>Analyzed!AL27/Analyzed!$CR27</f>
        <v>0</v>
      </c>
      <c r="R26" s="3">
        <f>Analyzed!AN27/Analyzed!$CR27</f>
        <v>0</v>
      </c>
      <c r="S26" s="3">
        <f>Analyzed!AP27/Analyzed!$CR27</f>
        <v>0</v>
      </c>
      <c r="T26" s="3">
        <f>Analyzed!AR27/Analyzed!$CR27</f>
        <v>0</v>
      </c>
      <c r="U26" s="3">
        <f>Analyzed!AT27/Analyzed!$CR27</f>
        <v>0</v>
      </c>
      <c r="V26" s="3">
        <f>Analyzed!AV27/Analyzed!$CR27</f>
        <v>0</v>
      </c>
      <c r="W26" s="3">
        <f>Analyzed!AX27/Analyzed!$CR27</f>
        <v>0</v>
      </c>
      <c r="X26" s="3">
        <f>Analyzed!AZ27/Analyzed!$CR27</f>
        <v>0</v>
      </c>
      <c r="Y26" s="3">
        <f>Analyzed!BB27/Analyzed!$CR27</f>
        <v>0</v>
      </c>
      <c r="Z26" s="3">
        <f>Analyzed!BD27/Analyzed!$CR27</f>
        <v>0</v>
      </c>
      <c r="AA26" s="3">
        <f>Analyzed!BF27/Analyzed!$CR27</f>
        <v>0</v>
      </c>
    </row>
    <row r="27" spans="1:27" x14ac:dyDescent="0.25">
      <c r="A27" t="s">
        <v>24</v>
      </c>
      <c r="B27" s="3">
        <f>Analyzed!D28/Analyzed!$CR28</f>
        <v>0.67037037037037028</v>
      </c>
      <c r="C27" s="3">
        <f>Analyzed!F28/Analyzed!$CR28</f>
        <v>5.185185185185185E-2</v>
      </c>
      <c r="D27" s="3">
        <f>Analyzed!H28/Analyzed!$CR28</f>
        <v>0</v>
      </c>
      <c r="E27" s="3">
        <f>Analyzed!J28/Analyzed!$CR28</f>
        <v>0</v>
      </c>
      <c r="F27" s="3">
        <f>Analyzed!L28/Analyzed!$CR28</f>
        <v>0</v>
      </c>
      <c r="G27" s="3">
        <f>Analyzed!N28/Analyzed!$CR28</f>
        <v>0</v>
      </c>
      <c r="H27" s="3">
        <f>Analyzed!P28/Analyzed!$CR28</f>
        <v>0.21111111111111111</v>
      </c>
      <c r="I27" s="3">
        <f>Analyzed!R28/Analyzed!$CR28</f>
        <v>0</v>
      </c>
      <c r="J27" s="3">
        <f>Analyzed!X28/Analyzed!$CR28</f>
        <v>5.185185185185185E-2</v>
      </c>
      <c r="K27" s="3">
        <f>Analyzed!Z28/Analyzed!$CR28</f>
        <v>0</v>
      </c>
      <c r="L27" s="3">
        <f>Analyzed!AB28/Analyzed!$CR28</f>
        <v>0</v>
      </c>
      <c r="M27" s="3">
        <f>Analyzed!AD28/Analyzed!$CR28</f>
        <v>0</v>
      </c>
      <c r="N27" s="3">
        <f>Analyzed!AF28/Analyzed!$CR28</f>
        <v>0</v>
      </c>
      <c r="O27" s="3">
        <f>Analyzed!AH28/Analyzed!$CR28</f>
        <v>1.111111111111111E-2</v>
      </c>
      <c r="P27" s="3">
        <f>Analyzed!AJ28/Analyzed!$CR28</f>
        <v>0</v>
      </c>
      <c r="Q27" s="3">
        <f>Analyzed!AL28/Analyzed!$CR28</f>
        <v>3.7037037037037038E-3</v>
      </c>
      <c r="R27" s="3">
        <f>Analyzed!AN28/Analyzed!$CR28</f>
        <v>0</v>
      </c>
      <c r="S27" s="3">
        <f>Analyzed!AP28/Analyzed!$CR28</f>
        <v>0</v>
      </c>
      <c r="T27" s="3">
        <f>Analyzed!AR28/Analyzed!$CR28</f>
        <v>0</v>
      </c>
      <c r="U27" s="3">
        <f>Analyzed!AT28/Analyzed!$CR28</f>
        <v>0</v>
      </c>
      <c r="V27" s="3">
        <f>Analyzed!AV28/Analyzed!$CR28</f>
        <v>0</v>
      </c>
      <c r="W27" s="3">
        <f>Analyzed!AX28/Analyzed!$CR28</f>
        <v>0</v>
      </c>
      <c r="X27" s="3">
        <f>Analyzed!AZ28/Analyzed!$CR28</f>
        <v>0</v>
      </c>
      <c r="Y27" s="3">
        <f>Analyzed!BB28/Analyzed!$CR28</f>
        <v>0</v>
      </c>
      <c r="Z27" s="3">
        <f>Analyzed!BD28/Analyzed!$CR28</f>
        <v>0</v>
      </c>
      <c r="AA27" s="3">
        <f>Analyzed!BF28/Analyzed!$CR28</f>
        <v>0</v>
      </c>
    </row>
    <row r="28" spans="1:27" x14ac:dyDescent="0.25">
      <c r="A28" t="s">
        <v>63</v>
      </c>
      <c r="B28" s="3">
        <f>Analyzed!D29/Analyzed!$CR29</f>
        <v>0.65714285714285714</v>
      </c>
      <c r="C28" s="3">
        <f>Analyzed!F29/Analyzed!$CR29</f>
        <v>0</v>
      </c>
      <c r="D28" s="3">
        <f>Analyzed!H29/Analyzed!$CR29</f>
        <v>0</v>
      </c>
      <c r="E28" s="3">
        <f>Analyzed!J29/Analyzed!$CR29</f>
        <v>0</v>
      </c>
      <c r="F28" s="3">
        <f>Analyzed!L29/Analyzed!$CR29</f>
        <v>0</v>
      </c>
      <c r="G28" s="3">
        <f>Analyzed!N29/Analyzed!$CR29</f>
        <v>0</v>
      </c>
      <c r="H28" s="3">
        <f>Analyzed!P29/Analyzed!$CR29</f>
        <v>0.17142857142857143</v>
      </c>
      <c r="I28" s="3">
        <f>Analyzed!R29/Analyzed!$CR29</f>
        <v>0</v>
      </c>
      <c r="J28" s="3">
        <f>Analyzed!X29/Analyzed!$CR29</f>
        <v>0</v>
      </c>
      <c r="K28" s="3">
        <f>Analyzed!Z29/Analyzed!$CR29</f>
        <v>0</v>
      </c>
      <c r="L28" s="3">
        <f>Analyzed!AB29/Analyzed!$CR29</f>
        <v>0</v>
      </c>
      <c r="M28" s="3">
        <f>Analyzed!AD29/Analyzed!$CR29</f>
        <v>0</v>
      </c>
      <c r="N28" s="3">
        <f>Analyzed!AF29/Analyzed!$CR29</f>
        <v>0</v>
      </c>
      <c r="O28" s="3">
        <f>Analyzed!AH29/Analyzed!$CR29</f>
        <v>0.17142857142857143</v>
      </c>
      <c r="P28" s="3">
        <f>Analyzed!AJ29/Analyzed!$CR29</f>
        <v>0</v>
      </c>
      <c r="Q28" s="3">
        <f>Analyzed!AL29/Analyzed!$CR29</f>
        <v>0</v>
      </c>
      <c r="R28" s="3">
        <f>Analyzed!AN29/Analyzed!$CR29</f>
        <v>0</v>
      </c>
      <c r="S28" s="3">
        <f>Analyzed!AP29/Analyzed!$CR29</f>
        <v>0</v>
      </c>
      <c r="T28" s="3">
        <f>Analyzed!AR29/Analyzed!$CR29</f>
        <v>0</v>
      </c>
      <c r="U28" s="3">
        <f>Analyzed!AT29/Analyzed!$CR29</f>
        <v>0</v>
      </c>
      <c r="V28" s="3">
        <f>Analyzed!AV29/Analyzed!$CR29</f>
        <v>0</v>
      </c>
      <c r="W28" s="3">
        <f>Analyzed!AX29/Analyzed!$CR29</f>
        <v>0</v>
      </c>
      <c r="X28" s="3">
        <f>Analyzed!AZ29/Analyzed!$CR29</f>
        <v>0</v>
      </c>
      <c r="Y28" s="3">
        <f>Analyzed!BB29/Analyzed!$CR29</f>
        <v>0</v>
      </c>
      <c r="Z28" s="3">
        <f>Analyzed!BD29/Analyzed!$CR29</f>
        <v>0</v>
      </c>
      <c r="AA28" s="3">
        <f>Analyzed!BF29/Analyzed!$CR29</f>
        <v>0</v>
      </c>
    </row>
    <row r="29" spans="1:27" x14ac:dyDescent="0.25">
      <c r="A29" t="s">
        <v>64</v>
      </c>
      <c r="B29" s="3">
        <f>Analyzed!D30/Analyzed!$CR30</f>
        <v>0.6</v>
      </c>
      <c r="C29" s="3">
        <f>Analyzed!F30/Analyzed!$CR30</f>
        <v>0</v>
      </c>
      <c r="D29" s="3">
        <f>Analyzed!H30/Analyzed!$CR30</f>
        <v>0</v>
      </c>
      <c r="E29" s="3">
        <f>Analyzed!J30/Analyzed!$CR30</f>
        <v>0</v>
      </c>
      <c r="F29" s="3">
        <f>Analyzed!L30/Analyzed!$CR30</f>
        <v>0</v>
      </c>
      <c r="G29" s="3">
        <f>Analyzed!N30/Analyzed!$CR30</f>
        <v>0</v>
      </c>
      <c r="H29" s="3">
        <f>Analyzed!P30/Analyzed!$CR30</f>
        <v>0.26666666666666666</v>
      </c>
      <c r="I29" s="3">
        <f>Analyzed!R30/Analyzed!$CR30</f>
        <v>0</v>
      </c>
      <c r="J29" s="3">
        <f>Analyzed!X30/Analyzed!$CR30</f>
        <v>0.13333333333333333</v>
      </c>
      <c r="K29" s="3">
        <f>Analyzed!Z30/Analyzed!$CR30</f>
        <v>0</v>
      </c>
      <c r="L29" s="3">
        <f>Analyzed!AB30/Analyzed!$CR30</f>
        <v>0</v>
      </c>
      <c r="M29" s="3">
        <f>Analyzed!AD30/Analyzed!$CR30</f>
        <v>0</v>
      </c>
      <c r="N29" s="3">
        <f>Analyzed!AF30/Analyzed!$CR30</f>
        <v>0</v>
      </c>
      <c r="O29" s="3">
        <f>Analyzed!AH30/Analyzed!$CR30</f>
        <v>0</v>
      </c>
      <c r="P29" s="3">
        <f>Analyzed!AJ30/Analyzed!$CR30</f>
        <v>0</v>
      </c>
      <c r="Q29" s="3">
        <f>Analyzed!AL30/Analyzed!$CR30</f>
        <v>0</v>
      </c>
      <c r="R29" s="3">
        <f>Analyzed!AN30/Analyzed!$CR30</f>
        <v>0</v>
      </c>
      <c r="S29" s="3">
        <f>Analyzed!AP30/Analyzed!$CR30</f>
        <v>0</v>
      </c>
      <c r="T29" s="3">
        <f>Analyzed!AR30/Analyzed!$CR30</f>
        <v>0</v>
      </c>
      <c r="U29" s="3">
        <f>Analyzed!AT30/Analyzed!$CR30</f>
        <v>0</v>
      </c>
      <c r="V29" s="3">
        <f>Analyzed!AV30/Analyzed!$CR30</f>
        <v>0</v>
      </c>
      <c r="W29" s="3">
        <f>Analyzed!AX30/Analyzed!$CR30</f>
        <v>0</v>
      </c>
      <c r="X29" s="3">
        <f>Analyzed!AZ30/Analyzed!$CR30</f>
        <v>0</v>
      </c>
      <c r="Y29" s="3">
        <f>Analyzed!BB30/Analyzed!$CR30</f>
        <v>0</v>
      </c>
      <c r="Z29" s="3">
        <f>Analyzed!BD30/Analyzed!$CR30</f>
        <v>0</v>
      </c>
      <c r="AA29" s="3">
        <f>Analyzed!BF30/Analyzed!$CR30</f>
        <v>0</v>
      </c>
    </row>
    <row r="30" spans="1:27" x14ac:dyDescent="0.25">
      <c r="A30" t="s">
        <v>65</v>
      </c>
      <c r="B30" s="3">
        <f>Analyzed!D31/Analyzed!$CR31</f>
        <v>0.25842696629213485</v>
      </c>
      <c r="C30" s="3">
        <f>Analyzed!F31/Analyzed!$CR31</f>
        <v>0.17977528089887643</v>
      </c>
      <c r="D30" s="3">
        <f>Analyzed!H31/Analyzed!$CR31</f>
        <v>0</v>
      </c>
      <c r="E30" s="3">
        <f>Analyzed!J31/Analyzed!$CR31</f>
        <v>0</v>
      </c>
      <c r="F30" s="3">
        <f>Analyzed!L31/Analyzed!$CR31</f>
        <v>0</v>
      </c>
      <c r="G30" s="3">
        <f>Analyzed!N31/Analyzed!$CR31</f>
        <v>0</v>
      </c>
      <c r="H30" s="3">
        <f>Analyzed!P31/Analyzed!$CR31</f>
        <v>0.2247191011235955</v>
      </c>
      <c r="I30" s="3">
        <f>Analyzed!R31/Analyzed!$CR31</f>
        <v>0</v>
      </c>
      <c r="J30" s="3">
        <f>Analyzed!X31/Analyzed!$CR31</f>
        <v>0.3146067415730337</v>
      </c>
      <c r="K30" s="3">
        <f>Analyzed!Z31/Analyzed!$CR31</f>
        <v>0</v>
      </c>
      <c r="L30" s="3">
        <f>Analyzed!AB31/Analyzed!$CR31</f>
        <v>0</v>
      </c>
      <c r="M30" s="3">
        <f>Analyzed!AD31/Analyzed!$CR31</f>
        <v>0</v>
      </c>
      <c r="N30" s="3">
        <f>Analyzed!AF31/Analyzed!$CR31</f>
        <v>2.2471910112359553E-2</v>
      </c>
      <c r="O30" s="3">
        <f>Analyzed!AH31/Analyzed!$CR31</f>
        <v>0</v>
      </c>
      <c r="P30" s="3">
        <f>Analyzed!AJ31/Analyzed!$CR31</f>
        <v>0</v>
      </c>
      <c r="Q30" s="3">
        <f>Analyzed!AL31/Analyzed!$CR31</f>
        <v>0</v>
      </c>
      <c r="R30" s="3">
        <f>Analyzed!AN31/Analyzed!$CR31</f>
        <v>0</v>
      </c>
      <c r="S30" s="3">
        <f>Analyzed!AP31/Analyzed!$CR31</f>
        <v>0</v>
      </c>
      <c r="T30" s="3">
        <f>Analyzed!AR31/Analyzed!$CR31</f>
        <v>0</v>
      </c>
      <c r="U30" s="3">
        <f>Analyzed!AT31/Analyzed!$CR31</f>
        <v>0</v>
      </c>
      <c r="V30" s="3">
        <f>Analyzed!AV31/Analyzed!$CR31</f>
        <v>0</v>
      </c>
      <c r="W30" s="3">
        <f>Analyzed!AX31/Analyzed!$CR31</f>
        <v>0</v>
      </c>
      <c r="X30" s="3">
        <f>Analyzed!AZ31/Analyzed!$CR31</f>
        <v>0</v>
      </c>
      <c r="Y30" s="3">
        <f>Analyzed!BB31/Analyzed!$CR31</f>
        <v>0</v>
      </c>
      <c r="Z30" s="3">
        <f>Analyzed!BD31/Analyzed!$CR31</f>
        <v>0</v>
      </c>
      <c r="AA30" s="3">
        <f>Analyzed!BF31/Analyzed!$CR31</f>
        <v>0</v>
      </c>
    </row>
    <row r="31" spans="1:27" x14ac:dyDescent="0.25">
      <c r="A31" t="s">
        <v>66</v>
      </c>
      <c r="B31" s="3">
        <f>Analyzed!D32/Analyzed!$CR32</f>
        <v>0.47777777777777775</v>
      </c>
      <c r="C31" s="3">
        <f>Analyzed!F32/Analyzed!$CR32</f>
        <v>1.1111111111111112E-2</v>
      </c>
      <c r="D31" s="3">
        <f>Analyzed!H32/Analyzed!$CR32</f>
        <v>0</v>
      </c>
      <c r="E31" s="3">
        <f>Analyzed!J32/Analyzed!$CR32</f>
        <v>0</v>
      </c>
      <c r="F31" s="3">
        <f>Analyzed!L32/Analyzed!$CR32</f>
        <v>0</v>
      </c>
      <c r="G31" s="3">
        <f>Analyzed!N32/Analyzed!$CR32</f>
        <v>0</v>
      </c>
      <c r="H31" s="3">
        <f>Analyzed!P32/Analyzed!$CR32</f>
        <v>0.35555555555555557</v>
      </c>
      <c r="I31" s="3">
        <f>Analyzed!R32/Analyzed!$CR32</f>
        <v>0</v>
      </c>
      <c r="J31" s="3">
        <f>Analyzed!X32/Analyzed!$CR32</f>
        <v>0.12222222222222222</v>
      </c>
      <c r="K31" s="3">
        <f>Analyzed!Z32/Analyzed!$CR32</f>
        <v>0</v>
      </c>
      <c r="L31" s="3">
        <f>Analyzed!AB32/Analyzed!$CR32</f>
        <v>0</v>
      </c>
      <c r="M31" s="3">
        <f>Analyzed!AD32/Analyzed!$CR32</f>
        <v>0</v>
      </c>
      <c r="N31" s="3">
        <f>Analyzed!AF32/Analyzed!$CR32</f>
        <v>0</v>
      </c>
      <c r="O31" s="3">
        <f>Analyzed!AH32/Analyzed!$CR32</f>
        <v>3.3333333333333333E-2</v>
      </c>
      <c r="P31" s="3">
        <f>Analyzed!AJ32/Analyzed!$CR32</f>
        <v>0</v>
      </c>
      <c r="Q31" s="3">
        <f>Analyzed!AL32/Analyzed!$CR32</f>
        <v>0</v>
      </c>
      <c r="R31" s="3">
        <f>Analyzed!AN32/Analyzed!$CR32</f>
        <v>0</v>
      </c>
      <c r="S31" s="3">
        <f>Analyzed!AP32/Analyzed!$CR32</f>
        <v>0</v>
      </c>
      <c r="T31" s="3">
        <f>Analyzed!AR32/Analyzed!$CR32</f>
        <v>0</v>
      </c>
      <c r="U31" s="3">
        <f>Analyzed!AT32/Analyzed!$CR32</f>
        <v>0</v>
      </c>
      <c r="V31" s="3">
        <f>Analyzed!AV32/Analyzed!$CR32</f>
        <v>0</v>
      </c>
      <c r="W31" s="3">
        <f>Analyzed!AX32/Analyzed!$CR32</f>
        <v>0</v>
      </c>
      <c r="X31" s="3">
        <f>Analyzed!AZ32/Analyzed!$CR32</f>
        <v>0</v>
      </c>
      <c r="Y31" s="3">
        <f>Analyzed!BB32/Analyzed!$CR32</f>
        <v>0</v>
      </c>
      <c r="Z31" s="3">
        <f>Analyzed!BD32/Analyzed!$CR32</f>
        <v>0</v>
      </c>
      <c r="AA31" s="3">
        <f>Analyzed!BF32/Analyzed!$CR32</f>
        <v>0</v>
      </c>
    </row>
    <row r="32" spans="1:27" x14ac:dyDescent="0.25">
      <c r="A32" t="s">
        <v>88</v>
      </c>
      <c r="B32" s="3">
        <f>Analyzed!D33/Analyzed!$CR33</f>
        <v>0.34453781512605047</v>
      </c>
      <c r="C32" s="3">
        <f>Analyzed!F33/Analyzed!$CR33</f>
        <v>0.1008403361344538</v>
      </c>
      <c r="D32" s="3">
        <f>Analyzed!H33/Analyzed!$CR33</f>
        <v>0</v>
      </c>
      <c r="E32" s="3">
        <f>Analyzed!J33/Analyzed!$CR33</f>
        <v>0</v>
      </c>
      <c r="F32" s="3">
        <f>Analyzed!L33/Analyzed!$CR33</f>
        <v>0</v>
      </c>
      <c r="G32" s="3">
        <f>Analyzed!N33/Analyzed!$CR33</f>
        <v>0</v>
      </c>
      <c r="H32" s="3">
        <f>Analyzed!P33/Analyzed!$CR33</f>
        <v>0.1596638655462185</v>
      </c>
      <c r="I32" s="3">
        <f>Analyzed!R33/Analyzed!$CR33</f>
        <v>0</v>
      </c>
      <c r="J32" s="3">
        <f>Analyzed!X33/Analyzed!$CR33</f>
        <v>0.35294117647058826</v>
      </c>
      <c r="K32" s="3">
        <f>Analyzed!Z33/Analyzed!$CR33</f>
        <v>0</v>
      </c>
      <c r="L32" s="3">
        <f>Analyzed!AB33/Analyzed!$CR33</f>
        <v>0</v>
      </c>
      <c r="M32" s="3">
        <f>Analyzed!AD33/Analyzed!$CR33</f>
        <v>0</v>
      </c>
      <c r="N32" s="3">
        <f>Analyzed!AF33/Analyzed!$CR33</f>
        <v>8.4033613445378165E-3</v>
      </c>
      <c r="O32" s="3">
        <f>Analyzed!AH33/Analyzed!$CR33</f>
        <v>3.3613445378151266E-2</v>
      </c>
      <c r="P32" s="3">
        <f>Analyzed!AJ33/Analyzed!$CR33</f>
        <v>0</v>
      </c>
      <c r="Q32" s="3">
        <f>Analyzed!AL33/Analyzed!$CR33</f>
        <v>0</v>
      </c>
      <c r="R32" s="3">
        <f>Analyzed!AN33/Analyzed!$CR33</f>
        <v>0</v>
      </c>
      <c r="S32" s="3">
        <f>Analyzed!AP33/Analyzed!$CR33</f>
        <v>0</v>
      </c>
      <c r="T32" s="3">
        <f>Analyzed!AR33/Analyzed!$CR33</f>
        <v>0</v>
      </c>
      <c r="U32" s="3">
        <f>Analyzed!AT33/Analyzed!$CR33</f>
        <v>0</v>
      </c>
      <c r="V32" s="3">
        <f>Analyzed!AV33/Analyzed!$CR33</f>
        <v>0</v>
      </c>
      <c r="W32" s="3">
        <f>Analyzed!AX33/Analyzed!$CR33</f>
        <v>0</v>
      </c>
      <c r="X32" s="3">
        <f>Analyzed!AZ33/Analyzed!$CR33</f>
        <v>0</v>
      </c>
      <c r="Y32" s="3">
        <f>Analyzed!BB33/Analyzed!$CR33</f>
        <v>0</v>
      </c>
      <c r="Z32" s="3">
        <f>Analyzed!BD33/Analyzed!$CR33</f>
        <v>0</v>
      </c>
      <c r="AA32" s="3">
        <f>Analyzed!BF33/Analyzed!$CR33</f>
        <v>0</v>
      </c>
    </row>
    <row r="33" spans="1:27" x14ac:dyDescent="0.25">
      <c r="A33" t="s">
        <v>89</v>
      </c>
      <c r="B33" s="3">
        <f>Analyzed!D34/Analyzed!$CR34</f>
        <v>7.407407407407407E-2</v>
      </c>
      <c r="C33" s="3">
        <f>Analyzed!F34/Analyzed!$CR34</f>
        <v>0</v>
      </c>
      <c r="D33" s="3">
        <f>Analyzed!H34/Analyzed!$CR34</f>
        <v>0</v>
      </c>
      <c r="E33" s="3">
        <f>Analyzed!J34/Analyzed!$CR34</f>
        <v>0</v>
      </c>
      <c r="F33" s="3">
        <f>Analyzed!L34/Analyzed!$CR34</f>
        <v>0</v>
      </c>
      <c r="G33" s="3">
        <f>Analyzed!N34/Analyzed!$CR34</f>
        <v>0</v>
      </c>
      <c r="H33" s="3">
        <f>Analyzed!P34/Analyzed!$CR34</f>
        <v>0.48148148148148145</v>
      </c>
      <c r="I33" s="3">
        <f>Analyzed!R34/Analyzed!$CR34</f>
        <v>0</v>
      </c>
      <c r="J33" s="3">
        <f>Analyzed!X34/Analyzed!$CR34</f>
        <v>0.42592592592592593</v>
      </c>
      <c r="K33" s="3">
        <f>Analyzed!Z34/Analyzed!$CR34</f>
        <v>0</v>
      </c>
      <c r="L33" s="3">
        <f>Analyzed!AB34/Analyzed!$CR34</f>
        <v>0</v>
      </c>
      <c r="M33" s="3">
        <f>Analyzed!AD34/Analyzed!$CR34</f>
        <v>0</v>
      </c>
      <c r="N33" s="3">
        <f>Analyzed!AF34/Analyzed!$CR34</f>
        <v>0</v>
      </c>
      <c r="O33" s="3">
        <f>Analyzed!AH34/Analyzed!$CR34</f>
        <v>1.8518518518518517E-2</v>
      </c>
      <c r="P33" s="3">
        <f>Analyzed!AJ34/Analyzed!$CR34</f>
        <v>0</v>
      </c>
      <c r="Q33" s="3">
        <f>Analyzed!AL34/Analyzed!$CR34</f>
        <v>0</v>
      </c>
      <c r="R33" s="3">
        <f>Analyzed!AN34/Analyzed!$CR34</f>
        <v>0</v>
      </c>
      <c r="S33" s="3">
        <f>Analyzed!AP34/Analyzed!$CR34</f>
        <v>0</v>
      </c>
      <c r="T33" s="3">
        <f>Analyzed!AR34/Analyzed!$CR34</f>
        <v>0</v>
      </c>
      <c r="U33" s="3">
        <f>Analyzed!AT34/Analyzed!$CR34</f>
        <v>0</v>
      </c>
      <c r="V33" s="3">
        <f>Analyzed!AV34/Analyzed!$CR34</f>
        <v>0</v>
      </c>
      <c r="W33" s="3">
        <f>Analyzed!AX34/Analyzed!$CR34</f>
        <v>0</v>
      </c>
      <c r="X33" s="3">
        <f>Analyzed!AZ34/Analyzed!$CR34</f>
        <v>0</v>
      </c>
      <c r="Y33" s="3">
        <f>Analyzed!BB34/Analyzed!$CR34</f>
        <v>0</v>
      </c>
      <c r="Z33" s="3">
        <f>Analyzed!BD34/Analyzed!$CR34</f>
        <v>0</v>
      </c>
      <c r="AA33" s="3">
        <f>Analyzed!BF34/Analyzed!$CR34</f>
        <v>0</v>
      </c>
    </row>
    <row r="34" spans="1:27" x14ac:dyDescent="0.25">
      <c r="A34" t="s">
        <v>115</v>
      </c>
      <c r="B34" s="3">
        <f>Analyzed!D35/Analyzed!$CR35</f>
        <v>0</v>
      </c>
      <c r="C34" s="3">
        <f>Analyzed!F35/Analyzed!$CR35</f>
        <v>0</v>
      </c>
      <c r="D34" s="3">
        <f>Analyzed!H35/Analyzed!$CR35</f>
        <v>0</v>
      </c>
      <c r="E34" s="3">
        <f>Analyzed!J35/Analyzed!$CR35</f>
        <v>0</v>
      </c>
      <c r="F34" s="3">
        <f>Analyzed!L35/Analyzed!$CR35</f>
        <v>0</v>
      </c>
      <c r="G34" s="3">
        <f>Analyzed!N35/Analyzed!$CR35</f>
        <v>0</v>
      </c>
      <c r="H34" s="3">
        <f>Analyzed!P35/Analyzed!$CR35</f>
        <v>0.88524590163934425</v>
      </c>
      <c r="I34" s="3">
        <f>Analyzed!R35/Analyzed!$CR35</f>
        <v>0</v>
      </c>
      <c r="J34" s="3">
        <f>Analyzed!X35/Analyzed!$CR35</f>
        <v>0.11475409836065574</v>
      </c>
      <c r="K34" s="3">
        <f>Analyzed!Z35/Analyzed!$CR35</f>
        <v>0</v>
      </c>
      <c r="L34" s="3">
        <f>Analyzed!AB35/Analyzed!$CR35</f>
        <v>0</v>
      </c>
      <c r="M34" s="3">
        <f>Analyzed!AD35/Analyzed!$CR35</f>
        <v>0</v>
      </c>
      <c r="N34" s="3">
        <f>Analyzed!AF35/Analyzed!$CR35</f>
        <v>0</v>
      </c>
      <c r="O34" s="3">
        <f>Analyzed!AH35/Analyzed!$CR35</f>
        <v>0</v>
      </c>
      <c r="P34" s="3">
        <f>Analyzed!AJ35/Analyzed!$CR35</f>
        <v>0</v>
      </c>
      <c r="Q34" s="3">
        <f>Analyzed!AL35/Analyzed!$CR35</f>
        <v>0</v>
      </c>
      <c r="R34" s="3">
        <f>Analyzed!AN35/Analyzed!$CR35</f>
        <v>0</v>
      </c>
      <c r="S34" s="3">
        <f>Analyzed!AP35/Analyzed!$CR35</f>
        <v>0</v>
      </c>
      <c r="T34" s="3">
        <f>Analyzed!AR35/Analyzed!$CR35</f>
        <v>0</v>
      </c>
      <c r="U34" s="3">
        <f>Analyzed!AT35/Analyzed!$CR35</f>
        <v>0</v>
      </c>
      <c r="V34" s="3">
        <f>Analyzed!AV35/Analyzed!$CR35</f>
        <v>0</v>
      </c>
      <c r="W34" s="3">
        <f>Analyzed!AX35/Analyzed!$CR35</f>
        <v>0</v>
      </c>
      <c r="X34" s="3">
        <f>Analyzed!AZ35/Analyzed!$CR35</f>
        <v>0</v>
      </c>
      <c r="Y34" s="3">
        <f>Analyzed!BB35/Analyzed!$CR35</f>
        <v>0</v>
      </c>
      <c r="Z34" s="3">
        <f>Analyzed!BD35/Analyzed!$CR35</f>
        <v>0</v>
      </c>
      <c r="AA34" s="3">
        <f>Analyzed!BF35/Analyzed!$CR35</f>
        <v>0</v>
      </c>
    </row>
    <row r="35" spans="1:27" x14ac:dyDescent="0.25">
      <c r="A35" t="s">
        <v>116</v>
      </c>
      <c r="B35" s="3">
        <f>Analyzed!D36/Analyzed!$CR36</f>
        <v>6.741573033707865E-2</v>
      </c>
      <c r="C35" s="3">
        <f>Analyzed!F36/Analyzed!$CR36</f>
        <v>0.19101123595505617</v>
      </c>
      <c r="D35" s="3">
        <f>Analyzed!H36/Analyzed!$CR36</f>
        <v>0</v>
      </c>
      <c r="E35" s="3">
        <f>Analyzed!J36/Analyzed!$CR36</f>
        <v>0</v>
      </c>
      <c r="F35" s="3">
        <f>Analyzed!L36/Analyzed!$CR36</f>
        <v>0</v>
      </c>
      <c r="G35" s="3">
        <f>Analyzed!N36/Analyzed!$CR36</f>
        <v>0</v>
      </c>
      <c r="H35" s="3">
        <f>Analyzed!P36/Analyzed!$CR36</f>
        <v>0.33707865168539325</v>
      </c>
      <c r="I35" s="3">
        <f>Analyzed!R36/Analyzed!$CR36</f>
        <v>0</v>
      </c>
      <c r="J35" s="3">
        <f>Analyzed!X36/Analyzed!$CR36</f>
        <v>0.33707865168539325</v>
      </c>
      <c r="K35" s="3">
        <f>Analyzed!Z36/Analyzed!$CR36</f>
        <v>0</v>
      </c>
      <c r="L35" s="3">
        <f>Analyzed!AB36/Analyzed!$CR36</f>
        <v>0</v>
      </c>
      <c r="M35" s="3">
        <f>Analyzed!AD36/Analyzed!$CR36</f>
        <v>0</v>
      </c>
      <c r="N35" s="3">
        <f>Analyzed!AF36/Analyzed!$CR36</f>
        <v>1.1235955056179775E-2</v>
      </c>
      <c r="O35" s="3">
        <f>Analyzed!AH36/Analyzed!$CR36</f>
        <v>2.247191011235955E-2</v>
      </c>
      <c r="P35" s="3">
        <f>Analyzed!AJ36/Analyzed!$CR36</f>
        <v>0</v>
      </c>
      <c r="Q35" s="3">
        <f>Analyzed!AL36/Analyzed!$CR36</f>
        <v>0</v>
      </c>
      <c r="R35" s="3">
        <f>Analyzed!AN36/Analyzed!$CR36</f>
        <v>0</v>
      </c>
      <c r="S35" s="3">
        <f>Analyzed!AP36/Analyzed!$CR36</f>
        <v>0</v>
      </c>
      <c r="T35" s="3">
        <f>Analyzed!AR36/Analyzed!$CR36</f>
        <v>0</v>
      </c>
      <c r="U35" s="3">
        <f>Analyzed!AT36/Analyzed!$CR36</f>
        <v>0</v>
      </c>
      <c r="V35" s="3">
        <f>Analyzed!AV36/Analyzed!$CR36</f>
        <v>0</v>
      </c>
      <c r="W35" s="3">
        <f>Analyzed!AX36/Analyzed!$CR36</f>
        <v>0</v>
      </c>
      <c r="X35" s="3">
        <f>Analyzed!AZ36/Analyzed!$CR36</f>
        <v>0</v>
      </c>
      <c r="Y35" s="3">
        <f>Analyzed!BB36/Analyzed!$CR36</f>
        <v>0</v>
      </c>
      <c r="Z35" s="3">
        <f>Analyzed!BD36/Analyzed!$CR36</f>
        <v>0</v>
      </c>
      <c r="AA35" s="3">
        <f>Analyzed!BF36/Analyzed!$CR36</f>
        <v>0</v>
      </c>
    </row>
    <row r="36" spans="1:27" x14ac:dyDescent="0.25">
      <c r="A36" t="s">
        <v>117</v>
      </c>
      <c r="B36" s="3">
        <f>Analyzed!D37/Analyzed!$CR37</f>
        <v>0.36363636363636365</v>
      </c>
      <c r="C36" s="3">
        <f>Analyzed!F37/Analyzed!$CR37</f>
        <v>0.18181818181818182</v>
      </c>
      <c r="D36" s="3">
        <f>Analyzed!H37/Analyzed!$CR37</f>
        <v>0</v>
      </c>
      <c r="E36" s="3">
        <f>Analyzed!J37/Analyzed!$CR37</f>
        <v>0</v>
      </c>
      <c r="F36" s="3">
        <f>Analyzed!L37/Analyzed!$CR37</f>
        <v>0</v>
      </c>
      <c r="G36" s="3">
        <f>Analyzed!N37/Analyzed!$CR37</f>
        <v>0</v>
      </c>
      <c r="H36" s="3">
        <f>Analyzed!P37/Analyzed!$CR37</f>
        <v>0.39999999999999997</v>
      </c>
      <c r="I36" s="3">
        <f>Analyzed!R37/Analyzed!$CR37</f>
        <v>0</v>
      </c>
      <c r="J36" s="3">
        <f>Analyzed!X37/Analyzed!$CR37</f>
        <v>3.6363636363636362E-2</v>
      </c>
      <c r="K36" s="3">
        <f>Analyzed!Z37/Analyzed!$CR37</f>
        <v>0</v>
      </c>
      <c r="L36" s="3">
        <f>Analyzed!AB37/Analyzed!$CR37</f>
        <v>0</v>
      </c>
      <c r="M36" s="3">
        <f>Analyzed!AD37/Analyzed!$CR37</f>
        <v>0</v>
      </c>
      <c r="N36" s="3">
        <f>Analyzed!AF37/Analyzed!$CR37</f>
        <v>0</v>
      </c>
      <c r="O36" s="3">
        <f>Analyzed!AH37/Analyzed!$CR37</f>
        <v>0</v>
      </c>
      <c r="P36" s="3">
        <f>Analyzed!AJ37/Analyzed!$CR37</f>
        <v>0</v>
      </c>
      <c r="Q36" s="3">
        <f>Analyzed!AL37/Analyzed!$CR37</f>
        <v>0</v>
      </c>
      <c r="R36" s="3">
        <f>Analyzed!AN37/Analyzed!$CR37</f>
        <v>0</v>
      </c>
      <c r="S36" s="3">
        <f>Analyzed!AP37/Analyzed!$CR37</f>
        <v>0</v>
      </c>
      <c r="T36" s="3">
        <f>Analyzed!AR37/Analyzed!$CR37</f>
        <v>0</v>
      </c>
      <c r="U36" s="3">
        <f>Analyzed!AT37/Analyzed!$CR37</f>
        <v>0</v>
      </c>
      <c r="V36" s="3">
        <f>Analyzed!AV37/Analyzed!$CR37</f>
        <v>0</v>
      </c>
      <c r="W36" s="3">
        <f>Analyzed!AX37/Analyzed!$CR37</f>
        <v>0</v>
      </c>
      <c r="X36" s="3">
        <f>Analyzed!AZ37/Analyzed!$CR37</f>
        <v>0</v>
      </c>
      <c r="Y36" s="3">
        <f>Analyzed!BB37/Analyzed!$CR37</f>
        <v>0</v>
      </c>
      <c r="Z36" s="3">
        <f>Analyzed!BD37/Analyzed!$CR37</f>
        <v>0</v>
      </c>
      <c r="AA36" s="3">
        <f>Analyzed!BF37/Analyzed!$CR37</f>
        <v>0</v>
      </c>
    </row>
    <row r="37" spans="1:27" x14ac:dyDescent="0.25">
      <c r="A37" t="s">
        <v>118</v>
      </c>
      <c r="B37" s="3">
        <f>Analyzed!D38/Analyzed!$CR38</f>
        <v>0.11475409836065574</v>
      </c>
      <c r="C37" s="3">
        <f>Analyzed!F38/Analyzed!$CR38</f>
        <v>0.73770491803278693</v>
      </c>
      <c r="D37" s="3">
        <f>Analyzed!H38/Analyzed!$CR38</f>
        <v>0</v>
      </c>
      <c r="E37" s="3">
        <f>Analyzed!J38/Analyzed!$CR38</f>
        <v>0</v>
      </c>
      <c r="F37" s="3">
        <f>Analyzed!L38/Analyzed!$CR38</f>
        <v>0</v>
      </c>
      <c r="G37" s="3">
        <f>Analyzed!N38/Analyzed!$CR38</f>
        <v>0</v>
      </c>
      <c r="H37" s="3">
        <f>Analyzed!P38/Analyzed!$CR38</f>
        <v>0.11475409836065574</v>
      </c>
      <c r="I37" s="3">
        <f>Analyzed!R38/Analyzed!$CR38</f>
        <v>0</v>
      </c>
      <c r="J37" s="3">
        <f>Analyzed!X38/Analyzed!$CR38</f>
        <v>0</v>
      </c>
      <c r="K37" s="3">
        <f>Analyzed!Z38/Analyzed!$CR38</f>
        <v>0</v>
      </c>
      <c r="L37" s="3">
        <f>Analyzed!AB38/Analyzed!$CR38</f>
        <v>0</v>
      </c>
      <c r="M37" s="3">
        <f>Analyzed!AD38/Analyzed!$CR38</f>
        <v>0</v>
      </c>
      <c r="N37" s="3">
        <f>Analyzed!AF38/Analyzed!$CR38</f>
        <v>0</v>
      </c>
      <c r="O37" s="3">
        <f>Analyzed!AH38/Analyzed!$CR38</f>
        <v>3.2786885245901641E-2</v>
      </c>
      <c r="P37" s="3">
        <f>Analyzed!AJ38/Analyzed!$CR38</f>
        <v>0</v>
      </c>
      <c r="Q37" s="3">
        <f>Analyzed!AL38/Analyzed!$CR38</f>
        <v>0</v>
      </c>
      <c r="R37" s="3">
        <f>Analyzed!AN38/Analyzed!$CR38</f>
        <v>0</v>
      </c>
      <c r="S37" s="3">
        <f>Analyzed!AP38/Analyzed!$CR38</f>
        <v>0</v>
      </c>
      <c r="T37" s="3">
        <f>Analyzed!AR38/Analyzed!$CR38</f>
        <v>0</v>
      </c>
      <c r="U37" s="3">
        <f>Analyzed!AT38/Analyzed!$CR38</f>
        <v>0</v>
      </c>
      <c r="V37" s="3">
        <f>Analyzed!AV38/Analyzed!$CR38</f>
        <v>0</v>
      </c>
      <c r="W37" s="3">
        <f>Analyzed!AX38/Analyzed!$CR38</f>
        <v>0</v>
      </c>
      <c r="X37" s="3">
        <f>Analyzed!AZ38/Analyzed!$CR38</f>
        <v>0</v>
      </c>
      <c r="Y37" s="3">
        <f>Analyzed!BB38/Analyzed!$CR38</f>
        <v>0</v>
      </c>
      <c r="Z37" s="3">
        <f>Analyzed!BD38/Analyzed!$CR38</f>
        <v>0</v>
      </c>
      <c r="AA37" s="3">
        <f>Analyzed!BF38/Analyzed!$CR38</f>
        <v>0</v>
      </c>
    </row>
    <row r="38" spans="1:27" x14ac:dyDescent="0.25">
      <c r="A38" t="s">
        <v>120</v>
      </c>
      <c r="B38" s="3">
        <f>Analyzed!D39/Analyzed!$CR39</f>
        <v>1.020408163265306E-2</v>
      </c>
      <c r="C38" s="3">
        <f>Analyzed!F39/Analyzed!$CR39</f>
        <v>0</v>
      </c>
      <c r="D38" s="3">
        <f>Analyzed!H39/Analyzed!$CR39</f>
        <v>0</v>
      </c>
      <c r="E38" s="3">
        <f>Analyzed!J39/Analyzed!$CR39</f>
        <v>0</v>
      </c>
      <c r="F38" s="3">
        <f>Analyzed!L39/Analyzed!$CR39</f>
        <v>0</v>
      </c>
      <c r="G38" s="3">
        <f>Analyzed!N39/Analyzed!$CR39</f>
        <v>0</v>
      </c>
      <c r="H38" s="3">
        <f>Analyzed!P39/Analyzed!$CR39</f>
        <v>0.72448979591836737</v>
      </c>
      <c r="I38" s="3">
        <f>Analyzed!R39/Analyzed!$CR39</f>
        <v>0</v>
      </c>
      <c r="J38" s="3">
        <f>Analyzed!X39/Analyzed!$CR39</f>
        <v>0.26530612244897961</v>
      </c>
      <c r="K38" s="3">
        <f>Analyzed!Z39/Analyzed!$CR39</f>
        <v>0</v>
      </c>
      <c r="L38" s="3">
        <f>Analyzed!AB39/Analyzed!$CR39</f>
        <v>0</v>
      </c>
      <c r="M38" s="3">
        <f>Analyzed!AD39/Analyzed!$CR39</f>
        <v>0</v>
      </c>
      <c r="N38" s="3">
        <f>Analyzed!AF39/Analyzed!$CR39</f>
        <v>0</v>
      </c>
      <c r="O38" s="3">
        <f>Analyzed!AH39/Analyzed!$CR39</f>
        <v>0</v>
      </c>
      <c r="P38" s="3">
        <f>Analyzed!AJ39/Analyzed!$CR39</f>
        <v>0</v>
      </c>
      <c r="Q38" s="3">
        <f>Analyzed!AL39/Analyzed!$CR39</f>
        <v>0</v>
      </c>
      <c r="R38" s="3">
        <f>Analyzed!AN39/Analyzed!$CR39</f>
        <v>0</v>
      </c>
      <c r="S38" s="3">
        <f>Analyzed!AP39/Analyzed!$CR39</f>
        <v>0</v>
      </c>
      <c r="T38" s="3">
        <f>Analyzed!AR39/Analyzed!$CR39</f>
        <v>0</v>
      </c>
      <c r="U38" s="3">
        <f>Analyzed!AT39/Analyzed!$CR39</f>
        <v>0</v>
      </c>
      <c r="V38" s="3">
        <f>Analyzed!AV39/Analyzed!$CR39</f>
        <v>0</v>
      </c>
      <c r="W38" s="3">
        <f>Analyzed!AX39/Analyzed!$CR39</f>
        <v>0</v>
      </c>
      <c r="X38" s="3">
        <f>Analyzed!AZ39/Analyzed!$CR39</f>
        <v>0</v>
      </c>
      <c r="Y38" s="3">
        <f>Analyzed!BB39/Analyzed!$CR39</f>
        <v>0</v>
      </c>
      <c r="Z38" s="3">
        <f>Analyzed!BD39/Analyzed!$CR39</f>
        <v>0</v>
      </c>
      <c r="AA38" s="3">
        <f>Analyzed!BF39/Analyzed!$CR39</f>
        <v>0</v>
      </c>
    </row>
    <row r="39" spans="1:27" x14ac:dyDescent="0.25">
      <c r="A39" t="s">
        <v>121</v>
      </c>
      <c r="B39" s="3">
        <f>Analyzed!D40/Analyzed!$CR40</f>
        <v>6.6666666666666666E-2</v>
      </c>
      <c r="C39" s="3">
        <f>Analyzed!F40/Analyzed!$CR40</f>
        <v>0.46666666666666662</v>
      </c>
      <c r="D39" s="3">
        <f>Analyzed!H40/Analyzed!$CR40</f>
        <v>0</v>
      </c>
      <c r="E39" s="3">
        <f>Analyzed!J40/Analyzed!$CR40</f>
        <v>0</v>
      </c>
      <c r="F39" s="3">
        <f>Analyzed!L40/Analyzed!$CR40</f>
        <v>0</v>
      </c>
      <c r="G39" s="3">
        <f>Analyzed!N40/Analyzed!$CR40</f>
        <v>0</v>
      </c>
      <c r="H39" s="3">
        <f>Analyzed!P40/Analyzed!$CR40</f>
        <v>0.33333333333333331</v>
      </c>
      <c r="I39" s="3">
        <f>Analyzed!R40/Analyzed!$CR40</f>
        <v>0</v>
      </c>
      <c r="J39" s="3">
        <f>Analyzed!X40/Analyzed!$CR40</f>
        <v>5.333333333333333E-2</v>
      </c>
      <c r="K39" s="3">
        <f>Analyzed!Z40/Analyzed!$CR40</f>
        <v>0</v>
      </c>
      <c r="L39" s="3">
        <f>Analyzed!AB40/Analyzed!$CR40</f>
        <v>0</v>
      </c>
      <c r="M39" s="3">
        <f>Analyzed!AD40/Analyzed!$CR40</f>
        <v>0</v>
      </c>
      <c r="N39" s="3">
        <f>Analyzed!AF40/Analyzed!$CR40</f>
        <v>0</v>
      </c>
      <c r="O39" s="3">
        <f>Analyzed!AH40/Analyzed!$CR40</f>
        <v>6.6666666666666666E-2</v>
      </c>
      <c r="P39" s="3">
        <f>Analyzed!AJ40/Analyzed!$CR40</f>
        <v>0</v>
      </c>
      <c r="Q39" s="3">
        <f>Analyzed!AL40/Analyzed!$CR40</f>
        <v>0</v>
      </c>
      <c r="R39" s="3">
        <f>Analyzed!AN40/Analyzed!$CR40</f>
        <v>0</v>
      </c>
      <c r="S39" s="3">
        <f>Analyzed!AP40/Analyzed!$CR40</f>
        <v>0</v>
      </c>
      <c r="T39" s="3">
        <f>Analyzed!AR40/Analyzed!$CR40</f>
        <v>0</v>
      </c>
      <c r="U39" s="3">
        <f>Analyzed!AT40/Analyzed!$CR40</f>
        <v>0</v>
      </c>
      <c r="V39" s="3">
        <f>Analyzed!AV40/Analyzed!$CR40</f>
        <v>0</v>
      </c>
      <c r="W39" s="3">
        <f>Analyzed!AX40/Analyzed!$CR40</f>
        <v>0</v>
      </c>
      <c r="X39" s="3">
        <f>Analyzed!AZ40/Analyzed!$CR40</f>
        <v>0</v>
      </c>
      <c r="Y39" s="3">
        <f>Analyzed!BB40/Analyzed!$CR40</f>
        <v>0</v>
      </c>
      <c r="Z39" s="3">
        <f>Analyzed!BD40/Analyzed!$CR40</f>
        <v>0</v>
      </c>
      <c r="AA39" s="3">
        <f>Analyzed!BF40/Analyzed!$CR40</f>
        <v>0</v>
      </c>
    </row>
    <row r="40" spans="1:27" x14ac:dyDescent="0.25">
      <c r="A40" t="s">
        <v>122</v>
      </c>
      <c r="B40" s="3">
        <f>Analyzed!D41/Analyzed!$CR41</f>
        <v>0</v>
      </c>
      <c r="C40" s="3">
        <f>Analyzed!F41/Analyzed!$CR41</f>
        <v>0.34375000000000006</v>
      </c>
      <c r="D40" s="3">
        <f>Analyzed!H41/Analyzed!$CR41</f>
        <v>0</v>
      </c>
      <c r="E40" s="3">
        <f>Analyzed!J41/Analyzed!$CR41</f>
        <v>0</v>
      </c>
      <c r="F40" s="3">
        <f>Analyzed!L41/Analyzed!$CR41</f>
        <v>0</v>
      </c>
      <c r="G40" s="3">
        <f>Analyzed!N41/Analyzed!$CR41</f>
        <v>0</v>
      </c>
      <c r="H40" s="3">
        <f>Analyzed!P41/Analyzed!$CR41</f>
        <v>0.40625</v>
      </c>
      <c r="I40" s="3">
        <f>Analyzed!R41/Analyzed!$CR41</f>
        <v>0</v>
      </c>
      <c r="J40" s="3">
        <f>Analyzed!X41/Analyzed!$CR41</f>
        <v>0.109375</v>
      </c>
      <c r="K40" s="3">
        <f>Analyzed!Z41/Analyzed!$CR41</f>
        <v>0</v>
      </c>
      <c r="L40" s="3">
        <f>Analyzed!AB41/Analyzed!$CR41</f>
        <v>0</v>
      </c>
      <c r="M40" s="3">
        <f>Analyzed!AD41/Analyzed!$CR41</f>
        <v>0</v>
      </c>
      <c r="N40" s="3">
        <f>Analyzed!AF41/Analyzed!$CR41</f>
        <v>0</v>
      </c>
      <c r="O40" s="3">
        <f>Analyzed!AH41/Analyzed!$CR41</f>
        <v>4.6875E-2</v>
      </c>
      <c r="P40" s="3">
        <f>Analyzed!AJ41/Analyzed!$CR41</f>
        <v>0</v>
      </c>
      <c r="Q40" s="3">
        <f>Analyzed!AL41/Analyzed!$CR41</f>
        <v>0</v>
      </c>
      <c r="R40" s="3">
        <f>Analyzed!AN41/Analyzed!$CR41</f>
        <v>0</v>
      </c>
      <c r="S40" s="3">
        <f>Analyzed!AP41/Analyzed!$CR41</f>
        <v>0</v>
      </c>
      <c r="T40" s="3">
        <f>Analyzed!AR41/Analyzed!$CR41</f>
        <v>0</v>
      </c>
      <c r="U40" s="3">
        <f>Analyzed!AT41/Analyzed!$CR41</f>
        <v>0</v>
      </c>
      <c r="V40" s="3">
        <f>Analyzed!AV41/Analyzed!$CR41</f>
        <v>0</v>
      </c>
      <c r="W40" s="3">
        <f>Analyzed!AX41/Analyzed!$CR41</f>
        <v>0</v>
      </c>
      <c r="X40" s="3">
        <f>Analyzed!AZ41/Analyzed!$CR41</f>
        <v>0</v>
      </c>
      <c r="Y40" s="3">
        <f>Analyzed!BB41/Analyzed!$CR41</f>
        <v>0</v>
      </c>
      <c r="Z40" s="3">
        <f>Analyzed!BD41/Analyzed!$CR41</f>
        <v>0</v>
      </c>
      <c r="AA40" s="3">
        <f>Analyzed!BF41/Analyzed!$CR41</f>
        <v>0</v>
      </c>
    </row>
    <row r="41" spans="1:27" x14ac:dyDescent="0.25">
      <c r="A41" t="s">
        <v>123</v>
      </c>
      <c r="B41" s="3">
        <f>Analyzed!D42/Analyzed!$CR42</f>
        <v>0</v>
      </c>
      <c r="C41" s="3">
        <f>Analyzed!F42/Analyzed!$CR42</f>
        <v>0.21052631578947367</v>
      </c>
      <c r="D41" s="3">
        <f>Analyzed!H42/Analyzed!$CR42</f>
        <v>0</v>
      </c>
      <c r="E41" s="3">
        <f>Analyzed!J42/Analyzed!$CR42</f>
        <v>0</v>
      </c>
      <c r="F41" s="3">
        <f>Analyzed!L42/Analyzed!$CR42</f>
        <v>0</v>
      </c>
      <c r="G41" s="3">
        <f>Analyzed!N42/Analyzed!$CR42</f>
        <v>0</v>
      </c>
      <c r="H41" s="3">
        <f>Analyzed!P42/Analyzed!$CR42</f>
        <v>0.23684210526315788</v>
      </c>
      <c r="I41" s="3">
        <f>Analyzed!R42/Analyzed!$CR42</f>
        <v>0</v>
      </c>
      <c r="J41" s="3">
        <f>Analyzed!X42/Analyzed!$CR42</f>
        <v>0</v>
      </c>
      <c r="K41" s="3">
        <f>Analyzed!Z42/Analyzed!$CR42</f>
        <v>0</v>
      </c>
      <c r="L41" s="3">
        <f>Analyzed!AB42/Analyzed!$CR42</f>
        <v>0</v>
      </c>
      <c r="M41" s="3">
        <f>Analyzed!AD42/Analyzed!$CR42</f>
        <v>0</v>
      </c>
      <c r="N41" s="3">
        <f>Analyzed!AF42/Analyzed!$CR42</f>
        <v>0</v>
      </c>
      <c r="O41" s="3">
        <f>Analyzed!AH42/Analyzed!$CR42</f>
        <v>0.10526315789473684</v>
      </c>
      <c r="P41" s="3">
        <f>Analyzed!AJ42/Analyzed!$CR42</f>
        <v>0</v>
      </c>
      <c r="Q41" s="3">
        <f>Analyzed!AL42/Analyzed!$CR42</f>
        <v>0</v>
      </c>
      <c r="R41" s="3">
        <f>Analyzed!AN42/Analyzed!$CR42</f>
        <v>0</v>
      </c>
      <c r="S41" s="3">
        <f>Analyzed!AP42/Analyzed!$CR42</f>
        <v>0</v>
      </c>
      <c r="T41" s="3">
        <f>Analyzed!AR42/Analyzed!$CR42</f>
        <v>0</v>
      </c>
      <c r="U41" s="3">
        <f>Analyzed!AT42/Analyzed!$CR42</f>
        <v>0</v>
      </c>
      <c r="V41" s="3">
        <f>Analyzed!AV42/Analyzed!$CR42</f>
        <v>0</v>
      </c>
      <c r="W41" s="3">
        <f>Analyzed!AX42/Analyzed!$CR42</f>
        <v>0</v>
      </c>
      <c r="X41" s="3">
        <f>Analyzed!AZ42/Analyzed!$CR42</f>
        <v>0</v>
      </c>
      <c r="Y41" s="3">
        <f>Analyzed!BB42/Analyzed!$CR42</f>
        <v>0</v>
      </c>
      <c r="Z41" s="3">
        <f>Analyzed!BD42/Analyzed!$CR42</f>
        <v>0</v>
      </c>
      <c r="AA41" s="3">
        <f>Analyzed!BF42/Analyzed!$CR42</f>
        <v>0</v>
      </c>
    </row>
    <row r="42" spans="1:27" x14ac:dyDescent="0.25">
      <c r="A42" t="s">
        <v>124</v>
      </c>
      <c r="B42" s="3">
        <f>Analyzed!D43/Analyzed!$CR43</f>
        <v>0</v>
      </c>
      <c r="C42" s="3">
        <f>Analyzed!F43/Analyzed!$CR43</f>
        <v>0.15441176470588233</v>
      </c>
      <c r="D42" s="3">
        <f>Analyzed!H43/Analyzed!$CR43</f>
        <v>0</v>
      </c>
      <c r="E42" s="3">
        <f>Analyzed!J43/Analyzed!$CR43</f>
        <v>0</v>
      </c>
      <c r="F42" s="3">
        <f>Analyzed!L43/Analyzed!$CR43</f>
        <v>0</v>
      </c>
      <c r="G42" s="3">
        <f>Analyzed!N43/Analyzed!$CR43</f>
        <v>0</v>
      </c>
      <c r="H42" s="3">
        <f>Analyzed!P43/Analyzed!$CR43</f>
        <v>0.14705882352941174</v>
      </c>
      <c r="I42" s="3">
        <f>Analyzed!R43/Analyzed!$CR43</f>
        <v>0</v>
      </c>
      <c r="J42" s="3">
        <f>Analyzed!X43/Analyzed!$CR43</f>
        <v>3.6764705882352935E-2</v>
      </c>
      <c r="K42" s="3">
        <f>Analyzed!Z43/Analyzed!$CR43</f>
        <v>0</v>
      </c>
      <c r="L42" s="3">
        <f>Analyzed!AB43/Analyzed!$CR43</f>
        <v>0</v>
      </c>
      <c r="M42" s="3">
        <f>Analyzed!AD43/Analyzed!$CR43</f>
        <v>0</v>
      </c>
      <c r="N42" s="3">
        <f>Analyzed!AF43/Analyzed!$CR43</f>
        <v>0</v>
      </c>
      <c r="O42" s="3">
        <f>Analyzed!AH43/Analyzed!$CR43</f>
        <v>2.2058823529411763E-2</v>
      </c>
      <c r="P42" s="3">
        <f>Analyzed!AJ43/Analyzed!$CR43</f>
        <v>0</v>
      </c>
      <c r="Q42" s="3">
        <f>Analyzed!AL43/Analyzed!$CR43</f>
        <v>2.9411764705882349E-2</v>
      </c>
      <c r="R42" s="3">
        <f>Analyzed!AN43/Analyzed!$CR43</f>
        <v>0</v>
      </c>
      <c r="S42" s="3">
        <f>Analyzed!AP43/Analyzed!$CR43</f>
        <v>0</v>
      </c>
      <c r="T42" s="3">
        <f>Analyzed!AR43/Analyzed!$CR43</f>
        <v>0</v>
      </c>
      <c r="U42" s="3">
        <f>Analyzed!AT43/Analyzed!$CR43</f>
        <v>0</v>
      </c>
      <c r="V42" s="3">
        <f>Analyzed!AV43/Analyzed!$CR43</f>
        <v>0</v>
      </c>
      <c r="W42" s="3">
        <f>Analyzed!AX43/Analyzed!$CR43</f>
        <v>0</v>
      </c>
      <c r="X42" s="3">
        <f>Analyzed!AZ43/Analyzed!$CR43</f>
        <v>0</v>
      </c>
      <c r="Y42" s="3">
        <f>Analyzed!BB43/Analyzed!$CR43</f>
        <v>0</v>
      </c>
      <c r="Z42" s="3">
        <f>Analyzed!BD43/Analyzed!$CR43</f>
        <v>0</v>
      </c>
      <c r="AA42" s="3">
        <f>Analyzed!BF43/Analyzed!$CR43</f>
        <v>0</v>
      </c>
    </row>
    <row r="43" spans="1:27" x14ac:dyDescent="0.25">
      <c r="A43" t="s">
        <v>136</v>
      </c>
      <c r="B43" s="3">
        <f>Analyzed!D44/Analyzed!$CR44</f>
        <v>0.19318181818181818</v>
      </c>
      <c r="C43" s="3">
        <f>Analyzed!F44/Analyzed!$CR44</f>
        <v>0.39772727272727265</v>
      </c>
      <c r="D43" s="3">
        <f>Analyzed!H44/Analyzed!$CR44</f>
        <v>0</v>
      </c>
      <c r="E43" s="3">
        <f>Analyzed!J44/Analyzed!$CR44</f>
        <v>0</v>
      </c>
      <c r="F43" s="3">
        <f>Analyzed!L44/Analyzed!$CR44</f>
        <v>0</v>
      </c>
      <c r="G43" s="3">
        <f>Analyzed!N44/Analyzed!$CR44</f>
        <v>0</v>
      </c>
      <c r="H43" s="3">
        <f>Analyzed!P44/Analyzed!$CR44</f>
        <v>0.21590909090909088</v>
      </c>
      <c r="I43" s="3">
        <f>Analyzed!R44/Analyzed!$CR44</f>
        <v>0</v>
      </c>
      <c r="J43" s="3">
        <f>Analyzed!X44/Analyzed!$CR44</f>
        <v>0</v>
      </c>
      <c r="K43" s="3">
        <f>Analyzed!Z44/Analyzed!$CR44</f>
        <v>0</v>
      </c>
      <c r="L43" s="3">
        <f>Analyzed!AB44/Analyzed!$CR44</f>
        <v>0</v>
      </c>
      <c r="M43" s="3">
        <f>Analyzed!AD44/Analyzed!$CR44</f>
        <v>0</v>
      </c>
      <c r="N43" s="3">
        <f>Analyzed!AF44/Analyzed!$CR44</f>
        <v>1.1363636363636362E-2</v>
      </c>
      <c r="O43" s="3">
        <f>Analyzed!AH44/Analyzed!$CR44</f>
        <v>0.12499999999999999</v>
      </c>
      <c r="P43" s="3">
        <f>Analyzed!AJ44/Analyzed!$CR44</f>
        <v>0</v>
      </c>
      <c r="Q43" s="3">
        <f>Analyzed!AL44/Analyzed!$CR44</f>
        <v>1.1363636363636362E-2</v>
      </c>
      <c r="R43" s="3">
        <f>Analyzed!AN44/Analyzed!$CR44</f>
        <v>0</v>
      </c>
      <c r="S43" s="3">
        <f>Analyzed!AP44/Analyzed!$CR44</f>
        <v>0</v>
      </c>
      <c r="T43" s="3">
        <f>Analyzed!AR44/Analyzed!$CR44</f>
        <v>0</v>
      </c>
      <c r="U43" s="3">
        <f>Analyzed!AT44/Analyzed!$CR44</f>
        <v>0</v>
      </c>
      <c r="V43" s="3">
        <f>Analyzed!AV44/Analyzed!$CR44</f>
        <v>0</v>
      </c>
      <c r="W43" s="3">
        <f>Analyzed!AX44/Analyzed!$CR44</f>
        <v>0</v>
      </c>
      <c r="X43" s="3">
        <f>Analyzed!AZ44/Analyzed!$CR44</f>
        <v>2.2727272727272724E-2</v>
      </c>
      <c r="Y43" s="3">
        <f>Analyzed!BB44/Analyzed!$CR44</f>
        <v>0</v>
      </c>
      <c r="Z43" s="3">
        <f>Analyzed!BD44/Analyzed!$CR44</f>
        <v>0</v>
      </c>
      <c r="AA43" s="3">
        <f>Analyzed!BF44/Analyzed!$CR44</f>
        <v>0</v>
      </c>
    </row>
    <row r="44" spans="1:27" x14ac:dyDescent="0.25">
      <c r="A44" t="s">
        <v>94</v>
      </c>
      <c r="B44" s="3">
        <f>Analyzed!D45/Analyzed!$CR45</f>
        <v>0.97368421052631582</v>
      </c>
      <c r="C44" s="3">
        <f>Analyzed!F45/Analyzed!$CR45</f>
        <v>0</v>
      </c>
      <c r="D44" s="3">
        <f>Analyzed!H45/Analyzed!$CR45</f>
        <v>0</v>
      </c>
      <c r="E44" s="3">
        <f>Analyzed!J45/Analyzed!$CR45</f>
        <v>0</v>
      </c>
      <c r="F44" s="3">
        <f>Analyzed!L45/Analyzed!$CR45</f>
        <v>0</v>
      </c>
      <c r="G44" s="3">
        <f>Analyzed!N45/Analyzed!$CR45</f>
        <v>0</v>
      </c>
      <c r="H44" s="3">
        <f>Analyzed!P45/Analyzed!$CR45</f>
        <v>0</v>
      </c>
      <c r="I44" s="3">
        <f>Analyzed!R45/Analyzed!$CR45</f>
        <v>0</v>
      </c>
      <c r="J44" s="3">
        <f>Analyzed!X45/Analyzed!$CR45</f>
        <v>0</v>
      </c>
      <c r="K44" s="3">
        <f>Analyzed!Z45/Analyzed!$CR45</f>
        <v>0</v>
      </c>
      <c r="L44" s="3">
        <f>Analyzed!AB45/Analyzed!$CR45</f>
        <v>0</v>
      </c>
      <c r="M44" s="3">
        <f>Analyzed!AD45/Analyzed!$CR45</f>
        <v>0</v>
      </c>
      <c r="N44" s="3">
        <f>Analyzed!AF45/Analyzed!$CR45</f>
        <v>1.3157894736842106E-2</v>
      </c>
      <c r="O44" s="3">
        <f>Analyzed!AH45/Analyzed!$CR45</f>
        <v>0</v>
      </c>
      <c r="P44" s="3">
        <f>Analyzed!AJ45/Analyzed!$CR45</f>
        <v>0</v>
      </c>
      <c r="Q44" s="3">
        <f>Analyzed!AL45/Analyzed!$CR45</f>
        <v>1.3157894736842106E-2</v>
      </c>
      <c r="R44" s="3">
        <f>Analyzed!AN45/Analyzed!$CR45</f>
        <v>0</v>
      </c>
      <c r="S44" s="3">
        <f>Analyzed!AP45/Analyzed!$CR45</f>
        <v>0</v>
      </c>
      <c r="T44" s="3">
        <f>Analyzed!AR45/Analyzed!$CR45</f>
        <v>0</v>
      </c>
      <c r="U44" s="3">
        <f>Analyzed!AT45/Analyzed!$CR45</f>
        <v>0</v>
      </c>
      <c r="V44" s="3">
        <f>Analyzed!AV45/Analyzed!$CR45</f>
        <v>0</v>
      </c>
      <c r="W44" s="3">
        <f>Analyzed!AX45/Analyzed!$CR45</f>
        <v>0</v>
      </c>
      <c r="X44" s="3">
        <f>Analyzed!AZ45/Analyzed!$CR45</f>
        <v>0</v>
      </c>
      <c r="Y44" s="3">
        <f>Analyzed!BB45/Analyzed!$CR45</f>
        <v>0</v>
      </c>
      <c r="Z44" s="3">
        <f>Analyzed!BD45/Analyzed!$CR45</f>
        <v>0</v>
      </c>
      <c r="AA44" s="3">
        <f>Analyzed!BF45/Analyzed!$CR45</f>
        <v>0</v>
      </c>
    </row>
    <row r="45" spans="1:27" x14ac:dyDescent="0.25">
      <c r="A45" t="s">
        <v>95</v>
      </c>
      <c r="B45" s="3">
        <f>Analyzed!D46/Analyzed!$CR46</f>
        <v>0.85185185185185186</v>
      </c>
      <c r="C45" s="3">
        <f>Analyzed!F46/Analyzed!$CR46</f>
        <v>0.1111111111111111</v>
      </c>
      <c r="D45" s="3">
        <f>Analyzed!H46/Analyzed!$CR46</f>
        <v>0</v>
      </c>
      <c r="E45" s="3">
        <f>Analyzed!J46/Analyzed!$CR46</f>
        <v>0</v>
      </c>
      <c r="F45" s="3">
        <f>Analyzed!L46/Analyzed!$CR46</f>
        <v>0</v>
      </c>
      <c r="G45" s="3">
        <f>Analyzed!N46/Analyzed!$CR46</f>
        <v>0</v>
      </c>
      <c r="H45" s="3">
        <f>Analyzed!P46/Analyzed!$CR46</f>
        <v>0</v>
      </c>
      <c r="I45" s="3">
        <f>Analyzed!R46/Analyzed!$CR46</f>
        <v>0</v>
      </c>
      <c r="J45" s="3">
        <f>Analyzed!X46/Analyzed!$CR46</f>
        <v>0</v>
      </c>
      <c r="K45" s="3">
        <f>Analyzed!Z46/Analyzed!$CR46</f>
        <v>0</v>
      </c>
      <c r="L45" s="3">
        <f>Analyzed!AB46/Analyzed!$CR46</f>
        <v>0</v>
      </c>
      <c r="M45" s="3">
        <f>Analyzed!AD46/Analyzed!$CR46</f>
        <v>0</v>
      </c>
      <c r="N45" s="3">
        <f>Analyzed!AF46/Analyzed!$CR46</f>
        <v>0</v>
      </c>
      <c r="O45" s="3">
        <f>Analyzed!AH46/Analyzed!$CR46</f>
        <v>0</v>
      </c>
      <c r="P45" s="3">
        <f>Analyzed!AJ46/Analyzed!$CR46</f>
        <v>0</v>
      </c>
      <c r="Q45" s="3">
        <f>Analyzed!AL46/Analyzed!$CR46</f>
        <v>3.7037037037037035E-2</v>
      </c>
      <c r="R45" s="3">
        <f>Analyzed!AN46/Analyzed!$CR46</f>
        <v>0</v>
      </c>
      <c r="S45" s="3">
        <f>Analyzed!AP46/Analyzed!$CR46</f>
        <v>0</v>
      </c>
      <c r="T45" s="3">
        <f>Analyzed!AR46/Analyzed!$CR46</f>
        <v>0</v>
      </c>
      <c r="U45" s="3">
        <f>Analyzed!AT46/Analyzed!$CR46</f>
        <v>0</v>
      </c>
      <c r="V45" s="3">
        <f>Analyzed!AV46/Analyzed!$CR46</f>
        <v>0</v>
      </c>
      <c r="W45" s="3">
        <f>Analyzed!AX46/Analyzed!$CR46</f>
        <v>0</v>
      </c>
      <c r="X45" s="3">
        <f>Analyzed!AZ46/Analyzed!$CR46</f>
        <v>0</v>
      </c>
      <c r="Y45" s="3">
        <f>Analyzed!BB46/Analyzed!$CR46</f>
        <v>0</v>
      </c>
      <c r="Z45" s="3">
        <f>Analyzed!BD46/Analyzed!$CR46</f>
        <v>0</v>
      </c>
      <c r="AA45" s="3">
        <f>Analyzed!BF46/Analyzed!$CR46</f>
        <v>0</v>
      </c>
    </row>
    <row r="46" spans="1:27" x14ac:dyDescent="0.25">
      <c r="A46" t="s">
        <v>96</v>
      </c>
      <c r="B46" s="3">
        <f>Analyzed!D47/Analyzed!$CR47</f>
        <v>1</v>
      </c>
      <c r="C46" s="3">
        <f>Analyzed!F47/Analyzed!$CR47</f>
        <v>0</v>
      </c>
      <c r="D46" s="3">
        <f>Analyzed!H47/Analyzed!$CR47</f>
        <v>0</v>
      </c>
      <c r="E46" s="3">
        <f>Analyzed!J47/Analyzed!$CR47</f>
        <v>0</v>
      </c>
      <c r="F46" s="3">
        <f>Analyzed!L47/Analyzed!$CR47</f>
        <v>0</v>
      </c>
      <c r="G46" s="3">
        <f>Analyzed!N47/Analyzed!$CR47</f>
        <v>0</v>
      </c>
      <c r="H46" s="3">
        <f>Analyzed!P47/Analyzed!$CR47</f>
        <v>0</v>
      </c>
      <c r="I46" s="3">
        <f>Analyzed!R47/Analyzed!$CR47</f>
        <v>0</v>
      </c>
      <c r="J46" s="3">
        <f>Analyzed!X47/Analyzed!$CR47</f>
        <v>0</v>
      </c>
      <c r="K46" s="3">
        <f>Analyzed!Z47/Analyzed!$CR47</f>
        <v>0</v>
      </c>
      <c r="L46" s="3">
        <f>Analyzed!AB47/Analyzed!$CR47</f>
        <v>0</v>
      </c>
      <c r="M46" s="3">
        <f>Analyzed!AD47/Analyzed!$CR47</f>
        <v>0</v>
      </c>
      <c r="N46" s="3">
        <f>Analyzed!AF47/Analyzed!$CR47</f>
        <v>0</v>
      </c>
      <c r="O46" s="3">
        <f>Analyzed!AH47/Analyzed!$CR47</f>
        <v>0</v>
      </c>
      <c r="P46" s="3">
        <f>Analyzed!AJ47/Analyzed!$CR47</f>
        <v>0</v>
      </c>
      <c r="Q46" s="3">
        <f>Analyzed!AL47/Analyzed!$CR47</f>
        <v>0</v>
      </c>
      <c r="R46" s="3">
        <f>Analyzed!AN47/Analyzed!$CR47</f>
        <v>0</v>
      </c>
      <c r="S46" s="3">
        <f>Analyzed!AP47/Analyzed!$CR47</f>
        <v>0</v>
      </c>
      <c r="T46" s="3">
        <f>Analyzed!AR47/Analyzed!$CR47</f>
        <v>0</v>
      </c>
      <c r="U46" s="3">
        <f>Analyzed!AT47/Analyzed!$CR47</f>
        <v>0</v>
      </c>
      <c r="V46" s="3">
        <f>Analyzed!AV47/Analyzed!$CR47</f>
        <v>0</v>
      </c>
      <c r="W46" s="3">
        <f>Analyzed!AX47/Analyzed!$CR47</f>
        <v>0</v>
      </c>
      <c r="X46" s="3">
        <f>Analyzed!AZ47/Analyzed!$CR47</f>
        <v>0</v>
      </c>
      <c r="Y46" s="3">
        <f>Analyzed!BB47/Analyzed!$CR47</f>
        <v>0</v>
      </c>
      <c r="Z46" s="3">
        <f>Analyzed!BD47/Analyzed!$CR47</f>
        <v>0</v>
      </c>
      <c r="AA46" s="3">
        <f>Analyzed!BF47/Analyzed!$CR47</f>
        <v>0</v>
      </c>
    </row>
    <row r="47" spans="1:27" x14ac:dyDescent="0.25">
      <c r="A47" t="s">
        <v>128</v>
      </c>
      <c r="B47" s="3">
        <f>Analyzed!D48/Analyzed!$CR48</f>
        <v>0.73529411764705876</v>
      </c>
      <c r="C47" s="3">
        <f>Analyzed!F48/Analyzed!$CR48</f>
        <v>0</v>
      </c>
      <c r="D47" s="3">
        <f>Analyzed!H48/Analyzed!$CR48</f>
        <v>0</v>
      </c>
      <c r="E47" s="3">
        <f>Analyzed!J48/Analyzed!$CR48</f>
        <v>0</v>
      </c>
      <c r="F47" s="3">
        <f>Analyzed!L48/Analyzed!$CR48</f>
        <v>0</v>
      </c>
      <c r="G47" s="3">
        <f>Analyzed!N48/Analyzed!$CR48</f>
        <v>0</v>
      </c>
      <c r="H47" s="3">
        <f>Analyzed!P48/Analyzed!$CR48</f>
        <v>0</v>
      </c>
      <c r="I47" s="3">
        <f>Analyzed!R48/Analyzed!$CR48</f>
        <v>0</v>
      </c>
      <c r="J47" s="3">
        <f>Analyzed!X48/Analyzed!$CR48</f>
        <v>5.8823529411764705E-2</v>
      </c>
      <c r="K47" s="3">
        <f>Analyzed!Z48/Analyzed!$CR48</f>
        <v>0</v>
      </c>
      <c r="L47" s="3">
        <f>Analyzed!AB48/Analyzed!$CR48</f>
        <v>0</v>
      </c>
      <c r="M47" s="3">
        <f>Analyzed!AD48/Analyzed!$CR48</f>
        <v>0</v>
      </c>
      <c r="N47" s="3">
        <f>Analyzed!AF48/Analyzed!$CR48</f>
        <v>0</v>
      </c>
      <c r="O47" s="3">
        <f>Analyzed!AH48/Analyzed!$CR48</f>
        <v>0</v>
      </c>
      <c r="P47" s="3">
        <f>Analyzed!AJ48/Analyzed!$CR48</f>
        <v>0</v>
      </c>
      <c r="Q47" s="3">
        <f>Analyzed!AL48/Analyzed!$CR48</f>
        <v>8.8235294117647051E-2</v>
      </c>
      <c r="R47" s="3">
        <f>Analyzed!AN48/Analyzed!$CR48</f>
        <v>0</v>
      </c>
      <c r="S47" s="3">
        <f>Analyzed!AP48/Analyzed!$CR48</f>
        <v>0</v>
      </c>
      <c r="T47" s="3">
        <f>Analyzed!AR48/Analyzed!$CR48</f>
        <v>0</v>
      </c>
      <c r="U47" s="3">
        <f>Analyzed!AT48/Analyzed!$CR48</f>
        <v>0</v>
      </c>
      <c r="V47" s="3">
        <f>Analyzed!AV48/Analyzed!$CR48</f>
        <v>0</v>
      </c>
      <c r="W47" s="3">
        <f>Analyzed!AX48/Analyzed!$CR48</f>
        <v>0</v>
      </c>
      <c r="X47" s="3">
        <f>Analyzed!AZ48/Analyzed!$CR48</f>
        <v>0</v>
      </c>
      <c r="Y47" s="3">
        <f>Analyzed!BB48/Analyzed!$CR48</f>
        <v>0</v>
      </c>
      <c r="Z47" s="3">
        <f>Analyzed!BD48/Analyzed!$CR48</f>
        <v>0</v>
      </c>
      <c r="AA47" s="3">
        <f>Analyzed!BF48/Analyzed!$CR48</f>
        <v>0.11764705882352941</v>
      </c>
    </row>
    <row r="48" spans="1:27" x14ac:dyDescent="0.25">
      <c r="A48" t="s">
        <v>129</v>
      </c>
      <c r="B48" s="3">
        <f>Analyzed!D49/Analyzed!$CR49</f>
        <v>0.5714285714285714</v>
      </c>
      <c r="C48" s="3">
        <f>Analyzed!F49/Analyzed!$CR49</f>
        <v>0</v>
      </c>
      <c r="D48" s="3">
        <f>Analyzed!H49/Analyzed!$CR49</f>
        <v>0</v>
      </c>
      <c r="E48" s="3">
        <f>Analyzed!J49/Analyzed!$CR49</f>
        <v>0</v>
      </c>
      <c r="F48" s="3">
        <f>Analyzed!L49/Analyzed!$CR49</f>
        <v>0</v>
      </c>
      <c r="G48" s="3">
        <f>Analyzed!N49/Analyzed!$CR49</f>
        <v>0</v>
      </c>
      <c r="H48" s="3">
        <f>Analyzed!P49/Analyzed!$CR49</f>
        <v>0</v>
      </c>
      <c r="I48" s="3">
        <f>Analyzed!R49/Analyzed!$CR49</f>
        <v>0</v>
      </c>
      <c r="J48" s="3">
        <f>Analyzed!X49/Analyzed!$CR49</f>
        <v>7.1428571428571425E-2</v>
      </c>
      <c r="K48" s="3">
        <f>Analyzed!Z49/Analyzed!$CR49</f>
        <v>0</v>
      </c>
      <c r="L48" s="3">
        <f>Analyzed!AB49/Analyzed!$CR49</f>
        <v>0</v>
      </c>
      <c r="M48" s="3">
        <f>Analyzed!AD49/Analyzed!$CR49</f>
        <v>0</v>
      </c>
      <c r="N48" s="3">
        <f>Analyzed!AF49/Analyzed!$CR49</f>
        <v>0</v>
      </c>
      <c r="O48" s="3">
        <f>Analyzed!AH49/Analyzed!$CR49</f>
        <v>0</v>
      </c>
      <c r="P48" s="3">
        <f>Analyzed!AJ49/Analyzed!$CR49</f>
        <v>0</v>
      </c>
      <c r="Q48" s="3">
        <f>Analyzed!AL49/Analyzed!$CR49</f>
        <v>7.1428571428571425E-2</v>
      </c>
      <c r="R48" s="3">
        <f>Analyzed!AN49/Analyzed!$CR49</f>
        <v>0</v>
      </c>
      <c r="S48" s="3">
        <f>Analyzed!AP49/Analyzed!$CR49</f>
        <v>0</v>
      </c>
      <c r="T48" s="3">
        <f>Analyzed!AR49/Analyzed!$CR49</f>
        <v>0</v>
      </c>
      <c r="U48" s="3">
        <f>Analyzed!AT49/Analyzed!$CR49</f>
        <v>0</v>
      </c>
      <c r="V48" s="3">
        <f>Analyzed!AV49/Analyzed!$CR49</f>
        <v>0</v>
      </c>
      <c r="W48" s="3">
        <f>Analyzed!AX49/Analyzed!$CR49</f>
        <v>0</v>
      </c>
      <c r="X48" s="3">
        <f>Analyzed!AZ49/Analyzed!$CR49</f>
        <v>0</v>
      </c>
      <c r="Y48" s="3">
        <f>Analyzed!BB49/Analyzed!$CR49</f>
        <v>0</v>
      </c>
      <c r="Z48" s="3">
        <f>Analyzed!BD49/Analyzed!$CR49</f>
        <v>0</v>
      </c>
      <c r="AA48" s="3">
        <f>Analyzed!BF49/Analyzed!$CR49</f>
        <v>0.2857142857142857</v>
      </c>
    </row>
    <row r="49" spans="1:27" x14ac:dyDescent="0.25">
      <c r="A49" t="s">
        <v>130</v>
      </c>
      <c r="B49" s="3">
        <f>Analyzed!D50/Analyzed!$CR50</f>
        <v>4.2253521126760563E-2</v>
      </c>
      <c r="C49" s="3">
        <f>Analyzed!F50/Analyzed!$CR50</f>
        <v>0.80281690140845074</v>
      </c>
      <c r="D49" s="3">
        <f>Analyzed!H50/Analyzed!$CR50</f>
        <v>0</v>
      </c>
      <c r="E49" s="3">
        <f>Analyzed!J50/Analyzed!$CR50</f>
        <v>0</v>
      </c>
      <c r="F49" s="3">
        <f>Analyzed!L50/Analyzed!$CR50</f>
        <v>0</v>
      </c>
      <c r="G49" s="3">
        <f>Analyzed!N50/Analyzed!$CR50</f>
        <v>0</v>
      </c>
      <c r="H49" s="3">
        <f>Analyzed!P50/Analyzed!$CR50</f>
        <v>0</v>
      </c>
      <c r="I49" s="3">
        <f>Analyzed!R50/Analyzed!$CR50</f>
        <v>0</v>
      </c>
      <c r="J49" s="3">
        <f>Analyzed!X50/Analyzed!$CR50</f>
        <v>9.154929577464789E-2</v>
      </c>
      <c r="K49" s="3">
        <f>Analyzed!Z50/Analyzed!$CR50</f>
        <v>0</v>
      </c>
      <c r="L49" s="3">
        <f>Analyzed!AB50/Analyzed!$CR50</f>
        <v>0</v>
      </c>
      <c r="M49" s="3">
        <f>Analyzed!AD50/Analyzed!$CR50</f>
        <v>0</v>
      </c>
      <c r="N49" s="3">
        <f>Analyzed!AF50/Analyzed!$CR50</f>
        <v>0</v>
      </c>
      <c r="O49" s="3">
        <f>Analyzed!AH50/Analyzed!$CR50</f>
        <v>4.9295774647887321E-2</v>
      </c>
      <c r="P49" s="3">
        <f>Analyzed!AJ50/Analyzed!$CR50</f>
        <v>0</v>
      </c>
      <c r="Q49" s="3">
        <f>Analyzed!AL50/Analyzed!$CR50</f>
        <v>1.4084507042253521E-2</v>
      </c>
      <c r="R49" s="3">
        <f>Analyzed!AN50/Analyzed!$CR50</f>
        <v>0</v>
      </c>
      <c r="S49" s="3">
        <f>Analyzed!AP50/Analyzed!$CR50</f>
        <v>0</v>
      </c>
      <c r="T49" s="3">
        <f>Analyzed!AR50/Analyzed!$CR50</f>
        <v>0</v>
      </c>
      <c r="U49" s="3">
        <f>Analyzed!AT50/Analyzed!$CR50</f>
        <v>0</v>
      </c>
      <c r="V49" s="3">
        <f>Analyzed!AV50/Analyzed!$CR50</f>
        <v>0</v>
      </c>
      <c r="W49" s="3">
        <f>Analyzed!AX50/Analyzed!$CR50</f>
        <v>0</v>
      </c>
      <c r="X49" s="3">
        <f>Analyzed!AZ50/Analyzed!$CR50</f>
        <v>0</v>
      </c>
      <c r="Y49" s="3">
        <f>Analyzed!BB50/Analyzed!$CR50</f>
        <v>0</v>
      </c>
      <c r="Z49" s="3">
        <f>Analyzed!BD50/Analyzed!$CR50</f>
        <v>0</v>
      </c>
      <c r="AA49" s="3">
        <f>Analyzed!BF50/Analyzed!$CR50</f>
        <v>0</v>
      </c>
    </row>
    <row r="50" spans="1:27" x14ac:dyDescent="0.25">
      <c r="A50" t="s">
        <v>131</v>
      </c>
      <c r="B50" s="3">
        <f>Analyzed!D51/Analyzed!$CR51</f>
        <v>0</v>
      </c>
      <c r="C50" s="3">
        <f>Analyzed!F51/Analyzed!$CR51</f>
        <v>0.78030303030303039</v>
      </c>
      <c r="D50" s="3">
        <f>Analyzed!H51/Analyzed!$CR51</f>
        <v>0</v>
      </c>
      <c r="E50" s="3">
        <f>Analyzed!J51/Analyzed!$CR51</f>
        <v>0</v>
      </c>
      <c r="F50" s="3">
        <f>Analyzed!L51/Analyzed!$CR51</f>
        <v>0</v>
      </c>
      <c r="G50" s="3">
        <f>Analyzed!N51/Analyzed!$CR51</f>
        <v>0</v>
      </c>
      <c r="H50" s="3">
        <f>Analyzed!P51/Analyzed!$CR51</f>
        <v>0</v>
      </c>
      <c r="I50" s="3">
        <f>Analyzed!R51/Analyzed!$CR51</f>
        <v>0</v>
      </c>
      <c r="J50" s="3">
        <f>Analyzed!X51/Analyzed!$CR51</f>
        <v>0.16666666666666666</v>
      </c>
      <c r="K50" s="3">
        <f>Analyzed!Z51/Analyzed!$CR51</f>
        <v>0</v>
      </c>
      <c r="L50" s="3">
        <f>Analyzed!AB51/Analyzed!$CR51</f>
        <v>0</v>
      </c>
      <c r="M50" s="3">
        <f>Analyzed!AD51/Analyzed!$CR51</f>
        <v>0</v>
      </c>
      <c r="N50" s="3">
        <f>Analyzed!AF51/Analyzed!$CR51</f>
        <v>0</v>
      </c>
      <c r="O50" s="3">
        <f>Analyzed!AH51/Analyzed!$CR51</f>
        <v>7.5757575757575751E-3</v>
      </c>
      <c r="P50" s="3">
        <f>Analyzed!AJ51/Analyzed!$CR51</f>
        <v>0</v>
      </c>
      <c r="Q50" s="3">
        <f>Analyzed!AL51/Analyzed!$CR51</f>
        <v>7.5757575757575751E-3</v>
      </c>
      <c r="R50" s="3">
        <f>Analyzed!AN51/Analyzed!$CR51</f>
        <v>0</v>
      </c>
      <c r="S50" s="3">
        <f>Analyzed!AP51/Analyzed!$CR51</f>
        <v>0</v>
      </c>
      <c r="T50" s="3">
        <f>Analyzed!AR51/Analyzed!$CR51</f>
        <v>0</v>
      </c>
      <c r="U50" s="3">
        <f>Analyzed!AT51/Analyzed!$CR51</f>
        <v>0</v>
      </c>
      <c r="V50" s="3">
        <f>Analyzed!AV51/Analyzed!$CR51</f>
        <v>0</v>
      </c>
      <c r="W50" s="3">
        <f>Analyzed!AX51/Analyzed!$CR51</f>
        <v>0</v>
      </c>
      <c r="X50" s="3">
        <f>Analyzed!AZ51/Analyzed!$CR51</f>
        <v>0</v>
      </c>
      <c r="Y50" s="3">
        <f>Analyzed!BB51/Analyzed!$CR51</f>
        <v>0</v>
      </c>
      <c r="Z50" s="3">
        <f>Analyzed!BD51/Analyzed!$CR51</f>
        <v>0</v>
      </c>
      <c r="AA50" s="3">
        <f>Analyzed!BF51/Analyzed!$CR51</f>
        <v>0</v>
      </c>
    </row>
    <row r="51" spans="1:27" x14ac:dyDescent="0.25">
      <c r="A51" t="s">
        <v>132</v>
      </c>
      <c r="B51" s="3">
        <f>Analyzed!D52/Analyzed!$CR52</f>
        <v>9.4339622641509427E-2</v>
      </c>
      <c r="C51" s="3">
        <f>Analyzed!F52/Analyzed!$CR52</f>
        <v>0.80188679245283012</v>
      </c>
      <c r="D51" s="3">
        <f>Analyzed!H52/Analyzed!$CR52</f>
        <v>0</v>
      </c>
      <c r="E51" s="3">
        <f>Analyzed!J52/Analyzed!$CR52</f>
        <v>0</v>
      </c>
      <c r="F51" s="3">
        <f>Analyzed!L52/Analyzed!$CR52</f>
        <v>0</v>
      </c>
      <c r="G51" s="3">
        <f>Analyzed!N52/Analyzed!$CR52</f>
        <v>0</v>
      </c>
      <c r="H51" s="3">
        <f>Analyzed!P52/Analyzed!$CR52</f>
        <v>0</v>
      </c>
      <c r="I51" s="3">
        <f>Analyzed!R52/Analyzed!$CR52</f>
        <v>0</v>
      </c>
      <c r="J51" s="3">
        <f>Analyzed!X52/Analyzed!$CR52</f>
        <v>0</v>
      </c>
      <c r="K51" s="3">
        <f>Analyzed!Z52/Analyzed!$CR52</f>
        <v>0</v>
      </c>
      <c r="L51" s="3">
        <f>Analyzed!AB52/Analyzed!$CR52</f>
        <v>0</v>
      </c>
      <c r="M51" s="3">
        <f>Analyzed!AD52/Analyzed!$CR52</f>
        <v>0</v>
      </c>
      <c r="N51" s="3">
        <f>Analyzed!AF52/Analyzed!$CR52</f>
        <v>0</v>
      </c>
      <c r="O51" s="3">
        <f>Analyzed!AH52/Analyzed!$CR52</f>
        <v>0</v>
      </c>
      <c r="P51" s="3">
        <f>Analyzed!AJ52/Analyzed!$CR52</f>
        <v>0</v>
      </c>
      <c r="Q51" s="3">
        <f>Analyzed!AL52/Analyzed!$CR52</f>
        <v>0</v>
      </c>
      <c r="R51" s="3">
        <f>Analyzed!AN52/Analyzed!$CR52</f>
        <v>0</v>
      </c>
      <c r="S51" s="3">
        <f>Analyzed!AP52/Analyzed!$CR52</f>
        <v>0</v>
      </c>
      <c r="T51" s="3">
        <f>Analyzed!AR52/Analyzed!$CR52</f>
        <v>0</v>
      </c>
      <c r="U51" s="3">
        <f>Analyzed!AT52/Analyzed!$CR52</f>
        <v>0</v>
      </c>
      <c r="V51" s="3">
        <f>Analyzed!AV52/Analyzed!$CR52</f>
        <v>0</v>
      </c>
      <c r="W51" s="3">
        <f>Analyzed!AX52/Analyzed!$CR52</f>
        <v>0</v>
      </c>
      <c r="X51" s="3">
        <f>Analyzed!AZ52/Analyzed!$CR52</f>
        <v>9.433962264150943E-3</v>
      </c>
      <c r="Y51" s="3">
        <f>Analyzed!BB52/Analyzed!$CR52</f>
        <v>0</v>
      </c>
      <c r="Z51" s="3">
        <f>Analyzed!BD52/Analyzed!$CR52</f>
        <v>0</v>
      </c>
      <c r="AA51" s="3">
        <f>Analyzed!BF52/Analyzed!$CR52</f>
        <v>0</v>
      </c>
    </row>
    <row r="52" spans="1:27" x14ac:dyDescent="0.25">
      <c r="A52" t="s">
        <v>25</v>
      </c>
      <c r="B52" s="3">
        <f>Analyzed!D53/Analyzed!$CR53</f>
        <v>0.91210613598673296</v>
      </c>
      <c r="C52" s="3">
        <f>Analyzed!F53/Analyzed!$CR53</f>
        <v>0</v>
      </c>
      <c r="D52" s="3">
        <f>Analyzed!H53/Analyzed!$CR53</f>
        <v>0</v>
      </c>
      <c r="E52" s="3">
        <f>Analyzed!J53/Analyzed!$CR53</f>
        <v>0</v>
      </c>
      <c r="F52" s="3">
        <f>Analyzed!L53/Analyzed!$CR53</f>
        <v>0</v>
      </c>
      <c r="G52" s="3">
        <f>Analyzed!N53/Analyzed!$CR53</f>
        <v>4.8092868988391373E-2</v>
      </c>
      <c r="H52" s="3">
        <f>Analyzed!P53/Analyzed!$CR53</f>
        <v>0</v>
      </c>
      <c r="I52" s="3">
        <f>Analyzed!R53/Analyzed!$CR53</f>
        <v>0</v>
      </c>
      <c r="J52" s="3">
        <f>Analyzed!X53/Analyzed!$CR53</f>
        <v>0</v>
      </c>
      <c r="K52" s="3">
        <f>Analyzed!Z53/Analyzed!$CR53</f>
        <v>0</v>
      </c>
      <c r="L52" s="3">
        <f>Analyzed!AB53/Analyzed!$CR53</f>
        <v>0</v>
      </c>
      <c r="M52" s="3">
        <f>Analyzed!AD53/Analyzed!$CR53</f>
        <v>0</v>
      </c>
      <c r="N52" s="3">
        <f>Analyzed!AF53/Analyzed!$CR53</f>
        <v>0</v>
      </c>
      <c r="O52" s="3">
        <f>Analyzed!AH53/Analyzed!$CR53</f>
        <v>0</v>
      </c>
      <c r="P52" s="3">
        <f>Analyzed!AJ53/Analyzed!$CR53</f>
        <v>1.658374792703151E-3</v>
      </c>
      <c r="Q52" s="3">
        <f>Analyzed!AL53/Analyzed!$CR53</f>
        <v>3.8142620232172471E-2</v>
      </c>
      <c r="R52" s="3">
        <f>Analyzed!AN53/Analyzed!$CR53</f>
        <v>0</v>
      </c>
      <c r="S52" s="3">
        <f>Analyzed!AP53/Analyzed!$CR53</f>
        <v>0</v>
      </c>
      <c r="T52" s="3">
        <f>Analyzed!AR53/Analyzed!$CR53</f>
        <v>0</v>
      </c>
      <c r="U52" s="3">
        <f>Analyzed!AT53/Analyzed!$CR53</f>
        <v>0</v>
      </c>
      <c r="V52" s="3">
        <f>Analyzed!AV53/Analyzed!$CR53</f>
        <v>0</v>
      </c>
      <c r="W52" s="3">
        <f>Analyzed!AX53/Analyzed!$CR53</f>
        <v>0</v>
      </c>
      <c r="X52" s="3">
        <f>Analyzed!AZ53/Analyzed!$CR53</f>
        <v>0</v>
      </c>
      <c r="Y52" s="3">
        <f>Analyzed!BB53/Analyzed!$CR53</f>
        <v>0</v>
      </c>
      <c r="Z52" s="3">
        <f>Analyzed!BD53/Analyzed!$CR53</f>
        <v>0</v>
      </c>
      <c r="AA52" s="3">
        <f>Analyzed!BF53/Analyzed!$CR53</f>
        <v>0</v>
      </c>
    </row>
    <row r="53" spans="1:27" x14ac:dyDescent="0.25">
      <c r="A53" t="s">
        <v>37</v>
      </c>
      <c r="B53" s="3">
        <f>Analyzed!D54/Analyzed!$CR54</f>
        <v>0.96752136752136753</v>
      </c>
      <c r="C53" s="3">
        <f>Analyzed!F54/Analyzed!$CR54</f>
        <v>0</v>
      </c>
      <c r="D53" s="3">
        <f>Analyzed!H54/Analyzed!$CR54</f>
        <v>0</v>
      </c>
      <c r="E53" s="3">
        <f>Analyzed!J54/Analyzed!$CR54</f>
        <v>0</v>
      </c>
      <c r="F53" s="3">
        <f>Analyzed!L54/Analyzed!$CR54</f>
        <v>0</v>
      </c>
      <c r="G53" s="3">
        <f>Analyzed!N54/Analyzed!$CR54</f>
        <v>0</v>
      </c>
      <c r="H53" s="3">
        <f>Analyzed!P54/Analyzed!$CR54</f>
        <v>0</v>
      </c>
      <c r="I53" s="3">
        <f>Analyzed!R54/Analyzed!$CR54</f>
        <v>0</v>
      </c>
      <c r="J53" s="3">
        <f>Analyzed!X54/Analyzed!$CR54</f>
        <v>3.4188034188034192E-3</v>
      </c>
      <c r="K53" s="3">
        <f>Analyzed!Z54/Analyzed!$CR54</f>
        <v>0</v>
      </c>
      <c r="L53" s="3">
        <f>Analyzed!AB54/Analyzed!$CR54</f>
        <v>0</v>
      </c>
      <c r="M53" s="3">
        <f>Analyzed!AD54/Analyzed!$CR54</f>
        <v>0</v>
      </c>
      <c r="N53" s="3">
        <f>Analyzed!AF54/Analyzed!$CR54</f>
        <v>0</v>
      </c>
      <c r="O53" s="3">
        <f>Analyzed!AH54/Analyzed!$CR54</f>
        <v>0</v>
      </c>
      <c r="P53" s="3">
        <f>Analyzed!AJ54/Analyzed!$CR54</f>
        <v>0</v>
      </c>
      <c r="Q53" s="3">
        <f>Analyzed!AL54/Analyzed!$CR54</f>
        <v>2.9059829059829064E-2</v>
      </c>
      <c r="R53" s="3">
        <f>Analyzed!AN54/Analyzed!$CR54</f>
        <v>0</v>
      </c>
      <c r="S53" s="3">
        <f>Analyzed!AP54/Analyzed!$CR54</f>
        <v>0</v>
      </c>
      <c r="T53" s="3">
        <f>Analyzed!AR54/Analyzed!$CR54</f>
        <v>0</v>
      </c>
      <c r="U53" s="3">
        <f>Analyzed!AT54/Analyzed!$CR54</f>
        <v>0</v>
      </c>
      <c r="V53" s="3">
        <f>Analyzed!AV54/Analyzed!$CR54</f>
        <v>0</v>
      </c>
      <c r="W53" s="3">
        <f>Analyzed!AX54/Analyzed!$CR54</f>
        <v>0</v>
      </c>
      <c r="X53" s="3">
        <f>Analyzed!AZ54/Analyzed!$CR54</f>
        <v>0</v>
      </c>
      <c r="Y53" s="3">
        <f>Analyzed!BB54/Analyzed!$CR54</f>
        <v>0</v>
      </c>
      <c r="Z53" s="3">
        <f>Analyzed!BD54/Analyzed!$CR54</f>
        <v>0</v>
      </c>
      <c r="AA53" s="3">
        <f>Analyzed!BF54/Analyzed!$CR54</f>
        <v>0</v>
      </c>
    </row>
    <row r="54" spans="1:27" x14ac:dyDescent="0.25">
      <c r="A54" s="13" t="s">
        <v>147</v>
      </c>
      <c r="B54" s="3">
        <f>Analyzed!D55/Analyzed!$CR55</f>
        <v>2.1978021978021976E-2</v>
      </c>
      <c r="C54" s="3">
        <f>Analyzed!F55/Analyzed!$CR55</f>
        <v>0</v>
      </c>
      <c r="D54" s="3">
        <f>Analyzed!H55/Analyzed!$CR55</f>
        <v>0</v>
      </c>
      <c r="E54" s="3">
        <f>Analyzed!J55/Analyzed!$CR55</f>
        <v>0</v>
      </c>
      <c r="F54" s="3">
        <f>Analyzed!L55/Analyzed!$CR55</f>
        <v>0</v>
      </c>
      <c r="G54" s="3">
        <f>Analyzed!N55/Analyzed!$CR55</f>
        <v>0</v>
      </c>
      <c r="H54" s="3">
        <f>Analyzed!P55/Analyzed!$CR55</f>
        <v>0</v>
      </c>
      <c r="I54" s="3">
        <f>Analyzed!R55/Analyzed!$CR55</f>
        <v>0</v>
      </c>
      <c r="J54" s="3">
        <f>Analyzed!X55/Analyzed!$CR55</f>
        <v>0.79670329670329676</v>
      </c>
      <c r="K54" s="3">
        <f>Analyzed!Z55/Analyzed!$CR55</f>
        <v>0</v>
      </c>
      <c r="L54" s="3">
        <f>Analyzed!AB55/Analyzed!$CR55</f>
        <v>0</v>
      </c>
      <c r="M54" s="3">
        <f>Analyzed!AD55/Analyzed!$CR55</f>
        <v>0</v>
      </c>
      <c r="N54" s="3">
        <f>Analyzed!AF55/Analyzed!$CR55</f>
        <v>0</v>
      </c>
      <c r="O54" s="3">
        <f>Analyzed!AH55/Analyzed!$CR55</f>
        <v>1.0989010989010988E-2</v>
      </c>
      <c r="P54" s="3">
        <f>Analyzed!AJ55/Analyzed!$CR55</f>
        <v>0</v>
      </c>
      <c r="Q54" s="3">
        <f>Analyzed!AL55/Analyzed!$CR55</f>
        <v>7.1428571428571438E-2</v>
      </c>
      <c r="R54" s="3">
        <f>Analyzed!AN55/Analyzed!$CR55</f>
        <v>0</v>
      </c>
      <c r="S54" s="3">
        <f>Analyzed!AP55/Analyzed!$CR55</f>
        <v>0</v>
      </c>
      <c r="T54" s="3">
        <f>Analyzed!AR55/Analyzed!$CR55</f>
        <v>0</v>
      </c>
      <c r="U54" s="3">
        <f>Analyzed!AT55/Analyzed!$CR55</f>
        <v>9.8901098901098897E-2</v>
      </c>
      <c r="V54" s="3">
        <f>Analyzed!AV55/Analyzed!$CR55</f>
        <v>0</v>
      </c>
      <c r="W54" s="3">
        <f>Analyzed!AX55/Analyzed!$CR55</f>
        <v>0</v>
      </c>
      <c r="X54" s="3">
        <f>Analyzed!AZ55/Analyzed!$CR55</f>
        <v>0</v>
      </c>
      <c r="Y54" s="3">
        <f>Analyzed!BB55/Analyzed!$CR55</f>
        <v>0</v>
      </c>
      <c r="Z54" s="3">
        <f>Analyzed!BD55/Analyzed!$CR55</f>
        <v>0</v>
      </c>
      <c r="AA54" s="3">
        <f>Analyzed!BF55/Analyzed!$CR55</f>
        <v>0</v>
      </c>
    </row>
    <row r="55" spans="1:27" x14ac:dyDescent="0.25">
      <c r="A55" s="13" t="s">
        <v>148</v>
      </c>
      <c r="B55" s="3">
        <f>Analyzed!D56/Analyzed!$CR56</f>
        <v>0.25503355704697989</v>
      </c>
      <c r="C55" s="3">
        <f>Analyzed!F56/Analyzed!$CR56</f>
        <v>0</v>
      </c>
      <c r="D55" s="3">
        <f>Analyzed!H56/Analyzed!$CR56</f>
        <v>0</v>
      </c>
      <c r="E55" s="3">
        <f>Analyzed!J56/Analyzed!$CR56</f>
        <v>0</v>
      </c>
      <c r="F55" s="3">
        <f>Analyzed!L56/Analyzed!$CR56</f>
        <v>0</v>
      </c>
      <c r="G55" s="3">
        <f>Analyzed!N56/Analyzed!$CR56</f>
        <v>0</v>
      </c>
      <c r="H55" s="3">
        <f>Analyzed!P56/Analyzed!$CR56</f>
        <v>0</v>
      </c>
      <c r="I55" s="3">
        <f>Analyzed!R56/Analyzed!$CR56</f>
        <v>0</v>
      </c>
      <c r="J55" s="3">
        <f>Analyzed!X56/Analyzed!$CR56</f>
        <v>0.71812080536912759</v>
      </c>
      <c r="K55" s="3">
        <f>Analyzed!Z56/Analyzed!$CR56</f>
        <v>0</v>
      </c>
      <c r="L55" s="3">
        <f>Analyzed!AB56/Analyzed!$CR56</f>
        <v>0</v>
      </c>
      <c r="M55" s="3">
        <f>Analyzed!AD56/Analyzed!$CR56</f>
        <v>0</v>
      </c>
      <c r="N55" s="3">
        <f>Analyzed!AF56/Analyzed!$CR56</f>
        <v>0</v>
      </c>
      <c r="O55" s="3">
        <f>Analyzed!AH56/Analyzed!$CR56</f>
        <v>6.7114093959731542E-3</v>
      </c>
      <c r="P55" s="3">
        <f>Analyzed!AJ56/Analyzed!$CR56</f>
        <v>6.7114093959731542E-3</v>
      </c>
      <c r="Q55" s="3">
        <f>Analyzed!AL56/Analyzed!$CR56</f>
        <v>0</v>
      </c>
      <c r="R55" s="3">
        <f>Analyzed!AN56/Analyzed!$CR56</f>
        <v>0</v>
      </c>
      <c r="S55" s="3">
        <f>Analyzed!AP56/Analyzed!$CR56</f>
        <v>0</v>
      </c>
      <c r="T55" s="3">
        <f>Analyzed!AR56/Analyzed!$CR56</f>
        <v>0</v>
      </c>
      <c r="U55" s="3">
        <f>Analyzed!AT56/Analyzed!$CR56</f>
        <v>1.3422818791946308E-2</v>
      </c>
      <c r="V55" s="3">
        <f>Analyzed!AV56/Analyzed!$CR56</f>
        <v>0</v>
      </c>
      <c r="W55" s="3">
        <f>Analyzed!AX56/Analyzed!$CR56</f>
        <v>0</v>
      </c>
      <c r="X55" s="3">
        <f>Analyzed!AZ56/Analyzed!$CR56</f>
        <v>0</v>
      </c>
      <c r="Y55" s="3">
        <f>Analyzed!BB56/Analyzed!$CR56</f>
        <v>0</v>
      </c>
      <c r="Z55" s="3">
        <f>Analyzed!BD56/Analyzed!$CR56</f>
        <v>0</v>
      </c>
      <c r="AA55" s="3">
        <f>Analyzed!BF56/Analyzed!$CR56</f>
        <v>0</v>
      </c>
    </row>
    <row r="56" spans="1:27" x14ac:dyDescent="0.25">
      <c r="A56" s="13" t="s">
        <v>149</v>
      </c>
      <c r="B56" s="3">
        <f>Analyzed!D57/Analyzed!$CR57</f>
        <v>0.20786516853932585</v>
      </c>
      <c r="C56" s="3">
        <f>Analyzed!F57/Analyzed!$CR57</f>
        <v>0</v>
      </c>
      <c r="D56" s="3">
        <f>Analyzed!H57/Analyzed!$CR57</f>
        <v>0</v>
      </c>
      <c r="E56" s="3">
        <f>Analyzed!J57/Analyzed!$CR57</f>
        <v>0</v>
      </c>
      <c r="F56" s="3">
        <f>Analyzed!L57/Analyzed!$CR57</f>
        <v>0</v>
      </c>
      <c r="G56" s="3">
        <f>Analyzed!N57/Analyzed!$CR57</f>
        <v>0</v>
      </c>
      <c r="H56" s="3">
        <f>Analyzed!P57/Analyzed!$CR57</f>
        <v>0</v>
      </c>
      <c r="I56" s="3">
        <f>Analyzed!R57/Analyzed!$CR57</f>
        <v>0</v>
      </c>
      <c r="J56" s="3">
        <f>Analyzed!X57/Analyzed!$CR57</f>
        <v>0.72471910112359561</v>
      </c>
      <c r="K56" s="3">
        <f>Analyzed!Z57/Analyzed!$CR57</f>
        <v>0</v>
      </c>
      <c r="L56" s="3">
        <f>Analyzed!AB57/Analyzed!$CR57</f>
        <v>0</v>
      </c>
      <c r="M56" s="3">
        <f>Analyzed!AD57/Analyzed!$CR57</f>
        <v>0</v>
      </c>
      <c r="N56" s="3">
        <f>Analyzed!AF57/Analyzed!$CR57</f>
        <v>0</v>
      </c>
      <c r="O56" s="3">
        <f>Analyzed!AH57/Analyzed!$CR57</f>
        <v>5.0561797752808987E-2</v>
      </c>
      <c r="P56" s="3">
        <f>Analyzed!AJ57/Analyzed!$CR57</f>
        <v>0</v>
      </c>
      <c r="Q56" s="3">
        <f>Analyzed!AL57/Analyzed!$CR57</f>
        <v>0</v>
      </c>
      <c r="R56" s="3">
        <f>Analyzed!AN57/Analyzed!$CR57</f>
        <v>0</v>
      </c>
      <c r="S56" s="3">
        <f>Analyzed!AP57/Analyzed!$CR57</f>
        <v>0</v>
      </c>
      <c r="T56" s="3">
        <f>Analyzed!AR57/Analyzed!$CR57</f>
        <v>0</v>
      </c>
      <c r="U56" s="3">
        <f>Analyzed!AT57/Analyzed!$CR57</f>
        <v>1.6853932584269662E-2</v>
      </c>
      <c r="V56" s="3">
        <f>Analyzed!AV57/Analyzed!$CR57</f>
        <v>0</v>
      </c>
      <c r="W56" s="3">
        <f>Analyzed!AX57/Analyzed!$CR57</f>
        <v>0</v>
      </c>
      <c r="X56" s="3">
        <f>Analyzed!AZ57/Analyzed!$CR57</f>
        <v>0</v>
      </c>
      <c r="Y56" s="3">
        <f>Analyzed!BB57/Analyzed!$CR57</f>
        <v>0</v>
      </c>
      <c r="Z56" s="3">
        <f>Analyzed!BD57/Analyzed!$CR57</f>
        <v>0</v>
      </c>
      <c r="AA56" s="3">
        <f>Analyzed!BF57/Analyzed!$CR57</f>
        <v>0</v>
      </c>
    </row>
    <row r="57" spans="1:27" x14ac:dyDescent="0.25">
      <c r="A57" t="s">
        <v>38</v>
      </c>
      <c r="B57" s="3">
        <f>Analyzed!D58/Analyzed!$CR58</f>
        <v>0.64251207729468607</v>
      </c>
      <c r="C57" s="3">
        <f>Analyzed!F58/Analyzed!$CR58</f>
        <v>0</v>
      </c>
      <c r="D57" s="3">
        <f>Analyzed!H58/Analyzed!$CR58</f>
        <v>0</v>
      </c>
      <c r="E57" s="3">
        <f>Analyzed!J58/Analyzed!$CR58</f>
        <v>0</v>
      </c>
      <c r="F57" s="3">
        <f>Analyzed!L58/Analyzed!$CR58</f>
        <v>0</v>
      </c>
      <c r="G57" s="3">
        <f>Analyzed!N58/Analyzed!$CR58</f>
        <v>4.8309178743961352E-2</v>
      </c>
      <c r="H57" s="3">
        <f>Analyzed!P58/Analyzed!$CR58</f>
        <v>0</v>
      </c>
      <c r="I57" s="3">
        <f>Analyzed!R58/Analyzed!$CR58</f>
        <v>0</v>
      </c>
      <c r="J57" s="3">
        <f>Analyzed!X58/Analyzed!$CR58</f>
        <v>7.2463768115942032E-2</v>
      </c>
      <c r="K57" s="3">
        <f>Analyzed!Z58/Analyzed!$CR58</f>
        <v>0</v>
      </c>
      <c r="L57" s="3">
        <f>Analyzed!AB58/Analyzed!$CR58</f>
        <v>0</v>
      </c>
      <c r="M57" s="3">
        <f>Analyzed!AD58/Analyzed!$CR58</f>
        <v>0</v>
      </c>
      <c r="N57" s="3">
        <f>Analyzed!AF58/Analyzed!$CR58</f>
        <v>0</v>
      </c>
      <c r="O57" s="3">
        <f>Analyzed!AH58/Analyzed!$CR58</f>
        <v>0</v>
      </c>
      <c r="P57" s="3">
        <f>Analyzed!AJ58/Analyzed!$CR58</f>
        <v>4.830917874396135E-3</v>
      </c>
      <c r="Q57" s="3">
        <f>Analyzed!AL58/Analyzed!$CR58</f>
        <v>0.2318840579710145</v>
      </c>
      <c r="R57" s="3">
        <f>Analyzed!AN58/Analyzed!$CR58</f>
        <v>0</v>
      </c>
      <c r="S57" s="3">
        <f>Analyzed!AP58/Analyzed!$CR58</f>
        <v>0</v>
      </c>
      <c r="T57" s="3">
        <f>Analyzed!AR58/Analyzed!$CR58</f>
        <v>0</v>
      </c>
      <c r="U57" s="3">
        <f>Analyzed!AT58/Analyzed!$CR58</f>
        <v>0</v>
      </c>
      <c r="V57" s="3">
        <f>Analyzed!AV58/Analyzed!$CR58</f>
        <v>0</v>
      </c>
      <c r="W57" s="3">
        <f>Analyzed!AX58/Analyzed!$CR58</f>
        <v>0</v>
      </c>
      <c r="X57" s="3">
        <f>Analyzed!AZ58/Analyzed!$CR58</f>
        <v>0</v>
      </c>
      <c r="Y57" s="3">
        <f>Analyzed!BB58/Analyzed!$CR58</f>
        <v>0</v>
      </c>
      <c r="Z57" s="3">
        <f>Analyzed!BD58/Analyzed!$CR58</f>
        <v>0</v>
      </c>
      <c r="AA57" s="3">
        <f>Analyzed!BF58/Analyzed!$CR58</f>
        <v>0</v>
      </c>
    </row>
    <row r="58" spans="1:27" x14ac:dyDescent="0.25">
      <c r="A58" t="s">
        <v>50</v>
      </c>
      <c r="B58" s="3">
        <f>Analyzed!D59/Analyzed!$CR59</f>
        <v>0.56097560975609762</v>
      </c>
      <c r="C58" s="3">
        <f>Analyzed!F59/Analyzed!$CR59</f>
        <v>0</v>
      </c>
      <c r="D58" s="3">
        <f>Analyzed!H59/Analyzed!$CR59</f>
        <v>0</v>
      </c>
      <c r="E58" s="3">
        <f>Analyzed!J59/Analyzed!$CR59</f>
        <v>0</v>
      </c>
      <c r="F58" s="3">
        <f>Analyzed!L59/Analyzed!$CR59</f>
        <v>0</v>
      </c>
      <c r="G58" s="3">
        <f>Analyzed!N59/Analyzed!$CR59</f>
        <v>0.13821138211382114</v>
      </c>
      <c r="H58" s="3">
        <f>Analyzed!P59/Analyzed!$CR59</f>
        <v>0</v>
      </c>
      <c r="I58" s="3">
        <f>Analyzed!R59/Analyzed!$CR59</f>
        <v>0</v>
      </c>
      <c r="J58" s="3">
        <f>Analyzed!X59/Analyzed!$CR59</f>
        <v>3.2520325203252036E-2</v>
      </c>
      <c r="K58" s="3">
        <f>Analyzed!Z59/Analyzed!$CR59</f>
        <v>0</v>
      </c>
      <c r="L58" s="3">
        <f>Analyzed!AB59/Analyzed!$CR59</f>
        <v>0</v>
      </c>
      <c r="M58" s="3">
        <f>Analyzed!AD59/Analyzed!$CR59</f>
        <v>0</v>
      </c>
      <c r="N58" s="3">
        <f>Analyzed!AF59/Analyzed!$CR59</f>
        <v>0</v>
      </c>
      <c r="O58" s="3">
        <f>Analyzed!AH59/Analyzed!$CR59</f>
        <v>0</v>
      </c>
      <c r="P58" s="3">
        <f>Analyzed!AJ59/Analyzed!$CR59</f>
        <v>8.130081300813009E-3</v>
      </c>
      <c r="Q58" s="3">
        <f>Analyzed!AL59/Analyzed!$CR59</f>
        <v>0.26016260162601629</v>
      </c>
      <c r="R58" s="3">
        <f>Analyzed!AN59/Analyzed!$CR59</f>
        <v>0</v>
      </c>
      <c r="S58" s="3">
        <f>Analyzed!AP59/Analyzed!$CR59</f>
        <v>0</v>
      </c>
      <c r="T58" s="3">
        <f>Analyzed!AR59/Analyzed!$CR59</f>
        <v>0</v>
      </c>
      <c r="U58" s="3">
        <f>Analyzed!AT59/Analyzed!$CR59</f>
        <v>0</v>
      </c>
      <c r="V58" s="3">
        <f>Analyzed!AV59/Analyzed!$CR59</f>
        <v>0</v>
      </c>
      <c r="W58" s="3">
        <f>Analyzed!AX59/Analyzed!$CR59</f>
        <v>0</v>
      </c>
      <c r="X58" s="3">
        <f>Analyzed!AZ59/Analyzed!$CR59</f>
        <v>0</v>
      </c>
      <c r="Y58" s="3">
        <f>Analyzed!BB59/Analyzed!$CR59</f>
        <v>0</v>
      </c>
      <c r="Z58" s="3">
        <f>Analyzed!BD59/Analyzed!$CR59</f>
        <v>0</v>
      </c>
      <c r="AA58" s="3">
        <f>Analyzed!BF59/Analyzed!$CR59</f>
        <v>0</v>
      </c>
    </row>
    <row r="59" spans="1:27" x14ac:dyDescent="0.25">
      <c r="A59" t="s">
        <v>52</v>
      </c>
      <c r="B59" s="3">
        <f>Analyzed!D60/Analyzed!$CR60</f>
        <v>0.74683544303797467</v>
      </c>
      <c r="C59" s="3">
        <f>Analyzed!F60/Analyzed!$CR60</f>
        <v>0</v>
      </c>
      <c r="D59" s="3">
        <f>Analyzed!H60/Analyzed!$CR60</f>
        <v>0</v>
      </c>
      <c r="E59" s="3">
        <f>Analyzed!J60/Analyzed!$CR60</f>
        <v>0</v>
      </c>
      <c r="F59" s="3">
        <f>Analyzed!L60/Analyzed!$CR60</f>
        <v>0</v>
      </c>
      <c r="G59" s="3">
        <f>Analyzed!N60/Analyzed!$CR60</f>
        <v>0.10126582278481013</v>
      </c>
      <c r="H59" s="3">
        <f>Analyzed!P60/Analyzed!$CR60</f>
        <v>0</v>
      </c>
      <c r="I59" s="3">
        <f>Analyzed!R60/Analyzed!$CR60</f>
        <v>0</v>
      </c>
      <c r="J59" s="3">
        <f>Analyzed!X60/Analyzed!$CR60</f>
        <v>1.2658227848101266E-2</v>
      </c>
      <c r="K59" s="3">
        <f>Analyzed!Z60/Analyzed!$CR60</f>
        <v>0</v>
      </c>
      <c r="L59" s="3">
        <f>Analyzed!AB60/Analyzed!$CR60</f>
        <v>0</v>
      </c>
      <c r="M59" s="3">
        <f>Analyzed!AD60/Analyzed!$CR60</f>
        <v>0</v>
      </c>
      <c r="N59" s="3">
        <f>Analyzed!AF60/Analyzed!$CR60</f>
        <v>0</v>
      </c>
      <c r="O59" s="3">
        <f>Analyzed!AH60/Analyzed!$CR60</f>
        <v>0</v>
      </c>
      <c r="P59" s="3">
        <f>Analyzed!AJ60/Analyzed!$CR60</f>
        <v>1.2658227848101266E-2</v>
      </c>
      <c r="Q59" s="3">
        <f>Analyzed!AL60/Analyzed!$CR60</f>
        <v>0.12658227848101264</v>
      </c>
      <c r="R59" s="3">
        <f>Analyzed!AN60/Analyzed!$CR60</f>
        <v>0</v>
      </c>
      <c r="S59" s="3">
        <f>Analyzed!AP60/Analyzed!$CR60</f>
        <v>0</v>
      </c>
      <c r="T59" s="3">
        <f>Analyzed!AR60/Analyzed!$CR60</f>
        <v>0</v>
      </c>
      <c r="U59" s="3">
        <f>Analyzed!AT60/Analyzed!$CR60</f>
        <v>0</v>
      </c>
      <c r="V59" s="3">
        <f>Analyzed!AV60/Analyzed!$CR60</f>
        <v>0</v>
      </c>
      <c r="W59" s="3">
        <f>Analyzed!AX60/Analyzed!$CR60</f>
        <v>0</v>
      </c>
      <c r="X59" s="3">
        <f>Analyzed!AZ60/Analyzed!$CR60</f>
        <v>0</v>
      </c>
      <c r="Y59" s="3">
        <f>Analyzed!BB60/Analyzed!$CR60</f>
        <v>0</v>
      </c>
      <c r="Z59" s="3">
        <f>Analyzed!BD60/Analyzed!$CR60</f>
        <v>0</v>
      </c>
      <c r="AA59" s="3">
        <f>Analyzed!BF60/Analyzed!$CR60</f>
        <v>0</v>
      </c>
    </row>
    <row r="60" spans="1:27" x14ac:dyDescent="0.25">
      <c r="A60" t="s">
        <v>53</v>
      </c>
      <c r="B60" s="3">
        <f>Analyzed!D61/Analyzed!$CR61</f>
        <v>0.98496240601503759</v>
      </c>
      <c r="C60" s="3">
        <f>Analyzed!F61/Analyzed!$CR61</f>
        <v>0</v>
      </c>
      <c r="D60" s="3">
        <f>Analyzed!H61/Analyzed!$CR61</f>
        <v>0</v>
      </c>
      <c r="E60" s="3">
        <f>Analyzed!J61/Analyzed!$CR61</f>
        <v>0</v>
      </c>
      <c r="F60" s="3">
        <f>Analyzed!L61/Analyzed!$CR61</f>
        <v>0</v>
      </c>
      <c r="G60" s="3">
        <f>Analyzed!N61/Analyzed!$CR61</f>
        <v>0</v>
      </c>
      <c r="H60" s="3">
        <f>Analyzed!P61/Analyzed!$CR61</f>
        <v>0</v>
      </c>
      <c r="I60" s="3">
        <f>Analyzed!R61/Analyzed!$CR61</f>
        <v>0</v>
      </c>
      <c r="J60" s="3">
        <f>Analyzed!X61/Analyzed!$CR61</f>
        <v>1.5037593984962405E-2</v>
      </c>
      <c r="K60" s="3">
        <f>Analyzed!Z61/Analyzed!$CR61</f>
        <v>0</v>
      </c>
      <c r="L60" s="3">
        <f>Analyzed!AB61/Analyzed!$CR61</f>
        <v>0</v>
      </c>
      <c r="M60" s="3">
        <f>Analyzed!AD61/Analyzed!$CR61</f>
        <v>0</v>
      </c>
      <c r="N60" s="3">
        <f>Analyzed!AF61/Analyzed!$CR61</f>
        <v>0</v>
      </c>
      <c r="O60" s="3">
        <f>Analyzed!AH61/Analyzed!$CR61</f>
        <v>0</v>
      </c>
      <c r="P60" s="3">
        <f>Analyzed!AJ61/Analyzed!$CR61</f>
        <v>0</v>
      </c>
      <c r="Q60" s="3">
        <f>Analyzed!AL61/Analyzed!$CR61</f>
        <v>0</v>
      </c>
      <c r="R60" s="3">
        <f>Analyzed!AN61/Analyzed!$CR61</f>
        <v>0</v>
      </c>
      <c r="S60" s="3">
        <f>Analyzed!AP61/Analyzed!$CR61</f>
        <v>0</v>
      </c>
      <c r="T60" s="3">
        <f>Analyzed!AR61/Analyzed!$CR61</f>
        <v>0</v>
      </c>
      <c r="U60" s="3">
        <f>Analyzed!AT61/Analyzed!$CR61</f>
        <v>0</v>
      </c>
      <c r="V60" s="3">
        <f>Analyzed!AV61/Analyzed!$CR61</f>
        <v>0</v>
      </c>
      <c r="W60" s="3">
        <f>Analyzed!AX61/Analyzed!$CR61</f>
        <v>0</v>
      </c>
      <c r="X60" s="3">
        <f>Analyzed!AZ61/Analyzed!$CR61</f>
        <v>0</v>
      </c>
      <c r="Y60" s="3">
        <f>Analyzed!BB61/Analyzed!$CR61</f>
        <v>0</v>
      </c>
      <c r="Z60" s="3">
        <f>Analyzed!BD61/Analyzed!$CR61</f>
        <v>0</v>
      </c>
      <c r="AA60" s="3">
        <f>Analyzed!BF61/Analyzed!$CR61</f>
        <v>0</v>
      </c>
    </row>
    <row r="61" spans="1:27" x14ac:dyDescent="0.25">
      <c r="A61" t="s">
        <v>54</v>
      </c>
      <c r="B61" s="3">
        <f>Analyzed!D62/Analyzed!$CR62</f>
        <v>0.99473684210526314</v>
      </c>
      <c r="C61" s="3">
        <f>Analyzed!F62/Analyzed!$CR62</f>
        <v>0</v>
      </c>
      <c r="D61" s="3">
        <f>Analyzed!H62/Analyzed!$CR62</f>
        <v>0</v>
      </c>
      <c r="E61" s="3">
        <f>Analyzed!J62/Analyzed!$CR62</f>
        <v>0</v>
      </c>
      <c r="F61" s="3">
        <f>Analyzed!L62/Analyzed!$CR62</f>
        <v>0</v>
      </c>
      <c r="G61" s="3">
        <f>Analyzed!N62/Analyzed!$CR62</f>
        <v>0</v>
      </c>
      <c r="H61" s="3">
        <f>Analyzed!P62/Analyzed!$CR62</f>
        <v>0</v>
      </c>
      <c r="I61" s="3">
        <f>Analyzed!R62/Analyzed!$CR62</f>
        <v>0</v>
      </c>
      <c r="J61" s="3">
        <f>Analyzed!X62/Analyzed!$CR62</f>
        <v>5.263157894736842E-3</v>
      </c>
      <c r="K61" s="3">
        <f>Analyzed!Z62/Analyzed!$CR62</f>
        <v>0</v>
      </c>
      <c r="L61" s="3">
        <f>Analyzed!AB62/Analyzed!$CR62</f>
        <v>0</v>
      </c>
      <c r="M61" s="3">
        <f>Analyzed!AD62/Analyzed!$CR62</f>
        <v>0</v>
      </c>
      <c r="N61" s="3">
        <f>Analyzed!AF62/Analyzed!$CR62</f>
        <v>0</v>
      </c>
      <c r="O61" s="3">
        <f>Analyzed!AH62/Analyzed!$CR62</f>
        <v>0</v>
      </c>
      <c r="P61" s="3">
        <f>Analyzed!AJ62/Analyzed!$CR62</f>
        <v>0</v>
      </c>
      <c r="Q61" s="3">
        <f>Analyzed!AL62/Analyzed!$CR62</f>
        <v>0</v>
      </c>
      <c r="R61" s="3">
        <f>Analyzed!AN62/Analyzed!$CR62</f>
        <v>0</v>
      </c>
      <c r="S61" s="3">
        <f>Analyzed!AP62/Analyzed!$CR62</f>
        <v>0</v>
      </c>
      <c r="T61" s="3">
        <f>Analyzed!AR62/Analyzed!$CR62</f>
        <v>0</v>
      </c>
      <c r="U61" s="3">
        <f>Analyzed!AT62/Analyzed!$CR62</f>
        <v>0</v>
      </c>
      <c r="V61" s="3">
        <f>Analyzed!AV62/Analyzed!$CR62</f>
        <v>0</v>
      </c>
      <c r="W61" s="3">
        <f>Analyzed!AX62/Analyzed!$CR62</f>
        <v>0</v>
      </c>
      <c r="X61" s="3">
        <f>Analyzed!AZ62/Analyzed!$CR62</f>
        <v>0</v>
      </c>
      <c r="Y61" s="3">
        <f>Analyzed!BB62/Analyzed!$CR62</f>
        <v>0</v>
      </c>
      <c r="Z61" s="3">
        <f>Analyzed!BD62/Analyzed!$CR62</f>
        <v>0</v>
      </c>
      <c r="AA61" s="3">
        <f>Analyzed!BF62/Analyzed!$CR62</f>
        <v>0</v>
      </c>
    </row>
    <row r="62" spans="1:27" x14ac:dyDescent="0.25">
      <c r="A62" t="s">
        <v>55</v>
      </c>
      <c r="B62" s="3">
        <f>Analyzed!D63/Analyzed!$CR63</f>
        <v>0.946031746031746</v>
      </c>
      <c r="C62" s="3">
        <f>Analyzed!F63/Analyzed!$CR63</f>
        <v>0</v>
      </c>
      <c r="D62" s="3">
        <f>Analyzed!H63/Analyzed!$CR63</f>
        <v>0</v>
      </c>
      <c r="E62" s="3">
        <f>Analyzed!J63/Analyzed!$CR63</f>
        <v>0</v>
      </c>
      <c r="F62" s="3">
        <f>Analyzed!L63/Analyzed!$CR63</f>
        <v>0</v>
      </c>
      <c r="G62" s="3">
        <f>Analyzed!N63/Analyzed!$CR63</f>
        <v>0</v>
      </c>
      <c r="H62" s="3">
        <f>Analyzed!P63/Analyzed!$CR63</f>
        <v>0</v>
      </c>
      <c r="I62" s="3">
        <f>Analyzed!R63/Analyzed!$CR63</f>
        <v>0</v>
      </c>
      <c r="J62" s="3">
        <f>Analyzed!X63/Analyzed!$CR63</f>
        <v>0</v>
      </c>
      <c r="K62" s="3">
        <f>Analyzed!Z63/Analyzed!$CR63</f>
        <v>0</v>
      </c>
      <c r="L62" s="3">
        <f>Analyzed!AB63/Analyzed!$CR63</f>
        <v>0</v>
      </c>
      <c r="M62" s="3">
        <f>Analyzed!AD63/Analyzed!$CR63</f>
        <v>0</v>
      </c>
      <c r="N62" s="3">
        <f>Analyzed!AF63/Analyzed!$CR63</f>
        <v>0</v>
      </c>
      <c r="O62" s="3">
        <f>Analyzed!AH63/Analyzed!$CR63</f>
        <v>0</v>
      </c>
      <c r="P62" s="3">
        <f>Analyzed!AJ63/Analyzed!$CR63</f>
        <v>6.3492063492063501E-3</v>
      </c>
      <c r="Q62" s="3">
        <f>Analyzed!AL63/Analyzed!$CR63</f>
        <v>4.7619047619047623E-2</v>
      </c>
      <c r="R62" s="3">
        <f>Analyzed!AN63/Analyzed!$CR63</f>
        <v>0</v>
      </c>
      <c r="S62" s="3">
        <f>Analyzed!AP63/Analyzed!$CR63</f>
        <v>0</v>
      </c>
      <c r="T62" s="3">
        <f>Analyzed!AR63/Analyzed!$CR63</f>
        <v>0</v>
      </c>
      <c r="U62" s="3">
        <f>Analyzed!AT63/Analyzed!$CR63</f>
        <v>0</v>
      </c>
      <c r="V62" s="3">
        <f>Analyzed!AV63/Analyzed!$CR63</f>
        <v>0</v>
      </c>
      <c r="W62" s="3">
        <f>Analyzed!AX63/Analyzed!$CR63</f>
        <v>0</v>
      </c>
      <c r="X62" s="3">
        <f>Analyzed!AZ63/Analyzed!$CR63</f>
        <v>0</v>
      </c>
      <c r="Y62" s="3">
        <f>Analyzed!BB63/Analyzed!$CR63</f>
        <v>0</v>
      </c>
      <c r="Z62" s="3">
        <f>Analyzed!BD63/Analyzed!$CR63</f>
        <v>0</v>
      </c>
      <c r="AA62" s="3">
        <f>Analyzed!BF63/Analyzed!$CR63</f>
        <v>0</v>
      </c>
    </row>
    <row r="63" spans="1:27" x14ac:dyDescent="0.25">
      <c r="A63" t="s">
        <v>56</v>
      </c>
      <c r="B63" s="3">
        <f>Analyzed!D64/Analyzed!$CR64</f>
        <v>0.9653846153846154</v>
      </c>
      <c r="C63" s="3">
        <f>Analyzed!F64/Analyzed!$CR64</f>
        <v>0</v>
      </c>
      <c r="D63" s="3">
        <f>Analyzed!H64/Analyzed!$CR64</f>
        <v>0</v>
      </c>
      <c r="E63" s="3">
        <f>Analyzed!J64/Analyzed!$CR64</f>
        <v>0</v>
      </c>
      <c r="F63" s="3">
        <f>Analyzed!L64/Analyzed!$CR64</f>
        <v>0</v>
      </c>
      <c r="G63" s="3">
        <f>Analyzed!N64/Analyzed!$CR64</f>
        <v>0</v>
      </c>
      <c r="H63" s="3">
        <f>Analyzed!P64/Analyzed!$CR64</f>
        <v>0</v>
      </c>
      <c r="I63" s="3">
        <f>Analyzed!R64/Analyzed!$CR64</f>
        <v>0</v>
      </c>
      <c r="J63" s="3">
        <f>Analyzed!X64/Analyzed!$CR64</f>
        <v>7.6923076923076919E-3</v>
      </c>
      <c r="K63" s="3">
        <f>Analyzed!Z64/Analyzed!$CR64</f>
        <v>0</v>
      </c>
      <c r="L63" s="3">
        <f>Analyzed!AB64/Analyzed!$CR64</f>
        <v>0</v>
      </c>
      <c r="M63" s="3">
        <f>Analyzed!AD64/Analyzed!$CR64</f>
        <v>0</v>
      </c>
      <c r="N63" s="3">
        <f>Analyzed!AF64/Analyzed!$CR64</f>
        <v>0</v>
      </c>
      <c r="O63" s="3">
        <f>Analyzed!AH64/Analyzed!$CR64</f>
        <v>0</v>
      </c>
      <c r="P63" s="3">
        <f>Analyzed!AJ64/Analyzed!$CR64</f>
        <v>0</v>
      </c>
      <c r="Q63" s="3">
        <f>Analyzed!AL64/Analyzed!$CR64</f>
        <v>2.3076923076923075E-2</v>
      </c>
      <c r="R63" s="3">
        <f>Analyzed!AN64/Analyzed!$CR64</f>
        <v>0</v>
      </c>
      <c r="S63" s="3">
        <f>Analyzed!AP64/Analyzed!$CR64</f>
        <v>0</v>
      </c>
      <c r="T63" s="3">
        <f>Analyzed!AR64/Analyzed!$CR64</f>
        <v>3.8461538461538459E-3</v>
      </c>
      <c r="U63" s="3">
        <f>Analyzed!AT64/Analyzed!$CR64</f>
        <v>0</v>
      </c>
      <c r="V63" s="3">
        <f>Analyzed!AV64/Analyzed!$CR64</f>
        <v>0</v>
      </c>
      <c r="W63" s="3">
        <f>Analyzed!AX64/Analyzed!$CR64</f>
        <v>0</v>
      </c>
      <c r="X63" s="3">
        <f>Analyzed!AZ64/Analyzed!$CR64</f>
        <v>0</v>
      </c>
      <c r="Y63" s="3">
        <f>Analyzed!BB64/Analyzed!$CR64</f>
        <v>0</v>
      </c>
      <c r="Z63" s="3">
        <f>Analyzed!BD64/Analyzed!$CR64</f>
        <v>0</v>
      </c>
      <c r="AA63" s="3">
        <f>Analyzed!BF64/Analyzed!$CR64</f>
        <v>0</v>
      </c>
    </row>
    <row r="64" spans="1:27" x14ac:dyDescent="0.25">
      <c r="A64" t="s">
        <v>57</v>
      </c>
      <c r="B64" s="3">
        <f>Analyzed!D65/Analyzed!$CR65</f>
        <v>0.96951219512195119</v>
      </c>
      <c r="C64" s="3">
        <f>Analyzed!F65/Analyzed!$CR65</f>
        <v>0</v>
      </c>
      <c r="D64" s="3">
        <f>Analyzed!H65/Analyzed!$CR65</f>
        <v>0</v>
      </c>
      <c r="E64" s="3">
        <f>Analyzed!J65/Analyzed!$CR65</f>
        <v>0</v>
      </c>
      <c r="F64" s="3">
        <f>Analyzed!L65/Analyzed!$CR65</f>
        <v>0</v>
      </c>
      <c r="G64" s="3">
        <f>Analyzed!N65/Analyzed!$CR65</f>
        <v>0</v>
      </c>
      <c r="H64" s="3">
        <f>Analyzed!P65/Analyzed!$CR65</f>
        <v>0</v>
      </c>
      <c r="I64" s="3">
        <f>Analyzed!R65/Analyzed!$CR65</f>
        <v>0</v>
      </c>
      <c r="J64" s="3">
        <f>Analyzed!X65/Analyzed!$CR65</f>
        <v>0</v>
      </c>
      <c r="K64" s="3">
        <f>Analyzed!Z65/Analyzed!$CR65</f>
        <v>0</v>
      </c>
      <c r="L64" s="3">
        <f>Analyzed!AB65/Analyzed!$CR65</f>
        <v>0</v>
      </c>
      <c r="M64" s="3">
        <f>Analyzed!AD65/Analyzed!$CR65</f>
        <v>0</v>
      </c>
      <c r="N64" s="3">
        <f>Analyzed!AF65/Analyzed!$CR65</f>
        <v>0</v>
      </c>
      <c r="O64" s="3">
        <f>Analyzed!AH65/Analyzed!$CR65</f>
        <v>0</v>
      </c>
      <c r="P64" s="3">
        <f>Analyzed!AJ65/Analyzed!$CR65</f>
        <v>0</v>
      </c>
      <c r="Q64" s="3">
        <f>Analyzed!AL65/Analyzed!$CR65</f>
        <v>3.048780487804878E-2</v>
      </c>
      <c r="R64" s="3">
        <f>Analyzed!AN65/Analyzed!$CR65</f>
        <v>0</v>
      </c>
      <c r="S64" s="3">
        <f>Analyzed!AP65/Analyzed!$CR65</f>
        <v>0</v>
      </c>
      <c r="T64" s="3">
        <f>Analyzed!AR65/Analyzed!$CR65</f>
        <v>0</v>
      </c>
      <c r="U64" s="3">
        <f>Analyzed!AT65/Analyzed!$CR65</f>
        <v>0</v>
      </c>
      <c r="V64" s="3">
        <f>Analyzed!AV65/Analyzed!$CR65</f>
        <v>0</v>
      </c>
      <c r="W64" s="3">
        <f>Analyzed!AX65/Analyzed!$CR65</f>
        <v>0</v>
      </c>
      <c r="X64" s="3">
        <f>Analyzed!AZ65/Analyzed!$CR65</f>
        <v>0</v>
      </c>
      <c r="Y64" s="3">
        <f>Analyzed!BB65/Analyzed!$CR65</f>
        <v>0</v>
      </c>
      <c r="Z64" s="3">
        <f>Analyzed!BD65/Analyzed!$CR65</f>
        <v>0</v>
      </c>
      <c r="AA64" s="3">
        <f>Analyzed!BF65/Analyzed!$CR65</f>
        <v>0</v>
      </c>
    </row>
    <row r="65" spans="1:27" x14ac:dyDescent="0.25">
      <c r="A65" t="s">
        <v>59</v>
      </c>
      <c r="B65" s="3">
        <f>Analyzed!D66/Analyzed!$CR66</f>
        <v>0.99259259259259258</v>
      </c>
      <c r="C65" s="3">
        <f>Analyzed!F66/Analyzed!$CR66</f>
        <v>0</v>
      </c>
      <c r="D65" s="3">
        <f>Analyzed!H66/Analyzed!$CR66</f>
        <v>0</v>
      </c>
      <c r="E65" s="3">
        <f>Analyzed!J66/Analyzed!$CR66</f>
        <v>0</v>
      </c>
      <c r="F65" s="3">
        <f>Analyzed!L66/Analyzed!$CR66</f>
        <v>0</v>
      </c>
      <c r="G65" s="3">
        <f>Analyzed!N66/Analyzed!$CR66</f>
        <v>0</v>
      </c>
      <c r="H65" s="3">
        <f>Analyzed!P66/Analyzed!$CR66</f>
        <v>0</v>
      </c>
      <c r="I65" s="3">
        <f>Analyzed!R66/Analyzed!$CR66</f>
        <v>0</v>
      </c>
      <c r="J65" s="3">
        <f>Analyzed!X66/Analyzed!$CR66</f>
        <v>0</v>
      </c>
      <c r="K65" s="3">
        <f>Analyzed!Z66/Analyzed!$CR66</f>
        <v>0</v>
      </c>
      <c r="L65" s="3">
        <f>Analyzed!AB66/Analyzed!$CR66</f>
        <v>0</v>
      </c>
      <c r="M65" s="3">
        <f>Analyzed!AD66/Analyzed!$CR66</f>
        <v>0</v>
      </c>
      <c r="N65" s="3">
        <f>Analyzed!AF66/Analyzed!$CR66</f>
        <v>0</v>
      </c>
      <c r="O65" s="3">
        <f>Analyzed!AH66/Analyzed!$CR66</f>
        <v>0</v>
      </c>
      <c r="P65" s="3">
        <f>Analyzed!AJ66/Analyzed!$CR66</f>
        <v>0</v>
      </c>
      <c r="Q65" s="3">
        <f>Analyzed!AL66/Analyzed!$CR66</f>
        <v>7.4074074074074077E-3</v>
      </c>
      <c r="R65" s="3">
        <f>Analyzed!AN66/Analyzed!$CR66</f>
        <v>0</v>
      </c>
      <c r="S65" s="3">
        <f>Analyzed!AP66/Analyzed!$CR66</f>
        <v>0</v>
      </c>
      <c r="T65" s="3">
        <f>Analyzed!AR66/Analyzed!$CR66</f>
        <v>0</v>
      </c>
      <c r="U65" s="3">
        <f>Analyzed!AT66/Analyzed!$CR66</f>
        <v>0</v>
      </c>
      <c r="V65" s="3">
        <f>Analyzed!AV66/Analyzed!$CR66</f>
        <v>0</v>
      </c>
      <c r="W65" s="3">
        <f>Analyzed!AX66/Analyzed!$CR66</f>
        <v>0</v>
      </c>
      <c r="X65" s="3">
        <f>Analyzed!AZ66/Analyzed!$CR66</f>
        <v>0</v>
      </c>
      <c r="Y65" s="3">
        <f>Analyzed!BB66/Analyzed!$CR66</f>
        <v>0</v>
      </c>
      <c r="Z65" s="3">
        <f>Analyzed!BD66/Analyzed!$CR66</f>
        <v>0</v>
      </c>
      <c r="AA65" s="3">
        <f>Analyzed!BF66/Analyzed!$CR66</f>
        <v>0</v>
      </c>
    </row>
    <row r="66" spans="1:27" x14ac:dyDescent="0.25">
      <c r="A66" t="s">
        <v>60</v>
      </c>
      <c r="B66" s="3">
        <f>Analyzed!D67/Analyzed!$CR67</f>
        <v>0.78703703703703698</v>
      </c>
      <c r="C66" s="3">
        <f>Analyzed!F67/Analyzed!$CR67</f>
        <v>0</v>
      </c>
      <c r="D66" s="3">
        <f>Analyzed!H67/Analyzed!$CR67</f>
        <v>0</v>
      </c>
      <c r="E66" s="3">
        <f>Analyzed!J67/Analyzed!$CR67</f>
        <v>0</v>
      </c>
      <c r="F66" s="3">
        <f>Analyzed!L67/Analyzed!$CR67</f>
        <v>0</v>
      </c>
      <c r="G66" s="3">
        <f>Analyzed!N67/Analyzed!$CR67</f>
        <v>8.3333333333333329E-2</v>
      </c>
      <c r="H66" s="3">
        <f>Analyzed!P67/Analyzed!$CR67</f>
        <v>0</v>
      </c>
      <c r="I66" s="3">
        <f>Analyzed!R67/Analyzed!$CR67</f>
        <v>0</v>
      </c>
      <c r="J66" s="3">
        <f>Analyzed!X67/Analyzed!$CR67</f>
        <v>9.2592592592592587E-3</v>
      </c>
      <c r="K66" s="3">
        <f>Analyzed!Z67/Analyzed!$CR67</f>
        <v>0</v>
      </c>
      <c r="L66" s="3">
        <f>Analyzed!AB67/Analyzed!$CR67</f>
        <v>0</v>
      </c>
      <c r="M66" s="3">
        <f>Analyzed!AD67/Analyzed!$CR67</f>
        <v>0</v>
      </c>
      <c r="N66" s="3">
        <f>Analyzed!AF67/Analyzed!$CR67</f>
        <v>0</v>
      </c>
      <c r="O66" s="3">
        <f>Analyzed!AH67/Analyzed!$CR67</f>
        <v>0</v>
      </c>
      <c r="P66" s="3">
        <f>Analyzed!AJ67/Analyzed!$CR67</f>
        <v>0</v>
      </c>
      <c r="Q66" s="3">
        <f>Analyzed!AL67/Analyzed!$CR67</f>
        <v>0.12037037037037036</v>
      </c>
      <c r="R66" s="3">
        <f>Analyzed!AN67/Analyzed!$CR67</f>
        <v>0</v>
      </c>
      <c r="S66" s="3">
        <f>Analyzed!AP67/Analyzed!$CR67</f>
        <v>0</v>
      </c>
      <c r="T66" s="3">
        <f>Analyzed!AR67/Analyzed!$CR67</f>
        <v>0</v>
      </c>
      <c r="U66" s="3">
        <f>Analyzed!AT67/Analyzed!$CR67</f>
        <v>0</v>
      </c>
      <c r="V66" s="3">
        <f>Analyzed!AV67/Analyzed!$CR67</f>
        <v>0</v>
      </c>
      <c r="W66" s="3">
        <f>Analyzed!AX67/Analyzed!$CR67</f>
        <v>0</v>
      </c>
      <c r="X66" s="3">
        <f>Analyzed!AZ67/Analyzed!$CR67</f>
        <v>0</v>
      </c>
      <c r="Y66" s="3">
        <f>Analyzed!BB67/Analyzed!$CR67</f>
        <v>0</v>
      </c>
      <c r="Z66" s="3">
        <f>Analyzed!BD67/Analyzed!$CR67</f>
        <v>0</v>
      </c>
      <c r="AA66" s="3">
        <f>Analyzed!BF67/Analyzed!$CR67</f>
        <v>0</v>
      </c>
    </row>
    <row r="67" spans="1:27" x14ac:dyDescent="0.25">
      <c r="A67" t="s">
        <v>61</v>
      </c>
      <c r="B67" s="3">
        <f>Analyzed!D68/Analyzed!$CR68</f>
        <v>0.90575916230366493</v>
      </c>
      <c r="C67" s="3">
        <f>Analyzed!F68/Analyzed!$CR68</f>
        <v>0</v>
      </c>
      <c r="D67" s="3">
        <f>Analyzed!H68/Analyzed!$CR68</f>
        <v>0</v>
      </c>
      <c r="E67" s="3">
        <f>Analyzed!J68/Analyzed!$CR68</f>
        <v>0</v>
      </c>
      <c r="F67" s="3">
        <f>Analyzed!L68/Analyzed!$CR68</f>
        <v>0</v>
      </c>
      <c r="G67" s="3">
        <f>Analyzed!N68/Analyzed!$CR68</f>
        <v>0</v>
      </c>
      <c r="H67" s="3">
        <f>Analyzed!P68/Analyzed!$CR68</f>
        <v>0</v>
      </c>
      <c r="I67" s="3">
        <f>Analyzed!R68/Analyzed!$CR68</f>
        <v>0</v>
      </c>
      <c r="J67" s="3">
        <f>Analyzed!X68/Analyzed!$CR68</f>
        <v>9.4240837696335067E-2</v>
      </c>
      <c r="K67" s="3">
        <f>Analyzed!Z68/Analyzed!$CR68</f>
        <v>0</v>
      </c>
      <c r="L67" s="3">
        <f>Analyzed!AB68/Analyzed!$CR68</f>
        <v>0</v>
      </c>
      <c r="M67" s="3">
        <f>Analyzed!AD68/Analyzed!$CR68</f>
        <v>0</v>
      </c>
      <c r="N67" s="3">
        <f>Analyzed!AF68/Analyzed!$CR68</f>
        <v>0</v>
      </c>
      <c r="O67" s="3">
        <f>Analyzed!AH68/Analyzed!$CR68</f>
        <v>0</v>
      </c>
      <c r="P67" s="3">
        <f>Analyzed!AJ68/Analyzed!$CR68</f>
        <v>0</v>
      </c>
      <c r="Q67" s="3">
        <f>Analyzed!AL68/Analyzed!$CR68</f>
        <v>0</v>
      </c>
      <c r="R67" s="3">
        <f>Analyzed!AN68/Analyzed!$CR68</f>
        <v>0</v>
      </c>
      <c r="S67" s="3">
        <f>Analyzed!AP68/Analyzed!$CR68</f>
        <v>0</v>
      </c>
      <c r="T67" s="3">
        <f>Analyzed!AR68/Analyzed!$CR68</f>
        <v>0</v>
      </c>
      <c r="U67" s="3">
        <f>Analyzed!AT68/Analyzed!$CR68</f>
        <v>0</v>
      </c>
      <c r="V67" s="3">
        <f>Analyzed!AV68/Analyzed!$CR68</f>
        <v>0</v>
      </c>
      <c r="W67" s="3">
        <f>Analyzed!AX68/Analyzed!$CR68</f>
        <v>0</v>
      </c>
      <c r="X67" s="3">
        <f>Analyzed!AZ68/Analyzed!$CR68</f>
        <v>0</v>
      </c>
      <c r="Y67" s="3">
        <f>Analyzed!BB68/Analyzed!$CR68</f>
        <v>0</v>
      </c>
      <c r="Z67" s="3">
        <f>Analyzed!BD68/Analyzed!$CR68</f>
        <v>0</v>
      </c>
      <c r="AA67" s="3">
        <f>Analyzed!BF68/Analyzed!$CR68</f>
        <v>0</v>
      </c>
    </row>
    <row r="68" spans="1:27" x14ac:dyDescent="0.25">
      <c r="A68" t="s">
        <v>62</v>
      </c>
      <c r="B68" s="3">
        <f>Analyzed!D69/Analyzed!$CR69</f>
        <v>0.94219653179190754</v>
      </c>
      <c r="C68" s="3">
        <f>Analyzed!F69/Analyzed!$CR69</f>
        <v>0</v>
      </c>
      <c r="D68" s="3">
        <f>Analyzed!H69/Analyzed!$CR69</f>
        <v>0</v>
      </c>
      <c r="E68" s="3">
        <f>Analyzed!J69/Analyzed!$CR69</f>
        <v>0</v>
      </c>
      <c r="F68" s="3">
        <f>Analyzed!L69/Analyzed!$CR69</f>
        <v>0</v>
      </c>
      <c r="G68" s="3">
        <f>Analyzed!N69/Analyzed!$CR69</f>
        <v>2.8901734104046242E-2</v>
      </c>
      <c r="H68" s="3">
        <f>Analyzed!P69/Analyzed!$CR69</f>
        <v>0</v>
      </c>
      <c r="I68" s="3">
        <f>Analyzed!R69/Analyzed!$CR69</f>
        <v>0</v>
      </c>
      <c r="J68" s="3">
        <f>Analyzed!X69/Analyzed!$CR69</f>
        <v>5.7803468208092491E-3</v>
      </c>
      <c r="K68" s="3">
        <f>Analyzed!Z69/Analyzed!$CR69</f>
        <v>0</v>
      </c>
      <c r="L68" s="3">
        <f>Analyzed!AB69/Analyzed!$CR69</f>
        <v>0</v>
      </c>
      <c r="M68" s="3">
        <f>Analyzed!AD69/Analyzed!$CR69</f>
        <v>0</v>
      </c>
      <c r="N68" s="3">
        <f>Analyzed!AF69/Analyzed!$CR69</f>
        <v>0</v>
      </c>
      <c r="O68" s="3">
        <f>Analyzed!AH69/Analyzed!$CR69</f>
        <v>0</v>
      </c>
      <c r="P68" s="3">
        <f>Analyzed!AJ69/Analyzed!$CR69</f>
        <v>0</v>
      </c>
      <c r="Q68" s="3">
        <f>Analyzed!AL69/Analyzed!$CR69</f>
        <v>1.7341040462427747E-2</v>
      </c>
      <c r="R68" s="3">
        <f>Analyzed!AN69/Analyzed!$CR69</f>
        <v>0</v>
      </c>
      <c r="S68" s="3">
        <f>Analyzed!AP69/Analyzed!$CR69</f>
        <v>0</v>
      </c>
      <c r="T68" s="3">
        <f>Analyzed!AR69/Analyzed!$CR69</f>
        <v>0</v>
      </c>
      <c r="U68" s="3">
        <f>Analyzed!AT69/Analyzed!$CR69</f>
        <v>5.7803468208092491E-3</v>
      </c>
      <c r="V68" s="3">
        <f>Analyzed!AV69/Analyzed!$CR69</f>
        <v>0</v>
      </c>
      <c r="W68" s="3">
        <f>Analyzed!AX69/Analyzed!$CR69</f>
        <v>0</v>
      </c>
      <c r="X68" s="3">
        <f>Analyzed!AZ69/Analyzed!$CR69</f>
        <v>0</v>
      </c>
      <c r="Y68" s="3">
        <f>Analyzed!BB69/Analyzed!$CR69</f>
        <v>0</v>
      </c>
      <c r="Z68" s="3">
        <f>Analyzed!BD69/Analyzed!$CR69</f>
        <v>0</v>
      </c>
      <c r="AA68" s="3">
        <f>Analyzed!BF69/Analyzed!$CR69</f>
        <v>0</v>
      </c>
    </row>
    <row r="69" spans="1:27" x14ac:dyDescent="0.25">
      <c r="A69" t="s">
        <v>70</v>
      </c>
      <c r="B69" s="3">
        <f>Analyzed!D70/Analyzed!$CR70</f>
        <v>0.7142857142857143</v>
      </c>
      <c r="C69" s="3">
        <f>Analyzed!F70/Analyzed!$CR70</f>
        <v>0</v>
      </c>
      <c r="D69" s="3">
        <f>Analyzed!H70/Analyzed!$CR70</f>
        <v>0</v>
      </c>
      <c r="E69" s="3">
        <f>Analyzed!J70/Analyzed!$CR70</f>
        <v>0</v>
      </c>
      <c r="F69" s="3">
        <f>Analyzed!L70/Analyzed!$CR70</f>
        <v>0</v>
      </c>
      <c r="G69" s="3">
        <f>Analyzed!N70/Analyzed!$CR70</f>
        <v>4.7619047619047623E-2</v>
      </c>
      <c r="H69" s="3">
        <f>Analyzed!P70/Analyzed!$CR70</f>
        <v>0</v>
      </c>
      <c r="I69" s="3">
        <f>Analyzed!R70/Analyzed!$CR70</f>
        <v>0</v>
      </c>
      <c r="J69" s="3">
        <f>Analyzed!X70/Analyzed!$CR70</f>
        <v>4.7619047619047623E-2</v>
      </c>
      <c r="K69" s="3">
        <f>Analyzed!Z70/Analyzed!$CR70</f>
        <v>0</v>
      </c>
      <c r="L69" s="3">
        <f>Analyzed!AB70/Analyzed!$CR70</f>
        <v>0</v>
      </c>
      <c r="M69" s="3">
        <f>Analyzed!AD70/Analyzed!$CR70</f>
        <v>0</v>
      </c>
      <c r="N69" s="3">
        <f>Analyzed!AF70/Analyzed!$CR70</f>
        <v>0</v>
      </c>
      <c r="O69" s="3">
        <f>Analyzed!AH70/Analyzed!$CR70</f>
        <v>2.3809523809523812E-2</v>
      </c>
      <c r="P69" s="3">
        <f>Analyzed!AJ70/Analyzed!$CR70</f>
        <v>0</v>
      </c>
      <c r="Q69" s="3">
        <f>Analyzed!AL70/Analyzed!$CR70</f>
        <v>0.16666666666666669</v>
      </c>
      <c r="R69" s="3">
        <f>Analyzed!AN70/Analyzed!$CR70</f>
        <v>0</v>
      </c>
      <c r="S69" s="3">
        <f>Analyzed!AP70/Analyzed!$CR70</f>
        <v>0</v>
      </c>
      <c r="T69" s="3">
        <f>Analyzed!AR70/Analyzed!$CR70</f>
        <v>0</v>
      </c>
      <c r="U69" s="3">
        <f>Analyzed!AT70/Analyzed!$CR70</f>
        <v>0</v>
      </c>
      <c r="V69" s="3">
        <f>Analyzed!AV70/Analyzed!$CR70</f>
        <v>0</v>
      </c>
      <c r="W69" s="3">
        <f>Analyzed!AX70/Analyzed!$CR70</f>
        <v>0</v>
      </c>
      <c r="X69" s="3">
        <f>Analyzed!AZ70/Analyzed!$CR70</f>
        <v>0</v>
      </c>
      <c r="Y69" s="3">
        <f>Analyzed!BB70/Analyzed!$CR70</f>
        <v>0</v>
      </c>
      <c r="Z69" s="3">
        <f>Analyzed!BD70/Analyzed!$CR70</f>
        <v>0</v>
      </c>
      <c r="AA69" s="3">
        <f>Analyzed!BF70/Analyzed!$CR70</f>
        <v>0</v>
      </c>
    </row>
    <row r="70" spans="1:27" x14ac:dyDescent="0.25">
      <c r="A70" t="s">
        <v>71</v>
      </c>
      <c r="B70" s="3">
        <f>Analyzed!D71/Analyzed!$CR71</f>
        <v>0.52631578947368418</v>
      </c>
      <c r="C70" s="3">
        <f>Analyzed!F71/Analyzed!$CR71</f>
        <v>0</v>
      </c>
      <c r="D70" s="3">
        <f>Analyzed!H71/Analyzed!$CR71</f>
        <v>0</v>
      </c>
      <c r="E70" s="3">
        <f>Analyzed!J71/Analyzed!$CR71</f>
        <v>0</v>
      </c>
      <c r="F70" s="3">
        <f>Analyzed!L71/Analyzed!$CR71</f>
        <v>0</v>
      </c>
      <c r="G70" s="3">
        <f>Analyzed!N71/Analyzed!$CR71</f>
        <v>5.2631578947368425E-2</v>
      </c>
      <c r="H70" s="3">
        <f>Analyzed!P71/Analyzed!$CR71</f>
        <v>0</v>
      </c>
      <c r="I70" s="3">
        <f>Analyzed!R71/Analyzed!$CR71</f>
        <v>0</v>
      </c>
      <c r="J70" s="3">
        <f>Analyzed!X71/Analyzed!$CR71</f>
        <v>0</v>
      </c>
      <c r="K70" s="3">
        <f>Analyzed!Z71/Analyzed!$CR71</f>
        <v>0</v>
      </c>
      <c r="L70" s="3">
        <f>Analyzed!AB71/Analyzed!$CR71</f>
        <v>0</v>
      </c>
      <c r="M70" s="3">
        <f>Analyzed!AD71/Analyzed!$CR71</f>
        <v>0</v>
      </c>
      <c r="N70" s="3">
        <f>Analyzed!AF71/Analyzed!$CR71</f>
        <v>0</v>
      </c>
      <c r="O70" s="3">
        <f>Analyzed!AH71/Analyzed!$CR71</f>
        <v>5.2631578947368425E-2</v>
      </c>
      <c r="P70" s="3">
        <f>Analyzed!AJ71/Analyzed!$CR71</f>
        <v>5.2631578947368425E-2</v>
      </c>
      <c r="Q70" s="3">
        <f>Analyzed!AL71/Analyzed!$CR71</f>
        <v>0.31578947368421056</v>
      </c>
      <c r="R70" s="3">
        <f>Analyzed!AN71/Analyzed!$CR71</f>
        <v>0</v>
      </c>
      <c r="S70" s="3">
        <f>Analyzed!AP71/Analyzed!$CR71</f>
        <v>0</v>
      </c>
      <c r="T70" s="3">
        <f>Analyzed!AR71/Analyzed!$CR71</f>
        <v>0</v>
      </c>
      <c r="U70" s="3">
        <f>Analyzed!AT71/Analyzed!$CR71</f>
        <v>0</v>
      </c>
      <c r="V70" s="3">
        <f>Analyzed!AV71/Analyzed!$CR71</f>
        <v>0</v>
      </c>
      <c r="W70" s="3">
        <f>Analyzed!AX71/Analyzed!$CR71</f>
        <v>0</v>
      </c>
      <c r="X70" s="3">
        <f>Analyzed!AZ71/Analyzed!$CR71</f>
        <v>0</v>
      </c>
      <c r="Y70" s="3">
        <f>Analyzed!BB71/Analyzed!$CR71</f>
        <v>0</v>
      </c>
      <c r="Z70" s="3">
        <f>Analyzed!BD71/Analyzed!$CR71</f>
        <v>0</v>
      </c>
      <c r="AA70" s="3">
        <f>Analyzed!BF71/Analyzed!$CR71</f>
        <v>0</v>
      </c>
    </row>
    <row r="71" spans="1:27" x14ac:dyDescent="0.25">
      <c r="A71" t="s">
        <v>72</v>
      </c>
      <c r="B71" s="3">
        <f>Analyzed!D72/Analyzed!$CR72</f>
        <v>0.87037037037037035</v>
      </c>
      <c r="C71" s="3">
        <f>Analyzed!F72/Analyzed!$CR72</f>
        <v>0</v>
      </c>
      <c r="D71" s="3">
        <f>Analyzed!H72/Analyzed!$CR72</f>
        <v>0</v>
      </c>
      <c r="E71" s="3">
        <f>Analyzed!J72/Analyzed!$CR72</f>
        <v>0</v>
      </c>
      <c r="F71" s="3">
        <f>Analyzed!L72/Analyzed!$CR72</f>
        <v>0</v>
      </c>
      <c r="G71" s="3">
        <f>Analyzed!N72/Analyzed!$CR72</f>
        <v>1.8518518518518517E-2</v>
      </c>
      <c r="H71" s="3">
        <f>Analyzed!P72/Analyzed!$CR72</f>
        <v>0</v>
      </c>
      <c r="I71" s="3">
        <f>Analyzed!R72/Analyzed!$CR72</f>
        <v>0</v>
      </c>
      <c r="J71" s="3">
        <f>Analyzed!X72/Analyzed!$CR72</f>
        <v>0</v>
      </c>
      <c r="K71" s="3">
        <f>Analyzed!Z72/Analyzed!$CR72</f>
        <v>0</v>
      </c>
      <c r="L71" s="3">
        <f>Analyzed!AB72/Analyzed!$CR72</f>
        <v>0</v>
      </c>
      <c r="M71" s="3">
        <f>Analyzed!AD72/Analyzed!$CR72</f>
        <v>0</v>
      </c>
      <c r="N71" s="3">
        <f>Analyzed!AF72/Analyzed!$CR72</f>
        <v>0</v>
      </c>
      <c r="O71" s="3">
        <f>Analyzed!AH72/Analyzed!$CR72</f>
        <v>0</v>
      </c>
      <c r="P71" s="3">
        <f>Analyzed!AJ72/Analyzed!$CR72</f>
        <v>7.407407407407407E-2</v>
      </c>
      <c r="Q71" s="3">
        <f>Analyzed!AL72/Analyzed!$CR72</f>
        <v>3.7037037037037035E-2</v>
      </c>
      <c r="R71" s="3">
        <f>Analyzed!AN72/Analyzed!$CR72</f>
        <v>0</v>
      </c>
      <c r="S71" s="3">
        <f>Analyzed!AP72/Analyzed!$CR72</f>
        <v>0</v>
      </c>
      <c r="T71" s="3">
        <f>Analyzed!AR72/Analyzed!$CR72</f>
        <v>0</v>
      </c>
      <c r="U71" s="3">
        <f>Analyzed!AT72/Analyzed!$CR72</f>
        <v>0</v>
      </c>
      <c r="V71" s="3">
        <f>Analyzed!AV72/Analyzed!$CR72</f>
        <v>0</v>
      </c>
      <c r="W71" s="3">
        <f>Analyzed!AX72/Analyzed!$CR72</f>
        <v>0</v>
      </c>
      <c r="X71" s="3">
        <f>Analyzed!AZ72/Analyzed!$CR72</f>
        <v>0</v>
      </c>
      <c r="Y71" s="3">
        <f>Analyzed!BB72/Analyzed!$CR72</f>
        <v>0</v>
      </c>
      <c r="Z71" s="3">
        <f>Analyzed!BD72/Analyzed!$CR72</f>
        <v>0</v>
      </c>
      <c r="AA71" s="3">
        <f>Analyzed!BF72/Analyzed!$CR72</f>
        <v>0</v>
      </c>
    </row>
    <row r="72" spans="1:27" x14ac:dyDescent="0.25">
      <c r="A72" t="s">
        <v>77</v>
      </c>
      <c r="B72" s="3">
        <f>Analyzed!D73/Analyzed!$CR73</f>
        <v>0.65573770491803274</v>
      </c>
      <c r="C72" s="3">
        <f>Analyzed!F73/Analyzed!$CR73</f>
        <v>0</v>
      </c>
      <c r="D72" s="3">
        <f>Analyzed!H73/Analyzed!$CR73</f>
        <v>0</v>
      </c>
      <c r="E72" s="3">
        <f>Analyzed!J73/Analyzed!$CR73</f>
        <v>0</v>
      </c>
      <c r="F72" s="3">
        <f>Analyzed!L73/Analyzed!$CR73</f>
        <v>0</v>
      </c>
      <c r="G72" s="3">
        <f>Analyzed!N73/Analyzed!$CR73</f>
        <v>1.6393442622950821E-2</v>
      </c>
      <c r="H72" s="3">
        <f>Analyzed!P73/Analyzed!$CR73</f>
        <v>0</v>
      </c>
      <c r="I72" s="3">
        <f>Analyzed!R73/Analyzed!$CR73</f>
        <v>0</v>
      </c>
      <c r="J72" s="3">
        <f>Analyzed!X73/Analyzed!$CR73</f>
        <v>0.19672131147540983</v>
      </c>
      <c r="K72" s="3">
        <f>Analyzed!Z73/Analyzed!$CR73</f>
        <v>0</v>
      </c>
      <c r="L72" s="3">
        <f>Analyzed!AB73/Analyzed!$CR73</f>
        <v>0</v>
      </c>
      <c r="M72" s="3">
        <f>Analyzed!AD73/Analyzed!$CR73</f>
        <v>0</v>
      </c>
      <c r="N72" s="3">
        <f>Analyzed!AF73/Analyzed!$CR73</f>
        <v>0</v>
      </c>
      <c r="O72" s="3">
        <f>Analyzed!AH73/Analyzed!$CR73</f>
        <v>0</v>
      </c>
      <c r="P72" s="3">
        <f>Analyzed!AJ73/Analyzed!$CR73</f>
        <v>3.2786885245901641E-2</v>
      </c>
      <c r="Q72" s="3">
        <f>Analyzed!AL73/Analyzed!$CR73</f>
        <v>8.1967213114754092E-2</v>
      </c>
      <c r="R72" s="3">
        <f>Analyzed!AN73/Analyzed!$CR73</f>
        <v>0</v>
      </c>
      <c r="S72" s="3">
        <f>Analyzed!AP73/Analyzed!$CR73</f>
        <v>0</v>
      </c>
      <c r="T72" s="3">
        <f>Analyzed!AR73/Analyzed!$CR73</f>
        <v>0</v>
      </c>
      <c r="U72" s="3">
        <f>Analyzed!AT73/Analyzed!$CR73</f>
        <v>1.6393442622950821E-2</v>
      </c>
      <c r="V72" s="3">
        <f>Analyzed!AV73/Analyzed!$CR73</f>
        <v>0</v>
      </c>
      <c r="W72" s="3">
        <f>Analyzed!AX73/Analyzed!$CR73</f>
        <v>0</v>
      </c>
      <c r="X72" s="3">
        <f>Analyzed!AZ73/Analyzed!$CR73</f>
        <v>0</v>
      </c>
      <c r="Y72" s="3">
        <f>Analyzed!BB73/Analyzed!$CR73</f>
        <v>0</v>
      </c>
      <c r="Z72" s="3">
        <f>Analyzed!BD73/Analyzed!$CR73</f>
        <v>0</v>
      </c>
      <c r="AA72" s="3">
        <f>Analyzed!BF73/Analyzed!$CR73</f>
        <v>0</v>
      </c>
    </row>
    <row r="73" spans="1:27" x14ac:dyDescent="0.25">
      <c r="A73" t="s">
        <v>78</v>
      </c>
      <c r="B73" s="3">
        <f>Analyzed!D74/Analyzed!$CR74</f>
        <v>0.9242424242424242</v>
      </c>
      <c r="C73" s="3">
        <f>Analyzed!F74/Analyzed!$CR74</f>
        <v>0</v>
      </c>
      <c r="D73" s="3">
        <f>Analyzed!H74/Analyzed!$CR74</f>
        <v>0</v>
      </c>
      <c r="E73" s="3">
        <f>Analyzed!J74/Analyzed!$CR74</f>
        <v>0</v>
      </c>
      <c r="F73" s="3">
        <f>Analyzed!L74/Analyzed!$CR74</f>
        <v>0</v>
      </c>
      <c r="G73" s="3">
        <f>Analyzed!N74/Analyzed!$CR74</f>
        <v>0</v>
      </c>
      <c r="H73" s="3">
        <f>Analyzed!P74/Analyzed!$CR74</f>
        <v>0</v>
      </c>
      <c r="I73" s="3">
        <f>Analyzed!R74/Analyzed!$CR74</f>
        <v>0</v>
      </c>
      <c r="J73" s="3">
        <f>Analyzed!X74/Analyzed!$CR74</f>
        <v>2.2727272727272724E-2</v>
      </c>
      <c r="K73" s="3">
        <f>Analyzed!Z74/Analyzed!$CR74</f>
        <v>0</v>
      </c>
      <c r="L73" s="3">
        <f>Analyzed!AB74/Analyzed!$CR74</f>
        <v>0</v>
      </c>
      <c r="M73" s="3">
        <f>Analyzed!AD74/Analyzed!$CR74</f>
        <v>0</v>
      </c>
      <c r="N73" s="3">
        <f>Analyzed!AF74/Analyzed!$CR74</f>
        <v>0</v>
      </c>
      <c r="O73" s="3">
        <f>Analyzed!AH74/Analyzed!$CR74</f>
        <v>0</v>
      </c>
      <c r="P73" s="3">
        <f>Analyzed!AJ74/Analyzed!$CR74</f>
        <v>3.0303030303030304E-2</v>
      </c>
      <c r="Q73" s="3">
        <f>Analyzed!AL74/Analyzed!$CR74</f>
        <v>2.2727272727272724E-2</v>
      </c>
      <c r="R73" s="3">
        <f>Analyzed!AN74/Analyzed!$CR74</f>
        <v>0</v>
      </c>
      <c r="S73" s="3">
        <f>Analyzed!AP74/Analyzed!$CR74</f>
        <v>0</v>
      </c>
      <c r="T73" s="3">
        <f>Analyzed!AR74/Analyzed!$CR74</f>
        <v>0</v>
      </c>
      <c r="U73" s="3">
        <f>Analyzed!AT74/Analyzed!$CR74</f>
        <v>0</v>
      </c>
      <c r="V73" s="3">
        <f>Analyzed!AV74/Analyzed!$CR74</f>
        <v>0</v>
      </c>
      <c r="W73" s="3">
        <f>Analyzed!AX74/Analyzed!$CR74</f>
        <v>0</v>
      </c>
      <c r="X73" s="3">
        <f>Analyzed!AZ74/Analyzed!$CR74</f>
        <v>0</v>
      </c>
      <c r="Y73" s="3">
        <f>Analyzed!BB74/Analyzed!$CR74</f>
        <v>0</v>
      </c>
      <c r="Z73" s="3">
        <f>Analyzed!BD74/Analyzed!$CR74</f>
        <v>0</v>
      </c>
      <c r="AA73" s="3">
        <f>Analyzed!BF74/Analyzed!$CR74</f>
        <v>0</v>
      </c>
    </row>
    <row r="74" spans="1:27" x14ac:dyDescent="0.25">
      <c r="A74" t="s">
        <v>79</v>
      </c>
      <c r="B74" s="3">
        <f>Analyzed!D75/Analyzed!$CR75</f>
        <v>0.93103448275862066</v>
      </c>
      <c r="C74" s="3">
        <f>Analyzed!F75/Analyzed!$CR75</f>
        <v>0</v>
      </c>
      <c r="D74" s="3">
        <f>Analyzed!H75/Analyzed!$CR75</f>
        <v>0</v>
      </c>
      <c r="E74" s="3">
        <f>Analyzed!J75/Analyzed!$CR75</f>
        <v>0</v>
      </c>
      <c r="F74" s="3">
        <f>Analyzed!L75/Analyzed!$CR75</f>
        <v>1.7241379310344827E-2</v>
      </c>
      <c r="G74" s="3">
        <f>Analyzed!N75/Analyzed!$CR75</f>
        <v>0</v>
      </c>
      <c r="H74" s="3">
        <f>Analyzed!P75/Analyzed!$CR75</f>
        <v>0</v>
      </c>
      <c r="I74" s="3">
        <f>Analyzed!R75/Analyzed!$CR75</f>
        <v>0</v>
      </c>
      <c r="J74" s="3">
        <f>Analyzed!X75/Analyzed!$CR75</f>
        <v>0</v>
      </c>
      <c r="K74" s="3">
        <f>Analyzed!Z75/Analyzed!$CR75</f>
        <v>0</v>
      </c>
      <c r="L74" s="3">
        <f>Analyzed!AB75/Analyzed!$CR75</f>
        <v>0</v>
      </c>
      <c r="M74" s="3">
        <f>Analyzed!AD75/Analyzed!$CR75</f>
        <v>0</v>
      </c>
      <c r="N74" s="3">
        <f>Analyzed!AF75/Analyzed!$CR75</f>
        <v>0</v>
      </c>
      <c r="O74" s="3">
        <f>Analyzed!AH75/Analyzed!$CR75</f>
        <v>0</v>
      </c>
      <c r="P74" s="3">
        <f>Analyzed!AJ75/Analyzed!$CR75</f>
        <v>5.1724137931034482E-2</v>
      </c>
      <c r="Q74" s="3">
        <f>Analyzed!AL75/Analyzed!$CR75</f>
        <v>0</v>
      </c>
      <c r="R74" s="3">
        <f>Analyzed!AN75/Analyzed!$CR75</f>
        <v>0</v>
      </c>
      <c r="S74" s="3">
        <f>Analyzed!AP75/Analyzed!$CR75</f>
        <v>0</v>
      </c>
      <c r="T74" s="3">
        <f>Analyzed!AR75/Analyzed!$CR75</f>
        <v>0</v>
      </c>
      <c r="U74" s="3">
        <f>Analyzed!AT75/Analyzed!$CR75</f>
        <v>0</v>
      </c>
      <c r="V74" s="3">
        <f>Analyzed!AV75/Analyzed!$CR75</f>
        <v>0</v>
      </c>
      <c r="W74" s="3">
        <f>Analyzed!AX75/Analyzed!$CR75</f>
        <v>0</v>
      </c>
      <c r="X74" s="3">
        <f>Analyzed!AZ75/Analyzed!$CR75</f>
        <v>0</v>
      </c>
      <c r="Y74" s="3">
        <f>Analyzed!BB75/Analyzed!$CR75</f>
        <v>0</v>
      </c>
      <c r="Z74" s="3">
        <f>Analyzed!BD75/Analyzed!$CR75</f>
        <v>0</v>
      </c>
      <c r="AA74" s="3">
        <f>Analyzed!BF75/Analyzed!$CR75</f>
        <v>0</v>
      </c>
    </row>
    <row r="75" spans="1:27" x14ac:dyDescent="0.25">
      <c r="A75" t="s">
        <v>80</v>
      </c>
      <c r="B75" s="3">
        <f>Analyzed!D76/Analyzed!$CR76</f>
        <v>0.6</v>
      </c>
      <c r="C75" s="3">
        <f>Analyzed!F76/Analyzed!$CR76</f>
        <v>0</v>
      </c>
      <c r="D75" s="3">
        <f>Analyzed!H76/Analyzed!$CR76</f>
        <v>0</v>
      </c>
      <c r="E75" s="3">
        <f>Analyzed!J76/Analyzed!$CR76</f>
        <v>0</v>
      </c>
      <c r="F75" s="3">
        <f>Analyzed!L76/Analyzed!$CR76</f>
        <v>0</v>
      </c>
      <c r="G75" s="3">
        <f>Analyzed!N76/Analyzed!$CR76</f>
        <v>0</v>
      </c>
      <c r="H75" s="3">
        <f>Analyzed!P76/Analyzed!$CR76</f>
        <v>0</v>
      </c>
      <c r="I75" s="3">
        <f>Analyzed!R76/Analyzed!$CR76</f>
        <v>0</v>
      </c>
      <c r="J75" s="3">
        <f>Analyzed!X76/Analyzed!$CR76</f>
        <v>0.13333333333333333</v>
      </c>
      <c r="K75" s="3">
        <f>Analyzed!Z76/Analyzed!$CR76</f>
        <v>0</v>
      </c>
      <c r="L75" s="3">
        <f>Analyzed!AB76/Analyzed!$CR76</f>
        <v>0</v>
      </c>
      <c r="M75" s="3">
        <f>Analyzed!AD76/Analyzed!$CR76</f>
        <v>0</v>
      </c>
      <c r="N75" s="3">
        <f>Analyzed!AF76/Analyzed!$CR76</f>
        <v>0</v>
      </c>
      <c r="O75" s="3">
        <f>Analyzed!AH76/Analyzed!$CR76</f>
        <v>0</v>
      </c>
      <c r="P75" s="3">
        <f>Analyzed!AJ76/Analyzed!$CR76</f>
        <v>0</v>
      </c>
      <c r="Q75" s="3">
        <f>Analyzed!AL76/Analyzed!$CR76</f>
        <v>0.26666666666666666</v>
      </c>
      <c r="R75" s="3">
        <f>Analyzed!AN76/Analyzed!$CR76</f>
        <v>0</v>
      </c>
      <c r="S75" s="3">
        <f>Analyzed!AP76/Analyzed!$CR76</f>
        <v>0</v>
      </c>
      <c r="T75" s="3">
        <f>Analyzed!AR76/Analyzed!$CR76</f>
        <v>0</v>
      </c>
      <c r="U75" s="3">
        <f>Analyzed!AT76/Analyzed!$CR76</f>
        <v>0</v>
      </c>
      <c r="V75" s="3">
        <f>Analyzed!AV76/Analyzed!$CR76</f>
        <v>0</v>
      </c>
      <c r="W75" s="3">
        <f>Analyzed!AX76/Analyzed!$CR76</f>
        <v>0</v>
      </c>
      <c r="X75" s="3">
        <f>Analyzed!AZ76/Analyzed!$CR76</f>
        <v>0</v>
      </c>
      <c r="Y75" s="3">
        <f>Analyzed!BB76/Analyzed!$CR76</f>
        <v>0</v>
      </c>
      <c r="Z75" s="3">
        <f>Analyzed!BD76/Analyzed!$CR76</f>
        <v>0</v>
      </c>
      <c r="AA75" s="3">
        <f>Analyzed!BF76/Analyzed!$CR76</f>
        <v>0</v>
      </c>
    </row>
    <row r="76" spans="1:27" x14ac:dyDescent="0.25">
      <c r="A76" t="s">
        <v>97</v>
      </c>
      <c r="B76" s="3">
        <f>Analyzed!D77/Analyzed!$CR77</f>
        <v>0.82051282051282048</v>
      </c>
      <c r="C76" s="3">
        <f>Analyzed!F77/Analyzed!$CR77</f>
        <v>0</v>
      </c>
      <c r="D76" s="3">
        <f>Analyzed!H77/Analyzed!$CR77</f>
        <v>0</v>
      </c>
      <c r="E76" s="3">
        <f>Analyzed!J77/Analyzed!$CR77</f>
        <v>0</v>
      </c>
      <c r="F76" s="3">
        <f>Analyzed!L77/Analyzed!$CR77</f>
        <v>0</v>
      </c>
      <c r="G76" s="3">
        <f>Analyzed!N77/Analyzed!$CR77</f>
        <v>2.564102564102564E-2</v>
      </c>
      <c r="H76" s="3">
        <f>Analyzed!P77/Analyzed!$CR77</f>
        <v>0</v>
      </c>
      <c r="I76" s="3">
        <f>Analyzed!R77/Analyzed!$CR77</f>
        <v>0</v>
      </c>
      <c r="J76" s="3">
        <f>Analyzed!X77/Analyzed!$CR77</f>
        <v>2.564102564102564E-2</v>
      </c>
      <c r="K76" s="3">
        <f>Analyzed!Z77/Analyzed!$CR77</f>
        <v>0</v>
      </c>
      <c r="L76" s="3">
        <f>Analyzed!AB77/Analyzed!$CR77</f>
        <v>0</v>
      </c>
      <c r="M76" s="3">
        <f>Analyzed!AD77/Analyzed!$CR77</f>
        <v>0</v>
      </c>
      <c r="N76" s="3">
        <f>Analyzed!AF77/Analyzed!$CR77</f>
        <v>0</v>
      </c>
      <c r="O76" s="3">
        <f>Analyzed!AH77/Analyzed!$CR77</f>
        <v>0</v>
      </c>
      <c r="P76" s="3">
        <f>Analyzed!AJ77/Analyzed!$CR77</f>
        <v>2.564102564102564E-2</v>
      </c>
      <c r="Q76" s="3">
        <f>Analyzed!AL77/Analyzed!$CR77</f>
        <v>0.10256410256410256</v>
      </c>
      <c r="R76" s="3">
        <f>Analyzed!AN77/Analyzed!$CR77</f>
        <v>0</v>
      </c>
      <c r="S76" s="3">
        <f>Analyzed!AP77/Analyzed!$CR77</f>
        <v>0</v>
      </c>
      <c r="T76" s="3">
        <f>Analyzed!AR77/Analyzed!$CR77</f>
        <v>0</v>
      </c>
      <c r="U76" s="3">
        <f>Analyzed!AT77/Analyzed!$CR77</f>
        <v>0</v>
      </c>
      <c r="V76" s="3">
        <f>Analyzed!AV77/Analyzed!$CR77</f>
        <v>0</v>
      </c>
      <c r="W76" s="3">
        <f>Analyzed!AX77/Analyzed!$CR77</f>
        <v>0</v>
      </c>
      <c r="X76" s="3">
        <f>Analyzed!AZ77/Analyzed!$CR77</f>
        <v>0</v>
      </c>
      <c r="Y76" s="3">
        <f>Analyzed!BB77/Analyzed!$CR77</f>
        <v>0</v>
      </c>
      <c r="Z76" s="3">
        <f>Analyzed!BD77/Analyzed!$CR77</f>
        <v>0</v>
      </c>
      <c r="AA76" s="3">
        <f>Analyzed!BF77/Analyzed!$CR77</f>
        <v>0</v>
      </c>
    </row>
    <row r="77" spans="1:27" x14ac:dyDescent="0.25">
      <c r="A77" t="s">
        <v>99</v>
      </c>
      <c r="B77" s="3">
        <f>Analyzed!D78/Analyzed!$CR78</f>
        <v>0.52</v>
      </c>
      <c r="C77" s="3">
        <f>Analyzed!F78/Analyzed!$CR78</f>
        <v>0</v>
      </c>
      <c r="D77" s="3">
        <f>Analyzed!H78/Analyzed!$CR78</f>
        <v>0</v>
      </c>
      <c r="E77" s="3">
        <f>Analyzed!J78/Analyzed!$CR78</f>
        <v>0</v>
      </c>
      <c r="F77" s="3">
        <f>Analyzed!L78/Analyzed!$CR78</f>
        <v>0</v>
      </c>
      <c r="G77" s="3">
        <f>Analyzed!N78/Analyzed!$CR78</f>
        <v>0</v>
      </c>
      <c r="H77" s="3">
        <f>Analyzed!P78/Analyzed!$CR78</f>
        <v>0</v>
      </c>
      <c r="I77" s="3">
        <f>Analyzed!R78/Analyzed!$CR78</f>
        <v>0</v>
      </c>
      <c r="J77" s="3">
        <f>Analyzed!X78/Analyzed!$CR78</f>
        <v>0.16</v>
      </c>
      <c r="K77" s="3">
        <f>Analyzed!Z78/Analyzed!$CR78</f>
        <v>0</v>
      </c>
      <c r="L77" s="3">
        <f>Analyzed!AB78/Analyzed!$CR78</f>
        <v>0</v>
      </c>
      <c r="M77" s="3">
        <f>Analyzed!AD78/Analyzed!$CR78</f>
        <v>0</v>
      </c>
      <c r="N77" s="3">
        <f>Analyzed!AF78/Analyzed!$CR78</f>
        <v>0</v>
      </c>
      <c r="O77" s="3">
        <f>Analyzed!AH78/Analyzed!$CR78</f>
        <v>0</v>
      </c>
      <c r="P77" s="3">
        <f>Analyzed!AJ78/Analyzed!$CR78</f>
        <v>0.08</v>
      </c>
      <c r="Q77" s="3">
        <f>Analyzed!AL78/Analyzed!$CR78</f>
        <v>0.24</v>
      </c>
      <c r="R77" s="3">
        <f>Analyzed!AN78/Analyzed!$CR78</f>
        <v>0</v>
      </c>
      <c r="S77" s="3">
        <f>Analyzed!AP78/Analyzed!$CR78</f>
        <v>0</v>
      </c>
      <c r="T77" s="3">
        <f>Analyzed!AR78/Analyzed!$CR78</f>
        <v>0</v>
      </c>
      <c r="U77" s="3">
        <f>Analyzed!AT78/Analyzed!$CR78</f>
        <v>0</v>
      </c>
      <c r="V77" s="3">
        <f>Analyzed!AV78/Analyzed!$CR78</f>
        <v>0</v>
      </c>
      <c r="W77" s="3">
        <f>Analyzed!AX78/Analyzed!$CR78</f>
        <v>0</v>
      </c>
      <c r="X77" s="3">
        <f>Analyzed!AZ78/Analyzed!$CR78</f>
        <v>0</v>
      </c>
      <c r="Y77" s="3">
        <f>Analyzed!BB78/Analyzed!$CR78</f>
        <v>0</v>
      </c>
      <c r="Z77" s="3">
        <f>Analyzed!BD78/Analyzed!$CR78</f>
        <v>0</v>
      </c>
      <c r="AA77" s="3">
        <f>Analyzed!BF78/Analyzed!$CR78</f>
        <v>0</v>
      </c>
    </row>
    <row r="78" spans="1:27" x14ac:dyDescent="0.25">
      <c r="A78" t="s">
        <v>100</v>
      </c>
      <c r="B78" s="3">
        <f>Analyzed!D79/Analyzed!$CR79</f>
        <v>0.48837209302325579</v>
      </c>
      <c r="C78" s="3">
        <f>Analyzed!F79/Analyzed!$CR79</f>
        <v>0</v>
      </c>
      <c r="D78" s="3">
        <f>Analyzed!H79/Analyzed!$CR79</f>
        <v>0</v>
      </c>
      <c r="E78" s="3">
        <f>Analyzed!J79/Analyzed!$CR79</f>
        <v>0</v>
      </c>
      <c r="F78" s="3">
        <f>Analyzed!L79/Analyzed!$CR79</f>
        <v>0</v>
      </c>
      <c r="G78" s="3">
        <f>Analyzed!N79/Analyzed!$CR79</f>
        <v>9.3023255813953501E-2</v>
      </c>
      <c r="H78" s="3">
        <f>Analyzed!P79/Analyzed!$CR79</f>
        <v>0</v>
      </c>
      <c r="I78" s="3">
        <f>Analyzed!R79/Analyzed!$CR79</f>
        <v>0</v>
      </c>
      <c r="J78" s="3">
        <f>Analyzed!X79/Analyzed!$CR79</f>
        <v>0.16279069767441862</v>
      </c>
      <c r="K78" s="3">
        <f>Analyzed!Z79/Analyzed!$CR79</f>
        <v>0</v>
      </c>
      <c r="L78" s="3">
        <f>Analyzed!AB79/Analyzed!$CR79</f>
        <v>0</v>
      </c>
      <c r="M78" s="3">
        <f>Analyzed!AD79/Analyzed!$CR79</f>
        <v>0</v>
      </c>
      <c r="N78" s="3">
        <f>Analyzed!AF79/Analyzed!$CR79</f>
        <v>0</v>
      </c>
      <c r="O78" s="3">
        <f>Analyzed!AH79/Analyzed!$CR79</f>
        <v>0</v>
      </c>
      <c r="P78" s="3">
        <f>Analyzed!AJ79/Analyzed!$CR79</f>
        <v>0</v>
      </c>
      <c r="Q78" s="3">
        <f>Analyzed!AL79/Analyzed!$CR79</f>
        <v>0.2558139534883721</v>
      </c>
      <c r="R78" s="3">
        <f>Analyzed!AN79/Analyzed!$CR79</f>
        <v>0</v>
      </c>
      <c r="S78" s="3">
        <f>Analyzed!AP79/Analyzed!$CR79</f>
        <v>0</v>
      </c>
      <c r="T78" s="3">
        <f>Analyzed!AR79/Analyzed!$CR79</f>
        <v>0</v>
      </c>
      <c r="U78" s="3">
        <f>Analyzed!AT79/Analyzed!$CR79</f>
        <v>0</v>
      </c>
      <c r="V78" s="3">
        <f>Analyzed!AV79/Analyzed!$CR79</f>
        <v>0</v>
      </c>
      <c r="W78" s="3">
        <f>Analyzed!AX79/Analyzed!$CR79</f>
        <v>0</v>
      </c>
      <c r="X78" s="3">
        <f>Analyzed!AZ79/Analyzed!$CR79</f>
        <v>0</v>
      </c>
      <c r="Y78" s="3">
        <f>Analyzed!BB79/Analyzed!$CR79</f>
        <v>0</v>
      </c>
      <c r="Z78" s="3">
        <f>Analyzed!BD79/Analyzed!$CR79</f>
        <v>0</v>
      </c>
      <c r="AA78" s="3">
        <f>Analyzed!BF79/Analyzed!$CR79</f>
        <v>0</v>
      </c>
    </row>
    <row r="79" spans="1:27" x14ac:dyDescent="0.25">
      <c r="A79" t="s">
        <v>101</v>
      </c>
      <c r="B79" s="3">
        <f>Analyzed!D80/Analyzed!$CR80</f>
        <v>0.36363636363636365</v>
      </c>
      <c r="C79" s="3">
        <f>Analyzed!F80/Analyzed!$CR80</f>
        <v>0</v>
      </c>
      <c r="D79" s="3">
        <f>Analyzed!H80/Analyzed!$CR80</f>
        <v>0</v>
      </c>
      <c r="E79" s="3">
        <f>Analyzed!J80/Analyzed!$CR80</f>
        <v>0</v>
      </c>
      <c r="F79" s="3">
        <f>Analyzed!L80/Analyzed!$CR80</f>
        <v>0</v>
      </c>
      <c r="G79" s="3">
        <f>Analyzed!N80/Analyzed!$CR80</f>
        <v>0.27272727272727271</v>
      </c>
      <c r="H79" s="3">
        <f>Analyzed!P80/Analyzed!$CR80</f>
        <v>0</v>
      </c>
      <c r="I79" s="3">
        <f>Analyzed!R80/Analyzed!$CR80</f>
        <v>0</v>
      </c>
      <c r="J79" s="3">
        <f>Analyzed!X80/Analyzed!$CR80</f>
        <v>0.18181818181818182</v>
      </c>
      <c r="K79" s="3">
        <f>Analyzed!Z80/Analyzed!$CR80</f>
        <v>0</v>
      </c>
      <c r="L79" s="3">
        <f>Analyzed!AB80/Analyzed!$CR80</f>
        <v>0</v>
      </c>
      <c r="M79" s="3">
        <f>Analyzed!AD80/Analyzed!$CR80</f>
        <v>0</v>
      </c>
      <c r="N79" s="3">
        <f>Analyzed!AF80/Analyzed!$CR80</f>
        <v>0</v>
      </c>
      <c r="O79" s="3">
        <f>Analyzed!AH80/Analyzed!$CR80</f>
        <v>0</v>
      </c>
      <c r="P79" s="3">
        <f>Analyzed!AJ80/Analyzed!$CR80</f>
        <v>4.5454545454545456E-2</v>
      </c>
      <c r="Q79" s="3">
        <f>Analyzed!AL80/Analyzed!$CR80</f>
        <v>0.13636363636363635</v>
      </c>
      <c r="R79" s="3">
        <f>Analyzed!AN80/Analyzed!$CR80</f>
        <v>0</v>
      </c>
      <c r="S79" s="3">
        <f>Analyzed!AP80/Analyzed!$CR80</f>
        <v>0</v>
      </c>
      <c r="T79" s="3">
        <f>Analyzed!AR80/Analyzed!$CR80</f>
        <v>0</v>
      </c>
      <c r="U79" s="3">
        <f>Analyzed!AT80/Analyzed!$CR80</f>
        <v>0</v>
      </c>
      <c r="V79" s="3">
        <f>Analyzed!AV80/Analyzed!$CR80</f>
        <v>0</v>
      </c>
      <c r="W79" s="3">
        <f>Analyzed!AX80/Analyzed!$CR80</f>
        <v>0</v>
      </c>
      <c r="X79" s="3">
        <f>Analyzed!AZ80/Analyzed!$CR80</f>
        <v>0</v>
      </c>
      <c r="Y79" s="3">
        <f>Analyzed!BB80/Analyzed!$CR80</f>
        <v>0</v>
      </c>
      <c r="Z79" s="3">
        <f>Analyzed!BD80/Analyzed!$CR80</f>
        <v>0</v>
      </c>
      <c r="AA79" s="3">
        <f>Analyzed!BF80/Analyzed!$CR80</f>
        <v>0</v>
      </c>
    </row>
    <row r="80" spans="1:27" x14ac:dyDescent="0.25">
      <c r="A80" t="s">
        <v>103</v>
      </c>
      <c r="B80" s="3">
        <f>Analyzed!D81/Analyzed!$CR81</f>
        <v>9.4117647058823542E-2</v>
      </c>
      <c r="C80" s="3">
        <f>Analyzed!F81/Analyzed!$CR81</f>
        <v>0</v>
      </c>
      <c r="D80" s="3">
        <f>Analyzed!H81/Analyzed!$CR81</f>
        <v>0</v>
      </c>
      <c r="E80" s="3">
        <f>Analyzed!J81/Analyzed!$CR81</f>
        <v>0</v>
      </c>
      <c r="F80" s="3">
        <f>Analyzed!L81/Analyzed!$CR81</f>
        <v>0</v>
      </c>
      <c r="G80" s="3">
        <f>Analyzed!N81/Analyzed!$CR81</f>
        <v>5.8823529411764705E-2</v>
      </c>
      <c r="H80" s="3">
        <f>Analyzed!P81/Analyzed!$CR81</f>
        <v>0</v>
      </c>
      <c r="I80" s="3">
        <f>Analyzed!R81/Analyzed!$CR81</f>
        <v>0</v>
      </c>
      <c r="J80" s="3">
        <f>Analyzed!X81/Analyzed!$CR81</f>
        <v>0.71764705882352942</v>
      </c>
      <c r="K80" s="3">
        <f>Analyzed!Z81/Analyzed!$CR81</f>
        <v>0</v>
      </c>
      <c r="L80" s="3">
        <f>Analyzed!AB81/Analyzed!$CR81</f>
        <v>0</v>
      </c>
      <c r="M80" s="3">
        <f>Analyzed!AD81/Analyzed!$CR81</f>
        <v>0</v>
      </c>
      <c r="N80" s="3">
        <f>Analyzed!AF81/Analyzed!$CR81</f>
        <v>0</v>
      </c>
      <c r="O80" s="3">
        <f>Analyzed!AH81/Analyzed!$CR81</f>
        <v>1.1764705882352943E-2</v>
      </c>
      <c r="P80" s="3">
        <f>Analyzed!AJ81/Analyzed!$CR81</f>
        <v>0</v>
      </c>
      <c r="Q80" s="3">
        <f>Analyzed!AL81/Analyzed!$CR81</f>
        <v>0.11764705882352941</v>
      </c>
      <c r="R80" s="3">
        <f>Analyzed!AN81/Analyzed!$CR81</f>
        <v>0</v>
      </c>
      <c r="S80" s="3">
        <f>Analyzed!AP81/Analyzed!$CR81</f>
        <v>0</v>
      </c>
      <c r="T80" s="3">
        <f>Analyzed!AR81/Analyzed!$CR81</f>
        <v>0</v>
      </c>
      <c r="U80" s="3">
        <f>Analyzed!AT81/Analyzed!$CR81</f>
        <v>0</v>
      </c>
      <c r="V80" s="3">
        <f>Analyzed!AV81/Analyzed!$CR81</f>
        <v>0</v>
      </c>
      <c r="W80" s="3">
        <f>Analyzed!AX81/Analyzed!$CR81</f>
        <v>0</v>
      </c>
      <c r="X80" s="3">
        <f>Analyzed!AZ81/Analyzed!$CR81</f>
        <v>0</v>
      </c>
      <c r="Y80" s="3">
        <f>Analyzed!BB81/Analyzed!$CR81</f>
        <v>0</v>
      </c>
      <c r="Z80" s="3">
        <f>Analyzed!BD81/Analyzed!$CR81</f>
        <v>0</v>
      </c>
      <c r="AA80" s="3">
        <f>Analyzed!BF81/Analyzed!$CR81</f>
        <v>0</v>
      </c>
    </row>
    <row r="81" spans="1:27" x14ac:dyDescent="0.25">
      <c r="A81" t="s">
        <v>104</v>
      </c>
      <c r="B81" s="3">
        <f>Analyzed!D82/Analyzed!$CR82</f>
        <v>0.48275862068965519</v>
      </c>
      <c r="C81" s="3">
        <f>Analyzed!F82/Analyzed!$CR82</f>
        <v>0</v>
      </c>
      <c r="D81" s="3">
        <f>Analyzed!H82/Analyzed!$CR82</f>
        <v>0</v>
      </c>
      <c r="E81" s="3">
        <f>Analyzed!J82/Analyzed!$CR82</f>
        <v>0</v>
      </c>
      <c r="F81" s="3">
        <f>Analyzed!L82/Analyzed!$CR82</f>
        <v>0</v>
      </c>
      <c r="G81" s="3">
        <f>Analyzed!N82/Analyzed!$CR82</f>
        <v>0.13793103448275862</v>
      </c>
      <c r="H81" s="3">
        <f>Analyzed!P82/Analyzed!$CR82</f>
        <v>0</v>
      </c>
      <c r="I81" s="3">
        <f>Analyzed!R82/Analyzed!$CR82</f>
        <v>0</v>
      </c>
      <c r="J81" s="3">
        <f>Analyzed!X82/Analyzed!$CR82</f>
        <v>3.4482758620689655E-2</v>
      </c>
      <c r="K81" s="3">
        <f>Analyzed!Z82/Analyzed!$CR82</f>
        <v>0</v>
      </c>
      <c r="L81" s="3">
        <f>Analyzed!AB82/Analyzed!$CR82</f>
        <v>0</v>
      </c>
      <c r="M81" s="3">
        <f>Analyzed!AD82/Analyzed!$CR82</f>
        <v>0</v>
      </c>
      <c r="N81" s="3">
        <f>Analyzed!AF82/Analyzed!$CR82</f>
        <v>0</v>
      </c>
      <c r="O81" s="3">
        <f>Analyzed!AH82/Analyzed!$CR82</f>
        <v>3.4482758620689655E-2</v>
      </c>
      <c r="P81" s="3">
        <f>Analyzed!AJ82/Analyzed!$CR82</f>
        <v>0</v>
      </c>
      <c r="Q81" s="3">
        <f>Analyzed!AL82/Analyzed!$CR82</f>
        <v>0.31034482758620685</v>
      </c>
      <c r="R81" s="3">
        <f>Analyzed!AN82/Analyzed!$CR82</f>
        <v>0</v>
      </c>
      <c r="S81" s="3">
        <f>Analyzed!AP82/Analyzed!$CR82</f>
        <v>0</v>
      </c>
      <c r="T81" s="3">
        <f>Analyzed!AR82/Analyzed!$CR82</f>
        <v>0</v>
      </c>
      <c r="U81" s="3">
        <f>Analyzed!AT82/Analyzed!$CR82</f>
        <v>0</v>
      </c>
      <c r="V81" s="3">
        <f>Analyzed!AV82/Analyzed!$CR82</f>
        <v>0</v>
      </c>
      <c r="W81" s="3">
        <f>Analyzed!AX82/Analyzed!$CR82</f>
        <v>0</v>
      </c>
      <c r="X81" s="3">
        <f>Analyzed!AZ82/Analyzed!$CR82</f>
        <v>0</v>
      </c>
      <c r="Y81" s="3">
        <f>Analyzed!BB82/Analyzed!$CR82</f>
        <v>0</v>
      </c>
      <c r="Z81" s="3">
        <f>Analyzed!BD82/Analyzed!$CR82</f>
        <v>0</v>
      </c>
      <c r="AA81" s="3">
        <f>Analyzed!BF82/Analyzed!$CR82</f>
        <v>0</v>
      </c>
    </row>
    <row r="82" spans="1:27" x14ac:dyDescent="0.25">
      <c r="A82" t="s">
        <v>105</v>
      </c>
      <c r="B82" s="3">
        <f>Analyzed!D83/Analyzed!$CR83</f>
        <v>0.60526315789473684</v>
      </c>
      <c r="C82" s="3">
        <f>Analyzed!F83/Analyzed!$CR83</f>
        <v>0</v>
      </c>
      <c r="D82" s="3">
        <f>Analyzed!H83/Analyzed!$CR83</f>
        <v>0</v>
      </c>
      <c r="E82" s="3">
        <f>Analyzed!J83/Analyzed!$CR83</f>
        <v>0</v>
      </c>
      <c r="F82" s="3">
        <f>Analyzed!L83/Analyzed!$CR83</f>
        <v>0</v>
      </c>
      <c r="G82" s="3">
        <f>Analyzed!N83/Analyzed!$CR83</f>
        <v>5.2631578947368425E-2</v>
      </c>
      <c r="H82" s="3">
        <f>Analyzed!P83/Analyzed!$CR83</f>
        <v>0</v>
      </c>
      <c r="I82" s="3">
        <f>Analyzed!R83/Analyzed!$CR83</f>
        <v>0</v>
      </c>
      <c r="J82" s="3">
        <f>Analyzed!X83/Analyzed!$CR83</f>
        <v>0.28947368421052633</v>
      </c>
      <c r="K82" s="3">
        <f>Analyzed!Z83/Analyzed!$CR83</f>
        <v>0</v>
      </c>
      <c r="L82" s="3">
        <f>Analyzed!AB83/Analyzed!$CR83</f>
        <v>0</v>
      </c>
      <c r="M82" s="3">
        <f>Analyzed!AD83/Analyzed!$CR83</f>
        <v>0</v>
      </c>
      <c r="N82" s="3">
        <f>Analyzed!AF83/Analyzed!$CR83</f>
        <v>0</v>
      </c>
      <c r="O82" s="3">
        <f>Analyzed!AH83/Analyzed!$CR83</f>
        <v>0</v>
      </c>
      <c r="P82" s="3">
        <f>Analyzed!AJ83/Analyzed!$CR83</f>
        <v>0</v>
      </c>
      <c r="Q82" s="3">
        <f>Analyzed!AL83/Analyzed!$CR83</f>
        <v>2.6315789473684213E-2</v>
      </c>
      <c r="R82" s="3">
        <f>Analyzed!AN83/Analyzed!$CR83</f>
        <v>0</v>
      </c>
      <c r="S82" s="3">
        <f>Analyzed!AP83/Analyzed!$CR83</f>
        <v>0</v>
      </c>
      <c r="T82" s="3">
        <f>Analyzed!AR83/Analyzed!$CR83</f>
        <v>0</v>
      </c>
      <c r="U82" s="3">
        <f>Analyzed!AT83/Analyzed!$CR83</f>
        <v>0</v>
      </c>
      <c r="V82" s="3">
        <f>Analyzed!AV83/Analyzed!$CR83</f>
        <v>0</v>
      </c>
      <c r="W82" s="3">
        <f>Analyzed!AX83/Analyzed!$CR83</f>
        <v>0</v>
      </c>
      <c r="X82" s="3">
        <f>Analyzed!AZ83/Analyzed!$CR83</f>
        <v>0</v>
      </c>
      <c r="Y82" s="3">
        <f>Analyzed!BB83/Analyzed!$CR83</f>
        <v>0</v>
      </c>
      <c r="Z82" s="3">
        <f>Analyzed!BD83/Analyzed!$CR83</f>
        <v>2.6315789473684213E-2</v>
      </c>
      <c r="AA82" s="3">
        <f>Analyzed!BF83/Analyzed!$CR83</f>
        <v>0</v>
      </c>
    </row>
    <row r="83" spans="1:27" x14ac:dyDescent="0.25">
      <c r="A83" t="s">
        <v>107</v>
      </c>
      <c r="B83" s="3">
        <f>Analyzed!D84/Analyzed!$CR84</f>
        <v>0.13793103448275862</v>
      </c>
      <c r="C83" s="3">
        <f>Analyzed!F84/Analyzed!$CR84</f>
        <v>0</v>
      </c>
      <c r="D83" s="3">
        <f>Analyzed!H84/Analyzed!$CR84</f>
        <v>0</v>
      </c>
      <c r="E83" s="3">
        <f>Analyzed!J84/Analyzed!$CR84</f>
        <v>0</v>
      </c>
      <c r="F83" s="3">
        <f>Analyzed!L84/Analyzed!$CR84</f>
        <v>0</v>
      </c>
      <c r="G83" s="3">
        <f>Analyzed!N84/Analyzed!$CR84</f>
        <v>1.1494252873563218E-2</v>
      </c>
      <c r="H83" s="3">
        <f>Analyzed!P84/Analyzed!$CR84</f>
        <v>0</v>
      </c>
      <c r="I83" s="3">
        <f>Analyzed!R84/Analyzed!$CR84</f>
        <v>0</v>
      </c>
      <c r="J83" s="3">
        <f>Analyzed!X84/Analyzed!$CR84</f>
        <v>0.7931034482758621</v>
      </c>
      <c r="K83" s="3">
        <f>Analyzed!Z84/Analyzed!$CR84</f>
        <v>0</v>
      </c>
      <c r="L83" s="3">
        <f>Analyzed!AB84/Analyzed!$CR84</f>
        <v>0</v>
      </c>
      <c r="M83" s="3">
        <f>Analyzed!AD84/Analyzed!$CR84</f>
        <v>0</v>
      </c>
      <c r="N83" s="3">
        <f>Analyzed!AF84/Analyzed!$CR84</f>
        <v>0</v>
      </c>
      <c r="O83" s="3">
        <f>Analyzed!AH84/Analyzed!$CR84</f>
        <v>0</v>
      </c>
      <c r="P83" s="3">
        <f>Analyzed!AJ84/Analyzed!$CR84</f>
        <v>0</v>
      </c>
      <c r="Q83" s="3">
        <f>Analyzed!AL84/Analyzed!$CR84</f>
        <v>1.7241379310344827E-2</v>
      </c>
      <c r="R83" s="3">
        <f>Analyzed!AN84/Analyzed!$CR84</f>
        <v>0</v>
      </c>
      <c r="S83" s="3">
        <f>Analyzed!AP84/Analyzed!$CR84</f>
        <v>0</v>
      </c>
      <c r="T83" s="3">
        <f>Analyzed!AR84/Analyzed!$CR84</f>
        <v>0</v>
      </c>
      <c r="U83" s="3">
        <f>Analyzed!AT84/Analyzed!$CR84</f>
        <v>0</v>
      </c>
      <c r="V83" s="3">
        <f>Analyzed!AV84/Analyzed!$CR84</f>
        <v>0</v>
      </c>
      <c r="W83" s="3">
        <f>Analyzed!AX84/Analyzed!$CR84</f>
        <v>0</v>
      </c>
      <c r="X83" s="3">
        <f>Analyzed!AZ84/Analyzed!$CR84</f>
        <v>0</v>
      </c>
      <c r="Y83" s="3">
        <f>Analyzed!BB84/Analyzed!$CR84</f>
        <v>0</v>
      </c>
      <c r="Z83" s="3">
        <f>Analyzed!BD84/Analyzed!$CR84</f>
        <v>1.7241379310344827E-2</v>
      </c>
      <c r="AA83" s="3">
        <f>Analyzed!BF84/Analyzed!$CR84</f>
        <v>2.2988505747126436E-2</v>
      </c>
    </row>
    <row r="84" spans="1:27" x14ac:dyDescent="0.25">
      <c r="A84" t="s">
        <v>108</v>
      </c>
      <c r="B84" s="3">
        <f>Analyzed!D85/Analyzed!$CR85</f>
        <v>0.56666666666666665</v>
      </c>
      <c r="C84" s="3">
        <f>Analyzed!F85/Analyzed!$CR85</f>
        <v>0</v>
      </c>
      <c r="D84" s="3">
        <f>Analyzed!H85/Analyzed!$CR85</f>
        <v>0</v>
      </c>
      <c r="E84" s="3">
        <f>Analyzed!J85/Analyzed!$CR85</f>
        <v>0</v>
      </c>
      <c r="F84" s="3">
        <f>Analyzed!L85/Analyzed!$CR85</f>
        <v>0</v>
      </c>
      <c r="G84" s="3">
        <f>Analyzed!N85/Analyzed!$CR85</f>
        <v>0</v>
      </c>
      <c r="H84" s="3">
        <f>Analyzed!P85/Analyzed!$CR85</f>
        <v>0</v>
      </c>
      <c r="I84" s="3">
        <f>Analyzed!R85/Analyzed!$CR85</f>
        <v>0</v>
      </c>
      <c r="J84" s="3">
        <f>Analyzed!X85/Analyzed!$CR85</f>
        <v>0.33333333333333331</v>
      </c>
      <c r="K84" s="3">
        <f>Analyzed!Z85/Analyzed!$CR85</f>
        <v>0</v>
      </c>
      <c r="L84" s="3">
        <f>Analyzed!AB85/Analyzed!$CR85</f>
        <v>0</v>
      </c>
      <c r="M84" s="3">
        <f>Analyzed!AD85/Analyzed!$CR85</f>
        <v>0</v>
      </c>
      <c r="N84" s="3">
        <f>Analyzed!AF85/Analyzed!$CR85</f>
        <v>0</v>
      </c>
      <c r="O84" s="3">
        <f>Analyzed!AH85/Analyzed!$CR85</f>
        <v>0</v>
      </c>
      <c r="P84" s="3">
        <f>Analyzed!AJ85/Analyzed!$CR85</f>
        <v>3.3333333333333333E-2</v>
      </c>
      <c r="Q84" s="3">
        <f>Analyzed!AL85/Analyzed!$CR85</f>
        <v>6.6666666666666666E-2</v>
      </c>
      <c r="R84" s="3">
        <f>Analyzed!AN85/Analyzed!$CR85</f>
        <v>0</v>
      </c>
      <c r="S84" s="3">
        <f>Analyzed!AP85/Analyzed!$CR85</f>
        <v>0</v>
      </c>
      <c r="T84" s="3">
        <f>Analyzed!AR85/Analyzed!$CR85</f>
        <v>0</v>
      </c>
      <c r="U84" s="3">
        <f>Analyzed!AT85/Analyzed!$CR85</f>
        <v>0</v>
      </c>
      <c r="V84" s="3">
        <f>Analyzed!AV85/Analyzed!$CR85</f>
        <v>0</v>
      </c>
      <c r="W84" s="3">
        <f>Analyzed!AX85/Analyzed!$CR85</f>
        <v>0</v>
      </c>
      <c r="X84" s="3">
        <f>Analyzed!AZ85/Analyzed!$CR85</f>
        <v>0</v>
      </c>
      <c r="Y84" s="3">
        <f>Analyzed!BB85/Analyzed!$CR85</f>
        <v>0</v>
      </c>
      <c r="Z84" s="3">
        <f>Analyzed!BD85/Analyzed!$CR85</f>
        <v>0</v>
      </c>
      <c r="AA84" s="3">
        <f>Analyzed!BF85/Analyzed!$CR85</f>
        <v>0</v>
      </c>
    </row>
    <row r="85" spans="1:27" x14ac:dyDescent="0.25">
      <c r="A85" t="s">
        <v>109</v>
      </c>
      <c r="B85" s="3">
        <f>Analyzed!D86/Analyzed!$CR86</f>
        <v>0.66666666666666663</v>
      </c>
      <c r="C85" s="3">
        <f>Analyzed!F86/Analyzed!$CR86</f>
        <v>0</v>
      </c>
      <c r="D85" s="3">
        <f>Analyzed!H86/Analyzed!$CR86</f>
        <v>0</v>
      </c>
      <c r="E85" s="3">
        <f>Analyzed!J86/Analyzed!$CR86</f>
        <v>0</v>
      </c>
      <c r="F85" s="3">
        <f>Analyzed!L86/Analyzed!$CR86</f>
        <v>0</v>
      </c>
      <c r="G85" s="3">
        <f>Analyzed!N86/Analyzed!$CR86</f>
        <v>0</v>
      </c>
      <c r="H85" s="3">
        <f>Analyzed!P86/Analyzed!$CR86</f>
        <v>0</v>
      </c>
      <c r="I85" s="3">
        <f>Analyzed!R86/Analyzed!$CR86</f>
        <v>0</v>
      </c>
      <c r="J85" s="3">
        <f>Analyzed!X86/Analyzed!$CR86</f>
        <v>8.3333333333333329E-2</v>
      </c>
      <c r="K85" s="3">
        <f>Analyzed!Z86/Analyzed!$CR86</f>
        <v>0</v>
      </c>
      <c r="L85" s="3">
        <f>Analyzed!AB86/Analyzed!$CR86</f>
        <v>0</v>
      </c>
      <c r="M85" s="3">
        <f>Analyzed!AD86/Analyzed!$CR86</f>
        <v>0</v>
      </c>
      <c r="N85" s="3">
        <f>Analyzed!AF86/Analyzed!$CR86</f>
        <v>0</v>
      </c>
      <c r="O85" s="3">
        <f>Analyzed!AH86/Analyzed!$CR86</f>
        <v>0</v>
      </c>
      <c r="P85" s="3">
        <f>Analyzed!AJ86/Analyzed!$CR86</f>
        <v>8.3333333333333329E-2</v>
      </c>
      <c r="Q85" s="3">
        <f>Analyzed!AL86/Analyzed!$CR86</f>
        <v>0.16666666666666666</v>
      </c>
      <c r="R85" s="3">
        <f>Analyzed!AN86/Analyzed!$CR86</f>
        <v>0</v>
      </c>
      <c r="S85" s="3">
        <f>Analyzed!AP86/Analyzed!$CR86</f>
        <v>0</v>
      </c>
      <c r="T85" s="3">
        <f>Analyzed!AR86/Analyzed!$CR86</f>
        <v>0</v>
      </c>
      <c r="U85" s="3">
        <f>Analyzed!AT86/Analyzed!$CR86</f>
        <v>0</v>
      </c>
      <c r="V85" s="3">
        <f>Analyzed!AV86/Analyzed!$CR86</f>
        <v>0</v>
      </c>
      <c r="W85" s="3">
        <f>Analyzed!AX86/Analyzed!$CR86</f>
        <v>0</v>
      </c>
      <c r="X85" s="3">
        <f>Analyzed!AZ86/Analyzed!$CR86</f>
        <v>0</v>
      </c>
      <c r="Y85" s="3">
        <f>Analyzed!BB86/Analyzed!$CR86</f>
        <v>0</v>
      </c>
      <c r="Z85" s="3">
        <f>Analyzed!BD86/Analyzed!$CR86</f>
        <v>0</v>
      </c>
      <c r="AA85" s="3">
        <f>Analyzed!BF86/Analyzed!$CR86</f>
        <v>0</v>
      </c>
    </row>
    <row r="86" spans="1:27" x14ac:dyDescent="0.25">
      <c r="A86" t="s">
        <v>110</v>
      </c>
      <c r="B86" s="3">
        <f>Analyzed!D87/Analyzed!$CR87</f>
        <v>0</v>
      </c>
      <c r="C86" s="3">
        <f>Analyzed!F87/Analyzed!$CR87</f>
        <v>0</v>
      </c>
      <c r="D86" s="3">
        <f>Analyzed!H87/Analyzed!$CR87</f>
        <v>0</v>
      </c>
      <c r="E86" s="3">
        <f>Analyzed!J87/Analyzed!$CR87</f>
        <v>0</v>
      </c>
      <c r="F86" s="3">
        <f>Analyzed!L87/Analyzed!$CR87</f>
        <v>0.14285714285714285</v>
      </c>
      <c r="G86" s="3">
        <f>Analyzed!N87/Analyzed!$CR87</f>
        <v>0</v>
      </c>
      <c r="H86" s="3">
        <f>Analyzed!P87/Analyzed!$CR87</f>
        <v>0</v>
      </c>
      <c r="I86" s="3">
        <f>Analyzed!R87/Analyzed!$CR87</f>
        <v>0</v>
      </c>
      <c r="J86" s="3">
        <f>Analyzed!X87/Analyzed!$CR87</f>
        <v>0</v>
      </c>
      <c r="K86" s="3">
        <f>Analyzed!Z87/Analyzed!$CR87</f>
        <v>0</v>
      </c>
      <c r="L86" s="3">
        <f>Analyzed!AB87/Analyzed!$CR87</f>
        <v>0</v>
      </c>
      <c r="M86" s="3">
        <f>Analyzed!AD87/Analyzed!$CR87</f>
        <v>0</v>
      </c>
      <c r="N86" s="3">
        <f>Analyzed!AF87/Analyzed!$CR87</f>
        <v>0</v>
      </c>
      <c r="O86" s="3">
        <f>Analyzed!AH87/Analyzed!$CR87</f>
        <v>0</v>
      </c>
      <c r="P86" s="3">
        <f>Analyzed!AJ87/Analyzed!$CR87</f>
        <v>0</v>
      </c>
      <c r="Q86" s="3">
        <f>Analyzed!AL87/Analyzed!$CR87</f>
        <v>0.8571428571428571</v>
      </c>
      <c r="R86" s="3">
        <f>Analyzed!AN87/Analyzed!$CR87</f>
        <v>0</v>
      </c>
      <c r="S86" s="3">
        <f>Analyzed!AP87/Analyzed!$CR87</f>
        <v>0</v>
      </c>
      <c r="T86" s="3">
        <f>Analyzed!AR87/Analyzed!$CR87</f>
        <v>0</v>
      </c>
      <c r="U86" s="3">
        <f>Analyzed!AT87/Analyzed!$CR87</f>
        <v>0</v>
      </c>
      <c r="V86" s="3">
        <f>Analyzed!AV87/Analyzed!$CR87</f>
        <v>0</v>
      </c>
      <c r="W86" s="3">
        <f>Analyzed!AX87/Analyzed!$CR87</f>
        <v>0</v>
      </c>
      <c r="X86" s="3">
        <f>Analyzed!AZ87/Analyzed!$CR87</f>
        <v>0</v>
      </c>
      <c r="Y86" s="3">
        <f>Analyzed!BB87/Analyzed!$CR87</f>
        <v>0</v>
      </c>
      <c r="Z86" s="3">
        <f>Analyzed!BD87/Analyzed!$CR87</f>
        <v>0</v>
      </c>
      <c r="AA86" s="3">
        <f>Analyzed!BF87/Analyzed!$CR87</f>
        <v>0</v>
      </c>
    </row>
    <row r="87" spans="1:27" x14ac:dyDescent="0.25">
      <c r="A87" t="s">
        <v>113</v>
      </c>
      <c r="B87" s="3">
        <f>Analyzed!D88/Analyzed!$CR88</f>
        <v>0.12</v>
      </c>
      <c r="C87" s="3">
        <f>Analyzed!F88/Analyzed!$CR88</f>
        <v>0</v>
      </c>
      <c r="D87" s="3">
        <f>Analyzed!H88/Analyzed!$CR88</f>
        <v>0</v>
      </c>
      <c r="E87" s="3">
        <f>Analyzed!J88/Analyzed!$CR88</f>
        <v>0</v>
      </c>
      <c r="F87" s="3">
        <f>Analyzed!L88/Analyzed!$CR88</f>
        <v>0</v>
      </c>
      <c r="G87" s="3">
        <f>Analyzed!N88/Analyzed!$CR88</f>
        <v>0.04</v>
      </c>
      <c r="H87" s="3">
        <f>Analyzed!P88/Analyzed!$CR88</f>
        <v>0</v>
      </c>
      <c r="I87" s="3">
        <f>Analyzed!R88/Analyzed!$CR88</f>
        <v>0</v>
      </c>
      <c r="J87" s="3">
        <f>Analyzed!X88/Analyzed!$CR88</f>
        <v>0.6</v>
      </c>
      <c r="K87" s="3">
        <f>Analyzed!Z88/Analyzed!$CR88</f>
        <v>0</v>
      </c>
      <c r="L87" s="3">
        <f>Analyzed!AB88/Analyzed!$CR88</f>
        <v>0</v>
      </c>
      <c r="M87" s="3">
        <f>Analyzed!AD88/Analyzed!$CR88</f>
        <v>0</v>
      </c>
      <c r="N87" s="3">
        <f>Analyzed!AF88/Analyzed!$CR88</f>
        <v>0</v>
      </c>
      <c r="O87" s="3">
        <f>Analyzed!AH88/Analyzed!$CR88</f>
        <v>0</v>
      </c>
      <c r="P87" s="3">
        <f>Analyzed!AJ88/Analyzed!$CR88</f>
        <v>0.04</v>
      </c>
      <c r="Q87" s="3">
        <f>Analyzed!AL88/Analyzed!$CR88</f>
        <v>0.2</v>
      </c>
      <c r="R87" s="3">
        <f>Analyzed!AN88/Analyzed!$CR88</f>
        <v>0</v>
      </c>
      <c r="S87" s="3">
        <f>Analyzed!AP88/Analyzed!$CR88</f>
        <v>0</v>
      </c>
      <c r="T87" s="3">
        <f>Analyzed!AR88/Analyzed!$CR88</f>
        <v>0</v>
      </c>
      <c r="U87" s="3">
        <f>Analyzed!AT88/Analyzed!$CR88</f>
        <v>0</v>
      </c>
      <c r="V87" s="3">
        <f>Analyzed!AV88/Analyzed!$CR88</f>
        <v>0</v>
      </c>
      <c r="W87" s="3">
        <f>Analyzed!AX88/Analyzed!$CR88</f>
        <v>0</v>
      </c>
      <c r="X87" s="3">
        <f>Analyzed!AZ88/Analyzed!$CR88</f>
        <v>0</v>
      </c>
      <c r="Y87" s="3">
        <f>Analyzed!BB88/Analyzed!$CR88</f>
        <v>0</v>
      </c>
      <c r="Z87" s="3">
        <f>Analyzed!BD88/Analyzed!$CR88</f>
        <v>0</v>
      </c>
      <c r="AA87" s="3">
        <f>Analyzed!BF88/Analyzed!$CR88</f>
        <v>0</v>
      </c>
    </row>
    <row r="88" spans="1:27" x14ac:dyDescent="0.25">
      <c r="A88" t="s">
        <v>114</v>
      </c>
      <c r="B88" s="3">
        <f>Analyzed!D89/Analyzed!$CR89</f>
        <v>0.60526315789473684</v>
      </c>
      <c r="C88" s="3">
        <f>Analyzed!F89/Analyzed!$CR89</f>
        <v>0</v>
      </c>
      <c r="D88" s="3">
        <f>Analyzed!H89/Analyzed!$CR89</f>
        <v>0</v>
      </c>
      <c r="E88" s="3">
        <f>Analyzed!J89/Analyzed!$CR89</f>
        <v>0</v>
      </c>
      <c r="F88" s="3">
        <f>Analyzed!L89/Analyzed!$CR89</f>
        <v>0</v>
      </c>
      <c r="G88" s="3">
        <f>Analyzed!N89/Analyzed!$CR89</f>
        <v>2.6315789473684213E-2</v>
      </c>
      <c r="H88" s="3">
        <f>Analyzed!P89/Analyzed!$CR89</f>
        <v>0</v>
      </c>
      <c r="I88" s="3">
        <f>Analyzed!R89/Analyzed!$CR89</f>
        <v>0</v>
      </c>
      <c r="J88" s="3">
        <f>Analyzed!X89/Analyzed!$CR89</f>
        <v>0.23684210526315788</v>
      </c>
      <c r="K88" s="3">
        <f>Analyzed!Z89/Analyzed!$CR89</f>
        <v>0</v>
      </c>
      <c r="L88" s="3">
        <f>Analyzed!AB89/Analyzed!$CR89</f>
        <v>0</v>
      </c>
      <c r="M88" s="3">
        <f>Analyzed!AD89/Analyzed!$CR89</f>
        <v>0</v>
      </c>
      <c r="N88" s="3">
        <f>Analyzed!AF89/Analyzed!$CR89</f>
        <v>0</v>
      </c>
      <c r="O88" s="3">
        <f>Analyzed!AH89/Analyzed!$CR89</f>
        <v>0</v>
      </c>
      <c r="P88" s="3">
        <f>Analyzed!AJ89/Analyzed!$CR89</f>
        <v>2.6315789473684213E-2</v>
      </c>
      <c r="Q88" s="3">
        <f>Analyzed!AL89/Analyzed!$CR89</f>
        <v>7.8947368421052641E-2</v>
      </c>
      <c r="R88" s="3">
        <f>Analyzed!AN89/Analyzed!$CR89</f>
        <v>0</v>
      </c>
      <c r="S88" s="3">
        <f>Analyzed!AP89/Analyzed!$CR89</f>
        <v>0</v>
      </c>
      <c r="T88" s="3">
        <f>Analyzed!AR89/Analyzed!$CR89</f>
        <v>0</v>
      </c>
      <c r="U88" s="3">
        <f>Analyzed!AT89/Analyzed!$CR89</f>
        <v>0</v>
      </c>
      <c r="V88" s="3">
        <f>Analyzed!AV89/Analyzed!$CR89</f>
        <v>0</v>
      </c>
      <c r="W88" s="3">
        <f>Analyzed!AX89/Analyzed!$CR89</f>
        <v>0</v>
      </c>
      <c r="X88" s="3">
        <f>Analyzed!AZ89/Analyzed!$CR89</f>
        <v>0</v>
      </c>
      <c r="Y88" s="3">
        <f>Analyzed!BB89/Analyzed!$CR89</f>
        <v>0</v>
      </c>
      <c r="Z88" s="3">
        <f>Analyzed!BD89/Analyzed!$CR89</f>
        <v>0</v>
      </c>
      <c r="AA88" s="3">
        <f>Analyzed!BF89/Analyzed!$CR89</f>
        <v>2.6315789473684213E-2</v>
      </c>
    </row>
    <row r="89" spans="1:27" x14ac:dyDescent="0.25">
      <c r="A89" t="s">
        <v>134</v>
      </c>
      <c r="B89" s="3">
        <f>Analyzed!D90/Analyzed!$CR90</f>
        <v>0</v>
      </c>
      <c r="C89" s="3">
        <f>Analyzed!F90/Analyzed!$CR90</f>
        <v>0</v>
      </c>
      <c r="D89" s="3">
        <f>Analyzed!H90/Analyzed!$CR90</f>
        <v>0</v>
      </c>
      <c r="E89" s="3">
        <f>Analyzed!J90/Analyzed!$CR90</f>
        <v>0</v>
      </c>
      <c r="F89" s="3">
        <f>Analyzed!L90/Analyzed!$CR90</f>
        <v>4.1666666666666671E-2</v>
      </c>
      <c r="G89" s="3">
        <f>Analyzed!N90/Analyzed!$CR90</f>
        <v>0</v>
      </c>
      <c r="H89" s="3">
        <f>Analyzed!P90/Analyzed!$CR90</f>
        <v>0</v>
      </c>
      <c r="I89" s="3">
        <f>Analyzed!R90/Analyzed!$CR90</f>
        <v>0</v>
      </c>
      <c r="J89" s="3">
        <f>Analyzed!X90/Analyzed!$CR90</f>
        <v>0.83333333333333326</v>
      </c>
      <c r="K89" s="3">
        <f>Analyzed!Z90/Analyzed!$CR90</f>
        <v>0</v>
      </c>
      <c r="L89" s="3">
        <f>Analyzed!AB90/Analyzed!$CR90</f>
        <v>0</v>
      </c>
      <c r="M89" s="3">
        <f>Analyzed!AD90/Analyzed!$CR90</f>
        <v>0</v>
      </c>
      <c r="N89" s="3">
        <f>Analyzed!AF90/Analyzed!$CR90</f>
        <v>0</v>
      </c>
      <c r="O89" s="3">
        <f>Analyzed!AH90/Analyzed!$CR90</f>
        <v>0</v>
      </c>
      <c r="P89" s="3">
        <f>Analyzed!AJ90/Analyzed!$CR90</f>
        <v>0</v>
      </c>
      <c r="Q89" s="3">
        <f>Analyzed!AL90/Analyzed!$CR90</f>
        <v>0.125</v>
      </c>
      <c r="R89" s="3">
        <f>Analyzed!AN90/Analyzed!$CR90</f>
        <v>0</v>
      </c>
      <c r="S89" s="3">
        <f>Analyzed!AP90/Analyzed!$CR90</f>
        <v>0</v>
      </c>
      <c r="T89" s="3">
        <f>Analyzed!AR90/Analyzed!$CR90</f>
        <v>0</v>
      </c>
      <c r="U89" s="3">
        <f>Analyzed!AT90/Analyzed!$CR90</f>
        <v>0</v>
      </c>
      <c r="V89" s="3">
        <f>Analyzed!AV90/Analyzed!$CR90</f>
        <v>0</v>
      </c>
      <c r="W89" s="3">
        <f>Analyzed!AX90/Analyzed!$CR90</f>
        <v>0</v>
      </c>
      <c r="X89" s="3">
        <f>Analyzed!AZ90/Analyzed!$CR90</f>
        <v>0</v>
      </c>
      <c r="Y89" s="3">
        <f>Analyzed!BB90/Analyzed!$CR90</f>
        <v>0</v>
      </c>
      <c r="Z89" s="3">
        <f>Analyzed!BD90/Analyzed!$CR90</f>
        <v>0</v>
      </c>
      <c r="AA89" s="3">
        <f>Analyzed!BF90/Analyzed!$CR90</f>
        <v>0</v>
      </c>
    </row>
    <row r="90" spans="1:27" x14ac:dyDescent="0.25">
      <c r="A90" t="s">
        <v>135</v>
      </c>
      <c r="B90" s="3">
        <f>Analyzed!D91/Analyzed!$CR91</f>
        <v>0</v>
      </c>
      <c r="C90" s="3">
        <f>Analyzed!F91/Analyzed!$CR91</f>
        <v>0</v>
      </c>
      <c r="D90" s="3">
        <f>Analyzed!H91/Analyzed!$CR91</f>
        <v>0</v>
      </c>
      <c r="E90" s="3">
        <f>Analyzed!J91/Analyzed!$CR91</f>
        <v>0</v>
      </c>
      <c r="F90" s="3">
        <f>Analyzed!L91/Analyzed!$CR91</f>
        <v>4.048582995951417E-3</v>
      </c>
      <c r="G90" s="3">
        <f>Analyzed!N91/Analyzed!$CR91</f>
        <v>4.048582995951417E-3</v>
      </c>
      <c r="H90" s="3">
        <f>Analyzed!P91/Analyzed!$CR91</f>
        <v>0</v>
      </c>
      <c r="I90" s="3">
        <f>Analyzed!R91/Analyzed!$CR91</f>
        <v>0</v>
      </c>
      <c r="J90" s="3">
        <f>Analyzed!X91/Analyzed!$CR91</f>
        <v>0.97165991902834004</v>
      </c>
      <c r="K90" s="3">
        <f>Analyzed!Z91/Analyzed!$CR91</f>
        <v>4.048582995951417E-3</v>
      </c>
      <c r="L90" s="3">
        <f>Analyzed!AB91/Analyzed!$CR91</f>
        <v>0</v>
      </c>
      <c r="M90" s="3">
        <f>Analyzed!AD91/Analyzed!$CR91</f>
        <v>0</v>
      </c>
      <c r="N90" s="3">
        <f>Analyzed!AF91/Analyzed!$CR91</f>
        <v>0</v>
      </c>
      <c r="O90" s="3">
        <f>Analyzed!AH91/Analyzed!$CR91</f>
        <v>0</v>
      </c>
      <c r="P90" s="3">
        <f>Analyzed!AJ91/Analyzed!$CR91</f>
        <v>4.048582995951417E-3</v>
      </c>
      <c r="Q90" s="3">
        <f>Analyzed!AL91/Analyzed!$CR91</f>
        <v>1.2145748987854249E-2</v>
      </c>
      <c r="R90" s="3">
        <f>Analyzed!AN91/Analyzed!$CR91</f>
        <v>0</v>
      </c>
      <c r="S90" s="3">
        <f>Analyzed!AP91/Analyzed!$CR91</f>
        <v>0</v>
      </c>
      <c r="T90" s="3">
        <f>Analyzed!AR91/Analyzed!$CR91</f>
        <v>0</v>
      </c>
      <c r="U90" s="3">
        <f>Analyzed!AT91/Analyzed!$CR91</f>
        <v>0</v>
      </c>
      <c r="V90" s="3">
        <f>Analyzed!AV91/Analyzed!$CR91</f>
        <v>0</v>
      </c>
      <c r="W90" s="3">
        <f>Analyzed!AX91/Analyzed!$CR91</f>
        <v>0</v>
      </c>
      <c r="X90" s="3">
        <f>Analyzed!AZ91/Analyzed!$CR91</f>
        <v>0</v>
      </c>
      <c r="Y90" s="3">
        <f>Analyzed!BB91/Analyzed!$CR91</f>
        <v>0</v>
      </c>
      <c r="Z90" s="3">
        <f>Analyzed!BD91/Analyzed!$CR91</f>
        <v>0</v>
      </c>
      <c r="AA90" s="3">
        <f>Analyzed!BF91/Analyzed!$CR91</f>
        <v>0</v>
      </c>
    </row>
    <row r="91" spans="1:27" x14ac:dyDescent="0.25">
      <c r="A91" s="13" t="s">
        <v>137</v>
      </c>
      <c r="B91" s="3">
        <f>Analyzed!D92/Analyzed!$CR92</f>
        <v>0</v>
      </c>
      <c r="C91" s="3">
        <f>Analyzed!F92/Analyzed!$CR92</f>
        <v>0</v>
      </c>
      <c r="D91" s="3">
        <f>Analyzed!H92/Analyzed!$CR92</f>
        <v>0</v>
      </c>
      <c r="E91" s="3">
        <f>Analyzed!J92/Analyzed!$CR92</f>
        <v>0</v>
      </c>
      <c r="F91" s="3">
        <f>Analyzed!L92/Analyzed!$CR92</f>
        <v>0</v>
      </c>
      <c r="G91" s="3">
        <f>Analyzed!N92/Analyzed!$CR92</f>
        <v>6.7164179104477612E-2</v>
      </c>
      <c r="H91" s="3">
        <f>Analyzed!P92/Analyzed!$CR92</f>
        <v>0</v>
      </c>
      <c r="I91" s="3">
        <f>Analyzed!R92/Analyzed!$CR92</f>
        <v>0</v>
      </c>
      <c r="J91" s="3">
        <f>Analyzed!X92/Analyzed!$CR92</f>
        <v>0.82089552238805974</v>
      </c>
      <c r="K91" s="3">
        <f>Analyzed!Z92/Analyzed!$CR92</f>
        <v>0</v>
      </c>
      <c r="L91" s="3">
        <f>Analyzed!AB92/Analyzed!$CR92</f>
        <v>0</v>
      </c>
      <c r="M91" s="3">
        <f>Analyzed!AD92/Analyzed!$CR92</f>
        <v>0</v>
      </c>
      <c r="N91" s="3">
        <f>Analyzed!AF92/Analyzed!$CR92</f>
        <v>0</v>
      </c>
      <c r="O91" s="3">
        <f>Analyzed!AH92/Analyzed!$CR92</f>
        <v>0</v>
      </c>
      <c r="P91" s="3">
        <f>Analyzed!AJ92/Analyzed!$CR92</f>
        <v>0</v>
      </c>
      <c r="Q91" s="3">
        <f>Analyzed!AL92/Analyzed!$CR92</f>
        <v>8.9552238805970158E-2</v>
      </c>
      <c r="R91" s="3">
        <f>Analyzed!AN92/Analyzed!$CR92</f>
        <v>0</v>
      </c>
      <c r="S91" s="3">
        <f>Analyzed!AP92/Analyzed!$CR92</f>
        <v>0</v>
      </c>
      <c r="T91" s="3">
        <f>Analyzed!AR92/Analyzed!$CR92</f>
        <v>0</v>
      </c>
      <c r="U91" s="3">
        <f>Analyzed!AT92/Analyzed!$CR92</f>
        <v>2.2388059701492539E-2</v>
      </c>
      <c r="V91" s="3">
        <f>Analyzed!AV92/Analyzed!$CR92</f>
        <v>0</v>
      </c>
      <c r="W91" s="3">
        <f>Analyzed!AX92/Analyzed!$CR92</f>
        <v>0</v>
      </c>
      <c r="X91" s="3">
        <f>Analyzed!AZ92/Analyzed!$CR92</f>
        <v>0</v>
      </c>
      <c r="Y91" s="3">
        <f>Analyzed!BB92/Analyzed!$CR92</f>
        <v>0</v>
      </c>
      <c r="Z91" s="3">
        <f>Analyzed!BD92/Analyzed!$CR92</f>
        <v>0</v>
      </c>
      <c r="AA91" s="3">
        <f>Analyzed!BF92/Analyzed!$CR92</f>
        <v>0</v>
      </c>
    </row>
    <row r="92" spans="1:27" x14ac:dyDescent="0.25">
      <c r="A92" s="13" t="s">
        <v>138</v>
      </c>
      <c r="B92" s="3">
        <f>Analyzed!D93/Analyzed!$CR93</f>
        <v>0</v>
      </c>
      <c r="C92" s="3">
        <f>Analyzed!F93/Analyzed!$CR93</f>
        <v>0</v>
      </c>
      <c r="D92" s="3">
        <f>Analyzed!H93/Analyzed!$CR93</f>
        <v>0</v>
      </c>
      <c r="E92" s="3">
        <f>Analyzed!J93/Analyzed!$CR93</f>
        <v>0</v>
      </c>
      <c r="F92" s="3">
        <f>Analyzed!L93/Analyzed!$CR93</f>
        <v>0</v>
      </c>
      <c r="G92" s="3">
        <f>Analyzed!N93/Analyzed!$CR93</f>
        <v>2.1052631578947371E-2</v>
      </c>
      <c r="H92" s="3">
        <f>Analyzed!P93/Analyzed!$CR93</f>
        <v>0</v>
      </c>
      <c r="I92" s="3">
        <f>Analyzed!R93/Analyzed!$CR93</f>
        <v>0</v>
      </c>
      <c r="J92" s="3">
        <f>Analyzed!X93/Analyzed!$CR93</f>
        <v>0.80000000000000016</v>
      </c>
      <c r="K92" s="3">
        <f>Analyzed!Z93/Analyzed!$CR93</f>
        <v>0</v>
      </c>
      <c r="L92" s="3">
        <f>Analyzed!AB93/Analyzed!$CR93</f>
        <v>0</v>
      </c>
      <c r="M92" s="3">
        <f>Analyzed!AD93/Analyzed!$CR93</f>
        <v>0</v>
      </c>
      <c r="N92" s="3">
        <f>Analyzed!AF93/Analyzed!$CR93</f>
        <v>0</v>
      </c>
      <c r="O92" s="3">
        <f>Analyzed!AH93/Analyzed!$CR93</f>
        <v>0</v>
      </c>
      <c r="P92" s="3">
        <f>Analyzed!AJ93/Analyzed!$CR93</f>
        <v>0</v>
      </c>
      <c r="Q92" s="3">
        <f>Analyzed!AL93/Analyzed!$CR93</f>
        <v>0.17894736842105266</v>
      </c>
      <c r="R92" s="3">
        <f>Analyzed!AN93/Analyzed!$CR93</f>
        <v>0</v>
      </c>
      <c r="S92" s="3">
        <f>Analyzed!AP93/Analyzed!$CR93</f>
        <v>0</v>
      </c>
      <c r="T92" s="3">
        <f>Analyzed!AR93/Analyzed!$CR93</f>
        <v>0</v>
      </c>
      <c r="U92" s="3">
        <f>Analyzed!AT93/Analyzed!$CR93</f>
        <v>0</v>
      </c>
      <c r="V92" s="3">
        <f>Analyzed!AV93/Analyzed!$CR93</f>
        <v>0</v>
      </c>
      <c r="W92" s="3">
        <f>Analyzed!AX93/Analyzed!$CR93</f>
        <v>0</v>
      </c>
      <c r="X92" s="3">
        <f>Analyzed!AZ93/Analyzed!$CR93</f>
        <v>0</v>
      </c>
      <c r="Y92" s="3">
        <f>Analyzed!BB93/Analyzed!$CR93</f>
        <v>0</v>
      </c>
      <c r="Z92" s="3">
        <f>Analyzed!BD93/Analyzed!$CR93</f>
        <v>0</v>
      </c>
      <c r="AA92" s="3">
        <f>Analyzed!BF93/Analyzed!$CR93</f>
        <v>0</v>
      </c>
    </row>
    <row r="93" spans="1:27" x14ac:dyDescent="0.25">
      <c r="A93" s="13" t="s">
        <v>139</v>
      </c>
      <c r="B93" s="3">
        <f>Analyzed!D94/Analyzed!$CR94</f>
        <v>0</v>
      </c>
      <c r="C93" s="3">
        <f>Analyzed!F94/Analyzed!$CR94</f>
        <v>0</v>
      </c>
      <c r="D93" s="3">
        <f>Analyzed!H94/Analyzed!$CR94</f>
        <v>0</v>
      </c>
      <c r="E93" s="3">
        <f>Analyzed!J94/Analyzed!$CR94</f>
        <v>0</v>
      </c>
      <c r="F93" s="3">
        <f>Analyzed!L94/Analyzed!$CR94</f>
        <v>0</v>
      </c>
      <c r="G93" s="3">
        <f>Analyzed!N94/Analyzed!$CR94</f>
        <v>1.5384615384615382E-2</v>
      </c>
      <c r="H93" s="3">
        <f>Analyzed!P94/Analyzed!$CR94</f>
        <v>0</v>
      </c>
      <c r="I93" s="3">
        <f>Analyzed!R94/Analyzed!$CR94</f>
        <v>0</v>
      </c>
      <c r="J93" s="3">
        <f>Analyzed!X94/Analyzed!$CR94</f>
        <v>0.70769230769230762</v>
      </c>
      <c r="K93" s="3">
        <f>Analyzed!Z94/Analyzed!$CR94</f>
        <v>0</v>
      </c>
      <c r="L93" s="3">
        <f>Analyzed!AB94/Analyzed!$CR94</f>
        <v>0</v>
      </c>
      <c r="M93" s="3">
        <f>Analyzed!AD94/Analyzed!$CR94</f>
        <v>0</v>
      </c>
      <c r="N93" s="3">
        <f>Analyzed!AF94/Analyzed!$CR94</f>
        <v>0</v>
      </c>
      <c r="O93" s="3">
        <f>Analyzed!AH94/Analyzed!$CR94</f>
        <v>0</v>
      </c>
      <c r="P93" s="3">
        <f>Analyzed!AJ94/Analyzed!$CR94</f>
        <v>0</v>
      </c>
      <c r="Q93" s="3">
        <f>Analyzed!AL94/Analyzed!$CR94</f>
        <v>0.27692307692307688</v>
      </c>
      <c r="R93" s="3">
        <f>Analyzed!AN94/Analyzed!$CR94</f>
        <v>0</v>
      </c>
      <c r="S93" s="3">
        <f>Analyzed!AP94/Analyzed!$CR94</f>
        <v>0</v>
      </c>
      <c r="T93" s="3">
        <f>Analyzed!AR94/Analyzed!$CR94</f>
        <v>0</v>
      </c>
      <c r="U93" s="3">
        <f>Analyzed!AT94/Analyzed!$CR94</f>
        <v>0</v>
      </c>
      <c r="V93" s="3">
        <f>Analyzed!AV94/Analyzed!$CR94</f>
        <v>0</v>
      </c>
      <c r="W93" s="3">
        <f>Analyzed!AX94/Analyzed!$CR94</f>
        <v>0</v>
      </c>
      <c r="X93" s="3">
        <f>Analyzed!AZ94/Analyzed!$CR94</f>
        <v>0</v>
      </c>
      <c r="Y93" s="3">
        <f>Analyzed!BB94/Analyzed!$CR94</f>
        <v>0</v>
      </c>
      <c r="Z93" s="3">
        <f>Analyzed!BD94/Analyzed!$CR94</f>
        <v>0</v>
      </c>
      <c r="AA93" s="3">
        <f>Analyzed!BF94/Analyzed!$CR94</f>
        <v>0</v>
      </c>
    </row>
    <row r="94" spans="1:27" x14ac:dyDescent="0.25">
      <c r="A94" s="13" t="s">
        <v>140</v>
      </c>
      <c r="B94" s="3">
        <f>Analyzed!D95/Analyzed!$CR95</f>
        <v>0</v>
      </c>
      <c r="C94" s="3">
        <f>Analyzed!F95/Analyzed!$CR95</f>
        <v>0</v>
      </c>
      <c r="D94" s="3">
        <f>Analyzed!H95/Analyzed!$CR95</f>
        <v>0</v>
      </c>
      <c r="E94" s="3">
        <f>Analyzed!J95/Analyzed!$CR95</f>
        <v>0</v>
      </c>
      <c r="F94" s="3">
        <f>Analyzed!L95/Analyzed!$CR95</f>
        <v>0</v>
      </c>
      <c r="G94" s="3">
        <f>Analyzed!N95/Analyzed!$CR95</f>
        <v>0</v>
      </c>
      <c r="H94" s="3">
        <f>Analyzed!P95/Analyzed!$CR95</f>
        <v>0</v>
      </c>
      <c r="I94" s="3">
        <f>Analyzed!R95/Analyzed!$CR95</f>
        <v>0</v>
      </c>
      <c r="J94" s="3">
        <f>Analyzed!X95/Analyzed!$CR95</f>
        <v>0.83703703703703702</v>
      </c>
      <c r="K94" s="3">
        <f>Analyzed!Z95/Analyzed!$CR95</f>
        <v>0</v>
      </c>
      <c r="L94" s="3">
        <f>Analyzed!AB95/Analyzed!$CR95</f>
        <v>0</v>
      </c>
      <c r="M94" s="3">
        <f>Analyzed!AD95/Analyzed!$CR95</f>
        <v>0</v>
      </c>
      <c r="N94" s="3">
        <f>Analyzed!AF95/Analyzed!$CR95</f>
        <v>0</v>
      </c>
      <c r="O94" s="3">
        <f>Analyzed!AH95/Analyzed!$CR95</f>
        <v>0</v>
      </c>
      <c r="P94" s="3">
        <f>Analyzed!AJ95/Analyzed!$CR95</f>
        <v>0</v>
      </c>
      <c r="Q94" s="3">
        <f>Analyzed!AL95/Analyzed!$CR95</f>
        <v>0.14074074074074075</v>
      </c>
      <c r="R94" s="3">
        <f>Analyzed!AN95/Analyzed!$CR95</f>
        <v>0</v>
      </c>
      <c r="S94" s="3">
        <f>Analyzed!AP95/Analyzed!$CR95</f>
        <v>0</v>
      </c>
      <c r="T94" s="3">
        <f>Analyzed!AR95/Analyzed!$CR95</f>
        <v>0</v>
      </c>
      <c r="U94" s="3">
        <f>Analyzed!AT95/Analyzed!$CR95</f>
        <v>7.4074074074074077E-3</v>
      </c>
      <c r="V94" s="3">
        <f>Analyzed!AV95/Analyzed!$CR95</f>
        <v>0</v>
      </c>
      <c r="W94" s="3">
        <f>Analyzed!AX95/Analyzed!$CR95</f>
        <v>0</v>
      </c>
      <c r="X94" s="3">
        <f>Analyzed!AZ95/Analyzed!$CR95</f>
        <v>0</v>
      </c>
      <c r="Y94" s="3">
        <f>Analyzed!BB95/Analyzed!$CR95</f>
        <v>0</v>
      </c>
      <c r="Z94" s="3">
        <f>Analyzed!BD95/Analyzed!$CR95</f>
        <v>0</v>
      </c>
      <c r="AA94" s="3">
        <f>Analyzed!BF95/Analyzed!$CR95</f>
        <v>1.4814814814814815E-2</v>
      </c>
    </row>
    <row r="95" spans="1:27" x14ac:dyDescent="0.25">
      <c r="A95" s="13" t="s">
        <v>141</v>
      </c>
      <c r="B95" s="3">
        <f>Analyzed!D96/Analyzed!$CR96</f>
        <v>0</v>
      </c>
      <c r="C95" s="3">
        <f>Analyzed!F96/Analyzed!$CR96</f>
        <v>0</v>
      </c>
      <c r="D95" s="3">
        <f>Analyzed!H96/Analyzed!$CR96</f>
        <v>0</v>
      </c>
      <c r="E95" s="3">
        <f>Analyzed!J96/Analyzed!$CR96</f>
        <v>0</v>
      </c>
      <c r="F95" s="3">
        <f>Analyzed!L96/Analyzed!$CR96</f>
        <v>0</v>
      </c>
      <c r="G95" s="3">
        <f>Analyzed!N96/Analyzed!$CR96</f>
        <v>7.3170731707317083E-2</v>
      </c>
      <c r="H95" s="3">
        <f>Analyzed!P96/Analyzed!$CR96</f>
        <v>0</v>
      </c>
      <c r="I95" s="3">
        <f>Analyzed!R96/Analyzed!$CR96</f>
        <v>0</v>
      </c>
      <c r="J95" s="3">
        <f>Analyzed!X96/Analyzed!$CR96</f>
        <v>0</v>
      </c>
      <c r="K95" s="3">
        <f>Analyzed!Z96/Analyzed!$CR96</f>
        <v>0</v>
      </c>
      <c r="L95" s="3">
        <f>Analyzed!AB96/Analyzed!$CR96</f>
        <v>0</v>
      </c>
      <c r="M95" s="3">
        <f>Analyzed!AD96/Analyzed!$CR96</f>
        <v>0</v>
      </c>
      <c r="N95" s="3">
        <f>Analyzed!AF96/Analyzed!$CR96</f>
        <v>0</v>
      </c>
      <c r="O95" s="3">
        <f>Analyzed!AH96/Analyzed!$CR96</f>
        <v>0</v>
      </c>
      <c r="P95" s="3">
        <f>Analyzed!AJ96/Analyzed!$CR96</f>
        <v>0</v>
      </c>
      <c r="Q95" s="3">
        <f>Analyzed!AL96/Analyzed!$CR96</f>
        <v>0.92682926829268297</v>
      </c>
      <c r="R95" s="3">
        <f>Analyzed!AN96/Analyzed!$CR96</f>
        <v>0</v>
      </c>
      <c r="S95" s="3">
        <f>Analyzed!AP96/Analyzed!$CR96</f>
        <v>0</v>
      </c>
      <c r="T95" s="3">
        <f>Analyzed!AR96/Analyzed!$CR96</f>
        <v>0</v>
      </c>
      <c r="U95" s="3">
        <f>Analyzed!AT96/Analyzed!$CR96</f>
        <v>0</v>
      </c>
      <c r="V95" s="3">
        <f>Analyzed!AV96/Analyzed!$CR96</f>
        <v>0</v>
      </c>
      <c r="W95" s="3">
        <f>Analyzed!AX96/Analyzed!$CR96</f>
        <v>0</v>
      </c>
      <c r="X95" s="3">
        <f>Analyzed!AZ96/Analyzed!$CR96</f>
        <v>0</v>
      </c>
      <c r="Y95" s="3">
        <f>Analyzed!BB96/Analyzed!$CR96</f>
        <v>0</v>
      </c>
      <c r="Z95" s="3">
        <f>Analyzed!BD96/Analyzed!$CR96</f>
        <v>0</v>
      </c>
      <c r="AA95" s="3">
        <f>Analyzed!BF96/Analyzed!$CR96</f>
        <v>0</v>
      </c>
    </row>
    <row r="96" spans="1:27" x14ac:dyDescent="0.25">
      <c r="A96" s="13" t="s">
        <v>142</v>
      </c>
      <c r="B96" s="3">
        <f>Analyzed!D97/Analyzed!$CR97</f>
        <v>0</v>
      </c>
      <c r="C96" s="3">
        <f>Analyzed!F97/Analyzed!$CR97</f>
        <v>0</v>
      </c>
      <c r="D96" s="3">
        <f>Analyzed!H97/Analyzed!$CR97</f>
        <v>0</v>
      </c>
      <c r="E96" s="3">
        <f>Analyzed!J97/Analyzed!$CR97</f>
        <v>0</v>
      </c>
      <c r="F96" s="3">
        <f>Analyzed!L97/Analyzed!$CR97</f>
        <v>0</v>
      </c>
      <c r="G96" s="3">
        <f>Analyzed!N97/Analyzed!$CR97</f>
        <v>1.5624999999999998E-2</v>
      </c>
      <c r="H96" s="3">
        <f>Analyzed!P97/Analyzed!$CR97</f>
        <v>0</v>
      </c>
      <c r="I96" s="3">
        <f>Analyzed!R97/Analyzed!$CR97</f>
        <v>0</v>
      </c>
      <c r="J96" s="3">
        <f>Analyzed!X97/Analyzed!$CR97</f>
        <v>0.7109375</v>
      </c>
      <c r="K96" s="3">
        <f>Analyzed!Z97/Analyzed!$CR97</f>
        <v>0</v>
      </c>
      <c r="L96" s="3">
        <f>Analyzed!AB97/Analyzed!$CR97</f>
        <v>0</v>
      </c>
      <c r="M96" s="3">
        <f>Analyzed!AD97/Analyzed!$CR97</f>
        <v>0</v>
      </c>
      <c r="N96" s="3">
        <f>Analyzed!AF97/Analyzed!$CR97</f>
        <v>0</v>
      </c>
      <c r="O96" s="3">
        <f>Analyzed!AH97/Analyzed!$CR97</f>
        <v>0</v>
      </c>
      <c r="P96" s="3">
        <f>Analyzed!AJ97/Analyzed!$CR97</f>
        <v>0</v>
      </c>
      <c r="Q96" s="3">
        <f>Analyzed!AL97/Analyzed!$CR97</f>
        <v>0.2734375</v>
      </c>
      <c r="R96" s="3">
        <f>Analyzed!AN97/Analyzed!$CR97</f>
        <v>0</v>
      </c>
      <c r="S96" s="3">
        <f>Analyzed!AP97/Analyzed!$CR97</f>
        <v>0</v>
      </c>
      <c r="T96" s="3">
        <f>Analyzed!AR97/Analyzed!$CR97</f>
        <v>0</v>
      </c>
      <c r="U96" s="3">
        <f>Analyzed!AT97/Analyzed!$CR97</f>
        <v>0</v>
      </c>
      <c r="V96" s="3">
        <f>Analyzed!AV97/Analyzed!$CR97</f>
        <v>0</v>
      </c>
      <c r="W96" s="3">
        <f>Analyzed!AX97/Analyzed!$CR97</f>
        <v>0</v>
      </c>
      <c r="X96" s="3">
        <f>Analyzed!AZ97/Analyzed!$CR97</f>
        <v>0</v>
      </c>
      <c r="Y96" s="3">
        <f>Analyzed!BB97/Analyzed!$CR97</f>
        <v>0</v>
      </c>
      <c r="Z96" s="3">
        <f>Analyzed!BD97/Analyzed!$CR97</f>
        <v>0</v>
      </c>
      <c r="AA96" s="3">
        <f>Analyzed!BF97/Analyzed!$CR97</f>
        <v>0</v>
      </c>
    </row>
    <row r="97" spans="1:27" x14ac:dyDescent="0.25">
      <c r="A97" s="13" t="s">
        <v>143</v>
      </c>
      <c r="B97" s="3">
        <f>Analyzed!D98/Analyzed!$CR98</f>
        <v>0</v>
      </c>
      <c r="C97" s="3">
        <f>Analyzed!F98/Analyzed!$CR98</f>
        <v>0</v>
      </c>
      <c r="D97" s="3">
        <f>Analyzed!H98/Analyzed!$CR98</f>
        <v>0</v>
      </c>
      <c r="E97" s="3">
        <f>Analyzed!J98/Analyzed!$CR98</f>
        <v>0</v>
      </c>
      <c r="F97" s="3">
        <f>Analyzed!L98/Analyzed!$CR98</f>
        <v>6.8493150684931503E-3</v>
      </c>
      <c r="G97" s="3">
        <f>Analyzed!N98/Analyzed!$CR98</f>
        <v>6.8493150684931503E-3</v>
      </c>
      <c r="H97" s="3">
        <f>Analyzed!P98/Analyzed!$CR98</f>
        <v>0</v>
      </c>
      <c r="I97" s="3">
        <f>Analyzed!R98/Analyzed!$CR98</f>
        <v>0</v>
      </c>
      <c r="J97" s="3">
        <f>Analyzed!X98/Analyzed!$CR98</f>
        <v>0.84931506849315064</v>
      </c>
      <c r="K97" s="3">
        <f>Analyzed!Z98/Analyzed!$CR98</f>
        <v>0</v>
      </c>
      <c r="L97" s="3">
        <f>Analyzed!AB98/Analyzed!$CR98</f>
        <v>0</v>
      </c>
      <c r="M97" s="3">
        <f>Analyzed!AD98/Analyzed!$CR98</f>
        <v>0</v>
      </c>
      <c r="N97" s="3">
        <f>Analyzed!AF98/Analyzed!$CR98</f>
        <v>0</v>
      </c>
      <c r="O97" s="3">
        <f>Analyzed!AH98/Analyzed!$CR98</f>
        <v>0</v>
      </c>
      <c r="P97" s="3">
        <f>Analyzed!AJ98/Analyzed!$CR98</f>
        <v>0</v>
      </c>
      <c r="Q97" s="3">
        <f>Analyzed!AL98/Analyzed!$CR98</f>
        <v>8.9041095890410954E-2</v>
      </c>
      <c r="R97" s="3">
        <f>Analyzed!AN98/Analyzed!$CR98</f>
        <v>0</v>
      </c>
      <c r="S97" s="3">
        <f>Analyzed!AP98/Analyzed!$CR98</f>
        <v>0</v>
      </c>
      <c r="T97" s="3">
        <f>Analyzed!AR98/Analyzed!$CR98</f>
        <v>0</v>
      </c>
      <c r="U97" s="3">
        <f>Analyzed!AT98/Analyzed!$CR98</f>
        <v>2.7397260273972601E-2</v>
      </c>
      <c r="V97" s="3">
        <f>Analyzed!AV98/Analyzed!$CR98</f>
        <v>0</v>
      </c>
      <c r="W97" s="3">
        <f>Analyzed!AX98/Analyzed!$CR98</f>
        <v>0</v>
      </c>
      <c r="X97" s="3">
        <f>Analyzed!AZ98/Analyzed!$CR98</f>
        <v>0</v>
      </c>
      <c r="Y97" s="3">
        <f>Analyzed!BB98/Analyzed!$CR98</f>
        <v>0</v>
      </c>
      <c r="Z97" s="3">
        <f>Analyzed!BD98/Analyzed!$CR98</f>
        <v>0</v>
      </c>
      <c r="AA97" s="3">
        <f>Analyzed!BF98/Analyzed!$CR98</f>
        <v>2.0547945205479451E-2</v>
      </c>
    </row>
    <row r="98" spans="1:27" x14ac:dyDescent="0.25">
      <c r="A98" s="13" t="s">
        <v>144</v>
      </c>
      <c r="B98" s="3">
        <f>Analyzed!D99/Analyzed!$CR99</f>
        <v>0</v>
      </c>
      <c r="C98" s="3">
        <f>Analyzed!F99/Analyzed!$CR99</f>
        <v>0</v>
      </c>
      <c r="D98" s="3">
        <f>Analyzed!H99/Analyzed!$CR99</f>
        <v>0</v>
      </c>
      <c r="E98" s="3">
        <f>Analyzed!J99/Analyzed!$CR99</f>
        <v>0</v>
      </c>
      <c r="F98" s="3">
        <f>Analyzed!L99/Analyzed!$CR99</f>
        <v>0</v>
      </c>
      <c r="G98" s="3">
        <f>Analyzed!N99/Analyzed!$CR99</f>
        <v>0</v>
      </c>
      <c r="H98" s="3">
        <f>Analyzed!P99/Analyzed!$CR99</f>
        <v>0</v>
      </c>
      <c r="I98" s="3">
        <f>Analyzed!R99/Analyzed!$CR99</f>
        <v>0</v>
      </c>
      <c r="J98" s="3">
        <f>Analyzed!X99/Analyzed!$CR99</f>
        <v>0.75225225225225234</v>
      </c>
      <c r="K98" s="3">
        <f>Analyzed!Z99/Analyzed!$CR99</f>
        <v>0</v>
      </c>
      <c r="L98" s="3">
        <f>Analyzed!AB99/Analyzed!$CR99</f>
        <v>0</v>
      </c>
      <c r="M98" s="3">
        <f>Analyzed!AD99/Analyzed!$CR99</f>
        <v>0</v>
      </c>
      <c r="N98" s="3">
        <f>Analyzed!AF99/Analyzed!$CR99</f>
        <v>0</v>
      </c>
      <c r="O98" s="3">
        <f>Analyzed!AH99/Analyzed!$CR99</f>
        <v>0</v>
      </c>
      <c r="P98" s="3">
        <f>Analyzed!AJ99/Analyzed!$CR99</f>
        <v>0</v>
      </c>
      <c r="Q98" s="3">
        <f>Analyzed!AL99/Analyzed!$CR99</f>
        <v>0.1801801801801802</v>
      </c>
      <c r="R98" s="3">
        <f>Analyzed!AN99/Analyzed!$CR99</f>
        <v>0</v>
      </c>
      <c r="S98" s="3">
        <f>Analyzed!AP99/Analyzed!$CR99</f>
        <v>0</v>
      </c>
      <c r="T98" s="3">
        <f>Analyzed!AR99/Analyzed!$CR99</f>
        <v>0</v>
      </c>
      <c r="U98" s="3">
        <f>Analyzed!AT99/Analyzed!$CR99</f>
        <v>6.7567567567567585E-2</v>
      </c>
      <c r="V98" s="3">
        <f>Analyzed!AV99/Analyzed!$CR99</f>
        <v>0</v>
      </c>
      <c r="W98" s="3">
        <f>Analyzed!AX99/Analyzed!$CR99</f>
        <v>0</v>
      </c>
      <c r="X98" s="3">
        <f>Analyzed!AZ99/Analyzed!$CR99</f>
        <v>0</v>
      </c>
      <c r="Y98" s="3">
        <f>Analyzed!BB99/Analyzed!$CR99</f>
        <v>0</v>
      </c>
      <c r="Z98" s="3">
        <f>Analyzed!BD99/Analyzed!$CR99</f>
        <v>0</v>
      </c>
      <c r="AA98" s="3">
        <f>Analyzed!BF99/Analyzed!$CR99</f>
        <v>0</v>
      </c>
    </row>
    <row r="99" spans="1:27" x14ac:dyDescent="0.25">
      <c r="A99" s="13" t="s">
        <v>145</v>
      </c>
      <c r="B99" s="3">
        <f>Analyzed!D100/Analyzed!$CR100</f>
        <v>0</v>
      </c>
      <c r="C99" s="3">
        <f>Analyzed!F100/Analyzed!$CR100</f>
        <v>0</v>
      </c>
      <c r="D99" s="3">
        <f>Analyzed!H100/Analyzed!$CR100</f>
        <v>0</v>
      </c>
      <c r="E99" s="3">
        <f>Analyzed!J100/Analyzed!$CR100</f>
        <v>0</v>
      </c>
      <c r="F99" s="3">
        <f>Analyzed!L100/Analyzed!$CR100</f>
        <v>0</v>
      </c>
      <c r="G99" s="3">
        <f>Analyzed!N100/Analyzed!$CR100</f>
        <v>2.0270270270270271E-2</v>
      </c>
      <c r="H99" s="3">
        <f>Analyzed!P100/Analyzed!$CR100</f>
        <v>0</v>
      </c>
      <c r="I99" s="3">
        <f>Analyzed!R100/Analyzed!$CR100</f>
        <v>0</v>
      </c>
      <c r="J99" s="3">
        <f>Analyzed!X100/Analyzed!$CR100</f>
        <v>0.77027027027027029</v>
      </c>
      <c r="K99" s="3">
        <f>Analyzed!Z100/Analyzed!$CR100</f>
        <v>0</v>
      </c>
      <c r="L99" s="3">
        <f>Analyzed!AB100/Analyzed!$CR100</f>
        <v>0</v>
      </c>
      <c r="M99" s="3">
        <f>Analyzed!AD100/Analyzed!$CR100</f>
        <v>0</v>
      </c>
      <c r="N99" s="3">
        <f>Analyzed!AF100/Analyzed!$CR100</f>
        <v>0</v>
      </c>
      <c r="O99" s="3">
        <f>Analyzed!AH100/Analyzed!$CR100</f>
        <v>0</v>
      </c>
      <c r="P99" s="3">
        <f>Analyzed!AJ100/Analyzed!$CR100</f>
        <v>0</v>
      </c>
      <c r="Q99" s="3">
        <f>Analyzed!AL100/Analyzed!$CR100</f>
        <v>0.17567567567567569</v>
      </c>
      <c r="R99" s="3">
        <f>Analyzed!AN100/Analyzed!$CR100</f>
        <v>0</v>
      </c>
      <c r="S99" s="3">
        <f>Analyzed!AP100/Analyzed!$CR100</f>
        <v>0</v>
      </c>
      <c r="T99" s="3">
        <f>Analyzed!AR100/Analyzed!$CR100</f>
        <v>0</v>
      </c>
      <c r="U99" s="3">
        <f>Analyzed!AT100/Analyzed!$CR100</f>
        <v>3.3783783783783779E-2</v>
      </c>
      <c r="V99" s="3">
        <f>Analyzed!AV100/Analyzed!$CR100</f>
        <v>0</v>
      </c>
      <c r="W99" s="3">
        <f>Analyzed!AX100/Analyzed!$CR100</f>
        <v>0</v>
      </c>
      <c r="X99" s="3">
        <f>Analyzed!AZ100/Analyzed!$CR100</f>
        <v>0</v>
      </c>
      <c r="Y99" s="3">
        <f>Analyzed!BB100/Analyzed!$CR100</f>
        <v>0</v>
      </c>
      <c r="Z99" s="3">
        <f>Analyzed!BD100/Analyzed!$CR100</f>
        <v>0</v>
      </c>
      <c r="AA99" s="3">
        <f>Analyzed!BF100/Analyzed!$CR100</f>
        <v>0</v>
      </c>
    </row>
    <row r="100" spans="1:27" x14ac:dyDescent="0.25">
      <c r="A100" s="13" t="s">
        <v>146</v>
      </c>
      <c r="B100" s="3">
        <f>Analyzed!D101/Analyzed!$CR101</f>
        <v>7.2463768115942021E-3</v>
      </c>
      <c r="C100" s="3">
        <f>Analyzed!F101/Analyzed!$CR101</f>
        <v>0</v>
      </c>
      <c r="D100" s="3">
        <f>Analyzed!H101/Analyzed!$CR101</f>
        <v>0</v>
      </c>
      <c r="E100" s="3">
        <f>Analyzed!J101/Analyzed!$CR101</f>
        <v>0</v>
      </c>
      <c r="F100" s="3">
        <f>Analyzed!L101/Analyzed!$CR101</f>
        <v>0</v>
      </c>
      <c r="G100" s="3">
        <f>Analyzed!N101/Analyzed!$CR101</f>
        <v>0</v>
      </c>
      <c r="H100" s="3">
        <f>Analyzed!P101/Analyzed!$CR101</f>
        <v>0</v>
      </c>
      <c r="I100" s="3">
        <f>Analyzed!R101/Analyzed!$CR101</f>
        <v>0</v>
      </c>
      <c r="J100" s="3">
        <f>Analyzed!X101/Analyzed!$CR101</f>
        <v>0.89130434782608692</v>
      </c>
      <c r="K100" s="3">
        <f>Analyzed!Z101/Analyzed!$CR101</f>
        <v>0</v>
      </c>
      <c r="L100" s="3">
        <f>Analyzed!AB101/Analyzed!$CR101</f>
        <v>0</v>
      </c>
      <c r="M100" s="3">
        <f>Analyzed!AD101/Analyzed!$CR101</f>
        <v>0</v>
      </c>
      <c r="N100" s="3">
        <f>Analyzed!AF101/Analyzed!$CR101</f>
        <v>0</v>
      </c>
      <c r="O100" s="3">
        <f>Analyzed!AH101/Analyzed!$CR101</f>
        <v>1.4492753623188404E-2</v>
      </c>
      <c r="P100" s="3">
        <f>Analyzed!AJ101/Analyzed!$CR101</f>
        <v>0</v>
      </c>
      <c r="Q100" s="3">
        <f>Analyzed!AL101/Analyzed!$CR101</f>
        <v>4.3478260869565216E-2</v>
      </c>
      <c r="R100" s="3">
        <f>Analyzed!AN101/Analyzed!$CR101</f>
        <v>0</v>
      </c>
      <c r="S100" s="3">
        <f>Analyzed!AP101/Analyzed!$CR101</f>
        <v>0</v>
      </c>
      <c r="T100" s="3">
        <f>Analyzed!AR101/Analyzed!$CR101</f>
        <v>0</v>
      </c>
      <c r="U100" s="3">
        <f>Analyzed!AT101/Analyzed!$CR101</f>
        <v>4.3478260869565216E-2</v>
      </c>
      <c r="V100" s="3">
        <f>Analyzed!AV101/Analyzed!$CR101</f>
        <v>0</v>
      </c>
      <c r="W100" s="3">
        <f>Analyzed!AX101/Analyzed!$CR101</f>
        <v>0</v>
      </c>
      <c r="X100" s="3">
        <f>Analyzed!AZ101/Analyzed!$CR101</f>
        <v>0</v>
      </c>
      <c r="Y100" s="3">
        <f>Analyzed!BB101/Analyzed!$CR101</f>
        <v>0</v>
      </c>
      <c r="Z100" s="3">
        <f>Analyzed!BD101/Analyzed!$CR101</f>
        <v>0</v>
      </c>
      <c r="AA100" s="3">
        <f>Analyzed!BF101/Analyzed!$CR101</f>
        <v>0</v>
      </c>
    </row>
    <row r="101" spans="1:27" x14ac:dyDescent="0.25">
      <c r="B101" s="3">
        <f>Analyzed!D102/Analyzed!$CR102</f>
        <v>0.73684210526315785</v>
      </c>
      <c r="C101" s="3">
        <f>Analyzed!F102/Analyzed!$CR102</f>
        <v>0.23684210526315788</v>
      </c>
      <c r="D101" s="3">
        <f>Analyzed!H102/Analyzed!$CR102</f>
        <v>0</v>
      </c>
      <c r="E101" s="3">
        <f>Analyzed!J102/Analyzed!$CR102</f>
        <v>0</v>
      </c>
      <c r="F101" s="3">
        <f>Analyzed!L102/Analyzed!$CR102</f>
        <v>0</v>
      </c>
      <c r="G101" s="3">
        <f>Analyzed!N102/Analyzed!$CR102</f>
        <v>0</v>
      </c>
      <c r="H101" s="3">
        <f>Analyzed!P102/Analyzed!$CR102</f>
        <v>0</v>
      </c>
      <c r="I101" s="3">
        <f>Analyzed!R102/Analyzed!$CR102</f>
        <v>0</v>
      </c>
      <c r="J101" s="3">
        <f>Analyzed!X102/Analyzed!$CR102</f>
        <v>8.771929824561403E-3</v>
      </c>
      <c r="K101" s="3">
        <f>Analyzed!Z102/Analyzed!$CR102</f>
        <v>0</v>
      </c>
      <c r="L101" s="3">
        <f>Analyzed!AB102/Analyzed!$CR102</f>
        <v>0</v>
      </c>
      <c r="M101" s="3">
        <f>Analyzed!AD102/Analyzed!$CR102</f>
        <v>0</v>
      </c>
      <c r="N101" s="3">
        <f>Analyzed!AF102/Analyzed!$CR102</f>
        <v>0</v>
      </c>
      <c r="O101" s="3">
        <f>Analyzed!AH102/Analyzed!$CR102</f>
        <v>0</v>
      </c>
      <c r="P101" s="3">
        <f>Analyzed!AJ102/Analyzed!$CR102</f>
        <v>0</v>
      </c>
      <c r="Q101" s="3">
        <f>Analyzed!AL102/Analyzed!$CR102</f>
        <v>1.7543859649122806E-2</v>
      </c>
      <c r="R101" s="3">
        <f>Analyzed!AN102/Analyzed!$CR102</f>
        <v>0</v>
      </c>
      <c r="S101" s="3">
        <f>Analyzed!AP102/Analyzed!$CR102</f>
        <v>0</v>
      </c>
      <c r="T101" s="3">
        <f>Analyzed!AR102/Analyzed!$CR102</f>
        <v>0</v>
      </c>
      <c r="U101" s="3">
        <f>Analyzed!AT102/Analyzed!$CR102</f>
        <v>0</v>
      </c>
      <c r="V101" s="3">
        <f>Analyzed!AV102/Analyzed!$CR102</f>
        <v>0</v>
      </c>
      <c r="W101" s="3">
        <f>Analyzed!AX102/Analyzed!$CR102</f>
        <v>0</v>
      </c>
      <c r="X101" s="3">
        <f>Analyzed!AZ102/Analyzed!$CR102</f>
        <v>0</v>
      </c>
      <c r="Y101" s="3">
        <f>Analyzed!BB102/Analyzed!$CR102</f>
        <v>0</v>
      </c>
      <c r="Z101" s="3">
        <f>Analyzed!BD102/Analyzed!$CR102</f>
        <v>0</v>
      </c>
      <c r="AA101" s="3">
        <f>Analyzed!BF102/Analyzed!$CR102</f>
        <v>0</v>
      </c>
    </row>
    <row r="102" spans="1:27" x14ac:dyDescent="0.25">
      <c r="B102" s="3">
        <f>Analyzed!D103/Analyzed!$CR103</f>
        <v>0.80790960451977401</v>
      </c>
      <c r="C102" s="3">
        <f>Analyzed!F103/Analyzed!$CR103</f>
        <v>8.4745762711864403E-2</v>
      </c>
      <c r="D102" s="3">
        <f>Analyzed!H103/Analyzed!$CR103</f>
        <v>5.6497175141242938E-3</v>
      </c>
      <c r="E102" s="3">
        <f>Analyzed!J103/Analyzed!$CR103</f>
        <v>0</v>
      </c>
      <c r="F102" s="3">
        <f>Analyzed!L103/Analyzed!$CR103</f>
        <v>0</v>
      </c>
      <c r="G102" s="3">
        <f>Analyzed!N103/Analyzed!$CR103</f>
        <v>0</v>
      </c>
      <c r="H102" s="3">
        <f>Analyzed!P103/Analyzed!$CR103</f>
        <v>0</v>
      </c>
      <c r="I102" s="3">
        <f>Analyzed!R103/Analyzed!$CR103</f>
        <v>0</v>
      </c>
      <c r="J102" s="3">
        <f>Analyzed!X103/Analyzed!$CR103</f>
        <v>0</v>
      </c>
      <c r="K102" s="3">
        <f>Analyzed!Z103/Analyzed!$CR103</f>
        <v>0</v>
      </c>
      <c r="L102" s="3">
        <f>Analyzed!AB103/Analyzed!$CR103</f>
        <v>0</v>
      </c>
      <c r="M102" s="3">
        <f>Analyzed!AD103/Analyzed!$CR103</f>
        <v>0</v>
      </c>
      <c r="N102" s="3">
        <f>Analyzed!AF103/Analyzed!$CR103</f>
        <v>0</v>
      </c>
      <c r="O102" s="3">
        <f>Analyzed!AH103/Analyzed!$CR103</f>
        <v>0</v>
      </c>
      <c r="P102" s="3">
        <f>Analyzed!AJ103/Analyzed!$CR103</f>
        <v>0</v>
      </c>
      <c r="Q102" s="3">
        <f>Analyzed!AL103/Analyzed!$CR103</f>
        <v>9.6045197740112997E-2</v>
      </c>
      <c r="R102" s="3">
        <f>Analyzed!AN103/Analyzed!$CR103</f>
        <v>0</v>
      </c>
      <c r="S102" s="3">
        <f>Analyzed!AP103/Analyzed!$CR103</f>
        <v>0</v>
      </c>
      <c r="T102" s="3">
        <f>Analyzed!AR103/Analyzed!$CR103</f>
        <v>0</v>
      </c>
      <c r="U102" s="3">
        <f>Analyzed!AT103/Analyzed!$CR103</f>
        <v>0</v>
      </c>
      <c r="V102" s="3">
        <f>Analyzed!AV103/Analyzed!$CR103</f>
        <v>0</v>
      </c>
      <c r="W102" s="3">
        <f>Analyzed!AX103/Analyzed!$CR103</f>
        <v>0</v>
      </c>
      <c r="X102" s="3">
        <f>Analyzed!AZ103/Analyzed!$CR103</f>
        <v>0</v>
      </c>
      <c r="Y102" s="3">
        <f>Analyzed!BB103/Analyzed!$CR103</f>
        <v>0</v>
      </c>
      <c r="Z102" s="3">
        <f>Analyzed!BD103/Analyzed!$CR103</f>
        <v>0</v>
      </c>
      <c r="AA102" s="3">
        <f>Analyzed!BF103/Analyzed!$CR103</f>
        <v>0</v>
      </c>
    </row>
    <row r="103" spans="1:27" x14ac:dyDescent="0.25">
      <c r="B103" s="3">
        <f>Analyzed!D104/Analyzed!$CR104</f>
        <v>0.91379310344827591</v>
      </c>
      <c r="C103" s="3">
        <f>Analyzed!F104/Analyzed!$CR104</f>
        <v>0</v>
      </c>
      <c r="D103" s="3">
        <f>Analyzed!H104/Analyzed!$CR104</f>
        <v>5.7471264367816091E-3</v>
      </c>
      <c r="E103" s="3">
        <f>Analyzed!J104/Analyzed!$CR104</f>
        <v>0</v>
      </c>
      <c r="F103" s="3">
        <f>Analyzed!L104/Analyzed!$CR104</f>
        <v>0</v>
      </c>
      <c r="G103" s="3">
        <f>Analyzed!N104/Analyzed!$CR104</f>
        <v>0</v>
      </c>
      <c r="H103" s="3">
        <f>Analyzed!P104/Analyzed!$CR104</f>
        <v>0</v>
      </c>
      <c r="I103" s="3">
        <f>Analyzed!R104/Analyzed!$CR104</f>
        <v>0</v>
      </c>
      <c r="J103" s="3">
        <f>Analyzed!X104/Analyzed!$CR104</f>
        <v>0</v>
      </c>
      <c r="K103" s="3">
        <f>Analyzed!Z104/Analyzed!$CR104</f>
        <v>1.1494252873563218E-2</v>
      </c>
      <c r="L103" s="3">
        <f>Analyzed!AB104/Analyzed!$CR104</f>
        <v>0</v>
      </c>
      <c r="M103" s="3">
        <f>Analyzed!AD104/Analyzed!$CR104</f>
        <v>0</v>
      </c>
      <c r="N103" s="3">
        <f>Analyzed!AF104/Analyzed!$CR104</f>
        <v>0</v>
      </c>
      <c r="O103" s="3">
        <f>Analyzed!AH104/Analyzed!$CR104</f>
        <v>5.7471264367816091E-3</v>
      </c>
      <c r="P103" s="3">
        <f>Analyzed!AJ104/Analyzed!$CR104</f>
        <v>0</v>
      </c>
      <c r="Q103" s="3">
        <f>Analyzed!AL104/Analyzed!$CR104</f>
        <v>3.4482758620689655E-2</v>
      </c>
      <c r="R103" s="3">
        <f>Analyzed!AN104/Analyzed!$CR104</f>
        <v>0</v>
      </c>
      <c r="S103" s="3">
        <f>Analyzed!AP104/Analyzed!$CR104</f>
        <v>0</v>
      </c>
      <c r="T103" s="3">
        <f>Analyzed!AR104/Analyzed!$CR104</f>
        <v>0</v>
      </c>
      <c r="U103" s="3">
        <f>Analyzed!AT104/Analyzed!$CR104</f>
        <v>0</v>
      </c>
      <c r="V103" s="3">
        <f>Analyzed!AV104/Analyzed!$CR104</f>
        <v>0</v>
      </c>
      <c r="W103" s="3">
        <f>Analyzed!AX104/Analyzed!$CR104</f>
        <v>0</v>
      </c>
      <c r="X103" s="3">
        <f>Analyzed!AZ104/Analyzed!$CR104</f>
        <v>0</v>
      </c>
      <c r="Y103" s="3">
        <f>Analyzed!BB104/Analyzed!$CR104</f>
        <v>0</v>
      </c>
      <c r="Z103" s="3">
        <f>Analyzed!BD104/Analyzed!$CR104</f>
        <v>0</v>
      </c>
      <c r="AA103" s="3">
        <f>Analyzed!BF104/Analyzed!$CR104</f>
        <v>0</v>
      </c>
    </row>
    <row r="104" spans="1:27" x14ac:dyDescent="0.25">
      <c r="B104" s="3">
        <f>Analyzed!D105/Analyzed!$CR105</f>
        <v>0.5625</v>
      </c>
      <c r="C104" s="3">
        <f>Analyzed!F105/Analyzed!$CR105</f>
        <v>0</v>
      </c>
      <c r="D104" s="3">
        <f>Analyzed!H105/Analyzed!$CR105</f>
        <v>6.9444444444444441E-3</v>
      </c>
      <c r="E104" s="3">
        <f>Analyzed!J105/Analyzed!$CR105</f>
        <v>1.3888888888888888E-2</v>
      </c>
      <c r="F104" s="3">
        <f>Analyzed!L105/Analyzed!$CR105</f>
        <v>0</v>
      </c>
      <c r="G104" s="3">
        <f>Analyzed!N105/Analyzed!$CR105</f>
        <v>0</v>
      </c>
      <c r="H104" s="3">
        <f>Analyzed!P105/Analyzed!$CR105</f>
        <v>1.3888888888888888E-2</v>
      </c>
      <c r="I104" s="3">
        <f>Analyzed!R105/Analyzed!$CR105</f>
        <v>6.9444444444444441E-3</v>
      </c>
      <c r="J104" s="3">
        <f>Analyzed!X105/Analyzed!$CR105</f>
        <v>0</v>
      </c>
      <c r="K104" s="3">
        <f>Analyzed!Z105/Analyzed!$CR105</f>
        <v>9.0277777777777776E-2</v>
      </c>
      <c r="L104" s="3">
        <f>Analyzed!AB105/Analyzed!$CR105</f>
        <v>2.0833333333333332E-2</v>
      </c>
      <c r="M104" s="3">
        <f>Analyzed!AD105/Analyzed!$CR105</f>
        <v>4.1666666666666664E-2</v>
      </c>
      <c r="N104" s="3">
        <f>Analyzed!AF105/Analyzed!$CR105</f>
        <v>0</v>
      </c>
      <c r="O104" s="3">
        <f>Analyzed!AH105/Analyzed!$CR105</f>
        <v>0</v>
      </c>
      <c r="P104" s="3">
        <f>Analyzed!AJ105/Analyzed!$CR105</f>
        <v>0</v>
      </c>
      <c r="Q104" s="3">
        <f>Analyzed!AL105/Analyzed!$CR105</f>
        <v>9.0277777777777776E-2</v>
      </c>
      <c r="R104" s="3">
        <f>Analyzed!AN105/Analyzed!$CR105</f>
        <v>0</v>
      </c>
      <c r="S104" s="3">
        <f>Analyzed!AP105/Analyzed!$CR105</f>
        <v>0</v>
      </c>
      <c r="T104" s="3">
        <f>Analyzed!AR105/Analyzed!$CR105</f>
        <v>0</v>
      </c>
      <c r="U104" s="3">
        <f>Analyzed!AT105/Analyzed!$CR105</f>
        <v>0</v>
      </c>
      <c r="V104" s="3">
        <f>Analyzed!AV105/Analyzed!$CR105</f>
        <v>0</v>
      </c>
      <c r="W104" s="3">
        <f>Analyzed!AX105/Analyzed!$CR105</f>
        <v>0</v>
      </c>
      <c r="X104" s="3">
        <f>Analyzed!AZ105/Analyzed!$CR105</f>
        <v>0</v>
      </c>
      <c r="Y104" s="3">
        <f>Analyzed!BB105/Analyzed!$CR105</f>
        <v>0</v>
      </c>
      <c r="Z104" s="3">
        <f>Analyzed!BD105/Analyzed!$CR105</f>
        <v>0</v>
      </c>
      <c r="AA104" s="3">
        <f>Analyzed!BF105/Analyzed!$CR105</f>
        <v>0</v>
      </c>
    </row>
    <row r="105" spans="1:27" x14ac:dyDescent="0.25">
      <c r="B105" s="3">
        <f>Analyzed!D106/Analyzed!$CR106</f>
        <v>0.68888888888888888</v>
      </c>
      <c r="C105" s="3">
        <f>Analyzed!F106/Analyzed!$CR106</f>
        <v>0</v>
      </c>
      <c r="D105" s="3">
        <f>Analyzed!H106/Analyzed!$CR106</f>
        <v>1.3333333333333334E-2</v>
      </c>
      <c r="E105" s="3">
        <f>Analyzed!J106/Analyzed!$CR106</f>
        <v>8.8888888888888889E-3</v>
      </c>
      <c r="F105" s="3">
        <f>Analyzed!L106/Analyzed!$CR106</f>
        <v>0</v>
      </c>
      <c r="G105" s="3">
        <f>Analyzed!N106/Analyzed!$CR106</f>
        <v>0</v>
      </c>
      <c r="H105" s="3">
        <f>Analyzed!P106/Analyzed!$CR106</f>
        <v>1.3333333333333334E-2</v>
      </c>
      <c r="I105" s="3">
        <f>Analyzed!R106/Analyzed!$CR106</f>
        <v>2.2222222222222223E-2</v>
      </c>
      <c r="J105" s="3">
        <f>Analyzed!X106/Analyzed!$CR106</f>
        <v>0</v>
      </c>
      <c r="K105" s="3">
        <f>Analyzed!Z106/Analyzed!$CR106</f>
        <v>8.8888888888888892E-2</v>
      </c>
      <c r="L105" s="3">
        <f>Analyzed!AB106/Analyzed!$CR106</f>
        <v>0</v>
      </c>
      <c r="M105" s="3">
        <f>Analyzed!AD106/Analyzed!$CR106</f>
        <v>0</v>
      </c>
      <c r="N105" s="3">
        <f>Analyzed!AF106/Analyzed!$CR106</f>
        <v>0</v>
      </c>
      <c r="O105" s="3">
        <f>Analyzed!AH106/Analyzed!$CR106</f>
        <v>1.7777777777777778E-2</v>
      </c>
      <c r="P105" s="3">
        <f>Analyzed!AJ106/Analyzed!$CR106</f>
        <v>0</v>
      </c>
      <c r="Q105" s="3">
        <f>Analyzed!AL106/Analyzed!$CR106</f>
        <v>0.12888888888888889</v>
      </c>
      <c r="R105" s="3">
        <f>Analyzed!AN106/Analyzed!$CR106</f>
        <v>0</v>
      </c>
      <c r="S105" s="3">
        <f>Analyzed!AP106/Analyzed!$CR106</f>
        <v>0</v>
      </c>
      <c r="T105" s="3">
        <f>Analyzed!AR106/Analyzed!$CR106</f>
        <v>0</v>
      </c>
      <c r="U105" s="3">
        <f>Analyzed!AT106/Analyzed!$CR106</f>
        <v>0</v>
      </c>
      <c r="V105" s="3">
        <f>Analyzed!AV106/Analyzed!$CR106</f>
        <v>0</v>
      </c>
      <c r="W105" s="3">
        <f>Analyzed!AX106/Analyzed!$CR106</f>
        <v>0</v>
      </c>
      <c r="X105" s="3">
        <f>Analyzed!AZ106/Analyzed!$CR106</f>
        <v>0</v>
      </c>
      <c r="Y105" s="3">
        <f>Analyzed!BB106/Analyzed!$CR106</f>
        <v>0</v>
      </c>
      <c r="Z105" s="3">
        <f>Analyzed!BD106/Analyzed!$CR106</f>
        <v>0</v>
      </c>
      <c r="AA105" s="3">
        <f>Analyzed!BF106/Analyzed!$CR106</f>
        <v>0</v>
      </c>
    </row>
    <row r="106" spans="1:27" x14ac:dyDescent="0.25">
      <c r="B106" s="3">
        <f>Analyzed!D107/Analyzed!$CR107</f>
        <v>3.0769230769230771E-2</v>
      </c>
      <c r="C106" s="3">
        <f>Analyzed!F107/Analyzed!$CR107</f>
        <v>0.26153846153846155</v>
      </c>
      <c r="D106" s="3">
        <f>Analyzed!H107/Analyzed!$CR107</f>
        <v>0</v>
      </c>
      <c r="E106" s="3">
        <f>Analyzed!J107/Analyzed!$CR107</f>
        <v>0</v>
      </c>
      <c r="F106" s="3">
        <f>Analyzed!L107/Analyzed!$CR107</f>
        <v>0</v>
      </c>
      <c r="G106" s="3">
        <f>Analyzed!N107/Analyzed!$CR107</f>
        <v>0</v>
      </c>
      <c r="H106" s="3">
        <f>Analyzed!P107/Analyzed!$CR107</f>
        <v>1.5384615384615385E-2</v>
      </c>
      <c r="I106" s="3">
        <f>Analyzed!R107/Analyzed!$CR107</f>
        <v>0</v>
      </c>
      <c r="J106" s="3">
        <f>Analyzed!X107/Analyzed!$CR107</f>
        <v>0.1076923076923077</v>
      </c>
      <c r="K106" s="3">
        <f>Analyzed!Z107/Analyzed!$CR107</f>
        <v>0</v>
      </c>
      <c r="L106" s="3">
        <f>Analyzed!AB107/Analyzed!$CR107</f>
        <v>0</v>
      </c>
      <c r="M106" s="3">
        <f>Analyzed!AD107/Analyzed!$CR107</f>
        <v>0</v>
      </c>
      <c r="N106" s="3">
        <f>Analyzed!AF107/Analyzed!$CR107</f>
        <v>0</v>
      </c>
      <c r="O106" s="3">
        <f>Analyzed!AH107/Analyzed!$CR107</f>
        <v>6.1538461538461542E-2</v>
      </c>
      <c r="P106" s="3">
        <f>Analyzed!AJ107/Analyzed!$CR107</f>
        <v>0</v>
      </c>
      <c r="Q106" s="3">
        <f>Analyzed!AL107/Analyzed!$CR107</f>
        <v>0.32307692307692309</v>
      </c>
      <c r="R106" s="3">
        <f>Analyzed!AN107/Analyzed!$CR107</f>
        <v>0</v>
      </c>
      <c r="S106" s="3">
        <f>Analyzed!AP107/Analyzed!$CR107</f>
        <v>0</v>
      </c>
      <c r="T106" s="3">
        <f>Analyzed!AR107/Analyzed!$CR107</f>
        <v>0</v>
      </c>
      <c r="U106" s="3">
        <f>Analyzed!AT107/Analyzed!$CR107</f>
        <v>0</v>
      </c>
      <c r="V106" s="3">
        <f>Analyzed!AV107/Analyzed!$CR107</f>
        <v>0</v>
      </c>
      <c r="W106" s="3">
        <f>Analyzed!AX107/Analyzed!$CR107</f>
        <v>0</v>
      </c>
      <c r="X106" s="3">
        <f>Analyzed!AZ107/Analyzed!$CR107</f>
        <v>0</v>
      </c>
      <c r="Y106" s="3">
        <f>Analyzed!BB107/Analyzed!$CR107</f>
        <v>0</v>
      </c>
      <c r="Z106" s="3">
        <f>Analyzed!BD107/Analyzed!$CR107</f>
        <v>0</v>
      </c>
      <c r="AA106" s="3">
        <f>Analyzed!BF107/Analyzed!$CR107</f>
        <v>0</v>
      </c>
    </row>
    <row r="107" spans="1:27" x14ac:dyDescent="0.25">
      <c r="B107" s="3">
        <f>Analyzed!D108/Analyzed!$CR108</f>
        <v>2.4390243902439025E-2</v>
      </c>
      <c r="C107" s="3">
        <f>Analyzed!F108/Analyzed!$CR108</f>
        <v>0.18699186991869921</v>
      </c>
      <c r="D107" s="3">
        <f>Analyzed!H108/Analyzed!$CR108</f>
        <v>2.4390243902439025E-2</v>
      </c>
      <c r="E107" s="3">
        <f>Analyzed!J108/Analyzed!$CR108</f>
        <v>0.21138211382113822</v>
      </c>
      <c r="F107" s="3">
        <f>Analyzed!L108/Analyzed!$CR108</f>
        <v>0</v>
      </c>
      <c r="G107" s="3">
        <f>Analyzed!N108/Analyzed!$CR108</f>
        <v>0</v>
      </c>
      <c r="H107" s="3">
        <f>Analyzed!P108/Analyzed!$CR108</f>
        <v>8.130081300813009E-3</v>
      </c>
      <c r="I107" s="3">
        <f>Analyzed!R108/Analyzed!$CR108</f>
        <v>0</v>
      </c>
      <c r="J107" s="3">
        <f>Analyzed!X108/Analyzed!$CR108</f>
        <v>0.13008130081300814</v>
      </c>
      <c r="K107" s="3">
        <f>Analyzed!Z108/Analyzed!$CR108</f>
        <v>0</v>
      </c>
      <c r="L107" s="3">
        <f>Analyzed!AB108/Analyzed!$CR108</f>
        <v>0</v>
      </c>
      <c r="M107" s="3">
        <f>Analyzed!AD108/Analyzed!$CR108</f>
        <v>0</v>
      </c>
      <c r="N107" s="3">
        <f>Analyzed!AF108/Analyzed!$CR108</f>
        <v>0</v>
      </c>
      <c r="O107" s="3">
        <f>Analyzed!AH108/Analyzed!$CR108</f>
        <v>0.13821138211382114</v>
      </c>
      <c r="P107" s="3">
        <f>Analyzed!AJ108/Analyzed!$CR108</f>
        <v>0</v>
      </c>
      <c r="Q107" s="3">
        <f>Analyzed!AL108/Analyzed!$CR108</f>
        <v>4.878048780487805E-2</v>
      </c>
      <c r="R107" s="3">
        <f>Analyzed!AN108/Analyzed!$CR108</f>
        <v>0</v>
      </c>
      <c r="S107" s="3">
        <f>Analyzed!AP108/Analyzed!$CR108</f>
        <v>0</v>
      </c>
      <c r="T107" s="3">
        <f>Analyzed!AR108/Analyzed!$CR108</f>
        <v>0</v>
      </c>
      <c r="U107" s="3">
        <f>Analyzed!AT108/Analyzed!$CR108</f>
        <v>0</v>
      </c>
      <c r="V107" s="3">
        <f>Analyzed!AV108/Analyzed!$CR108</f>
        <v>0</v>
      </c>
      <c r="W107" s="3">
        <f>Analyzed!AX108/Analyzed!$CR108</f>
        <v>0</v>
      </c>
      <c r="X107" s="3">
        <f>Analyzed!AZ108/Analyzed!$CR108</f>
        <v>0</v>
      </c>
      <c r="Y107" s="3">
        <f>Analyzed!BB108/Analyzed!$CR108</f>
        <v>8.130081300813009E-3</v>
      </c>
      <c r="Z107" s="3">
        <f>Analyzed!BD108/Analyzed!$CR108</f>
        <v>0</v>
      </c>
      <c r="AA107" s="3">
        <f>Analyzed!BF108/Analyzed!$CR108</f>
        <v>0</v>
      </c>
    </row>
    <row r="108" spans="1:27" x14ac:dyDescent="0.25">
      <c r="B108" s="3">
        <f>Analyzed!D109/Analyzed!$CR109</f>
        <v>1.4705882352941176E-2</v>
      </c>
      <c r="C108" s="3">
        <f>Analyzed!F109/Analyzed!$CR109</f>
        <v>0.16176470588235295</v>
      </c>
      <c r="D108" s="3">
        <f>Analyzed!H109/Analyzed!$CR109</f>
        <v>0</v>
      </c>
      <c r="E108" s="3">
        <f>Analyzed!J109/Analyzed!$CR109</f>
        <v>0.10294117647058823</v>
      </c>
      <c r="F108" s="3">
        <f>Analyzed!L109/Analyzed!$CR109</f>
        <v>0</v>
      </c>
      <c r="G108" s="3">
        <f>Analyzed!N109/Analyzed!$CR109</f>
        <v>0</v>
      </c>
      <c r="H108" s="3">
        <f>Analyzed!P109/Analyzed!$CR109</f>
        <v>0</v>
      </c>
      <c r="I108" s="3">
        <f>Analyzed!R109/Analyzed!$CR109</f>
        <v>0</v>
      </c>
      <c r="J108" s="3">
        <f>Analyzed!X109/Analyzed!$CR109</f>
        <v>0.25</v>
      </c>
      <c r="K108" s="3">
        <f>Analyzed!Z109/Analyzed!$CR109</f>
        <v>0</v>
      </c>
      <c r="L108" s="3">
        <f>Analyzed!AB109/Analyzed!$CR109</f>
        <v>0</v>
      </c>
      <c r="M108" s="3">
        <f>Analyzed!AD109/Analyzed!$CR109</f>
        <v>0</v>
      </c>
      <c r="N108" s="3">
        <f>Analyzed!AF109/Analyzed!$CR109</f>
        <v>0</v>
      </c>
      <c r="O108" s="3">
        <f>Analyzed!AH109/Analyzed!$CR109</f>
        <v>0.17647058823529413</v>
      </c>
      <c r="P108" s="3">
        <f>Analyzed!AJ109/Analyzed!$CR109</f>
        <v>0</v>
      </c>
      <c r="Q108" s="3">
        <f>Analyzed!AL109/Analyzed!$CR109</f>
        <v>0.19117647058823528</v>
      </c>
      <c r="R108" s="3">
        <f>Analyzed!AN109/Analyzed!$CR109</f>
        <v>0</v>
      </c>
      <c r="S108" s="3">
        <f>Analyzed!AP109/Analyzed!$CR109</f>
        <v>0</v>
      </c>
      <c r="T108" s="3">
        <f>Analyzed!AR109/Analyzed!$CR109</f>
        <v>0</v>
      </c>
      <c r="U108" s="3">
        <f>Analyzed!AT109/Analyzed!$CR109</f>
        <v>0</v>
      </c>
      <c r="V108" s="3">
        <f>Analyzed!AV109/Analyzed!$CR109</f>
        <v>0</v>
      </c>
      <c r="W108" s="3">
        <f>Analyzed!AX109/Analyzed!$CR109</f>
        <v>0</v>
      </c>
      <c r="X108" s="3">
        <f>Analyzed!AZ109/Analyzed!$CR109</f>
        <v>0</v>
      </c>
      <c r="Y108" s="3">
        <f>Analyzed!BB109/Analyzed!$CR109</f>
        <v>2.9411764705882353E-2</v>
      </c>
      <c r="Z108" s="3">
        <f>Analyzed!BD109/Analyzed!$CR109</f>
        <v>0</v>
      </c>
      <c r="AA108" s="3">
        <f>Analyzed!BF109/Analyzed!$CR109</f>
        <v>0</v>
      </c>
    </row>
    <row r="109" spans="1:27" x14ac:dyDescent="0.25">
      <c r="B109" s="3">
        <f>Analyzed!D110/Analyzed!$CR110</f>
        <v>0.36781609195402298</v>
      </c>
      <c r="C109" s="3">
        <f>Analyzed!F110/Analyzed!$CR110</f>
        <v>0</v>
      </c>
      <c r="D109" s="3">
        <f>Analyzed!H110/Analyzed!$CR110</f>
        <v>0</v>
      </c>
      <c r="E109" s="3">
        <f>Analyzed!J110/Analyzed!$CR110</f>
        <v>0</v>
      </c>
      <c r="F109" s="3">
        <f>Analyzed!L110/Analyzed!$CR110</f>
        <v>0</v>
      </c>
      <c r="G109" s="3">
        <f>Analyzed!N110/Analyzed!$CR110</f>
        <v>0</v>
      </c>
      <c r="H109" s="3">
        <f>Analyzed!P110/Analyzed!$CR110</f>
        <v>0</v>
      </c>
      <c r="I109" s="3">
        <f>Analyzed!R110/Analyzed!$CR110</f>
        <v>0</v>
      </c>
      <c r="J109" s="3">
        <f>Analyzed!X110/Analyzed!$CR110</f>
        <v>0.24137931034482754</v>
      </c>
      <c r="K109" s="3">
        <f>Analyzed!Z110/Analyzed!$CR110</f>
        <v>0</v>
      </c>
      <c r="L109" s="3">
        <f>Analyzed!AB110/Analyzed!$CR110</f>
        <v>0</v>
      </c>
      <c r="M109" s="3">
        <f>Analyzed!AD110/Analyzed!$CR110</f>
        <v>0</v>
      </c>
      <c r="N109" s="3">
        <f>Analyzed!AF110/Analyzed!$CR110</f>
        <v>0</v>
      </c>
      <c r="O109" s="3">
        <f>Analyzed!AH110/Analyzed!$CR110</f>
        <v>3.4482758620689648E-2</v>
      </c>
      <c r="P109" s="3">
        <f>Analyzed!AJ110/Analyzed!$CR110</f>
        <v>0</v>
      </c>
      <c r="Q109" s="3">
        <f>Analyzed!AL110/Analyzed!$CR110</f>
        <v>3.4482758620689648E-2</v>
      </c>
      <c r="R109" s="3">
        <f>Analyzed!AN110/Analyzed!$CR110</f>
        <v>0</v>
      </c>
      <c r="S109" s="3">
        <f>Analyzed!AP110/Analyzed!$CR110</f>
        <v>0</v>
      </c>
      <c r="T109" s="3">
        <f>Analyzed!AR110/Analyzed!$CR110</f>
        <v>0</v>
      </c>
      <c r="U109" s="3">
        <f>Analyzed!AT110/Analyzed!$CR110</f>
        <v>0</v>
      </c>
      <c r="V109" s="3">
        <f>Analyzed!AV110/Analyzed!$CR110</f>
        <v>0</v>
      </c>
      <c r="W109" s="3">
        <f>Analyzed!AX110/Analyzed!$CR110</f>
        <v>0</v>
      </c>
      <c r="X109" s="3">
        <f>Analyzed!AZ110/Analyzed!$CR110</f>
        <v>0</v>
      </c>
      <c r="Y109" s="3">
        <f>Analyzed!BB110/Analyzed!$CR110</f>
        <v>5.7471264367816091E-2</v>
      </c>
      <c r="Z109" s="3">
        <f>Analyzed!BD110/Analyzed!$CR110</f>
        <v>1.1494252873563218E-2</v>
      </c>
      <c r="AA109" s="3">
        <f>Analyzed!BF110/Analyzed!$CR110</f>
        <v>0</v>
      </c>
    </row>
    <row r="110" spans="1:27" x14ac:dyDescent="0.25">
      <c r="B110" s="3">
        <f>Analyzed!D111/Analyzed!$CR111</f>
        <v>0.22395833333333334</v>
      </c>
      <c r="C110" s="3">
        <f>Analyzed!F111/Analyzed!$CR111</f>
        <v>0</v>
      </c>
      <c r="D110" s="3">
        <f>Analyzed!H111/Analyzed!$CR111</f>
        <v>5.208333333333333E-3</v>
      </c>
      <c r="E110" s="3">
        <f>Analyzed!J111/Analyzed!$CR111</f>
        <v>1.5625E-2</v>
      </c>
      <c r="F110" s="3">
        <f>Analyzed!L111/Analyzed!$CR111</f>
        <v>0</v>
      </c>
      <c r="G110" s="3">
        <f>Analyzed!N111/Analyzed!$CR111</f>
        <v>0</v>
      </c>
      <c r="H110" s="3">
        <f>Analyzed!P111/Analyzed!$CR111</f>
        <v>0.52083333333333337</v>
      </c>
      <c r="I110" s="3">
        <f>Analyzed!R111/Analyzed!$CR111</f>
        <v>0</v>
      </c>
      <c r="J110" s="3">
        <f>Analyzed!X111/Analyzed!$CR111</f>
        <v>6.7708333333333329E-2</v>
      </c>
      <c r="K110" s="3">
        <f>Analyzed!Z111/Analyzed!$CR111</f>
        <v>5.208333333333333E-3</v>
      </c>
      <c r="L110" s="3">
        <f>Analyzed!AB111/Analyzed!$CR111</f>
        <v>0</v>
      </c>
      <c r="M110" s="3">
        <f>Analyzed!AD111/Analyzed!$CR111</f>
        <v>0</v>
      </c>
      <c r="N110" s="3">
        <f>Analyzed!AF111/Analyzed!$CR111</f>
        <v>1.0416666666666666E-2</v>
      </c>
      <c r="O110" s="3">
        <f>Analyzed!AH111/Analyzed!$CR111</f>
        <v>3.6458333333333336E-2</v>
      </c>
      <c r="P110" s="3">
        <f>Analyzed!AJ111/Analyzed!$CR111</f>
        <v>0</v>
      </c>
      <c r="Q110" s="3">
        <f>Analyzed!AL111/Analyzed!$CR111</f>
        <v>1.0416666666666666E-2</v>
      </c>
      <c r="R110" s="3">
        <f>Analyzed!AN111/Analyzed!$CR111</f>
        <v>0</v>
      </c>
      <c r="S110" s="3">
        <f>Analyzed!AP111/Analyzed!$CR111</f>
        <v>0</v>
      </c>
      <c r="T110" s="3">
        <f>Analyzed!AR111/Analyzed!$CR111</f>
        <v>0</v>
      </c>
      <c r="U110" s="3">
        <f>Analyzed!AT111/Analyzed!$CR111</f>
        <v>0</v>
      </c>
      <c r="V110" s="3">
        <f>Analyzed!AV111/Analyzed!$CR111</f>
        <v>1.0416666666666666E-2</v>
      </c>
      <c r="W110" s="3">
        <f>Analyzed!AX111/Analyzed!$CR111</f>
        <v>0</v>
      </c>
      <c r="X110" s="3">
        <f>Analyzed!AZ111/Analyzed!$CR111</f>
        <v>0</v>
      </c>
      <c r="Y110" s="3">
        <f>Analyzed!BB111/Analyzed!$CR111</f>
        <v>0</v>
      </c>
      <c r="Z110" s="3">
        <f>Analyzed!BD111/Analyzed!$CR111</f>
        <v>0</v>
      </c>
      <c r="AA110" s="3">
        <f>Analyzed!BF111/Analyzed!$CR111</f>
        <v>0</v>
      </c>
    </row>
    <row r="111" spans="1:27" x14ac:dyDescent="0.25">
      <c r="B111" s="3">
        <f>Analyzed!D112/Analyzed!$CR112</f>
        <v>0.35869565217391303</v>
      </c>
      <c r="C111" s="3">
        <f>Analyzed!F112/Analyzed!$CR112</f>
        <v>1.0869565217391304E-2</v>
      </c>
      <c r="D111" s="3">
        <f>Analyzed!H112/Analyzed!$CR112</f>
        <v>5.434782608695652E-3</v>
      </c>
      <c r="E111" s="3">
        <f>Analyzed!J112/Analyzed!$CR112</f>
        <v>2.1739130434782608E-2</v>
      </c>
      <c r="F111" s="3">
        <f>Analyzed!L112/Analyzed!$CR112</f>
        <v>0</v>
      </c>
      <c r="G111" s="3">
        <f>Analyzed!N112/Analyzed!$CR112</f>
        <v>5.434782608695652E-3</v>
      </c>
      <c r="H111" s="3">
        <f>Analyzed!P112/Analyzed!$CR112</f>
        <v>0.23369565217391305</v>
      </c>
      <c r="I111" s="3">
        <f>Analyzed!R112/Analyzed!$CR112</f>
        <v>1.0869565217391304E-2</v>
      </c>
      <c r="J111" s="3">
        <f>Analyzed!X112/Analyzed!$CR112</f>
        <v>2.717391304347826E-2</v>
      </c>
      <c r="K111" s="3">
        <f>Analyzed!Z112/Analyzed!$CR112</f>
        <v>1.0869565217391304E-2</v>
      </c>
      <c r="L111" s="3">
        <f>Analyzed!AB112/Analyzed!$CR112</f>
        <v>0</v>
      </c>
      <c r="M111" s="3">
        <f>Analyzed!AD112/Analyzed!$CR112</f>
        <v>5.434782608695652E-3</v>
      </c>
      <c r="N111" s="3">
        <f>Analyzed!AF112/Analyzed!$CR112</f>
        <v>0</v>
      </c>
      <c r="O111" s="3">
        <f>Analyzed!AH112/Analyzed!$CR112</f>
        <v>3.2608695652173912E-2</v>
      </c>
      <c r="P111" s="3">
        <f>Analyzed!AJ112/Analyzed!$CR112</f>
        <v>0</v>
      </c>
      <c r="Q111" s="3">
        <f>Analyzed!AL112/Analyzed!$CR112</f>
        <v>5.434782608695652E-3</v>
      </c>
      <c r="R111" s="3">
        <f>Analyzed!AN112/Analyzed!$CR112</f>
        <v>0</v>
      </c>
      <c r="S111" s="3">
        <f>Analyzed!AP112/Analyzed!$CR112</f>
        <v>0</v>
      </c>
      <c r="T111" s="3">
        <f>Analyzed!AR112/Analyzed!$CR112</f>
        <v>0</v>
      </c>
      <c r="U111" s="3">
        <f>Analyzed!AT112/Analyzed!$CR112</f>
        <v>0</v>
      </c>
      <c r="V111" s="3">
        <f>Analyzed!AV112/Analyzed!$CR112</f>
        <v>1.0869565217391304E-2</v>
      </c>
      <c r="W111" s="3">
        <f>Analyzed!AX112/Analyzed!$CR112</f>
        <v>0</v>
      </c>
      <c r="X111" s="3">
        <f>Analyzed!AZ112/Analyzed!$CR112</f>
        <v>6.5217391304347824E-2</v>
      </c>
      <c r="Y111" s="3">
        <f>Analyzed!BB112/Analyzed!$CR112</f>
        <v>0</v>
      </c>
      <c r="Z111" s="3">
        <f>Analyzed!BD112/Analyzed!$CR112</f>
        <v>0</v>
      </c>
      <c r="AA111" s="3">
        <f>Analyzed!BF112/Analyzed!$CR112</f>
        <v>0</v>
      </c>
    </row>
    <row r="112" spans="1:27" x14ac:dyDescent="0.25">
      <c r="B112" s="3">
        <f>Analyzed!D113/Analyzed!$CR113</f>
        <v>0.40487804878048783</v>
      </c>
      <c r="C112" s="3">
        <f>Analyzed!F113/Analyzed!$CR113</f>
        <v>6.8292682926829273E-2</v>
      </c>
      <c r="D112" s="3">
        <f>Analyzed!H113/Analyzed!$CR113</f>
        <v>1.4634146341463415E-2</v>
      </c>
      <c r="E112" s="3">
        <f>Analyzed!J113/Analyzed!$CR113</f>
        <v>3.9024390243902439E-2</v>
      </c>
      <c r="F112" s="3">
        <f>Analyzed!L113/Analyzed!$CR113</f>
        <v>0</v>
      </c>
      <c r="G112" s="3">
        <f>Analyzed!N113/Analyzed!$CR113</f>
        <v>9.7560975609756097E-3</v>
      </c>
      <c r="H112" s="3">
        <f>Analyzed!P113/Analyzed!$CR113</f>
        <v>0.13658536585365855</v>
      </c>
      <c r="I112" s="3">
        <f>Analyzed!R113/Analyzed!$CR113</f>
        <v>0</v>
      </c>
      <c r="J112" s="3">
        <f>Analyzed!X113/Analyzed!$CR113</f>
        <v>1.9512195121951219E-2</v>
      </c>
      <c r="K112" s="3">
        <f>Analyzed!Z113/Analyzed!$CR113</f>
        <v>4.8780487804878049E-3</v>
      </c>
      <c r="L112" s="3">
        <f>Analyzed!AB113/Analyzed!$CR113</f>
        <v>0</v>
      </c>
      <c r="M112" s="3">
        <f>Analyzed!AD113/Analyzed!$CR113</f>
        <v>0</v>
      </c>
      <c r="N112" s="3">
        <f>Analyzed!AF113/Analyzed!$CR113</f>
        <v>1.9512195121951219E-2</v>
      </c>
      <c r="O112" s="3">
        <f>Analyzed!AH113/Analyzed!$CR113</f>
        <v>7.8048780487804878E-2</v>
      </c>
      <c r="P112" s="3">
        <f>Analyzed!AJ113/Analyzed!$CR113</f>
        <v>0</v>
      </c>
      <c r="Q112" s="3">
        <f>Analyzed!AL113/Analyzed!$CR113</f>
        <v>1.4634146341463415E-2</v>
      </c>
      <c r="R112" s="3">
        <f>Analyzed!AN113/Analyzed!$CR113</f>
        <v>0</v>
      </c>
      <c r="S112" s="3">
        <f>Analyzed!AP113/Analyzed!$CR113</f>
        <v>0</v>
      </c>
      <c r="T112" s="3">
        <f>Analyzed!AR113/Analyzed!$CR113</f>
        <v>0</v>
      </c>
      <c r="U112" s="3">
        <f>Analyzed!AT113/Analyzed!$CR113</f>
        <v>0</v>
      </c>
      <c r="V112" s="3">
        <f>Analyzed!AV113/Analyzed!$CR113</f>
        <v>1.9512195121951219E-2</v>
      </c>
      <c r="W112" s="3">
        <f>Analyzed!AX113/Analyzed!$CR113</f>
        <v>0</v>
      </c>
      <c r="X112" s="3">
        <f>Analyzed!AZ113/Analyzed!$CR113</f>
        <v>3.9024390243902439E-2</v>
      </c>
      <c r="Y112" s="3">
        <f>Analyzed!BB113/Analyzed!$CR113</f>
        <v>0</v>
      </c>
      <c r="Z112" s="3">
        <f>Analyzed!BD113/Analyzed!$CR113</f>
        <v>0</v>
      </c>
      <c r="AA112" s="3">
        <f>Analyzed!BF113/Analyzed!$CR113</f>
        <v>0</v>
      </c>
    </row>
    <row r="113" spans="2:27" x14ac:dyDescent="0.25">
      <c r="B113" s="3">
        <f>Analyzed!D114/Analyzed!$CR114</f>
        <v>0.33333333333333331</v>
      </c>
      <c r="C113" s="3">
        <f>Analyzed!F114/Analyzed!$CR114</f>
        <v>0.11347517730496454</v>
      </c>
      <c r="D113" s="3">
        <f>Analyzed!H114/Analyzed!$CR114</f>
        <v>2.8368794326241134E-2</v>
      </c>
      <c r="E113" s="3">
        <f>Analyzed!J114/Analyzed!$CR114</f>
        <v>3.5460992907801421E-2</v>
      </c>
      <c r="F113" s="3">
        <f>Analyzed!L114/Analyzed!$CR114</f>
        <v>0</v>
      </c>
      <c r="G113" s="3">
        <f>Analyzed!N114/Analyzed!$CR114</f>
        <v>0</v>
      </c>
      <c r="H113" s="3">
        <f>Analyzed!P114/Analyzed!$CR114</f>
        <v>0.28368794326241137</v>
      </c>
      <c r="I113" s="3">
        <f>Analyzed!R114/Analyzed!$CR114</f>
        <v>0</v>
      </c>
      <c r="J113" s="3">
        <f>Analyzed!X114/Analyzed!$CR114</f>
        <v>5.6737588652482268E-2</v>
      </c>
      <c r="K113" s="3">
        <f>Analyzed!Z114/Analyzed!$CR114</f>
        <v>0</v>
      </c>
      <c r="L113" s="3">
        <f>Analyzed!AB114/Analyzed!$CR114</f>
        <v>0</v>
      </c>
      <c r="M113" s="3">
        <f>Analyzed!AD114/Analyzed!$CR114</f>
        <v>0</v>
      </c>
      <c r="N113" s="3">
        <f>Analyzed!AF114/Analyzed!$CR114</f>
        <v>7.0921985815602835E-3</v>
      </c>
      <c r="O113" s="3">
        <f>Analyzed!AH114/Analyzed!$CR114</f>
        <v>6.3829787234042548E-2</v>
      </c>
      <c r="P113" s="3">
        <f>Analyzed!AJ114/Analyzed!$CR114</f>
        <v>0</v>
      </c>
      <c r="Q113" s="3">
        <f>Analyzed!AL114/Analyzed!$CR114</f>
        <v>1.4184397163120567E-2</v>
      </c>
      <c r="R113" s="3">
        <f>Analyzed!AN114/Analyzed!$CR114</f>
        <v>0</v>
      </c>
      <c r="S113" s="3">
        <f>Analyzed!AP114/Analyzed!$CR114</f>
        <v>0</v>
      </c>
      <c r="T113" s="3">
        <f>Analyzed!AR114/Analyzed!$CR114</f>
        <v>0</v>
      </c>
      <c r="U113" s="3">
        <f>Analyzed!AT114/Analyzed!$CR114</f>
        <v>0</v>
      </c>
      <c r="V113" s="3">
        <f>Analyzed!AV114/Analyzed!$CR114</f>
        <v>0</v>
      </c>
      <c r="W113" s="3">
        <f>Analyzed!AX114/Analyzed!$CR114</f>
        <v>0</v>
      </c>
      <c r="X113" s="3">
        <f>Analyzed!AZ114/Analyzed!$CR114</f>
        <v>0</v>
      </c>
      <c r="Y113" s="3">
        <f>Analyzed!BB114/Analyzed!$CR114</f>
        <v>0</v>
      </c>
      <c r="Z113" s="3">
        <f>Analyzed!BD114/Analyzed!$CR114</f>
        <v>0</v>
      </c>
      <c r="AA113" s="3">
        <f>Analyzed!BF114/Analyzed!$CR114</f>
        <v>0</v>
      </c>
    </row>
    <row r="114" spans="2:27" x14ac:dyDescent="0.25">
      <c r="B114" s="3">
        <f>Analyzed!D115/Analyzed!$CR115</f>
        <v>0.45578231292517007</v>
      </c>
      <c r="C114" s="3">
        <f>Analyzed!F115/Analyzed!$CR115</f>
        <v>0.16326530612244897</v>
      </c>
      <c r="D114" s="3">
        <f>Analyzed!H115/Analyzed!$CR115</f>
        <v>2.0408163265306121E-2</v>
      </c>
      <c r="E114" s="3">
        <f>Analyzed!J115/Analyzed!$CR115</f>
        <v>0</v>
      </c>
      <c r="F114" s="3">
        <f>Analyzed!L115/Analyzed!$CR115</f>
        <v>0</v>
      </c>
      <c r="G114" s="3">
        <f>Analyzed!N115/Analyzed!$CR115</f>
        <v>0</v>
      </c>
      <c r="H114" s="3">
        <f>Analyzed!P115/Analyzed!$CR115</f>
        <v>0.19727891156462585</v>
      </c>
      <c r="I114" s="3">
        <f>Analyzed!R115/Analyzed!$CR115</f>
        <v>0</v>
      </c>
      <c r="J114" s="3">
        <f>Analyzed!X115/Analyzed!$CR115</f>
        <v>4.7619047619047616E-2</v>
      </c>
      <c r="K114" s="3">
        <f>Analyzed!Z115/Analyzed!$CR115</f>
        <v>0</v>
      </c>
      <c r="L114" s="3">
        <f>Analyzed!AB115/Analyzed!$CR115</f>
        <v>0</v>
      </c>
      <c r="M114" s="3">
        <f>Analyzed!AD115/Analyzed!$CR115</f>
        <v>0</v>
      </c>
      <c r="N114" s="3">
        <f>Analyzed!AF115/Analyzed!$CR115</f>
        <v>2.7210884353741496E-2</v>
      </c>
      <c r="O114" s="3">
        <f>Analyzed!AH115/Analyzed!$CR115</f>
        <v>3.4013605442176874E-2</v>
      </c>
      <c r="P114" s="3">
        <f>Analyzed!AJ115/Analyzed!$CR115</f>
        <v>0</v>
      </c>
      <c r="Q114" s="3">
        <f>Analyzed!AL115/Analyzed!$CR115</f>
        <v>1.3605442176870748E-2</v>
      </c>
      <c r="R114" s="3">
        <f>Analyzed!AN115/Analyzed!$CR115</f>
        <v>0</v>
      </c>
      <c r="S114" s="3">
        <f>Analyzed!AP115/Analyzed!$CR115</f>
        <v>0</v>
      </c>
      <c r="T114" s="3">
        <f>Analyzed!AR115/Analyzed!$CR115</f>
        <v>0</v>
      </c>
      <c r="U114" s="3">
        <f>Analyzed!AT115/Analyzed!$CR115</f>
        <v>0</v>
      </c>
      <c r="V114" s="3">
        <f>Analyzed!AV115/Analyzed!$CR115</f>
        <v>0</v>
      </c>
      <c r="W114" s="3">
        <f>Analyzed!AX115/Analyzed!$CR115</f>
        <v>0</v>
      </c>
      <c r="X114" s="3">
        <f>Analyzed!AZ115/Analyzed!$CR115</f>
        <v>0</v>
      </c>
      <c r="Y114" s="3">
        <f>Analyzed!BB115/Analyzed!$CR115</f>
        <v>0</v>
      </c>
      <c r="Z114" s="3">
        <f>Analyzed!BD115/Analyzed!$CR115</f>
        <v>0</v>
      </c>
      <c r="AA114" s="3">
        <f>Analyzed!BF115/Analyzed!$CR115</f>
        <v>0</v>
      </c>
    </row>
    <row r="115" spans="2:27" x14ac:dyDescent="0.25">
      <c r="B115" s="3">
        <f>Analyzed!D116/Analyzed!$CR116</f>
        <v>0.43718592964824121</v>
      </c>
      <c r="C115" s="3">
        <f>Analyzed!F116/Analyzed!$CR116</f>
        <v>0.28643216080402012</v>
      </c>
      <c r="D115" s="3">
        <f>Analyzed!H116/Analyzed!$CR116</f>
        <v>1.507537688442211E-2</v>
      </c>
      <c r="E115" s="3">
        <f>Analyzed!J116/Analyzed!$CR116</f>
        <v>5.0251256281407036E-3</v>
      </c>
      <c r="F115" s="3">
        <f>Analyzed!L116/Analyzed!$CR116</f>
        <v>0</v>
      </c>
      <c r="G115" s="3">
        <f>Analyzed!N116/Analyzed!$CR116</f>
        <v>0</v>
      </c>
      <c r="H115" s="3">
        <f>Analyzed!P116/Analyzed!$CR116</f>
        <v>0.1306532663316583</v>
      </c>
      <c r="I115" s="3">
        <f>Analyzed!R116/Analyzed!$CR116</f>
        <v>0</v>
      </c>
      <c r="J115" s="3">
        <f>Analyzed!X116/Analyzed!$CR116</f>
        <v>1.0050251256281407E-2</v>
      </c>
      <c r="K115" s="3">
        <f>Analyzed!Z116/Analyzed!$CR116</f>
        <v>0</v>
      </c>
      <c r="L115" s="3">
        <f>Analyzed!AB116/Analyzed!$CR116</f>
        <v>0</v>
      </c>
      <c r="M115" s="3">
        <f>Analyzed!AD116/Analyzed!$CR116</f>
        <v>0</v>
      </c>
      <c r="N115" s="3">
        <f>Analyzed!AF116/Analyzed!$CR116</f>
        <v>1.507537688442211E-2</v>
      </c>
      <c r="O115" s="3">
        <f>Analyzed!AH116/Analyzed!$CR116</f>
        <v>1.507537688442211E-2</v>
      </c>
      <c r="P115" s="3">
        <f>Analyzed!AJ116/Analyzed!$CR116</f>
        <v>0</v>
      </c>
      <c r="Q115" s="3">
        <f>Analyzed!AL116/Analyzed!$CR116</f>
        <v>1.0050251256281407E-2</v>
      </c>
      <c r="R115" s="3">
        <f>Analyzed!AN116/Analyzed!$CR116</f>
        <v>0</v>
      </c>
      <c r="S115" s="3">
        <f>Analyzed!AP116/Analyzed!$CR116</f>
        <v>0</v>
      </c>
      <c r="T115" s="3">
        <f>Analyzed!AR116/Analyzed!$CR116</f>
        <v>0</v>
      </c>
      <c r="U115" s="3">
        <f>Analyzed!AT116/Analyzed!$CR116</f>
        <v>0</v>
      </c>
      <c r="V115" s="3">
        <f>Analyzed!AV116/Analyzed!$CR116</f>
        <v>0</v>
      </c>
      <c r="W115" s="3">
        <f>Analyzed!AX116/Analyzed!$CR116</f>
        <v>0</v>
      </c>
      <c r="X115" s="3">
        <f>Analyzed!AZ116/Analyzed!$CR116</f>
        <v>0</v>
      </c>
      <c r="Y115" s="3">
        <f>Analyzed!BB116/Analyzed!$CR116</f>
        <v>0</v>
      </c>
      <c r="Z115" s="3">
        <f>Analyzed!BD116/Analyzed!$CR116</f>
        <v>0</v>
      </c>
      <c r="AA115" s="3">
        <f>Analyzed!BF116/Analyzed!$CR116</f>
        <v>0</v>
      </c>
    </row>
    <row r="116" spans="2:27" x14ac:dyDescent="0.25">
      <c r="B116" s="3">
        <f>Analyzed!D117/Analyzed!$CR117</f>
        <v>0.81208053691275173</v>
      </c>
      <c r="C116" s="3">
        <f>Analyzed!F117/Analyzed!$CR117</f>
        <v>6.7114093959731542E-3</v>
      </c>
      <c r="D116" s="3">
        <f>Analyzed!H117/Analyzed!$CR117</f>
        <v>3.3557046979865771E-3</v>
      </c>
      <c r="E116" s="3">
        <f>Analyzed!J117/Analyzed!$CR117</f>
        <v>2.0134228187919462E-2</v>
      </c>
      <c r="F116" s="3">
        <f>Analyzed!L117/Analyzed!$CR117</f>
        <v>0</v>
      </c>
      <c r="G116" s="3">
        <f>Analyzed!N117/Analyzed!$CR117</f>
        <v>0</v>
      </c>
      <c r="H116" s="3">
        <f>Analyzed!P117/Analyzed!$CR117</f>
        <v>0</v>
      </c>
      <c r="I116" s="3">
        <f>Analyzed!R117/Analyzed!$CR117</f>
        <v>0</v>
      </c>
      <c r="J116" s="3">
        <f>Analyzed!X117/Analyzed!$CR117</f>
        <v>0</v>
      </c>
      <c r="K116" s="3">
        <f>Analyzed!Z117/Analyzed!$CR117</f>
        <v>0.12416107382550336</v>
      </c>
      <c r="L116" s="3">
        <f>Analyzed!AB117/Analyzed!$CR117</f>
        <v>0</v>
      </c>
      <c r="M116" s="3">
        <f>Analyzed!AD117/Analyzed!$CR117</f>
        <v>3.3557046979865771E-3</v>
      </c>
      <c r="N116" s="3">
        <f>Analyzed!AF117/Analyzed!$CR117</f>
        <v>0</v>
      </c>
      <c r="O116" s="3">
        <f>Analyzed!AH117/Analyzed!$CR117</f>
        <v>0</v>
      </c>
      <c r="P116" s="3">
        <f>Analyzed!AJ117/Analyzed!$CR117</f>
        <v>0</v>
      </c>
      <c r="Q116" s="3">
        <f>Analyzed!AL117/Analyzed!$CR117</f>
        <v>2.6845637583892617E-2</v>
      </c>
      <c r="R116" s="3">
        <f>Analyzed!AN117/Analyzed!$CR117</f>
        <v>0</v>
      </c>
      <c r="S116" s="3">
        <f>Analyzed!AP117/Analyzed!$CR117</f>
        <v>0</v>
      </c>
      <c r="T116" s="3">
        <f>Analyzed!AR117/Analyzed!$CR117</f>
        <v>0</v>
      </c>
      <c r="U116" s="3">
        <f>Analyzed!AT117/Analyzed!$CR117</f>
        <v>0</v>
      </c>
      <c r="V116" s="3">
        <f>Analyzed!AV117/Analyzed!$CR117</f>
        <v>0</v>
      </c>
      <c r="W116" s="3">
        <f>Analyzed!AX117/Analyzed!$CR117</f>
        <v>0</v>
      </c>
      <c r="X116" s="3">
        <f>Analyzed!AZ117/Analyzed!$CR117</f>
        <v>0</v>
      </c>
      <c r="Y116" s="3">
        <f>Analyzed!BB117/Analyzed!$CR117</f>
        <v>0</v>
      </c>
      <c r="Z116" s="3">
        <f>Analyzed!BD117/Analyzed!$CR117</f>
        <v>0</v>
      </c>
      <c r="AA116" s="3">
        <f>Analyzed!BF117/Analyzed!$CR117</f>
        <v>0</v>
      </c>
    </row>
    <row r="117" spans="2:27" x14ac:dyDescent="0.25">
      <c r="B117" s="3">
        <f>Analyzed!D118/Analyzed!$CR118</f>
        <v>0.62441314553990612</v>
      </c>
      <c r="C117" s="3">
        <f>Analyzed!F118/Analyzed!$CR118</f>
        <v>4.2253521126760563E-2</v>
      </c>
      <c r="D117" s="3">
        <f>Analyzed!H118/Analyzed!$CR118</f>
        <v>0</v>
      </c>
      <c r="E117" s="3">
        <f>Analyzed!J118/Analyzed!$CR118</f>
        <v>0</v>
      </c>
      <c r="F117" s="3">
        <f>Analyzed!L118/Analyzed!$CR118</f>
        <v>0</v>
      </c>
      <c r="G117" s="3">
        <f>Analyzed!N118/Analyzed!$CR118</f>
        <v>0</v>
      </c>
      <c r="H117" s="3">
        <f>Analyzed!P118/Analyzed!$CR118</f>
        <v>0.16901408450704225</v>
      </c>
      <c r="I117" s="3">
        <f>Analyzed!R118/Analyzed!$CR118</f>
        <v>0</v>
      </c>
      <c r="J117" s="3">
        <f>Analyzed!X118/Analyzed!$CR118</f>
        <v>5.1643192488262914E-2</v>
      </c>
      <c r="K117" s="3">
        <f>Analyzed!Z118/Analyzed!$CR118</f>
        <v>0</v>
      </c>
      <c r="L117" s="3">
        <f>Analyzed!AB118/Analyzed!$CR118</f>
        <v>0</v>
      </c>
      <c r="M117" s="3">
        <f>Analyzed!AD118/Analyzed!$CR118</f>
        <v>0</v>
      </c>
      <c r="N117" s="3">
        <f>Analyzed!AF118/Analyzed!$CR118</f>
        <v>0</v>
      </c>
      <c r="O117" s="3">
        <f>Analyzed!AH118/Analyzed!$CR118</f>
        <v>1.8779342723004695E-2</v>
      </c>
      <c r="P117" s="3">
        <f>Analyzed!AJ118/Analyzed!$CR118</f>
        <v>0</v>
      </c>
      <c r="Q117" s="3">
        <f>Analyzed!AL118/Analyzed!$CR118</f>
        <v>0</v>
      </c>
      <c r="R117" s="3">
        <f>Analyzed!AN118/Analyzed!$CR118</f>
        <v>0</v>
      </c>
      <c r="S117" s="3">
        <f>Analyzed!AP118/Analyzed!$CR118</f>
        <v>0</v>
      </c>
      <c r="T117" s="3">
        <f>Analyzed!AR118/Analyzed!$CR118</f>
        <v>0</v>
      </c>
      <c r="U117" s="3">
        <f>Analyzed!AT118/Analyzed!$CR118</f>
        <v>0</v>
      </c>
      <c r="V117" s="3">
        <f>Analyzed!AV118/Analyzed!$CR118</f>
        <v>0</v>
      </c>
      <c r="W117" s="3">
        <f>Analyzed!AX118/Analyzed!$CR118</f>
        <v>0</v>
      </c>
      <c r="X117" s="3">
        <f>Analyzed!AZ118/Analyzed!$CR118</f>
        <v>0</v>
      </c>
      <c r="Y117" s="3">
        <f>Analyzed!BB118/Analyzed!$CR118</f>
        <v>0</v>
      </c>
      <c r="Z117" s="3">
        <f>Analyzed!BD118/Analyzed!$CR118</f>
        <v>0</v>
      </c>
      <c r="AA117" s="3">
        <f>Analyzed!BF118/Analyzed!$CR118</f>
        <v>0</v>
      </c>
    </row>
    <row r="118" spans="2:27" x14ac:dyDescent="0.25">
      <c r="B118" s="3">
        <f>Analyzed!D119/Analyzed!$CR119</f>
        <v>0.58421052631578951</v>
      </c>
      <c r="C118" s="3">
        <f>Analyzed!F119/Analyzed!$CR119</f>
        <v>0.10526315789473684</v>
      </c>
      <c r="D118" s="3">
        <f>Analyzed!H119/Analyzed!$CR119</f>
        <v>1.0526315789473684E-2</v>
      </c>
      <c r="E118" s="3">
        <f>Analyzed!J119/Analyzed!$CR119</f>
        <v>3.6842105263157891E-2</v>
      </c>
      <c r="F118" s="3">
        <f>Analyzed!L119/Analyzed!$CR119</f>
        <v>0</v>
      </c>
      <c r="G118" s="3">
        <f>Analyzed!N119/Analyzed!$CR119</f>
        <v>0</v>
      </c>
      <c r="H118" s="3">
        <f>Analyzed!P119/Analyzed!$CR119</f>
        <v>0.11578947368421053</v>
      </c>
      <c r="I118" s="3">
        <f>Analyzed!R119/Analyzed!$CR119</f>
        <v>0</v>
      </c>
      <c r="J118" s="3">
        <f>Analyzed!X119/Analyzed!$CR119</f>
        <v>0</v>
      </c>
      <c r="K118" s="3">
        <f>Analyzed!Z119/Analyzed!$CR119</f>
        <v>0</v>
      </c>
      <c r="L118" s="3">
        <f>Analyzed!AB119/Analyzed!$CR119</f>
        <v>0</v>
      </c>
      <c r="M118" s="3">
        <f>Analyzed!AD119/Analyzed!$CR119</f>
        <v>0</v>
      </c>
      <c r="N118" s="3">
        <f>Analyzed!AF119/Analyzed!$CR119</f>
        <v>1.0526315789473684E-2</v>
      </c>
      <c r="O118" s="3">
        <f>Analyzed!AH119/Analyzed!$CR119</f>
        <v>6.3157894736842107E-2</v>
      </c>
      <c r="P118" s="3">
        <f>Analyzed!AJ119/Analyzed!$CR119</f>
        <v>0</v>
      </c>
      <c r="Q118" s="3">
        <f>Analyzed!AL119/Analyzed!$CR119</f>
        <v>5.2631578947368418E-2</v>
      </c>
      <c r="R118" s="3">
        <f>Analyzed!AN119/Analyzed!$CR119</f>
        <v>0</v>
      </c>
      <c r="S118" s="3">
        <f>Analyzed!AP119/Analyzed!$CR119</f>
        <v>0</v>
      </c>
      <c r="T118" s="3">
        <f>Analyzed!AR119/Analyzed!$CR119</f>
        <v>0</v>
      </c>
      <c r="U118" s="3">
        <f>Analyzed!AT119/Analyzed!$CR119</f>
        <v>0</v>
      </c>
      <c r="V118" s="3">
        <f>Analyzed!AV119/Analyzed!$CR119</f>
        <v>0</v>
      </c>
      <c r="W118" s="3">
        <f>Analyzed!AX119/Analyzed!$CR119</f>
        <v>0</v>
      </c>
      <c r="X118" s="3">
        <f>Analyzed!AZ119/Analyzed!$CR119</f>
        <v>0</v>
      </c>
      <c r="Y118" s="3">
        <f>Analyzed!BB119/Analyzed!$CR119</f>
        <v>0</v>
      </c>
      <c r="Z118" s="3">
        <f>Analyzed!BD119/Analyzed!$CR119</f>
        <v>0</v>
      </c>
      <c r="AA118" s="3">
        <f>Analyzed!BF119/Analyzed!$CR119</f>
        <v>0</v>
      </c>
    </row>
    <row r="119" spans="2:27" x14ac:dyDescent="0.25">
      <c r="B119" s="3">
        <f>Analyzed!D120/Analyzed!$CR120</f>
        <v>0.58995815899581594</v>
      </c>
      <c r="C119" s="3">
        <f>Analyzed!F120/Analyzed!$CR120</f>
        <v>7.1129707112970716E-2</v>
      </c>
      <c r="D119" s="3">
        <f>Analyzed!H120/Analyzed!$CR120</f>
        <v>1.2552301255230125E-2</v>
      </c>
      <c r="E119" s="3">
        <f>Analyzed!J120/Analyzed!$CR120</f>
        <v>2.5104602510460251E-2</v>
      </c>
      <c r="F119" s="3">
        <f>Analyzed!L120/Analyzed!$CR120</f>
        <v>0</v>
      </c>
      <c r="G119" s="3">
        <f>Analyzed!N120/Analyzed!$CR120</f>
        <v>0</v>
      </c>
      <c r="H119" s="3">
        <f>Analyzed!P120/Analyzed!$CR120</f>
        <v>0.13807531380753138</v>
      </c>
      <c r="I119" s="3">
        <f>Analyzed!R120/Analyzed!$CR120</f>
        <v>0</v>
      </c>
      <c r="J119" s="3">
        <f>Analyzed!X120/Analyzed!$CR120</f>
        <v>1.2552301255230125E-2</v>
      </c>
      <c r="K119" s="3">
        <f>Analyzed!Z120/Analyzed!$CR120</f>
        <v>0</v>
      </c>
      <c r="L119" s="3">
        <f>Analyzed!AB120/Analyzed!$CR120</f>
        <v>0</v>
      </c>
      <c r="M119" s="3">
        <f>Analyzed!AD120/Analyzed!$CR120</f>
        <v>0</v>
      </c>
      <c r="N119" s="3">
        <f>Analyzed!AF120/Analyzed!$CR120</f>
        <v>8.368200836820083E-3</v>
      </c>
      <c r="O119" s="3">
        <f>Analyzed!AH120/Analyzed!$CR120</f>
        <v>5.8577405857740586E-2</v>
      </c>
      <c r="P119" s="3">
        <f>Analyzed!AJ120/Analyzed!$CR120</f>
        <v>0</v>
      </c>
      <c r="Q119" s="3">
        <f>Analyzed!AL120/Analyzed!$CR120</f>
        <v>5.4393305439330547E-2</v>
      </c>
      <c r="R119" s="3">
        <f>Analyzed!AN120/Analyzed!$CR120</f>
        <v>0</v>
      </c>
      <c r="S119" s="3">
        <f>Analyzed!AP120/Analyzed!$CR120</f>
        <v>0</v>
      </c>
      <c r="T119" s="3">
        <f>Analyzed!AR120/Analyzed!$CR120</f>
        <v>0</v>
      </c>
      <c r="U119" s="3">
        <f>Analyzed!AT120/Analyzed!$CR120</f>
        <v>0</v>
      </c>
      <c r="V119" s="3">
        <f>Analyzed!AV120/Analyzed!$CR120</f>
        <v>0</v>
      </c>
      <c r="W119" s="3">
        <f>Analyzed!AX120/Analyzed!$CR120</f>
        <v>0</v>
      </c>
      <c r="X119" s="3">
        <f>Analyzed!AZ120/Analyzed!$CR120</f>
        <v>0</v>
      </c>
      <c r="Y119" s="3">
        <f>Analyzed!BB120/Analyzed!$CR120</f>
        <v>0</v>
      </c>
      <c r="Z119" s="3">
        <f>Analyzed!BD120/Analyzed!$CR120</f>
        <v>0</v>
      </c>
      <c r="AA119" s="3">
        <f>Analyzed!BF120/Analyzed!$CR120</f>
        <v>0</v>
      </c>
    </row>
    <row r="120" spans="2:27" x14ac:dyDescent="0.25">
      <c r="B120" s="3">
        <f>Analyzed!D121/Analyzed!$CR121</f>
        <v>0.60869565217391308</v>
      </c>
      <c r="C120" s="3">
        <f>Analyzed!F121/Analyzed!$CR121</f>
        <v>3.8043478260869568E-2</v>
      </c>
      <c r="D120" s="3">
        <f>Analyzed!H121/Analyzed!$CR121</f>
        <v>0</v>
      </c>
      <c r="E120" s="3">
        <f>Analyzed!J121/Analyzed!$CR121</f>
        <v>5.434782608695652E-3</v>
      </c>
      <c r="F120" s="3">
        <f>Analyzed!L121/Analyzed!$CR121</f>
        <v>0</v>
      </c>
      <c r="G120" s="3">
        <f>Analyzed!N121/Analyzed!$CR121</f>
        <v>0</v>
      </c>
      <c r="H120" s="3">
        <f>Analyzed!P121/Analyzed!$CR121</f>
        <v>0.1358695652173913</v>
      </c>
      <c r="I120" s="3">
        <f>Analyzed!R121/Analyzed!$CR121</f>
        <v>0</v>
      </c>
      <c r="J120" s="3">
        <f>Analyzed!X121/Analyzed!$CR121</f>
        <v>0</v>
      </c>
      <c r="K120" s="3">
        <f>Analyzed!Z121/Analyzed!$CR121</f>
        <v>0</v>
      </c>
      <c r="L120" s="3">
        <f>Analyzed!AB121/Analyzed!$CR121</f>
        <v>0</v>
      </c>
      <c r="M120" s="3">
        <f>Analyzed!AD121/Analyzed!$CR121</f>
        <v>0</v>
      </c>
      <c r="N120" s="3">
        <f>Analyzed!AF121/Analyzed!$CR121</f>
        <v>3.2608695652173912E-2</v>
      </c>
      <c r="O120" s="3">
        <f>Analyzed!AH121/Analyzed!$CR121</f>
        <v>5.9782608695652176E-2</v>
      </c>
      <c r="P120" s="3">
        <f>Analyzed!AJ121/Analyzed!$CR121</f>
        <v>0</v>
      </c>
      <c r="Q120" s="3">
        <f>Analyzed!AL121/Analyzed!$CR121</f>
        <v>0.10326086956521739</v>
      </c>
      <c r="R120" s="3">
        <f>Analyzed!AN121/Analyzed!$CR121</f>
        <v>0</v>
      </c>
      <c r="S120" s="3">
        <f>Analyzed!AP121/Analyzed!$CR121</f>
        <v>0</v>
      </c>
      <c r="T120" s="3">
        <f>Analyzed!AR121/Analyzed!$CR121</f>
        <v>0</v>
      </c>
      <c r="U120" s="3">
        <f>Analyzed!AT121/Analyzed!$CR121</f>
        <v>0</v>
      </c>
      <c r="V120" s="3">
        <f>Analyzed!AV121/Analyzed!$CR121</f>
        <v>0</v>
      </c>
      <c r="W120" s="3">
        <f>Analyzed!AX121/Analyzed!$CR121</f>
        <v>0</v>
      </c>
      <c r="X120" s="3">
        <f>Analyzed!AZ121/Analyzed!$CR121</f>
        <v>0</v>
      </c>
      <c r="Y120" s="3">
        <f>Analyzed!BB121/Analyzed!$CR121</f>
        <v>0</v>
      </c>
      <c r="Z120" s="3">
        <f>Analyzed!BD121/Analyzed!$CR121</f>
        <v>0</v>
      </c>
      <c r="AA120" s="3">
        <f>Analyzed!BF121/Analyzed!$CR121</f>
        <v>0</v>
      </c>
    </row>
    <row r="121" spans="2:27" x14ac:dyDescent="0.25">
      <c r="B121" s="3">
        <f>Analyzed!D122/Analyzed!$CR122</f>
        <v>0.36842105263157893</v>
      </c>
      <c r="C121" s="3">
        <f>Analyzed!F122/Analyzed!$CR122</f>
        <v>0.12631578947368421</v>
      </c>
      <c r="D121" s="3">
        <f>Analyzed!H122/Analyzed!$CR122</f>
        <v>5.263157894736842E-3</v>
      </c>
      <c r="E121" s="3">
        <f>Analyzed!J122/Analyzed!$CR122</f>
        <v>1.0526315789473684E-2</v>
      </c>
      <c r="F121" s="3">
        <f>Analyzed!L122/Analyzed!$CR122</f>
        <v>0</v>
      </c>
      <c r="G121" s="3">
        <f>Analyzed!N122/Analyzed!$CR122</f>
        <v>0</v>
      </c>
      <c r="H121" s="3">
        <f>Analyzed!P122/Analyzed!$CR122</f>
        <v>0.23157894736842105</v>
      </c>
      <c r="I121" s="3">
        <f>Analyzed!R122/Analyzed!$CR122</f>
        <v>0</v>
      </c>
      <c r="J121" s="3">
        <f>Analyzed!X122/Analyzed!$CR122</f>
        <v>0.10526315789473684</v>
      </c>
      <c r="K121" s="3">
        <f>Analyzed!Z122/Analyzed!$CR122</f>
        <v>0</v>
      </c>
      <c r="L121" s="3">
        <f>Analyzed!AB122/Analyzed!$CR122</f>
        <v>0</v>
      </c>
      <c r="M121" s="3">
        <f>Analyzed!AD122/Analyzed!$CR122</f>
        <v>0</v>
      </c>
      <c r="N121" s="3">
        <f>Analyzed!AF122/Analyzed!$CR122</f>
        <v>1.0526315789473684E-2</v>
      </c>
      <c r="O121" s="3">
        <f>Analyzed!AH122/Analyzed!$CR122</f>
        <v>3.6842105263157891E-2</v>
      </c>
      <c r="P121" s="3">
        <f>Analyzed!AJ122/Analyzed!$CR122</f>
        <v>0</v>
      </c>
      <c r="Q121" s="3">
        <f>Analyzed!AL122/Analyzed!$CR122</f>
        <v>1.0526315789473684E-2</v>
      </c>
      <c r="R121" s="3">
        <f>Analyzed!AN122/Analyzed!$CR122</f>
        <v>0</v>
      </c>
      <c r="S121" s="3">
        <f>Analyzed!AP122/Analyzed!$CR122</f>
        <v>0</v>
      </c>
      <c r="T121" s="3">
        <f>Analyzed!AR122/Analyzed!$CR122</f>
        <v>0</v>
      </c>
      <c r="U121" s="3">
        <f>Analyzed!AT122/Analyzed!$CR122</f>
        <v>0</v>
      </c>
      <c r="V121" s="3">
        <f>Analyzed!AV122/Analyzed!$CR122</f>
        <v>0</v>
      </c>
      <c r="W121" s="3">
        <f>Analyzed!AX122/Analyzed!$CR122</f>
        <v>0</v>
      </c>
      <c r="X121" s="3">
        <f>Analyzed!AZ122/Analyzed!$CR122</f>
        <v>0</v>
      </c>
      <c r="Y121" s="3">
        <f>Analyzed!BB122/Analyzed!$CR122</f>
        <v>0</v>
      </c>
      <c r="Z121" s="3">
        <f>Analyzed!BD122/Analyzed!$CR122</f>
        <v>0</v>
      </c>
      <c r="AA121" s="3">
        <f>Analyzed!BF122/Analyzed!$CR122</f>
        <v>0</v>
      </c>
    </row>
    <row r="122" spans="2:27" x14ac:dyDescent="0.25">
      <c r="B122" s="3">
        <f>Analyzed!D123/Analyzed!$CR123</f>
        <v>0.26470588235294118</v>
      </c>
      <c r="C122" s="3">
        <f>Analyzed!F123/Analyzed!$CR123</f>
        <v>0.18627450980392157</v>
      </c>
      <c r="D122" s="3">
        <f>Analyzed!H123/Analyzed!$CR123</f>
        <v>0</v>
      </c>
      <c r="E122" s="3">
        <f>Analyzed!J123/Analyzed!$CR123</f>
        <v>4.9019607843137254E-3</v>
      </c>
      <c r="F122" s="3">
        <f>Analyzed!L123/Analyzed!$CR123</f>
        <v>0</v>
      </c>
      <c r="G122" s="3">
        <f>Analyzed!N123/Analyzed!$CR123</f>
        <v>4.9019607843137254E-3</v>
      </c>
      <c r="H122" s="3">
        <f>Analyzed!P123/Analyzed!$CR123</f>
        <v>0.18627450980392157</v>
      </c>
      <c r="I122" s="3">
        <f>Analyzed!R123/Analyzed!$CR123</f>
        <v>0</v>
      </c>
      <c r="J122" s="3">
        <f>Analyzed!X123/Analyzed!$CR123</f>
        <v>8.3333333333333329E-2</v>
      </c>
      <c r="K122" s="3">
        <f>Analyzed!Z123/Analyzed!$CR123</f>
        <v>0</v>
      </c>
      <c r="L122" s="3">
        <f>Analyzed!AB123/Analyzed!$CR123</f>
        <v>0</v>
      </c>
      <c r="M122" s="3">
        <f>Analyzed!AD123/Analyzed!$CR123</f>
        <v>0</v>
      </c>
      <c r="N122" s="3">
        <f>Analyzed!AF123/Analyzed!$CR123</f>
        <v>2.4509803921568627E-2</v>
      </c>
      <c r="O122" s="3">
        <f>Analyzed!AH123/Analyzed!$CR123</f>
        <v>6.8627450980392163E-2</v>
      </c>
      <c r="P122" s="3">
        <f>Analyzed!AJ123/Analyzed!$CR123</f>
        <v>0</v>
      </c>
      <c r="Q122" s="3">
        <f>Analyzed!AL123/Analyzed!$CR123</f>
        <v>1.4705882352941176E-2</v>
      </c>
      <c r="R122" s="3">
        <f>Analyzed!AN123/Analyzed!$CR123</f>
        <v>0</v>
      </c>
      <c r="S122" s="3">
        <f>Analyzed!AP123/Analyzed!$CR123</f>
        <v>0</v>
      </c>
      <c r="T122" s="3">
        <f>Analyzed!AR123/Analyzed!$CR123</f>
        <v>0</v>
      </c>
      <c r="U122" s="3">
        <f>Analyzed!AT123/Analyzed!$CR123</f>
        <v>0</v>
      </c>
      <c r="V122" s="3">
        <f>Analyzed!AV123/Analyzed!$CR123</f>
        <v>0</v>
      </c>
      <c r="W122" s="3">
        <f>Analyzed!AX123/Analyzed!$CR123</f>
        <v>0</v>
      </c>
      <c r="X122" s="3">
        <f>Analyzed!AZ123/Analyzed!$CR123</f>
        <v>0</v>
      </c>
      <c r="Y122" s="3">
        <f>Analyzed!BB123/Analyzed!$CR123</f>
        <v>0</v>
      </c>
      <c r="Z122" s="3">
        <f>Analyzed!BD123/Analyzed!$CR123</f>
        <v>0</v>
      </c>
      <c r="AA122" s="3">
        <f>Analyzed!BF123/Analyzed!$CR123</f>
        <v>0</v>
      </c>
    </row>
    <row r="123" spans="2:27" x14ac:dyDescent="0.25">
      <c r="B123" s="3">
        <f>Analyzed!D124/Analyzed!$CR124</f>
        <v>0.375</v>
      </c>
      <c r="C123" s="3">
        <f>Analyzed!F124/Analyzed!$CR124</f>
        <v>9.7826086956521743E-2</v>
      </c>
      <c r="D123" s="3">
        <f>Analyzed!H124/Analyzed!$CR124</f>
        <v>5.434782608695652E-3</v>
      </c>
      <c r="E123" s="3">
        <f>Analyzed!J124/Analyzed!$CR124</f>
        <v>5.434782608695652E-3</v>
      </c>
      <c r="F123" s="3">
        <f>Analyzed!L124/Analyzed!$CR124</f>
        <v>0</v>
      </c>
      <c r="G123" s="3">
        <f>Analyzed!N124/Analyzed!$CR124</f>
        <v>0</v>
      </c>
      <c r="H123" s="3">
        <f>Analyzed!P124/Analyzed!$CR124</f>
        <v>0.23369565217391305</v>
      </c>
      <c r="I123" s="3">
        <f>Analyzed!R124/Analyzed!$CR124</f>
        <v>0</v>
      </c>
      <c r="J123" s="3">
        <f>Analyzed!X124/Analyzed!$CR124</f>
        <v>1.0869565217391304E-2</v>
      </c>
      <c r="K123" s="3">
        <f>Analyzed!Z124/Analyzed!$CR124</f>
        <v>0</v>
      </c>
      <c r="L123" s="3">
        <f>Analyzed!AB124/Analyzed!$CR124</f>
        <v>0</v>
      </c>
      <c r="M123" s="3">
        <f>Analyzed!AD124/Analyzed!$CR124</f>
        <v>0</v>
      </c>
      <c r="N123" s="3">
        <f>Analyzed!AF124/Analyzed!$CR124</f>
        <v>1.0869565217391304E-2</v>
      </c>
      <c r="O123" s="3">
        <f>Analyzed!AH124/Analyzed!$CR124</f>
        <v>7.0652173913043473E-2</v>
      </c>
      <c r="P123" s="3">
        <f>Analyzed!AJ124/Analyzed!$CR124</f>
        <v>0</v>
      </c>
      <c r="Q123" s="3">
        <f>Analyzed!AL124/Analyzed!$CR124</f>
        <v>2.1739130434782608E-2</v>
      </c>
      <c r="R123" s="3">
        <f>Analyzed!AN124/Analyzed!$CR124</f>
        <v>0</v>
      </c>
      <c r="S123" s="3">
        <f>Analyzed!AP124/Analyzed!$CR124</f>
        <v>0</v>
      </c>
      <c r="T123" s="3">
        <f>Analyzed!AR124/Analyzed!$CR124</f>
        <v>0</v>
      </c>
      <c r="U123" s="3">
        <f>Analyzed!AT124/Analyzed!$CR124</f>
        <v>0</v>
      </c>
      <c r="V123" s="3">
        <f>Analyzed!AV124/Analyzed!$CR124</f>
        <v>0</v>
      </c>
      <c r="W123" s="3">
        <f>Analyzed!AX124/Analyzed!$CR124</f>
        <v>0</v>
      </c>
      <c r="X123" s="3">
        <f>Analyzed!AZ124/Analyzed!$CR124</f>
        <v>3.8043478260869568E-2</v>
      </c>
      <c r="Y123" s="3">
        <f>Analyzed!BB124/Analyzed!$CR124</f>
        <v>0</v>
      </c>
      <c r="Z123" s="3">
        <f>Analyzed!BD124/Analyzed!$CR124</f>
        <v>0</v>
      </c>
      <c r="AA123" s="3">
        <f>Analyzed!BF124/Analyzed!$CR124</f>
        <v>0</v>
      </c>
    </row>
    <row r="124" spans="2:27" x14ac:dyDescent="0.25">
      <c r="B124" s="3">
        <f>Analyzed!D125/Analyzed!$CR125</f>
        <v>0.36312849162011174</v>
      </c>
      <c r="C124" s="3">
        <f>Analyzed!F125/Analyzed!$CR125</f>
        <v>5.5865921787709494E-2</v>
      </c>
      <c r="D124" s="3">
        <f>Analyzed!H125/Analyzed!$CR125</f>
        <v>1.11731843575419E-2</v>
      </c>
      <c r="E124" s="3">
        <f>Analyzed!J125/Analyzed!$CR125</f>
        <v>5.5865921787709499E-3</v>
      </c>
      <c r="F124" s="3">
        <f>Analyzed!L125/Analyzed!$CR125</f>
        <v>0</v>
      </c>
      <c r="G124" s="3">
        <f>Analyzed!N125/Analyzed!$CR125</f>
        <v>0</v>
      </c>
      <c r="H124" s="3">
        <f>Analyzed!P125/Analyzed!$CR125</f>
        <v>0.32402234636871508</v>
      </c>
      <c r="I124" s="3">
        <f>Analyzed!R125/Analyzed!$CR125</f>
        <v>0</v>
      </c>
      <c r="J124" s="3">
        <f>Analyzed!X125/Analyzed!$CR125</f>
        <v>3.9106145251396648E-2</v>
      </c>
      <c r="K124" s="3">
        <f>Analyzed!Z125/Analyzed!$CR125</f>
        <v>0</v>
      </c>
      <c r="L124" s="3">
        <f>Analyzed!AB125/Analyzed!$CR125</f>
        <v>0</v>
      </c>
      <c r="M124" s="3">
        <f>Analyzed!AD125/Analyzed!$CR125</f>
        <v>0</v>
      </c>
      <c r="N124" s="3">
        <f>Analyzed!AF125/Analyzed!$CR125</f>
        <v>1.11731843575419E-2</v>
      </c>
      <c r="O124" s="3">
        <f>Analyzed!AH125/Analyzed!$CR125</f>
        <v>8.3798882681564241E-2</v>
      </c>
      <c r="P124" s="3">
        <f>Analyzed!AJ125/Analyzed!$CR125</f>
        <v>0</v>
      </c>
      <c r="Q124" s="3">
        <f>Analyzed!AL125/Analyzed!$CR125</f>
        <v>3.9106145251396648E-2</v>
      </c>
      <c r="R124" s="3">
        <f>Analyzed!AN125/Analyzed!$CR125</f>
        <v>0</v>
      </c>
      <c r="S124" s="3">
        <f>Analyzed!AP125/Analyzed!$CR125</f>
        <v>0</v>
      </c>
      <c r="T124" s="3">
        <f>Analyzed!AR125/Analyzed!$CR125</f>
        <v>0</v>
      </c>
      <c r="U124" s="3">
        <f>Analyzed!AT125/Analyzed!$CR125</f>
        <v>0</v>
      </c>
      <c r="V124" s="3">
        <f>Analyzed!AV125/Analyzed!$CR125</f>
        <v>0</v>
      </c>
      <c r="W124" s="3">
        <f>Analyzed!AX125/Analyzed!$CR125</f>
        <v>0</v>
      </c>
      <c r="X124" s="3">
        <f>Analyzed!AZ125/Analyzed!$CR125</f>
        <v>0</v>
      </c>
      <c r="Y124" s="3">
        <f>Analyzed!BB125/Analyzed!$CR125</f>
        <v>0</v>
      </c>
      <c r="Z124" s="3">
        <f>Analyzed!BD125/Analyzed!$CR125</f>
        <v>0</v>
      </c>
      <c r="AA124" s="3">
        <f>Analyzed!BF125/Analyzed!$CR125</f>
        <v>0</v>
      </c>
    </row>
    <row r="125" spans="2:27" x14ac:dyDescent="0.25">
      <c r="B125" s="3">
        <f>Analyzed!D126/Analyzed!$CR126</f>
        <v>1.1673151750972763E-2</v>
      </c>
      <c r="C125" s="3">
        <f>Analyzed!F126/Analyzed!$CR126</f>
        <v>0</v>
      </c>
      <c r="D125" s="3">
        <f>Analyzed!H126/Analyzed!$CR126</f>
        <v>0</v>
      </c>
      <c r="E125" s="3">
        <f>Analyzed!J126/Analyzed!$CR126</f>
        <v>0</v>
      </c>
      <c r="F125" s="3">
        <f>Analyzed!L126/Analyzed!$CR126</f>
        <v>0</v>
      </c>
      <c r="G125" s="3">
        <f>Analyzed!N126/Analyzed!$CR126</f>
        <v>0</v>
      </c>
      <c r="H125" s="3">
        <f>Analyzed!P126/Analyzed!$CR126</f>
        <v>0</v>
      </c>
      <c r="I125" s="3">
        <f>Analyzed!R126/Analyzed!$CR126</f>
        <v>0</v>
      </c>
      <c r="J125" s="3">
        <f>Analyzed!X126/Analyzed!$CR126</f>
        <v>0.25680933852140075</v>
      </c>
      <c r="K125" s="3">
        <f>Analyzed!Z126/Analyzed!$CR126</f>
        <v>0</v>
      </c>
      <c r="L125" s="3">
        <f>Analyzed!AB126/Analyzed!$CR126</f>
        <v>0</v>
      </c>
      <c r="M125" s="3">
        <f>Analyzed!AD126/Analyzed!$CR126</f>
        <v>0</v>
      </c>
      <c r="N125" s="3">
        <f>Analyzed!AF126/Analyzed!$CR126</f>
        <v>0</v>
      </c>
      <c r="O125" s="3">
        <f>Analyzed!AH126/Analyzed!$CR126</f>
        <v>0</v>
      </c>
      <c r="P125" s="3">
        <f>Analyzed!AJ126/Analyzed!$CR126</f>
        <v>0</v>
      </c>
      <c r="Q125" s="3">
        <f>Analyzed!AL126/Analyzed!$CR126</f>
        <v>7.7821011673151752E-3</v>
      </c>
      <c r="R125" s="3">
        <f>Analyzed!AN126/Analyzed!$CR126</f>
        <v>0</v>
      </c>
      <c r="S125" s="3">
        <f>Analyzed!AP126/Analyzed!$CR126</f>
        <v>0</v>
      </c>
      <c r="T125" s="3">
        <f>Analyzed!AR126/Analyzed!$CR126</f>
        <v>0</v>
      </c>
      <c r="U125" s="3">
        <f>Analyzed!AT126/Analyzed!$CR126</f>
        <v>0</v>
      </c>
      <c r="V125" s="3">
        <f>Analyzed!AV126/Analyzed!$CR126</f>
        <v>0</v>
      </c>
      <c r="W125" s="3">
        <f>Analyzed!AX126/Analyzed!$CR126</f>
        <v>0</v>
      </c>
      <c r="X125" s="3">
        <f>Analyzed!AZ126/Analyzed!$CR126</f>
        <v>0</v>
      </c>
      <c r="Y125" s="3">
        <f>Analyzed!BB126/Analyzed!$CR126</f>
        <v>0</v>
      </c>
      <c r="Z125" s="3">
        <f>Analyzed!BD126/Analyzed!$CR126</f>
        <v>0</v>
      </c>
      <c r="AA125" s="3">
        <f>Analyzed!BF126/Analyzed!$CR126</f>
        <v>0</v>
      </c>
    </row>
    <row r="126" spans="2:27" x14ac:dyDescent="0.25">
      <c r="B126" s="3">
        <f>Analyzed!D127/Analyzed!$CR127</f>
        <v>1.4925373134328358E-2</v>
      </c>
      <c r="C126" s="3">
        <f>Analyzed!F127/Analyzed!$CR127</f>
        <v>0</v>
      </c>
      <c r="D126" s="3">
        <f>Analyzed!H127/Analyzed!$CR127</f>
        <v>0</v>
      </c>
      <c r="E126" s="3">
        <f>Analyzed!J127/Analyzed!$CR127</f>
        <v>0</v>
      </c>
      <c r="F126" s="3">
        <f>Analyzed!L127/Analyzed!$CR127</f>
        <v>0</v>
      </c>
      <c r="G126" s="3">
        <f>Analyzed!N127/Analyzed!$CR127</f>
        <v>0</v>
      </c>
      <c r="H126" s="3">
        <f>Analyzed!P127/Analyzed!$CR127</f>
        <v>0</v>
      </c>
      <c r="I126" s="3">
        <f>Analyzed!R127/Analyzed!$CR127</f>
        <v>0</v>
      </c>
      <c r="J126" s="3">
        <f>Analyzed!X127/Analyzed!$CR127</f>
        <v>0.52238805970149249</v>
      </c>
      <c r="K126" s="3">
        <f>Analyzed!Z127/Analyzed!$CR127</f>
        <v>0</v>
      </c>
      <c r="L126" s="3">
        <f>Analyzed!AB127/Analyzed!$CR127</f>
        <v>0</v>
      </c>
      <c r="M126" s="3">
        <f>Analyzed!AD127/Analyzed!$CR127</f>
        <v>0</v>
      </c>
      <c r="N126" s="3">
        <f>Analyzed!AF127/Analyzed!$CR127</f>
        <v>0</v>
      </c>
      <c r="O126" s="3">
        <f>Analyzed!AH127/Analyzed!$CR127</f>
        <v>7.462686567164179E-3</v>
      </c>
      <c r="P126" s="3">
        <f>Analyzed!AJ127/Analyzed!$CR127</f>
        <v>0</v>
      </c>
      <c r="Q126" s="3">
        <f>Analyzed!AL127/Analyzed!$CR127</f>
        <v>0</v>
      </c>
      <c r="R126" s="3">
        <f>Analyzed!AN127/Analyzed!$CR127</f>
        <v>0</v>
      </c>
      <c r="S126" s="3">
        <f>Analyzed!AP127/Analyzed!$CR127</f>
        <v>0</v>
      </c>
      <c r="T126" s="3">
        <f>Analyzed!AR127/Analyzed!$CR127</f>
        <v>0</v>
      </c>
      <c r="U126" s="3">
        <f>Analyzed!AT127/Analyzed!$CR127</f>
        <v>0</v>
      </c>
      <c r="V126" s="3">
        <f>Analyzed!AV127/Analyzed!$CR127</f>
        <v>0</v>
      </c>
      <c r="W126" s="3">
        <f>Analyzed!AX127/Analyzed!$CR127</f>
        <v>0</v>
      </c>
      <c r="X126" s="3">
        <f>Analyzed!AZ127/Analyzed!$CR127</f>
        <v>0</v>
      </c>
      <c r="Y126" s="3">
        <f>Analyzed!BB127/Analyzed!$CR127</f>
        <v>0</v>
      </c>
      <c r="Z126" s="3">
        <f>Analyzed!BD127/Analyzed!$CR127</f>
        <v>0</v>
      </c>
      <c r="AA126" s="3">
        <f>Analyzed!BF127/Analyzed!$CR127</f>
        <v>0</v>
      </c>
    </row>
    <row r="127" spans="2:27" x14ac:dyDescent="0.25">
      <c r="B127" s="3">
        <f>Analyzed!D128/Analyzed!$CR128</f>
        <v>3.5714285714285712E-2</v>
      </c>
      <c r="C127" s="3">
        <f>Analyzed!F128/Analyzed!$CR128</f>
        <v>0.16666666666666666</v>
      </c>
      <c r="D127" s="3">
        <f>Analyzed!H128/Analyzed!$CR128</f>
        <v>0</v>
      </c>
      <c r="E127" s="3">
        <f>Analyzed!J128/Analyzed!$CR128</f>
        <v>1.1904761904761904E-2</v>
      </c>
      <c r="F127" s="3">
        <f>Analyzed!L128/Analyzed!$CR128</f>
        <v>0</v>
      </c>
      <c r="G127" s="3">
        <f>Analyzed!N128/Analyzed!$CR128</f>
        <v>0</v>
      </c>
      <c r="H127" s="3">
        <f>Analyzed!P128/Analyzed!$CR128</f>
        <v>3.5714285714285712E-2</v>
      </c>
      <c r="I127" s="3">
        <f>Analyzed!R128/Analyzed!$CR128</f>
        <v>3.5714285714285712E-2</v>
      </c>
      <c r="J127" s="3">
        <f>Analyzed!X128/Analyzed!$CR128</f>
        <v>8.3333333333333329E-2</v>
      </c>
      <c r="K127" s="3">
        <f>Analyzed!Z128/Analyzed!$CR128</f>
        <v>0</v>
      </c>
      <c r="L127" s="3">
        <f>Analyzed!AB128/Analyzed!$CR128</f>
        <v>0</v>
      </c>
      <c r="M127" s="3">
        <f>Analyzed!AD128/Analyzed!$CR128</f>
        <v>0</v>
      </c>
      <c r="N127" s="3">
        <f>Analyzed!AF128/Analyzed!$CR128</f>
        <v>0</v>
      </c>
      <c r="O127" s="3">
        <f>Analyzed!AH128/Analyzed!$CR128</f>
        <v>9.5238095238095233E-2</v>
      </c>
      <c r="P127" s="3">
        <f>Analyzed!AJ128/Analyzed!$CR128</f>
        <v>0</v>
      </c>
      <c r="Q127" s="3">
        <f>Analyzed!AL128/Analyzed!$CR128</f>
        <v>4.7619047619047616E-2</v>
      </c>
      <c r="R127" s="3">
        <f>Analyzed!AN128/Analyzed!$CR128</f>
        <v>0</v>
      </c>
      <c r="S127" s="3">
        <f>Analyzed!AP128/Analyzed!$CR128</f>
        <v>0</v>
      </c>
      <c r="T127" s="3">
        <f>Analyzed!AR128/Analyzed!$CR128</f>
        <v>0</v>
      </c>
      <c r="U127" s="3">
        <f>Analyzed!AT128/Analyzed!$CR128</f>
        <v>0</v>
      </c>
      <c r="V127" s="3">
        <f>Analyzed!AV128/Analyzed!$CR128</f>
        <v>0</v>
      </c>
      <c r="W127" s="3">
        <f>Analyzed!AX128/Analyzed!$CR128</f>
        <v>0</v>
      </c>
      <c r="X127" s="3">
        <f>Analyzed!AZ128/Analyzed!$CR128</f>
        <v>8.3333333333333329E-2</v>
      </c>
      <c r="Y127" s="3">
        <f>Analyzed!BB128/Analyzed!$CR128</f>
        <v>0</v>
      </c>
      <c r="Z127" s="3">
        <f>Analyzed!BD128/Analyzed!$CR128</f>
        <v>0</v>
      </c>
      <c r="AA127" s="3">
        <f>Analyzed!BF128/Analyzed!$CR128</f>
        <v>0</v>
      </c>
    </row>
    <row r="128" spans="2:27" x14ac:dyDescent="0.25">
      <c r="B128" s="3">
        <f>Analyzed!D129/Analyzed!$CR129</f>
        <v>1.1111111111111112E-2</v>
      </c>
      <c r="C128" s="3">
        <f>Analyzed!F129/Analyzed!$CR129</f>
        <v>0.1</v>
      </c>
      <c r="D128" s="3">
        <f>Analyzed!H129/Analyzed!$CR129</f>
        <v>0</v>
      </c>
      <c r="E128" s="3">
        <f>Analyzed!J129/Analyzed!$CR129</f>
        <v>0</v>
      </c>
      <c r="F128" s="3">
        <f>Analyzed!L129/Analyzed!$CR129</f>
        <v>0</v>
      </c>
      <c r="G128" s="3">
        <f>Analyzed!N129/Analyzed!$CR129</f>
        <v>0</v>
      </c>
      <c r="H128" s="3">
        <f>Analyzed!P129/Analyzed!$CR129</f>
        <v>3.3333333333333333E-2</v>
      </c>
      <c r="I128" s="3">
        <f>Analyzed!R129/Analyzed!$CR129</f>
        <v>4.4444444444444446E-2</v>
      </c>
      <c r="J128" s="3">
        <f>Analyzed!X129/Analyzed!$CR129</f>
        <v>6.6666666666666666E-2</v>
      </c>
      <c r="K128" s="3">
        <f>Analyzed!Z129/Analyzed!$CR129</f>
        <v>0</v>
      </c>
      <c r="L128" s="3">
        <f>Analyzed!AB129/Analyzed!$CR129</f>
        <v>0</v>
      </c>
      <c r="M128" s="3">
        <f>Analyzed!AD129/Analyzed!$CR129</f>
        <v>0</v>
      </c>
      <c r="N128" s="3">
        <f>Analyzed!AF129/Analyzed!$CR129</f>
        <v>0</v>
      </c>
      <c r="O128" s="3">
        <f>Analyzed!AH129/Analyzed!$CR129</f>
        <v>3.3333333333333333E-2</v>
      </c>
      <c r="P128" s="3">
        <f>Analyzed!AJ129/Analyzed!$CR129</f>
        <v>0</v>
      </c>
      <c r="Q128" s="3">
        <f>Analyzed!AL129/Analyzed!$CR129</f>
        <v>0.12222222222222223</v>
      </c>
      <c r="R128" s="3">
        <f>Analyzed!AN129/Analyzed!$CR129</f>
        <v>0</v>
      </c>
      <c r="S128" s="3">
        <f>Analyzed!AP129/Analyzed!$CR129</f>
        <v>0</v>
      </c>
      <c r="T128" s="3">
        <f>Analyzed!AR129/Analyzed!$CR129</f>
        <v>0</v>
      </c>
      <c r="U128" s="3">
        <f>Analyzed!AT129/Analyzed!$CR129</f>
        <v>0</v>
      </c>
      <c r="V128" s="3">
        <f>Analyzed!AV129/Analyzed!$CR129</f>
        <v>0</v>
      </c>
      <c r="W128" s="3">
        <f>Analyzed!AX129/Analyzed!$CR129</f>
        <v>0</v>
      </c>
      <c r="X128" s="3">
        <f>Analyzed!AZ129/Analyzed!$CR129</f>
        <v>0.11111111111111112</v>
      </c>
      <c r="Y128" s="3">
        <f>Analyzed!BB129/Analyzed!$CR129</f>
        <v>0</v>
      </c>
      <c r="Z128" s="3">
        <f>Analyzed!BD129/Analyzed!$CR129</f>
        <v>0</v>
      </c>
      <c r="AA128" s="3">
        <f>Analyzed!BF129/Analyzed!$CR129</f>
        <v>0</v>
      </c>
    </row>
    <row r="129" spans="2:27" x14ac:dyDescent="0.25">
      <c r="B129" s="3">
        <f>Analyzed!D130/Analyzed!$CR130</f>
        <v>0</v>
      </c>
      <c r="C129" s="3">
        <f>Analyzed!F130/Analyzed!$CR130</f>
        <v>8.2568807339449546E-2</v>
      </c>
      <c r="D129" s="3">
        <f>Analyzed!H130/Analyzed!$CR130</f>
        <v>0</v>
      </c>
      <c r="E129" s="3">
        <f>Analyzed!J130/Analyzed!$CR130</f>
        <v>0</v>
      </c>
      <c r="F129" s="3">
        <f>Analyzed!L130/Analyzed!$CR130</f>
        <v>0</v>
      </c>
      <c r="G129" s="3">
        <f>Analyzed!N130/Analyzed!$CR130</f>
        <v>0</v>
      </c>
      <c r="H129" s="3">
        <f>Analyzed!P130/Analyzed!$CR130</f>
        <v>0</v>
      </c>
      <c r="I129" s="3">
        <f>Analyzed!R130/Analyzed!$CR130</f>
        <v>1.834862385321101E-2</v>
      </c>
      <c r="J129" s="3">
        <f>Analyzed!X130/Analyzed!$CR130</f>
        <v>0.21100917431192662</v>
      </c>
      <c r="K129" s="3">
        <f>Analyzed!Z130/Analyzed!$CR130</f>
        <v>0</v>
      </c>
      <c r="L129" s="3">
        <f>Analyzed!AB130/Analyzed!$CR130</f>
        <v>0</v>
      </c>
      <c r="M129" s="3">
        <f>Analyzed!AD130/Analyzed!$CR130</f>
        <v>0</v>
      </c>
      <c r="N129" s="3">
        <f>Analyzed!AF130/Analyzed!$CR130</f>
        <v>0</v>
      </c>
      <c r="O129" s="3">
        <f>Analyzed!AH130/Analyzed!$CR130</f>
        <v>5.5045871559633024E-2</v>
      </c>
      <c r="P129" s="3">
        <f>Analyzed!AJ130/Analyzed!$CR130</f>
        <v>0</v>
      </c>
      <c r="Q129" s="3">
        <f>Analyzed!AL130/Analyzed!$CR130</f>
        <v>0</v>
      </c>
      <c r="R129" s="3">
        <f>Analyzed!AN130/Analyzed!$CR130</f>
        <v>0</v>
      </c>
      <c r="S129" s="3">
        <f>Analyzed!AP130/Analyzed!$CR130</f>
        <v>0</v>
      </c>
      <c r="T129" s="3">
        <f>Analyzed!AR130/Analyzed!$CR130</f>
        <v>0</v>
      </c>
      <c r="U129" s="3">
        <f>Analyzed!AT130/Analyzed!$CR130</f>
        <v>0</v>
      </c>
      <c r="V129" s="3">
        <f>Analyzed!AV130/Analyzed!$CR130</f>
        <v>0</v>
      </c>
      <c r="W129" s="3">
        <f>Analyzed!AX130/Analyzed!$CR130</f>
        <v>0</v>
      </c>
      <c r="X129" s="3">
        <f>Analyzed!AZ130/Analyzed!$CR130</f>
        <v>0</v>
      </c>
      <c r="Y129" s="3">
        <f>Analyzed!BB130/Analyzed!$CR130</f>
        <v>9.1743119266055051E-3</v>
      </c>
      <c r="Z129" s="3">
        <f>Analyzed!BD130/Analyzed!$CR130</f>
        <v>0</v>
      </c>
      <c r="AA129" s="3">
        <f>Analyzed!BF130/Analyzed!$CR130</f>
        <v>0</v>
      </c>
    </row>
    <row r="130" spans="2:27" x14ac:dyDescent="0.25">
      <c r="B130" s="3">
        <f>Analyzed!D131/Analyzed!$CR131</f>
        <v>0.37142857142857139</v>
      </c>
      <c r="C130" s="3">
        <f>Analyzed!F131/Analyzed!$CR131</f>
        <v>0</v>
      </c>
      <c r="D130" s="3">
        <f>Analyzed!H131/Analyzed!$CR131</f>
        <v>0</v>
      </c>
      <c r="E130" s="3">
        <f>Analyzed!J131/Analyzed!$CR131</f>
        <v>0.11428571428571428</v>
      </c>
      <c r="F130" s="3">
        <f>Analyzed!L131/Analyzed!$CR131</f>
        <v>0</v>
      </c>
      <c r="G130" s="3">
        <f>Analyzed!N131/Analyzed!$CR131</f>
        <v>0</v>
      </c>
      <c r="H130" s="3">
        <f>Analyzed!P131/Analyzed!$CR131</f>
        <v>0</v>
      </c>
      <c r="I130" s="3">
        <f>Analyzed!R131/Analyzed!$CR131</f>
        <v>0</v>
      </c>
      <c r="J130" s="3">
        <f>Analyzed!X131/Analyzed!$CR131</f>
        <v>0</v>
      </c>
      <c r="K130" s="3">
        <f>Analyzed!Z131/Analyzed!$CR131</f>
        <v>0</v>
      </c>
      <c r="L130" s="3">
        <f>Analyzed!AB131/Analyzed!$CR131</f>
        <v>0</v>
      </c>
      <c r="M130" s="3">
        <f>Analyzed!AD131/Analyzed!$CR131</f>
        <v>0</v>
      </c>
      <c r="N130" s="3">
        <f>Analyzed!AF131/Analyzed!$CR131</f>
        <v>8.5714285714285715E-2</v>
      </c>
      <c r="O130" s="3">
        <f>Analyzed!AH131/Analyzed!$CR131</f>
        <v>0</v>
      </c>
      <c r="P130" s="3">
        <f>Analyzed!AJ131/Analyzed!$CR131</f>
        <v>0</v>
      </c>
      <c r="Q130" s="3">
        <f>Analyzed!AL131/Analyzed!$CR131</f>
        <v>0</v>
      </c>
      <c r="R130" s="3">
        <f>Analyzed!AN131/Analyzed!$CR131</f>
        <v>0</v>
      </c>
      <c r="S130" s="3">
        <f>Analyzed!AP131/Analyzed!$CR131</f>
        <v>0</v>
      </c>
      <c r="T130" s="3">
        <f>Analyzed!AR131/Analyzed!$CR131</f>
        <v>0</v>
      </c>
      <c r="U130" s="3">
        <f>Analyzed!AT131/Analyzed!$CR131</f>
        <v>0</v>
      </c>
      <c r="V130" s="3">
        <f>Analyzed!AV131/Analyzed!$CR131</f>
        <v>0</v>
      </c>
      <c r="W130" s="3">
        <f>Analyzed!AX131/Analyzed!$CR131</f>
        <v>0</v>
      </c>
      <c r="X130" s="3">
        <f>Analyzed!AZ131/Analyzed!$CR131</f>
        <v>0.14285714285714285</v>
      </c>
      <c r="Y130" s="3">
        <f>Analyzed!BB131/Analyzed!$CR131</f>
        <v>0</v>
      </c>
      <c r="Z130" s="3">
        <f>Analyzed!BD131/Analyzed!$CR131</f>
        <v>0</v>
      </c>
      <c r="AA130" s="3">
        <f>Analyzed!BF131/Analyzed!$CR131</f>
        <v>0</v>
      </c>
    </row>
    <row r="131" spans="2:27" x14ac:dyDescent="0.25">
      <c r="B131" s="3">
        <f>Analyzed!D132/Analyzed!$CR132</f>
        <v>0</v>
      </c>
      <c r="C131" s="3">
        <f>Analyzed!F132/Analyzed!$CR132</f>
        <v>0</v>
      </c>
      <c r="D131" s="3">
        <f>Analyzed!H132/Analyzed!$CR132</f>
        <v>0</v>
      </c>
      <c r="E131" s="3">
        <f>Analyzed!J132/Analyzed!$CR132</f>
        <v>0</v>
      </c>
      <c r="F131" s="3">
        <f>Analyzed!L132/Analyzed!$CR132</f>
        <v>8.943089430894309E-2</v>
      </c>
      <c r="G131" s="3">
        <f>Analyzed!N132/Analyzed!$CR132</f>
        <v>0</v>
      </c>
      <c r="H131" s="3">
        <f>Analyzed!P132/Analyzed!$CR132</f>
        <v>0</v>
      </c>
      <c r="I131" s="3">
        <f>Analyzed!R132/Analyzed!$CR132</f>
        <v>8.1300813008130073E-3</v>
      </c>
      <c r="J131" s="3">
        <f>Analyzed!X132/Analyzed!$CR132</f>
        <v>0.70731707317073156</v>
      </c>
      <c r="K131" s="3">
        <f>Analyzed!Z132/Analyzed!$CR132</f>
        <v>0</v>
      </c>
      <c r="L131" s="3">
        <f>Analyzed!AB132/Analyzed!$CR132</f>
        <v>0</v>
      </c>
      <c r="M131" s="3">
        <f>Analyzed!AD132/Analyzed!$CR132</f>
        <v>0</v>
      </c>
      <c r="N131" s="3">
        <f>Analyzed!AF132/Analyzed!$CR132</f>
        <v>0</v>
      </c>
      <c r="O131" s="3">
        <f>Analyzed!AH132/Analyzed!$CR132</f>
        <v>1.6260162601626015E-2</v>
      </c>
      <c r="P131" s="3">
        <f>Analyzed!AJ132/Analyzed!$CR132</f>
        <v>0</v>
      </c>
      <c r="Q131" s="3">
        <f>Analyzed!AL132/Analyzed!$CR132</f>
        <v>4.8780487804878044E-2</v>
      </c>
      <c r="R131" s="3">
        <f>Analyzed!AN132/Analyzed!$CR132</f>
        <v>0</v>
      </c>
      <c r="S131" s="3">
        <f>Analyzed!AP132/Analyzed!$CR132</f>
        <v>0</v>
      </c>
      <c r="T131" s="3">
        <f>Analyzed!AR132/Analyzed!$CR132</f>
        <v>0</v>
      </c>
      <c r="U131" s="3">
        <f>Analyzed!AT132/Analyzed!$CR132</f>
        <v>0</v>
      </c>
      <c r="V131" s="3">
        <f>Analyzed!AV132/Analyzed!$CR132</f>
        <v>0</v>
      </c>
      <c r="W131" s="3">
        <f>Analyzed!AX132/Analyzed!$CR132</f>
        <v>0</v>
      </c>
      <c r="X131" s="3">
        <f>Analyzed!AZ132/Analyzed!$CR132</f>
        <v>4.065040650406504E-2</v>
      </c>
      <c r="Y131" s="3">
        <f>Analyzed!BB132/Analyzed!$CR132</f>
        <v>0</v>
      </c>
      <c r="Z131" s="3">
        <f>Analyzed!BD132/Analyzed!$CR132</f>
        <v>0</v>
      </c>
      <c r="AA131" s="3">
        <f>Analyzed!BF132/Analyzed!$CR132</f>
        <v>3.2520325203252029E-2</v>
      </c>
    </row>
    <row r="132" spans="2:27" x14ac:dyDescent="0.25">
      <c r="B132" s="3">
        <f>Analyzed!D133/Analyzed!$CR133</f>
        <v>0</v>
      </c>
      <c r="C132" s="3">
        <f>Analyzed!F133/Analyzed!$CR133</f>
        <v>0</v>
      </c>
      <c r="D132" s="3">
        <f>Analyzed!H133/Analyzed!$CR133</f>
        <v>0</v>
      </c>
      <c r="E132" s="3">
        <f>Analyzed!J133/Analyzed!$CR133</f>
        <v>0</v>
      </c>
      <c r="F132" s="3">
        <f>Analyzed!L133/Analyzed!$CR133</f>
        <v>2.1929824561403514E-2</v>
      </c>
      <c r="G132" s="3">
        <f>Analyzed!N133/Analyzed!$CR133</f>
        <v>0</v>
      </c>
      <c r="H132" s="3">
        <f>Analyzed!P133/Analyzed!$CR133</f>
        <v>0</v>
      </c>
      <c r="I132" s="3">
        <f>Analyzed!R133/Analyzed!$CR133</f>
        <v>0</v>
      </c>
      <c r="J132" s="3">
        <f>Analyzed!X133/Analyzed!$CR133</f>
        <v>0.89473684210526327</v>
      </c>
      <c r="K132" s="3">
        <f>Analyzed!Z133/Analyzed!$CR133</f>
        <v>0</v>
      </c>
      <c r="L132" s="3">
        <f>Analyzed!AB133/Analyzed!$CR133</f>
        <v>0</v>
      </c>
      <c r="M132" s="3">
        <f>Analyzed!AD133/Analyzed!$CR133</f>
        <v>0</v>
      </c>
      <c r="N132" s="3">
        <f>Analyzed!AF133/Analyzed!$CR133</f>
        <v>8.7719298245614048E-3</v>
      </c>
      <c r="O132" s="3">
        <f>Analyzed!AH133/Analyzed!$CR133</f>
        <v>0</v>
      </c>
      <c r="P132" s="3">
        <f>Analyzed!AJ133/Analyzed!$CR133</f>
        <v>0</v>
      </c>
      <c r="Q132" s="3">
        <f>Analyzed!AL133/Analyzed!$CR133</f>
        <v>8.7719298245614048E-3</v>
      </c>
      <c r="R132" s="3">
        <f>Analyzed!AN133/Analyzed!$CR133</f>
        <v>0</v>
      </c>
      <c r="S132" s="3">
        <f>Analyzed!AP133/Analyzed!$CR133</f>
        <v>0</v>
      </c>
      <c r="T132" s="3">
        <f>Analyzed!AR133/Analyzed!$CR133</f>
        <v>0</v>
      </c>
      <c r="U132" s="3">
        <f>Analyzed!AT133/Analyzed!$CR133</f>
        <v>0</v>
      </c>
      <c r="V132" s="3">
        <f>Analyzed!AV133/Analyzed!$CR133</f>
        <v>0</v>
      </c>
      <c r="W132" s="3">
        <f>Analyzed!AX133/Analyzed!$CR133</f>
        <v>0</v>
      </c>
      <c r="X132" s="3">
        <f>Analyzed!AZ133/Analyzed!$CR133</f>
        <v>2.1929824561403514E-2</v>
      </c>
      <c r="Y132" s="3">
        <f>Analyzed!BB133/Analyzed!$CR133</f>
        <v>0</v>
      </c>
      <c r="Z132" s="3">
        <f>Analyzed!BD133/Analyzed!$CR133</f>
        <v>0</v>
      </c>
      <c r="AA132" s="3">
        <f>Analyzed!BF133/Analyzed!$CR133</f>
        <v>4.3859649122807024E-3</v>
      </c>
    </row>
    <row r="133" spans="2:27" x14ac:dyDescent="0.25">
      <c r="B133" s="3">
        <f>Analyzed!D134/Analyzed!$CR134</f>
        <v>7.7519379844961248E-3</v>
      </c>
      <c r="C133" s="3">
        <f>Analyzed!F134/Analyzed!$CR134</f>
        <v>0</v>
      </c>
      <c r="D133" s="3">
        <f>Analyzed!H134/Analyzed!$CR134</f>
        <v>0</v>
      </c>
      <c r="E133" s="3">
        <f>Analyzed!J134/Analyzed!$CR134</f>
        <v>0</v>
      </c>
      <c r="F133" s="3">
        <f>Analyzed!L134/Analyzed!$CR134</f>
        <v>2.3255813953488372E-2</v>
      </c>
      <c r="G133" s="3">
        <f>Analyzed!N134/Analyzed!$CR134</f>
        <v>0</v>
      </c>
      <c r="H133" s="3">
        <f>Analyzed!P134/Analyzed!$CR134</f>
        <v>0</v>
      </c>
      <c r="I133" s="3">
        <f>Analyzed!R134/Analyzed!$CR134</f>
        <v>7.7519379844961248E-3</v>
      </c>
      <c r="J133" s="3">
        <f>Analyzed!X134/Analyzed!$CR134</f>
        <v>0.65116279069767458</v>
      </c>
      <c r="K133" s="3">
        <f>Analyzed!Z134/Analyzed!$CR134</f>
        <v>0</v>
      </c>
      <c r="L133" s="3">
        <f>Analyzed!AB134/Analyzed!$CR134</f>
        <v>0</v>
      </c>
      <c r="M133" s="3">
        <f>Analyzed!AD134/Analyzed!$CR134</f>
        <v>0</v>
      </c>
      <c r="N133" s="3">
        <f>Analyzed!AF134/Analyzed!$CR134</f>
        <v>7.7519379844961248E-3</v>
      </c>
      <c r="O133" s="3">
        <f>Analyzed!AH134/Analyzed!$CR134</f>
        <v>7.7519379844961248E-3</v>
      </c>
      <c r="P133" s="3">
        <f>Analyzed!AJ134/Analyzed!$CR134</f>
        <v>0</v>
      </c>
      <c r="Q133" s="3">
        <f>Analyzed!AL134/Analyzed!$CR134</f>
        <v>0.16279069767441864</v>
      </c>
      <c r="R133" s="3">
        <f>Analyzed!AN134/Analyzed!$CR134</f>
        <v>0</v>
      </c>
      <c r="S133" s="3">
        <f>Analyzed!AP134/Analyzed!$CR134</f>
        <v>0</v>
      </c>
      <c r="T133" s="3">
        <f>Analyzed!AR134/Analyzed!$CR134</f>
        <v>0</v>
      </c>
      <c r="U133" s="3">
        <f>Analyzed!AT134/Analyzed!$CR134</f>
        <v>0</v>
      </c>
      <c r="V133" s="3">
        <f>Analyzed!AV134/Analyzed!$CR134</f>
        <v>0</v>
      </c>
      <c r="W133" s="3">
        <f>Analyzed!AX134/Analyzed!$CR134</f>
        <v>0</v>
      </c>
      <c r="X133" s="3">
        <f>Analyzed!AZ134/Analyzed!$CR134</f>
        <v>3.8759689922480627E-2</v>
      </c>
      <c r="Y133" s="3">
        <f>Analyzed!BB134/Analyzed!$CR134</f>
        <v>0</v>
      </c>
      <c r="Z133" s="3">
        <f>Analyzed!BD134/Analyzed!$CR134</f>
        <v>0</v>
      </c>
      <c r="AA133" s="3">
        <f>Analyzed!BF134/Analyzed!$CR134</f>
        <v>3.1007751937984499E-2</v>
      </c>
    </row>
    <row r="134" spans="2:27" x14ac:dyDescent="0.25"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</sheetData>
  <phoneticPr fontId="1" type="noConversion"/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AE04C6-930E-4A06-9811-6EE0DE34ACEE}">
  <dimension ref="A1:AA133"/>
  <sheetViews>
    <sheetView topLeftCell="A81" workbookViewId="0">
      <selection activeCell="B100" sqref="B100:AA133"/>
    </sheetView>
  </sheetViews>
  <sheetFormatPr defaultRowHeight="15" x14ac:dyDescent="0.25"/>
  <sheetData>
    <row r="1" spans="1:27" x14ac:dyDescent="0.25">
      <c r="A1" t="s">
        <v>0</v>
      </c>
      <c r="B1" t="s">
        <v>4</v>
      </c>
      <c r="C1" t="s">
        <v>26</v>
      </c>
      <c r="D1" t="s">
        <v>9</v>
      </c>
      <c r="E1" t="s">
        <v>5</v>
      </c>
      <c r="F1" t="s">
        <v>6</v>
      </c>
      <c r="G1" t="s">
        <v>7</v>
      </c>
      <c r="H1" t="s">
        <v>69</v>
      </c>
      <c r="I1" t="s">
        <v>8</v>
      </c>
      <c r="J1" t="s">
        <v>10</v>
      </c>
      <c r="K1" t="s">
        <v>39</v>
      </c>
      <c r="L1" t="s">
        <v>28</v>
      </c>
      <c r="M1" t="s">
        <v>29</v>
      </c>
      <c r="N1" t="s">
        <v>30</v>
      </c>
      <c r="O1" t="s">
        <v>36</v>
      </c>
      <c r="P1" t="s">
        <v>58</v>
      </c>
      <c r="Q1" t="s">
        <v>68</v>
      </c>
      <c r="R1" t="s">
        <v>81</v>
      </c>
      <c r="S1" t="s">
        <v>82</v>
      </c>
      <c r="T1" t="s">
        <v>98</v>
      </c>
      <c r="U1" t="s">
        <v>102</v>
      </c>
      <c r="V1" t="s">
        <v>112</v>
      </c>
      <c r="X1" t="s">
        <v>119</v>
      </c>
      <c r="Y1" t="s">
        <v>126</v>
      </c>
      <c r="Z1" t="s">
        <v>127</v>
      </c>
    </row>
    <row r="2" spans="1:27" x14ac:dyDescent="0.25">
      <c r="A2" t="s">
        <v>11</v>
      </c>
      <c r="B2" s="3">
        <f>p!B2^2</f>
        <v>0.60732461355529133</v>
      </c>
      <c r="C2" s="3">
        <f>p!C2^2</f>
        <v>3.9999999999999994E-2</v>
      </c>
      <c r="D2" s="3">
        <f>p!D2^2</f>
        <v>0</v>
      </c>
      <c r="E2" s="3">
        <f>p!E2^2</f>
        <v>0</v>
      </c>
      <c r="F2" s="3">
        <f>p!F2^2</f>
        <v>0</v>
      </c>
      <c r="G2" s="3">
        <f>p!G2^2</f>
        <v>0</v>
      </c>
      <c r="H2" s="3">
        <f>p!H2^2</f>
        <v>0</v>
      </c>
      <c r="I2" s="3">
        <f>p!I2^2</f>
        <v>0</v>
      </c>
      <c r="J2" s="3">
        <f>p!J2^2</f>
        <v>4.2806183115338882E-4</v>
      </c>
      <c r="K2" s="3">
        <f>p!K2^2</f>
        <v>0</v>
      </c>
      <c r="L2" s="3">
        <f>p!L2^2</f>
        <v>0</v>
      </c>
      <c r="M2" s="3">
        <f>p!M2^2</f>
        <v>0</v>
      </c>
      <c r="N2" s="3">
        <f>p!N2^2</f>
        <v>0</v>
      </c>
      <c r="O2" s="3">
        <f>p!O2^2</f>
        <v>0</v>
      </c>
      <c r="P2" s="3">
        <f>p!P2^2</f>
        <v>0</v>
      </c>
      <c r="Q2" s="3">
        <f>p!Q2^2</f>
        <v>0</v>
      </c>
      <c r="R2" s="3">
        <f>p!R2^2</f>
        <v>0</v>
      </c>
      <c r="S2" s="3">
        <f>p!S2^2</f>
        <v>0</v>
      </c>
      <c r="T2" s="3">
        <f>p!T2^2</f>
        <v>0</v>
      </c>
      <c r="U2" s="3">
        <f>p!U2^2</f>
        <v>0</v>
      </c>
      <c r="V2" s="3">
        <f>p!V2^2</f>
        <v>0</v>
      </c>
      <c r="W2" s="3">
        <f>p!W2^2</f>
        <v>0</v>
      </c>
      <c r="X2" s="3">
        <f>p!X2^2</f>
        <v>0</v>
      </c>
      <c r="Y2" s="3">
        <f>p!Y2^2</f>
        <v>0</v>
      </c>
      <c r="Z2" s="3">
        <f>p!Z2^2</f>
        <v>0</v>
      </c>
      <c r="AA2" s="3">
        <f>p!AA2^2</f>
        <v>0</v>
      </c>
    </row>
    <row r="3" spans="1:27" x14ac:dyDescent="0.25">
      <c r="A3" t="s">
        <v>12</v>
      </c>
      <c r="B3" s="3">
        <f>p!B3^2</f>
        <v>0.49462625286801121</v>
      </c>
      <c r="C3" s="3">
        <f>p!C3^2</f>
        <v>8.8032846274604518E-2</v>
      </c>
      <c r="D3" s="3">
        <f>p!D3^2</f>
        <v>0</v>
      </c>
      <c r="E3" s="3">
        <f>p!E3^2</f>
        <v>0</v>
      </c>
      <c r="F3" s="3">
        <f>p!F3^2</f>
        <v>0</v>
      </c>
      <c r="G3" s="3">
        <f>p!G3^2</f>
        <v>0</v>
      </c>
      <c r="H3" s="3">
        <f>p!H3^2</f>
        <v>0</v>
      </c>
      <c r="I3" s="3">
        <f>p!I3^2</f>
        <v>0</v>
      </c>
      <c r="J3" s="3">
        <f>p!J3^2</f>
        <v>0</v>
      </c>
      <c r="K3" s="3">
        <f>p!K3^2</f>
        <v>0</v>
      </c>
      <c r="L3" s="3">
        <f>p!L3^2</f>
        <v>0</v>
      </c>
      <c r="M3" s="3">
        <f>p!M3^2</f>
        <v>0</v>
      </c>
      <c r="N3" s="3">
        <f>p!N3^2</f>
        <v>0</v>
      </c>
      <c r="O3" s="3">
        <f>p!O3^2</f>
        <v>0</v>
      </c>
      <c r="P3" s="3">
        <f>p!P3^2</f>
        <v>0</v>
      </c>
      <c r="Q3" s="3">
        <f>p!Q3^2</f>
        <v>0</v>
      </c>
      <c r="R3" s="3">
        <f>p!R3^2</f>
        <v>0</v>
      </c>
      <c r="S3" s="3">
        <f>p!S3^2</f>
        <v>0</v>
      </c>
      <c r="T3" s="3">
        <f>p!T3^2</f>
        <v>0</v>
      </c>
      <c r="U3" s="3">
        <f>p!U3^2</f>
        <v>0</v>
      </c>
      <c r="V3" s="3">
        <f>p!V3^2</f>
        <v>0</v>
      </c>
      <c r="W3" s="3">
        <f>p!W3^2</f>
        <v>0</v>
      </c>
      <c r="X3" s="3">
        <f>p!X3^2</f>
        <v>0</v>
      </c>
      <c r="Y3" s="3">
        <f>p!Y3^2</f>
        <v>0</v>
      </c>
      <c r="Z3" s="3">
        <f>p!Z3^2</f>
        <v>0</v>
      </c>
      <c r="AA3" s="3">
        <f>p!AA3^2</f>
        <v>0</v>
      </c>
    </row>
    <row r="4" spans="1:27" x14ac:dyDescent="0.25">
      <c r="A4" t="s">
        <v>13</v>
      </c>
      <c r="B4" s="3">
        <f>p!B4^2</f>
        <v>0.89197530864197527</v>
      </c>
      <c r="C4" s="3">
        <f>p!C4^2</f>
        <v>1.5747039556563364E-3</v>
      </c>
      <c r="D4" s="3">
        <f>p!D4^2</f>
        <v>0</v>
      </c>
      <c r="E4" s="3">
        <f>p!E4^2</f>
        <v>0</v>
      </c>
      <c r="F4" s="3">
        <f>p!F4^2</f>
        <v>0</v>
      </c>
      <c r="G4" s="3">
        <f>p!G4^2</f>
        <v>0</v>
      </c>
      <c r="H4" s="3">
        <f>p!H4^2</f>
        <v>0</v>
      </c>
      <c r="I4" s="3">
        <f>p!I4^2</f>
        <v>0</v>
      </c>
      <c r="J4" s="3">
        <f>p!J4^2</f>
        <v>2.5195263290501383E-4</v>
      </c>
      <c r="K4" s="3">
        <f>p!K4^2</f>
        <v>0</v>
      </c>
      <c r="L4" s="3">
        <f>p!L4^2</f>
        <v>0</v>
      </c>
      <c r="M4" s="3">
        <f>p!M4^2</f>
        <v>0</v>
      </c>
      <c r="N4" s="3">
        <f>p!N4^2</f>
        <v>0</v>
      </c>
      <c r="O4" s="3">
        <f>p!O4^2</f>
        <v>0</v>
      </c>
      <c r="P4" s="3">
        <f>p!P4^2</f>
        <v>0</v>
      </c>
      <c r="Q4" s="3">
        <f>p!Q4^2</f>
        <v>0</v>
      </c>
      <c r="R4" s="3">
        <f>p!R4^2</f>
        <v>0</v>
      </c>
      <c r="S4" s="3">
        <f>p!S4^2</f>
        <v>0</v>
      </c>
      <c r="T4" s="3">
        <f>p!T4^2</f>
        <v>0</v>
      </c>
      <c r="U4" s="3">
        <f>p!U4^2</f>
        <v>0</v>
      </c>
      <c r="V4" s="3">
        <f>p!V4^2</f>
        <v>0</v>
      </c>
      <c r="W4" s="3">
        <f>p!W4^2</f>
        <v>0</v>
      </c>
      <c r="X4" s="3">
        <f>p!X4^2</f>
        <v>0</v>
      </c>
      <c r="Y4" s="3">
        <f>p!Y4^2</f>
        <v>0</v>
      </c>
      <c r="Z4" s="3">
        <f>p!Z4^2</f>
        <v>0</v>
      </c>
      <c r="AA4" s="3">
        <f>p!AA4^2</f>
        <v>0</v>
      </c>
    </row>
    <row r="5" spans="1:27" x14ac:dyDescent="0.25">
      <c r="A5" t="s">
        <v>14</v>
      </c>
      <c r="B5" s="3">
        <f>p!B5^2</f>
        <v>0.85687545653761865</v>
      </c>
      <c r="C5" s="3">
        <f>p!C5^2</f>
        <v>7.3046018991964928E-4</v>
      </c>
      <c r="D5" s="3">
        <f>p!D5^2</f>
        <v>4.565376186997808E-5</v>
      </c>
      <c r="E5" s="3">
        <f>p!E5^2</f>
        <v>0</v>
      </c>
      <c r="F5" s="3">
        <f>p!F5^2</f>
        <v>0</v>
      </c>
      <c r="G5" s="3">
        <f>p!G5^2</f>
        <v>0</v>
      </c>
      <c r="H5" s="3">
        <f>p!H5^2</f>
        <v>0</v>
      </c>
      <c r="I5" s="3">
        <f>p!I5^2</f>
        <v>0</v>
      </c>
      <c r="J5" s="3">
        <f>p!J5^2</f>
        <v>0</v>
      </c>
      <c r="K5" s="3">
        <f>p!K5^2</f>
        <v>0</v>
      </c>
      <c r="L5" s="3">
        <f>p!L5^2</f>
        <v>0</v>
      </c>
      <c r="M5" s="3">
        <f>p!M5^2</f>
        <v>1.8261504747991232E-4</v>
      </c>
      <c r="N5" s="3">
        <f>p!N5^2</f>
        <v>0</v>
      </c>
      <c r="O5" s="3">
        <f>p!O5^2</f>
        <v>0</v>
      </c>
      <c r="P5" s="3">
        <f>p!P5^2</f>
        <v>0</v>
      </c>
      <c r="Q5" s="3">
        <f>p!Q5^2</f>
        <v>0</v>
      </c>
      <c r="R5" s="3">
        <f>p!R5^2</f>
        <v>7.3046018991964928E-4</v>
      </c>
      <c r="S5" s="3">
        <f>p!S5^2</f>
        <v>0</v>
      </c>
      <c r="T5" s="3">
        <f>p!T5^2</f>
        <v>0</v>
      </c>
      <c r="U5" s="3">
        <f>p!U5^2</f>
        <v>0</v>
      </c>
      <c r="V5" s="3">
        <f>p!V5^2</f>
        <v>0</v>
      </c>
      <c r="W5" s="3">
        <f>p!W5^2</f>
        <v>0</v>
      </c>
      <c r="X5" s="3">
        <f>p!X5^2</f>
        <v>0</v>
      </c>
      <c r="Y5" s="3">
        <f>p!Y5^2</f>
        <v>0</v>
      </c>
      <c r="Z5" s="3">
        <f>p!Z5^2</f>
        <v>0</v>
      </c>
      <c r="AA5" s="3">
        <f>p!AA5^2</f>
        <v>0</v>
      </c>
    </row>
    <row r="6" spans="1:27" x14ac:dyDescent="0.25">
      <c r="A6" t="s">
        <v>15</v>
      </c>
      <c r="B6" s="3">
        <f>p!B6^2</f>
        <v>0.92629328396041355</v>
      </c>
      <c r="C6" s="3">
        <f>p!C6^2</f>
        <v>1.4106548524322777E-3</v>
      </c>
      <c r="D6" s="3">
        <f>p!D6^2</f>
        <v>0</v>
      </c>
      <c r="E6" s="3">
        <f>p!E6^2</f>
        <v>0</v>
      </c>
      <c r="F6" s="3">
        <f>p!F6^2</f>
        <v>0</v>
      </c>
      <c r="G6" s="3">
        <f>p!G6^2</f>
        <v>0</v>
      </c>
      <c r="H6" s="3">
        <f>p!H6^2</f>
        <v>0</v>
      </c>
      <c r="I6" s="3">
        <f>p!I6^2</f>
        <v>0</v>
      </c>
      <c r="J6" s="3">
        <f>p!J6^2</f>
        <v>0</v>
      </c>
      <c r="K6" s="3">
        <f>p!K6^2</f>
        <v>0</v>
      </c>
      <c r="L6" s="3">
        <f>p!L6^2</f>
        <v>0</v>
      </c>
      <c r="M6" s="3">
        <f>p!M6^2</f>
        <v>0</v>
      </c>
      <c r="N6" s="3">
        <f>p!N6^2</f>
        <v>0</v>
      </c>
      <c r="O6" s="3">
        <f>p!O6^2</f>
        <v>0</v>
      </c>
      <c r="P6" s="3">
        <f>p!P6^2</f>
        <v>0</v>
      </c>
      <c r="Q6" s="3">
        <f>p!Q6^2</f>
        <v>0</v>
      </c>
      <c r="R6" s="3">
        <f>p!R6^2</f>
        <v>0</v>
      </c>
      <c r="S6" s="3">
        <f>p!S6^2</f>
        <v>0</v>
      </c>
      <c r="T6" s="3">
        <f>p!T6^2</f>
        <v>0</v>
      </c>
      <c r="U6" s="3">
        <f>p!U6^2</f>
        <v>0</v>
      </c>
      <c r="V6" s="3">
        <f>p!V6^2</f>
        <v>0</v>
      </c>
      <c r="W6" s="3">
        <f>p!W6^2</f>
        <v>0</v>
      </c>
      <c r="X6" s="3">
        <f>p!X6^2</f>
        <v>0</v>
      </c>
      <c r="Y6" s="3">
        <f>p!Y6^2</f>
        <v>0</v>
      </c>
      <c r="Z6" s="3">
        <f>p!Z6^2</f>
        <v>0</v>
      </c>
      <c r="AA6" s="3">
        <f>p!AA6^2</f>
        <v>0</v>
      </c>
    </row>
    <row r="7" spans="1:27" x14ac:dyDescent="0.25">
      <c r="A7" t="s">
        <v>16</v>
      </c>
      <c r="B7" s="3">
        <f>p!B7^2</f>
        <v>0.91143787769294415</v>
      </c>
      <c r="C7" s="3">
        <f>p!C7^2</f>
        <v>2.0527644243357318E-3</v>
      </c>
      <c r="D7" s="3">
        <f>p!D7^2</f>
        <v>0</v>
      </c>
      <c r="E7" s="3">
        <f>p!E7^2</f>
        <v>0</v>
      </c>
      <c r="F7" s="3">
        <f>p!F7^2</f>
        <v>0</v>
      </c>
      <c r="G7" s="3">
        <f>p!G7^2</f>
        <v>0</v>
      </c>
      <c r="H7" s="3">
        <f>p!H7^2</f>
        <v>0</v>
      </c>
      <c r="I7" s="3">
        <f>p!I7^2</f>
        <v>0</v>
      </c>
      <c r="J7" s="3">
        <f>p!J7^2</f>
        <v>0</v>
      </c>
      <c r="K7" s="3">
        <f>p!K7^2</f>
        <v>0</v>
      </c>
      <c r="L7" s="3">
        <f>p!L7^2</f>
        <v>0</v>
      </c>
      <c r="M7" s="3">
        <f>p!M7^2</f>
        <v>0</v>
      </c>
      <c r="N7" s="3">
        <f>p!N7^2</f>
        <v>0</v>
      </c>
      <c r="O7" s="3">
        <f>p!O7^2</f>
        <v>0</v>
      </c>
      <c r="P7" s="3">
        <f>p!P7^2</f>
        <v>0</v>
      </c>
      <c r="Q7" s="3">
        <f>p!Q7^2</f>
        <v>0</v>
      </c>
      <c r="R7" s="3">
        <f>p!R7^2</f>
        <v>0</v>
      </c>
      <c r="S7" s="3">
        <f>p!S7^2</f>
        <v>0</v>
      </c>
      <c r="T7" s="3">
        <f>p!T7^2</f>
        <v>0</v>
      </c>
      <c r="U7" s="3">
        <f>p!U7^2</f>
        <v>0</v>
      </c>
      <c r="V7" s="3">
        <f>p!V7^2</f>
        <v>0</v>
      </c>
      <c r="W7" s="3">
        <f>p!W7^2</f>
        <v>0</v>
      </c>
      <c r="X7" s="3">
        <f>p!X7^2</f>
        <v>0</v>
      </c>
      <c r="Y7" s="3">
        <f>p!Y7^2</f>
        <v>0</v>
      </c>
      <c r="Z7" s="3">
        <f>p!Z7^2</f>
        <v>0</v>
      </c>
      <c r="AA7" s="3">
        <f>p!AA7^2</f>
        <v>0</v>
      </c>
    </row>
    <row r="8" spans="1:27" x14ac:dyDescent="0.25">
      <c r="A8" t="s">
        <v>17</v>
      </c>
      <c r="B8" s="3">
        <f>p!B8^2</f>
        <v>0.92729766803840863</v>
      </c>
      <c r="C8" s="3">
        <f>p!C8^2</f>
        <v>8.573388203017832E-5</v>
      </c>
      <c r="D8" s="3">
        <f>p!D8^2</f>
        <v>0</v>
      </c>
      <c r="E8" s="3">
        <f>p!E8^2</f>
        <v>0</v>
      </c>
      <c r="F8" s="3">
        <f>p!F8^2</f>
        <v>0</v>
      </c>
      <c r="G8" s="3">
        <f>p!G8^2</f>
        <v>0</v>
      </c>
      <c r="H8" s="3">
        <f>p!H8^2</f>
        <v>0</v>
      </c>
      <c r="I8" s="3">
        <f>p!I8^2</f>
        <v>0</v>
      </c>
      <c r="J8" s="3">
        <f>p!J8^2</f>
        <v>8.573388203017832E-5</v>
      </c>
      <c r="K8" s="3">
        <f>p!K8^2</f>
        <v>0</v>
      </c>
      <c r="L8" s="3">
        <f>p!L8^2</f>
        <v>0</v>
      </c>
      <c r="M8" s="3">
        <f>p!M8^2</f>
        <v>0</v>
      </c>
      <c r="N8" s="3">
        <f>p!N8^2</f>
        <v>0</v>
      </c>
      <c r="O8" s="3">
        <f>p!O8^2</f>
        <v>8.573388203017832E-5</v>
      </c>
      <c r="P8" s="3">
        <f>p!P8^2</f>
        <v>0</v>
      </c>
      <c r="Q8" s="3">
        <f>p!Q8^2</f>
        <v>0</v>
      </c>
      <c r="R8" s="3">
        <f>p!R8^2</f>
        <v>0</v>
      </c>
      <c r="S8" s="3">
        <f>p!S8^2</f>
        <v>8.573388203017832E-5</v>
      </c>
      <c r="T8" s="3">
        <f>p!T8^2</f>
        <v>0</v>
      </c>
      <c r="U8" s="3">
        <f>p!U8^2</f>
        <v>0</v>
      </c>
      <c r="V8" s="3">
        <f>p!V8^2</f>
        <v>0</v>
      </c>
      <c r="W8" s="3">
        <f>p!W8^2</f>
        <v>0</v>
      </c>
      <c r="X8" s="3">
        <f>p!X8^2</f>
        <v>0</v>
      </c>
      <c r="Y8" s="3">
        <f>p!Y8^2</f>
        <v>0</v>
      </c>
      <c r="Z8" s="3">
        <f>p!Z8^2</f>
        <v>0</v>
      </c>
      <c r="AA8" s="3">
        <f>p!AA8^2</f>
        <v>0</v>
      </c>
    </row>
    <row r="9" spans="1:27" x14ac:dyDescent="0.25">
      <c r="A9" t="s">
        <v>73</v>
      </c>
      <c r="B9" s="3">
        <f>p!B9^2</f>
        <v>0.70914127423822704</v>
      </c>
      <c r="C9" s="3">
        <f>p!C9^2</f>
        <v>1.3407202216066482E-2</v>
      </c>
      <c r="D9" s="3">
        <f>p!D9^2</f>
        <v>0</v>
      </c>
      <c r="E9" s="3">
        <f>p!E9^2</f>
        <v>0</v>
      </c>
      <c r="F9" s="3">
        <f>p!F9^2</f>
        <v>0</v>
      </c>
      <c r="G9" s="3">
        <f>p!G9^2</f>
        <v>0</v>
      </c>
      <c r="H9" s="3">
        <f>p!H9^2</f>
        <v>0</v>
      </c>
      <c r="I9" s="3">
        <f>p!I9^2</f>
        <v>0</v>
      </c>
      <c r="J9" s="3">
        <f>p!J9^2</f>
        <v>0</v>
      </c>
      <c r="K9" s="3">
        <f>p!K9^2</f>
        <v>0</v>
      </c>
      <c r="L9" s="3">
        <f>p!L9^2</f>
        <v>0</v>
      </c>
      <c r="M9" s="3">
        <f>p!M9^2</f>
        <v>0</v>
      </c>
      <c r="N9" s="3">
        <f>p!N9^2</f>
        <v>0</v>
      </c>
      <c r="O9" s="3">
        <f>p!O9^2</f>
        <v>0</v>
      </c>
      <c r="P9" s="3">
        <f>p!P9^2</f>
        <v>0</v>
      </c>
      <c r="Q9" s="3">
        <f>p!Q9^2</f>
        <v>0</v>
      </c>
      <c r="R9" s="3">
        <f>p!R9^2</f>
        <v>0</v>
      </c>
      <c r="S9" s="3">
        <f>p!S9^2</f>
        <v>0</v>
      </c>
      <c r="T9" s="3">
        <f>p!T9^2</f>
        <v>0</v>
      </c>
      <c r="U9" s="3">
        <f>p!U9^2</f>
        <v>0</v>
      </c>
      <c r="V9" s="3">
        <f>p!V9^2</f>
        <v>9.9722991689750701E-4</v>
      </c>
      <c r="W9" s="3">
        <f>p!W9^2</f>
        <v>1.1080332409972299E-4</v>
      </c>
      <c r="X9" s="3">
        <f>p!X9^2</f>
        <v>0</v>
      </c>
      <c r="Y9" s="3">
        <f>p!Y9^2</f>
        <v>0</v>
      </c>
      <c r="Z9" s="3">
        <f>p!Z9^2</f>
        <v>0</v>
      </c>
      <c r="AA9" s="3">
        <f>p!AA9^2</f>
        <v>0</v>
      </c>
    </row>
    <row r="10" spans="1:27" x14ac:dyDescent="0.25">
      <c r="A10" t="s">
        <v>74</v>
      </c>
      <c r="B10" s="3">
        <f>p!B10^2</f>
        <v>0.7722681359044995</v>
      </c>
      <c r="C10" s="3">
        <f>p!C10^2</f>
        <v>1.1248852157943069E-2</v>
      </c>
      <c r="D10" s="3">
        <f>p!D10^2</f>
        <v>0</v>
      </c>
      <c r="E10" s="3">
        <f>p!E10^2</f>
        <v>0</v>
      </c>
      <c r="F10" s="3">
        <f>p!F10^2</f>
        <v>0</v>
      </c>
      <c r="G10" s="3">
        <f>p!G10^2</f>
        <v>0</v>
      </c>
      <c r="H10" s="3">
        <f>p!H10^2</f>
        <v>0</v>
      </c>
      <c r="I10" s="3">
        <f>p!I10^2</f>
        <v>0</v>
      </c>
      <c r="J10" s="3">
        <f>p!J10^2</f>
        <v>5.7392102846648294E-5</v>
      </c>
      <c r="K10" s="3">
        <f>p!K10^2</f>
        <v>0</v>
      </c>
      <c r="L10" s="3">
        <f>p!L10^2</f>
        <v>0</v>
      </c>
      <c r="M10" s="3">
        <f>p!M10^2</f>
        <v>0</v>
      </c>
      <c r="N10" s="3">
        <f>p!N10^2</f>
        <v>0</v>
      </c>
      <c r="O10" s="3">
        <f>p!O10^2</f>
        <v>5.7392102846648294E-5</v>
      </c>
      <c r="P10" s="3">
        <f>p!P10^2</f>
        <v>0</v>
      </c>
      <c r="Q10" s="3">
        <f>p!Q10^2</f>
        <v>0</v>
      </c>
      <c r="R10" s="3">
        <f>p!R10^2</f>
        <v>0</v>
      </c>
      <c r="S10" s="3">
        <f>p!S10^2</f>
        <v>0</v>
      </c>
      <c r="T10" s="3">
        <f>p!T10^2</f>
        <v>0</v>
      </c>
      <c r="U10" s="3">
        <f>p!U10^2</f>
        <v>0</v>
      </c>
      <c r="V10" s="3">
        <f>p!V10^2</f>
        <v>0</v>
      </c>
      <c r="W10" s="3">
        <f>p!W10^2</f>
        <v>0</v>
      </c>
      <c r="X10" s="3">
        <f>p!X10^2</f>
        <v>0</v>
      </c>
      <c r="Y10" s="3">
        <f>p!Y10^2</f>
        <v>0</v>
      </c>
      <c r="Z10" s="3">
        <f>p!Z10^2</f>
        <v>0</v>
      </c>
      <c r="AA10" s="3">
        <f>p!AA10^2</f>
        <v>0</v>
      </c>
    </row>
    <row r="11" spans="1:27" x14ac:dyDescent="0.25">
      <c r="A11" t="s">
        <v>75</v>
      </c>
      <c r="B11" s="3">
        <f>p!B11^2</f>
        <v>0.77134215500945169</v>
      </c>
      <c r="C11" s="3">
        <f>p!C11^2</f>
        <v>6.1247637051039684E-3</v>
      </c>
      <c r="D11" s="3">
        <f>p!D11^2</f>
        <v>0</v>
      </c>
      <c r="E11" s="3">
        <f>p!E11^2</f>
        <v>0</v>
      </c>
      <c r="F11" s="3">
        <f>p!F11^2</f>
        <v>0</v>
      </c>
      <c r="G11" s="3">
        <f>p!G11^2</f>
        <v>0</v>
      </c>
      <c r="H11" s="3">
        <f>p!H11^2</f>
        <v>0</v>
      </c>
      <c r="I11" s="3">
        <f>p!I11^2</f>
        <v>0</v>
      </c>
      <c r="J11" s="3">
        <f>p!J11^2</f>
        <v>0</v>
      </c>
      <c r="K11" s="3">
        <f>p!K11^2</f>
        <v>0</v>
      </c>
      <c r="L11" s="3">
        <f>p!L11^2</f>
        <v>0</v>
      </c>
      <c r="M11" s="3">
        <f>p!M11^2</f>
        <v>0</v>
      </c>
      <c r="N11" s="3">
        <f>p!N11^2</f>
        <v>0</v>
      </c>
      <c r="O11" s="3">
        <f>p!O11^2</f>
        <v>1.8903591682419658E-3</v>
      </c>
      <c r="P11" s="3">
        <f>p!P11^2</f>
        <v>0</v>
      </c>
      <c r="Q11" s="3">
        <f>p!Q11^2</f>
        <v>0</v>
      </c>
      <c r="R11" s="3">
        <f>p!R11^2</f>
        <v>0</v>
      </c>
      <c r="S11" s="3">
        <f>p!S11^2</f>
        <v>0</v>
      </c>
      <c r="T11" s="3">
        <f>p!T11^2</f>
        <v>0</v>
      </c>
      <c r="U11" s="3">
        <f>p!U11^2</f>
        <v>0</v>
      </c>
      <c r="V11" s="3">
        <f>p!V11^2</f>
        <v>0</v>
      </c>
      <c r="W11" s="3">
        <f>p!W11^2</f>
        <v>0</v>
      </c>
      <c r="X11" s="3">
        <f>p!X11^2</f>
        <v>0</v>
      </c>
      <c r="Y11" s="3">
        <f>p!Y11^2</f>
        <v>0</v>
      </c>
      <c r="Z11" s="3">
        <f>p!Z11^2</f>
        <v>0</v>
      </c>
      <c r="AA11" s="3">
        <f>p!AA11^2</f>
        <v>0</v>
      </c>
    </row>
    <row r="12" spans="1:27" x14ac:dyDescent="0.25">
      <c r="A12" t="s">
        <v>76</v>
      </c>
      <c r="B12" s="3">
        <f>p!B12^2</f>
        <v>0.65824136703453173</v>
      </c>
      <c r="C12" s="3">
        <f>p!C12^2</f>
        <v>3.3266089157865587E-2</v>
      </c>
      <c r="D12" s="3">
        <f>p!D12^2</f>
        <v>0</v>
      </c>
      <c r="E12" s="3">
        <f>p!E12^2</f>
        <v>0</v>
      </c>
      <c r="F12" s="3">
        <f>p!F12^2</f>
        <v>0</v>
      </c>
      <c r="G12" s="3">
        <f>p!G12^2</f>
        <v>0</v>
      </c>
      <c r="H12" s="3">
        <f>p!H12^2</f>
        <v>0</v>
      </c>
      <c r="I12" s="3">
        <f>p!I12^2</f>
        <v>0</v>
      </c>
      <c r="J12" s="3">
        <f>p!J12^2</f>
        <v>0</v>
      </c>
      <c r="K12" s="3">
        <f>p!K12^2</f>
        <v>0</v>
      </c>
      <c r="L12" s="3">
        <f>p!L12^2</f>
        <v>0</v>
      </c>
      <c r="M12" s="3">
        <f>p!M12^2</f>
        <v>0</v>
      </c>
      <c r="N12" s="3">
        <f>p!N12^2</f>
        <v>0</v>
      </c>
      <c r="O12" s="3">
        <f>p!O12^2</f>
        <v>0</v>
      </c>
      <c r="P12" s="3">
        <f>p!P12^2</f>
        <v>0</v>
      </c>
      <c r="Q12" s="3">
        <f>p!Q12^2</f>
        <v>3.9555397333966215E-5</v>
      </c>
      <c r="R12" s="3">
        <f>p!R12^2</f>
        <v>0</v>
      </c>
      <c r="S12" s="3">
        <f>p!S12^2</f>
        <v>0</v>
      </c>
      <c r="T12" s="3">
        <f>p!T12^2</f>
        <v>0</v>
      </c>
      <c r="U12" s="3">
        <f>p!U12^2</f>
        <v>0</v>
      </c>
      <c r="V12" s="3">
        <f>p!V12^2</f>
        <v>0</v>
      </c>
      <c r="W12" s="3">
        <f>p!W12^2</f>
        <v>0</v>
      </c>
      <c r="X12" s="3">
        <f>p!X12^2</f>
        <v>0</v>
      </c>
      <c r="Y12" s="3">
        <f>p!Y12^2</f>
        <v>0</v>
      </c>
      <c r="Z12" s="3">
        <f>p!Z12^2</f>
        <v>0</v>
      </c>
      <c r="AA12" s="3">
        <f>p!AA12^2</f>
        <v>0</v>
      </c>
    </row>
    <row r="13" spans="1:27" x14ac:dyDescent="0.25">
      <c r="A13" t="s">
        <v>83</v>
      </c>
      <c r="B13" s="3">
        <f>p!B13^2</f>
        <v>0.87343872827321167</v>
      </c>
      <c r="C13" s="3">
        <f>p!C13^2</f>
        <v>3.1443794217835617E-3</v>
      </c>
      <c r="D13" s="3">
        <f>p!D13^2</f>
        <v>0</v>
      </c>
      <c r="E13" s="3">
        <f>p!E13^2</f>
        <v>0</v>
      </c>
      <c r="F13" s="3">
        <f>p!F13^2</f>
        <v>0</v>
      </c>
      <c r="G13" s="3">
        <f>p!G13^2</f>
        <v>0</v>
      </c>
      <c r="H13" s="3">
        <f>p!H13^2</f>
        <v>0</v>
      </c>
      <c r="I13" s="3">
        <f>p!I13^2</f>
        <v>0</v>
      </c>
      <c r="J13" s="3">
        <f>p!J13^2</f>
        <v>0</v>
      </c>
      <c r="K13" s="3">
        <f>p!K13^2</f>
        <v>0</v>
      </c>
      <c r="L13" s="3">
        <f>p!L13^2</f>
        <v>0</v>
      </c>
      <c r="M13" s="3">
        <f>p!M13^2</f>
        <v>0</v>
      </c>
      <c r="N13" s="3">
        <f>p!N13^2</f>
        <v>0</v>
      </c>
      <c r="O13" s="3">
        <f>p!O13^2</f>
        <v>0</v>
      </c>
      <c r="P13" s="3">
        <f>p!P13^2</f>
        <v>0</v>
      </c>
      <c r="Q13" s="3">
        <f>p!Q13^2</f>
        <v>8.7343872827321182E-5</v>
      </c>
      <c r="R13" s="3">
        <f>p!R13^2</f>
        <v>0</v>
      </c>
      <c r="S13" s="3">
        <f>p!S13^2</f>
        <v>0</v>
      </c>
      <c r="T13" s="3">
        <f>p!T13^2</f>
        <v>0</v>
      </c>
      <c r="U13" s="3">
        <f>p!U13^2</f>
        <v>0</v>
      </c>
      <c r="V13" s="3">
        <f>p!V13^2</f>
        <v>0</v>
      </c>
      <c r="W13" s="3">
        <f>p!W13^2</f>
        <v>0</v>
      </c>
      <c r="X13" s="3">
        <f>p!X13^2</f>
        <v>0</v>
      </c>
      <c r="Y13" s="3">
        <f>p!Y13^2</f>
        <v>0</v>
      </c>
      <c r="Z13" s="3">
        <f>p!Z13^2</f>
        <v>0</v>
      </c>
      <c r="AA13" s="3">
        <f>p!AA13^2</f>
        <v>0</v>
      </c>
    </row>
    <row r="14" spans="1:27" x14ac:dyDescent="0.25">
      <c r="A14" t="s">
        <v>84</v>
      </c>
      <c r="B14" s="3">
        <f>p!B14^2</f>
        <v>0.85327492099971269</v>
      </c>
      <c r="C14" s="3">
        <f>p!C14^2</f>
        <v>5.8172938810686567E-3</v>
      </c>
      <c r="D14" s="3">
        <f>p!D14^2</f>
        <v>0</v>
      </c>
      <c r="E14" s="3">
        <f>p!E14^2</f>
        <v>0</v>
      </c>
      <c r="F14" s="3">
        <f>p!F14^2</f>
        <v>0</v>
      </c>
      <c r="G14" s="3">
        <f>p!G14^2</f>
        <v>0</v>
      </c>
      <c r="H14" s="3">
        <f>p!H14^2</f>
        <v>0</v>
      </c>
      <c r="I14" s="3">
        <f>p!I14^2</f>
        <v>0</v>
      </c>
      <c r="J14" s="3">
        <f>p!J14^2</f>
        <v>0</v>
      </c>
      <c r="K14" s="3">
        <f>p!K14^2</f>
        <v>0</v>
      </c>
      <c r="L14" s="3">
        <f>p!L14^2</f>
        <v>0</v>
      </c>
      <c r="M14" s="3">
        <f>p!M14^2</f>
        <v>0</v>
      </c>
      <c r="N14" s="3">
        <f>p!N14^2</f>
        <v>0</v>
      </c>
      <c r="O14" s="3">
        <f>p!O14^2</f>
        <v>0</v>
      </c>
      <c r="P14" s="3">
        <f>p!P14^2</f>
        <v>0</v>
      </c>
      <c r="Q14" s="3">
        <f>p!Q14^2</f>
        <v>0</v>
      </c>
      <c r="R14" s="3">
        <f>p!R14^2</f>
        <v>0</v>
      </c>
      <c r="S14" s="3">
        <f>p!S14^2</f>
        <v>0</v>
      </c>
      <c r="T14" s="3">
        <f>p!T14^2</f>
        <v>0</v>
      </c>
      <c r="U14" s="3">
        <f>p!U14^2</f>
        <v>0</v>
      </c>
      <c r="V14" s="3">
        <f>p!V14^2</f>
        <v>0</v>
      </c>
      <c r="W14" s="3">
        <f>p!W14^2</f>
        <v>0</v>
      </c>
      <c r="X14" s="3">
        <f>p!X14^2</f>
        <v>0</v>
      </c>
      <c r="Y14" s="3">
        <f>p!Y14^2</f>
        <v>0</v>
      </c>
      <c r="Z14" s="3">
        <f>p!Z14^2</f>
        <v>0</v>
      </c>
      <c r="AA14" s="3">
        <f>p!AA14^2</f>
        <v>0</v>
      </c>
    </row>
    <row r="15" spans="1:27" x14ac:dyDescent="0.25">
      <c r="A15" t="s">
        <v>85</v>
      </c>
      <c r="B15" s="3">
        <f>p!B15^2</f>
        <v>0.68921324314702725</v>
      </c>
      <c r="C15" s="3">
        <f>p!C15^2</f>
        <v>2.572089711641154E-2</v>
      </c>
      <c r="D15" s="3">
        <f>p!D15^2</f>
        <v>0</v>
      </c>
      <c r="E15" s="3">
        <f>p!E15^2</f>
        <v>0</v>
      </c>
      <c r="F15" s="3">
        <f>p!F15^2</f>
        <v>0</v>
      </c>
      <c r="G15" s="3">
        <f>p!G15^2</f>
        <v>0</v>
      </c>
      <c r="H15" s="3">
        <f>p!H15^2</f>
        <v>0</v>
      </c>
      <c r="I15" s="3">
        <f>p!I15^2</f>
        <v>0</v>
      </c>
      <c r="J15" s="3">
        <f>p!J15^2</f>
        <v>8.8999644001423986E-5</v>
      </c>
      <c r="K15" s="3">
        <f>p!K15^2</f>
        <v>0</v>
      </c>
      <c r="L15" s="3">
        <f>p!L15^2</f>
        <v>0</v>
      </c>
      <c r="M15" s="3">
        <f>p!M15^2</f>
        <v>0</v>
      </c>
      <c r="N15" s="3">
        <f>p!N15^2</f>
        <v>0</v>
      </c>
      <c r="O15" s="3">
        <f>p!O15^2</f>
        <v>0</v>
      </c>
      <c r="P15" s="3">
        <f>p!P15^2</f>
        <v>0</v>
      </c>
      <c r="Q15" s="3">
        <f>p!Q15^2</f>
        <v>0</v>
      </c>
      <c r="R15" s="3">
        <f>p!R15^2</f>
        <v>0</v>
      </c>
      <c r="S15" s="3">
        <f>p!S15^2</f>
        <v>0</v>
      </c>
      <c r="T15" s="3">
        <f>p!T15^2</f>
        <v>0</v>
      </c>
      <c r="U15" s="3">
        <f>p!U15^2</f>
        <v>0</v>
      </c>
      <c r="V15" s="3">
        <f>p!V15^2</f>
        <v>0</v>
      </c>
      <c r="W15" s="3">
        <f>p!W15^2</f>
        <v>0</v>
      </c>
      <c r="X15" s="3">
        <f>p!X15^2</f>
        <v>0</v>
      </c>
      <c r="Y15" s="3">
        <f>p!Y15^2</f>
        <v>0</v>
      </c>
      <c r="Z15" s="3">
        <f>p!Z15^2</f>
        <v>0</v>
      </c>
      <c r="AA15" s="3">
        <f>p!AA15^2</f>
        <v>0</v>
      </c>
    </row>
    <row r="16" spans="1:27" x14ac:dyDescent="0.25">
      <c r="A16" t="s">
        <v>86</v>
      </c>
      <c r="B16" s="3">
        <f>p!B16^2</f>
        <v>0.92984693877551028</v>
      </c>
      <c r="C16" s="3">
        <f>p!C16^2</f>
        <v>0</v>
      </c>
      <c r="D16" s="3">
        <f>p!D16^2</f>
        <v>0</v>
      </c>
      <c r="E16" s="3">
        <f>p!E16^2</f>
        <v>0</v>
      </c>
      <c r="F16" s="3">
        <f>p!F16^2</f>
        <v>0</v>
      </c>
      <c r="G16" s="3">
        <f>p!G16^2</f>
        <v>0</v>
      </c>
      <c r="H16" s="3">
        <f>p!H16^2</f>
        <v>0</v>
      </c>
      <c r="I16" s="3">
        <f>p!I16^2</f>
        <v>0</v>
      </c>
      <c r="J16" s="3">
        <f>p!J16^2</f>
        <v>1.4172335600907033E-4</v>
      </c>
      <c r="K16" s="3">
        <f>p!K16^2</f>
        <v>0</v>
      </c>
      <c r="L16" s="3">
        <f>p!L16^2</f>
        <v>0</v>
      </c>
      <c r="M16" s="3">
        <f>p!M16^2</f>
        <v>0</v>
      </c>
      <c r="N16" s="3">
        <f>p!N16^2</f>
        <v>0</v>
      </c>
      <c r="O16" s="3">
        <f>p!O16^2</f>
        <v>0</v>
      </c>
      <c r="P16" s="3">
        <f>p!P16^2</f>
        <v>0</v>
      </c>
      <c r="Q16" s="3">
        <f>p!Q16^2</f>
        <v>5.668934240362813E-4</v>
      </c>
      <c r="R16" s="3">
        <f>p!R16^2</f>
        <v>0</v>
      </c>
      <c r="S16" s="3">
        <f>p!S16^2</f>
        <v>0</v>
      </c>
      <c r="T16" s="3">
        <f>p!T16^2</f>
        <v>0</v>
      </c>
      <c r="U16" s="3">
        <f>p!U16^2</f>
        <v>0</v>
      </c>
      <c r="V16" s="3">
        <f>p!V16^2</f>
        <v>0</v>
      </c>
      <c r="W16" s="3">
        <f>p!W16^2</f>
        <v>0</v>
      </c>
      <c r="X16" s="3">
        <f>p!X16^2</f>
        <v>0</v>
      </c>
      <c r="Y16" s="3">
        <f>p!Y16^2</f>
        <v>0</v>
      </c>
      <c r="Z16" s="3">
        <f>p!Z16^2</f>
        <v>0</v>
      </c>
      <c r="AA16" s="3">
        <f>p!AA16^2</f>
        <v>0</v>
      </c>
    </row>
    <row r="17" spans="1:27" x14ac:dyDescent="0.25">
      <c r="A17" t="s">
        <v>90</v>
      </c>
      <c r="B17" s="3">
        <f>p!B17^2</f>
        <v>0.40876108572964248</v>
      </c>
      <c r="C17" s="3">
        <f>p!C17^2</f>
        <v>1.3168503090567052E-2</v>
      </c>
      <c r="D17" s="3">
        <f>p!D17^2</f>
        <v>0</v>
      </c>
      <c r="E17" s="3">
        <f>p!E17^2</f>
        <v>0</v>
      </c>
      <c r="F17" s="3">
        <f>p!F17^2</f>
        <v>0</v>
      </c>
      <c r="G17" s="3">
        <f>p!G17^2</f>
        <v>0</v>
      </c>
      <c r="H17" s="3">
        <f>p!H17^2</f>
        <v>2.6874496103198068E-4</v>
      </c>
      <c r="I17" s="3">
        <f>p!I17^2</f>
        <v>0</v>
      </c>
      <c r="J17" s="3">
        <f>p!J17^2</f>
        <v>6.7186240257995156E-3</v>
      </c>
      <c r="K17" s="3">
        <f>p!K17^2</f>
        <v>0</v>
      </c>
      <c r="L17" s="3">
        <f>p!L17^2</f>
        <v>0</v>
      </c>
      <c r="M17" s="3">
        <f>p!M17^2</f>
        <v>1.0749798441279227E-3</v>
      </c>
      <c r="N17" s="3">
        <f>p!N17^2</f>
        <v>0</v>
      </c>
      <c r="O17" s="3">
        <f>p!O17^2</f>
        <v>2.4187046492878256E-3</v>
      </c>
      <c r="P17" s="3">
        <f>p!P17^2</f>
        <v>0</v>
      </c>
      <c r="Q17" s="3">
        <f>p!Q17^2</f>
        <v>0</v>
      </c>
      <c r="R17" s="3">
        <f>p!R17^2</f>
        <v>0</v>
      </c>
      <c r="S17" s="3">
        <f>p!S17^2</f>
        <v>0</v>
      </c>
      <c r="T17" s="3">
        <f>p!T17^2</f>
        <v>0</v>
      </c>
      <c r="U17" s="3">
        <f>p!U17^2</f>
        <v>0</v>
      </c>
      <c r="V17" s="3">
        <f>p!V17^2</f>
        <v>0</v>
      </c>
      <c r="W17" s="3">
        <f>p!W17^2</f>
        <v>0</v>
      </c>
      <c r="X17" s="3">
        <f>p!X17^2</f>
        <v>2.6874496103198068E-4</v>
      </c>
      <c r="Y17" s="3">
        <f>p!Y17^2</f>
        <v>1.0749798441279227E-3</v>
      </c>
      <c r="Z17" s="3">
        <f>p!Z17^2</f>
        <v>0</v>
      </c>
      <c r="AA17" s="3">
        <f>p!AA17^2</f>
        <v>0</v>
      </c>
    </row>
    <row r="18" spans="1:27" x14ac:dyDescent="0.25">
      <c r="A18" t="s">
        <v>91</v>
      </c>
      <c r="B18" s="3">
        <f>p!B18^2</f>
        <v>0.74763977613205945</v>
      </c>
      <c r="C18" s="3">
        <f>p!C18^2</f>
        <v>4.5791169653456943E-3</v>
      </c>
      <c r="D18" s="3">
        <f>p!D18^2</f>
        <v>0</v>
      </c>
      <c r="E18" s="3">
        <f>p!E18^2</f>
        <v>0</v>
      </c>
      <c r="F18" s="3">
        <f>p!F18^2</f>
        <v>0</v>
      </c>
      <c r="G18" s="3">
        <f>p!G18^2</f>
        <v>0</v>
      </c>
      <c r="H18" s="3">
        <f>p!H18^2</f>
        <v>2.2612923285657752E-4</v>
      </c>
      <c r="I18" s="3">
        <f>p!I18^2</f>
        <v>0</v>
      </c>
      <c r="J18" s="3">
        <f>p!J18^2</f>
        <v>2.0351630957091975E-3</v>
      </c>
      <c r="K18" s="3">
        <f>p!K18^2</f>
        <v>0</v>
      </c>
      <c r="L18" s="3">
        <f>p!L18^2</f>
        <v>0</v>
      </c>
      <c r="M18" s="3">
        <f>p!M18^2</f>
        <v>0</v>
      </c>
      <c r="N18" s="3">
        <f>p!N18^2</f>
        <v>0</v>
      </c>
      <c r="O18" s="3">
        <f>p!O18^2</f>
        <v>0</v>
      </c>
      <c r="P18" s="3">
        <f>p!P18^2</f>
        <v>0</v>
      </c>
      <c r="Q18" s="3">
        <f>p!Q18^2</f>
        <v>5.6532308214144379E-5</v>
      </c>
      <c r="R18" s="3">
        <f>p!R18^2</f>
        <v>0</v>
      </c>
      <c r="S18" s="3">
        <f>p!S18^2</f>
        <v>0</v>
      </c>
      <c r="T18" s="3">
        <f>p!T18^2</f>
        <v>0</v>
      </c>
      <c r="U18" s="3">
        <f>p!U18^2</f>
        <v>0</v>
      </c>
      <c r="V18" s="3">
        <f>p!V18^2</f>
        <v>0</v>
      </c>
      <c r="W18" s="3">
        <f>p!W18^2</f>
        <v>0</v>
      </c>
      <c r="X18" s="3">
        <f>p!X18^2</f>
        <v>0</v>
      </c>
      <c r="Y18" s="3">
        <f>p!Y18^2</f>
        <v>0</v>
      </c>
      <c r="Z18" s="3">
        <f>p!Z18^2</f>
        <v>0</v>
      </c>
      <c r="AA18" s="3">
        <f>p!AA18^2</f>
        <v>0</v>
      </c>
    </row>
    <row r="19" spans="1:27" x14ac:dyDescent="0.25">
      <c r="A19" t="s">
        <v>92</v>
      </c>
      <c r="B19" s="3">
        <f>p!B19^2</f>
        <v>0.96694444444444438</v>
      </c>
      <c r="C19" s="3">
        <f>p!C19^2</f>
        <v>0</v>
      </c>
      <c r="D19" s="3">
        <f>p!D19^2</f>
        <v>0</v>
      </c>
      <c r="E19" s="3">
        <f>p!E19^2</f>
        <v>0</v>
      </c>
      <c r="F19" s="3">
        <f>p!F19^2</f>
        <v>0</v>
      </c>
      <c r="G19" s="3">
        <f>p!G19^2</f>
        <v>0</v>
      </c>
      <c r="H19" s="3">
        <f>p!H19^2</f>
        <v>0</v>
      </c>
      <c r="I19" s="3">
        <f>p!I19^2</f>
        <v>0</v>
      </c>
      <c r="J19" s="3">
        <f>p!J19^2</f>
        <v>6.9444444444444444E-5</v>
      </c>
      <c r="K19" s="3">
        <f>p!K19^2</f>
        <v>0</v>
      </c>
      <c r="L19" s="3">
        <f>p!L19^2</f>
        <v>0</v>
      </c>
      <c r="M19" s="3">
        <f>p!M19^2</f>
        <v>0</v>
      </c>
      <c r="N19" s="3">
        <f>p!N19^2</f>
        <v>0</v>
      </c>
      <c r="O19" s="3">
        <f>p!O19^2</f>
        <v>6.9444444444444444E-5</v>
      </c>
      <c r="P19" s="3">
        <f>p!P19^2</f>
        <v>0</v>
      </c>
      <c r="Q19" s="3">
        <f>p!Q19^2</f>
        <v>0</v>
      </c>
      <c r="R19" s="3">
        <f>p!R19^2</f>
        <v>0</v>
      </c>
      <c r="S19" s="3">
        <f>p!S19^2</f>
        <v>0</v>
      </c>
      <c r="T19" s="3">
        <f>p!T19^2</f>
        <v>0</v>
      </c>
      <c r="U19" s="3">
        <f>p!U19^2</f>
        <v>0</v>
      </c>
      <c r="V19" s="3">
        <f>p!V19^2</f>
        <v>0</v>
      </c>
      <c r="W19" s="3">
        <f>p!W19^2</f>
        <v>0</v>
      </c>
      <c r="X19" s="3">
        <f>p!X19^2</f>
        <v>0</v>
      </c>
      <c r="Y19" s="3">
        <f>p!Y19^2</f>
        <v>0</v>
      </c>
      <c r="Z19" s="3">
        <f>p!Z19^2</f>
        <v>0</v>
      </c>
      <c r="AA19" s="3">
        <f>p!AA19^2</f>
        <v>0</v>
      </c>
    </row>
    <row r="20" spans="1:27" x14ac:dyDescent="0.25">
      <c r="A20" t="s">
        <v>93</v>
      </c>
      <c r="B20" s="3">
        <f>p!B20^2</f>
        <v>0.93515275932858355</v>
      </c>
      <c r="C20" s="3">
        <f>p!C20^2</f>
        <v>0</v>
      </c>
      <c r="D20" s="3">
        <f>p!D20^2</f>
        <v>0</v>
      </c>
      <c r="E20" s="3">
        <f>p!E20^2</f>
        <v>0</v>
      </c>
      <c r="F20" s="3">
        <f>p!F20^2</f>
        <v>0</v>
      </c>
      <c r="G20" s="3">
        <f>p!G20^2</f>
        <v>0</v>
      </c>
      <c r="H20" s="3">
        <f>p!H20^2</f>
        <v>0</v>
      </c>
      <c r="I20" s="3">
        <f>p!I20^2</f>
        <v>0</v>
      </c>
      <c r="J20" s="3">
        <f>p!J20^2</f>
        <v>4.8303345006641719E-4</v>
      </c>
      <c r="K20" s="3">
        <f>p!K20^2</f>
        <v>0</v>
      </c>
      <c r="L20" s="3">
        <f>p!L20^2</f>
        <v>0</v>
      </c>
      <c r="M20" s="3">
        <f>p!M20^2</f>
        <v>0</v>
      </c>
      <c r="N20" s="3">
        <f>p!N20^2</f>
        <v>0</v>
      </c>
      <c r="O20" s="3">
        <f>p!O20^2</f>
        <v>0</v>
      </c>
      <c r="P20" s="3">
        <f>p!P20^2</f>
        <v>0</v>
      </c>
      <c r="Q20" s="3">
        <f>p!Q20^2</f>
        <v>1.207583625166043E-4</v>
      </c>
      <c r="R20" s="3">
        <f>p!R20^2</f>
        <v>0</v>
      </c>
      <c r="S20" s="3">
        <f>p!S20^2</f>
        <v>0</v>
      </c>
      <c r="T20" s="3">
        <f>p!T20^2</f>
        <v>0</v>
      </c>
      <c r="U20" s="3">
        <f>p!U20^2</f>
        <v>0</v>
      </c>
      <c r="V20" s="3">
        <f>p!V20^2</f>
        <v>0</v>
      </c>
      <c r="W20" s="3">
        <f>p!W20^2</f>
        <v>0</v>
      </c>
      <c r="X20" s="3">
        <f>p!X20^2</f>
        <v>0</v>
      </c>
      <c r="Y20" s="3">
        <f>p!Y20^2</f>
        <v>0</v>
      </c>
      <c r="Z20" s="3">
        <f>p!Z20^2</f>
        <v>0</v>
      </c>
      <c r="AA20" s="3">
        <f>p!AA20^2</f>
        <v>0</v>
      </c>
    </row>
    <row r="21" spans="1:27" x14ac:dyDescent="0.25">
      <c r="A21" t="s">
        <v>18</v>
      </c>
      <c r="B21" s="3">
        <f>p!B21^2</f>
        <v>0.80617473970122222</v>
      </c>
      <c r="C21" s="3">
        <f>p!C21^2</f>
        <v>2.6075147125396102E-3</v>
      </c>
      <c r="D21" s="3">
        <f>p!D21^2</f>
        <v>0</v>
      </c>
      <c r="E21" s="3">
        <f>p!E21^2</f>
        <v>2.6075147125396102E-3</v>
      </c>
      <c r="F21" s="3">
        <f>p!F21^2</f>
        <v>0</v>
      </c>
      <c r="G21" s="3">
        <f>p!G21^2</f>
        <v>0</v>
      </c>
      <c r="H21" s="3">
        <f>p!H21^2</f>
        <v>0</v>
      </c>
      <c r="I21" s="3">
        <f>p!I21^2</f>
        <v>0</v>
      </c>
      <c r="J21" s="3">
        <f>p!J21^2</f>
        <v>0</v>
      </c>
      <c r="K21" s="3">
        <f>p!K21^2</f>
        <v>0</v>
      </c>
      <c r="L21" s="3">
        <f>p!L21^2</f>
        <v>0</v>
      </c>
      <c r="M21" s="3">
        <f>p!M21^2</f>
        <v>0</v>
      </c>
      <c r="N21" s="3">
        <f>p!N21^2</f>
        <v>0</v>
      </c>
      <c r="O21" s="3">
        <f>p!O21^2</f>
        <v>0</v>
      </c>
      <c r="P21" s="3">
        <f>p!P21^2</f>
        <v>0</v>
      </c>
      <c r="Q21" s="3">
        <f>p!Q21^2</f>
        <v>0</v>
      </c>
      <c r="R21" s="3">
        <f>p!R21^2</f>
        <v>0</v>
      </c>
      <c r="S21" s="3">
        <f>p!S21^2</f>
        <v>0</v>
      </c>
      <c r="T21" s="3">
        <f>p!T21^2</f>
        <v>0</v>
      </c>
      <c r="U21" s="3">
        <f>p!U21^2</f>
        <v>0</v>
      </c>
      <c r="V21" s="3">
        <f>p!V21^2</f>
        <v>0</v>
      </c>
      <c r="W21" s="3">
        <f>p!W21^2</f>
        <v>0</v>
      </c>
      <c r="X21" s="3">
        <f>p!X21^2</f>
        <v>0</v>
      </c>
      <c r="Y21" s="3">
        <f>p!Y21^2</f>
        <v>0</v>
      </c>
      <c r="Z21" s="3">
        <f>p!Z21^2</f>
        <v>0</v>
      </c>
      <c r="AA21" s="3">
        <f>p!AA21^2</f>
        <v>0</v>
      </c>
    </row>
    <row r="22" spans="1:27" x14ac:dyDescent="0.25">
      <c r="A22" t="s">
        <v>19</v>
      </c>
      <c r="B22" s="3">
        <f>p!B22^2</f>
        <v>0.44134187490830851</v>
      </c>
      <c r="C22" s="3">
        <f>p!C22^2</f>
        <v>7.0614699985329349E-2</v>
      </c>
      <c r="D22" s="3">
        <f>p!D22^2</f>
        <v>0</v>
      </c>
      <c r="E22" s="3">
        <f>p!E22^2</f>
        <v>0</v>
      </c>
      <c r="F22" s="3">
        <f>p!F22^2</f>
        <v>0</v>
      </c>
      <c r="G22" s="3">
        <f>p!G22^2</f>
        <v>0</v>
      </c>
      <c r="H22" s="3">
        <f>p!H22^2</f>
        <v>3.9610738911438218E-3</v>
      </c>
      <c r="I22" s="3">
        <f>p!I22^2</f>
        <v>0</v>
      </c>
      <c r="J22" s="3">
        <f>p!J22^2</f>
        <v>0</v>
      </c>
      <c r="K22" s="3">
        <f>p!K22^2</f>
        <v>0</v>
      </c>
      <c r="L22" s="3">
        <f>p!L22^2</f>
        <v>0</v>
      </c>
      <c r="M22" s="3">
        <f>p!M22^2</f>
        <v>0</v>
      </c>
      <c r="N22" s="3">
        <f>p!N22^2</f>
        <v>0</v>
      </c>
      <c r="O22" s="3">
        <f>p!O22^2</f>
        <v>0</v>
      </c>
      <c r="P22" s="3">
        <f>p!P22^2</f>
        <v>0</v>
      </c>
      <c r="Q22" s="3">
        <f>p!Q22^2</f>
        <v>4.8902146804244719E-5</v>
      </c>
      <c r="R22" s="3">
        <f>p!R22^2</f>
        <v>0</v>
      </c>
      <c r="S22" s="3">
        <f>p!S22^2</f>
        <v>0</v>
      </c>
      <c r="T22" s="3">
        <f>p!T22^2</f>
        <v>0</v>
      </c>
      <c r="U22" s="3">
        <f>p!U22^2</f>
        <v>0</v>
      </c>
      <c r="V22" s="3">
        <f>p!V22^2</f>
        <v>0</v>
      </c>
      <c r="W22" s="3">
        <f>p!W22^2</f>
        <v>0</v>
      </c>
      <c r="X22" s="3">
        <f>p!X22^2</f>
        <v>0</v>
      </c>
      <c r="Y22" s="3">
        <f>p!Y22^2</f>
        <v>0</v>
      </c>
      <c r="Z22" s="3">
        <f>p!Z22^2</f>
        <v>0</v>
      </c>
      <c r="AA22" s="3">
        <f>p!AA22^2</f>
        <v>0</v>
      </c>
    </row>
    <row r="23" spans="1:27" x14ac:dyDescent="0.25">
      <c r="A23" t="s">
        <v>20</v>
      </c>
      <c r="B23" s="3">
        <f>p!B23^2</f>
        <v>0.27659807956104249</v>
      </c>
      <c r="C23" s="3">
        <f>p!C23^2</f>
        <v>0.15412894375857339</v>
      </c>
      <c r="D23" s="3">
        <f>p!D23^2</f>
        <v>0</v>
      </c>
      <c r="E23" s="3">
        <f>p!E23^2</f>
        <v>5.4869684499314149E-5</v>
      </c>
      <c r="F23" s="3">
        <f>p!F23^2</f>
        <v>0</v>
      </c>
      <c r="G23" s="3">
        <f>p!G23^2</f>
        <v>0</v>
      </c>
      <c r="H23" s="3">
        <f>p!H23^2</f>
        <v>3.5116598079561055E-3</v>
      </c>
      <c r="I23" s="3">
        <f>p!I23^2</f>
        <v>0</v>
      </c>
      <c r="J23" s="3">
        <f>p!J23^2</f>
        <v>5.4869684499314149E-5</v>
      </c>
      <c r="K23" s="3">
        <f>p!K23^2</f>
        <v>0</v>
      </c>
      <c r="L23" s="3">
        <f>p!L23^2</f>
        <v>0</v>
      </c>
      <c r="M23" s="3">
        <f>p!M23^2</f>
        <v>0</v>
      </c>
      <c r="N23" s="3">
        <f>p!N23^2</f>
        <v>0</v>
      </c>
      <c r="O23" s="3">
        <f>p!O23^2</f>
        <v>5.4869684499314149E-5</v>
      </c>
      <c r="P23" s="3">
        <f>p!P23^2</f>
        <v>0</v>
      </c>
      <c r="Q23" s="3">
        <f>p!Q23^2</f>
        <v>0</v>
      </c>
      <c r="R23" s="3">
        <f>p!R23^2</f>
        <v>0</v>
      </c>
      <c r="S23" s="3">
        <f>p!S23^2</f>
        <v>0</v>
      </c>
      <c r="T23" s="3">
        <f>p!T23^2</f>
        <v>0</v>
      </c>
      <c r="U23" s="3">
        <f>p!U23^2</f>
        <v>0</v>
      </c>
      <c r="V23" s="3">
        <f>p!V23^2</f>
        <v>0</v>
      </c>
      <c r="W23" s="3">
        <f>p!W23^2</f>
        <v>0</v>
      </c>
      <c r="X23" s="3">
        <f>p!X23^2</f>
        <v>0</v>
      </c>
      <c r="Y23" s="3">
        <f>p!Y23^2</f>
        <v>0</v>
      </c>
      <c r="Z23" s="3">
        <f>p!Z23^2</f>
        <v>0</v>
      </c>
      <c r="AA23" s="3">
        <f>p!AA23^2</f>
        <v>0</v>
      </c>
    </row>
    <row r="24" spans="1:27" x14ac:dyDescent="0.25">
      <c r="A24" t="s">
        <v>21</v>
      </c>
      <c r="B24" s="3">
        <f>p!B24^2</f>
        <v>0.19545706371191135</v>
      </c>
      <c r="C24" s="3">
        <f>p!C24^2</f>
        <v>0.11346260387811634</v>
      </c>
      <c r="D24" s="3">
        <f>p!D24^2</f>
        <v>1.1080332409972299E-4</v>
      </c>
      <c r="E24" s="3">
        <f>p!E24^2</f>
        <v>0</v>
      </c>
      <c r="F24" s="3">
        <f>p!F24^2</f>
        <v>0</v>
      </c>
      <c r="G24" s="3">
        <f>p!G24^2</f>
        <v>0</v>
      </c>
      <c r="H24" s="3">
        <f>p!H24^2</f>
        <v>3.5900277008310243E-2</v>
      </c>
      <c r="I24" s="3">
        <f>p!I24^2</f>
        <v>0</v>
      </c>
      <c r="J24" s="3">
        <f>p!J24^2</f>
        <v>0</v>
      </c>
      <c r="K24" s="3">
        <f>p!K24^2</f>
        <v>0</v>
      </c>
      <c r="L24" s="3">
        <f>p!L24^2</f>
        <v>0</v>
      </c>
      <c r="M24" s="3">
        <f>p!M24^2</f>
        <v>0</v>
      </c>
      <c r="N24" s="3">
        <f>p!N24^2</f>
        <v>1.1080332409972299E-4</v>
      </c>
      <c r="O24" s="3">
        <f>p!O24^2</f>
        <v>0</v>
      </c>
      <c r="P24" s="3">
        <f>p!P24^2</f>
        <v>1.1080332409972299E-4</v>
      </c>
      <c r="Q24" s="3">
        <f>p!Q24^2</f>
        <v>0</v>
      </c>
      <c r="R24" s="3">
        <f>p!R24^2</f>
        <v>0</v>
      </c>
      <c r="S24" s="3">
        <f>p!S24^2</f>
        <v>0</v>
      </c>
      <c r="T24" s="3">
        <f>p!T24^2</f>
        <v>0</v>
      </c>
      <c r="U24" s="3">
        <f>p!U24^2</f>
        <v>0</v>
      </c>
      <c r="V24" s="3">
        <f>p!V24^2</f>
        <v>0</v>
      </c>
      <c r="W24" s="3">
        <f>p!W24^2</f>
        <v>0</v>
      </c>
      <c r="X24" s="3">
        <f>p!X24^2</f>
        <v>0</v>
      </c>
      <c r="Y24" s="3">
        <f>p!Y24^2</f>
        <v>0</v>
      </c>
      <c r="Z24" s="3">
        <f>p!Z24^2</f>
        <v>0</v>
      </c>
      <c r="AA24" s="3">
        <f>p!AA24^2</f>
        <v>0</v>
      </c>
    </row>
    <row r="25" spans="1:27" x14ac:dyDescent="0.25">
      <c r="A25" t="s">
        <v>22</v>
      </c>
      <c r="B25" s="3">
        <f>p!B25^2</f>
        <v>0.21368814524741903</v>
      </c>
      <c r="C25" s="3">
        <f>p!C25^2</f>
        <v>8.8999644001423986E-5</v>
      </c>
      <c r="D25" s="3">
        <f>p!D25^2</f>
        <v>0</v>
      </c>
      <c r="E25" s="3">
        <f>p!E25^2</f>
        <v>0</v>
      </c>
      <c r="F25" s="3">
        <f>p!F25^2</f>
        <v>0</v>
      </c>
      <c r="G25" s="3">
        <f>p!G25^2</f>
        <v>0</v>
      </c>
      <c r="H25" s="3">
        <f>p!H25^2</f>
        <v>0.19660021359914562</v>
      </c>
      <c r="I25" s="3">
        <f>p!I25^2</f>
        <v>0</v>
      </c>
      <c r="J25" s="3">
        <f>p!J25^2</f>
        <v>5.6959772160911351E-3</v>
      </c>
      <c r="K25" s="3">
        <f>p!K25^2</f>
        <v>0</v>
      </c>
      <c r="L25" s="3">
        <f>p!L25^2</f>
        <v>0</v>
      </c>
      <c r="M25" s="3">
        <f>p!M25^2</f>
        <v>0</v>
      </c>
      <c r="N25" s="3">
        <f>p!N25^2</f>
        <v>0</v>
      </c>
      <c r="O25" s="3">
        <f>p!O25^2</f>
        <v>0</v>
      </c>
      <c r="P25" s="3">
        <f>p!P25^2</f>
        <v>0</v>
      </c>
      <c r="Q25" s="3">
        <f>p!Q25^2</f>
        <v>8.8999644001423986E-5</v>
      </c>
      <c r="R25" s="3">
        <f>p!R25^2</f>
        <v>0</v>
      </c>
      <c r="S25" s="3">
        <f>p!S25^2</f>
        <v>0</v>
      </c>
      <c r="T25" s="3">
        <f>p!T25^2</f>
        <v>0</v>
      </c>
      <c r="U25" s="3">
        <f>p!U25^2</f>
        <v>0</v>
      </c>
      <c r="V25" s="3">
        <f>p!V25^2</f>
        <v>0</v>
      </c>
      <c r="W25" s="3">
        <f>p!W25^2</f>
        <v>0</v>
      </c>
      <c r="X25" s="3">
        <f>p!X25^2</f>
        <v>0</v>
      </c>
      <c r="Y25" s="3">
        <f>p!Y25^2</f>
        <v>0</v>
      </c>
      <c r="Z25" s="3">
        <f>p!Z25^2</f>
        <v>0</v>
      </c>
      <c r="AA25" s="3">
        <f>p!AA25^2</f>
        <v>0</v>
      </c>
    </row>
    <row r="26" spans="1:27" x14ac:dyDescent="0.25">
      <c r="A26" t="s">
        <v>23</v>
      </c>
      <c r="B26" s="3">
        <f>p!B26^2</f>
        <v>9.025E-3</v>
      </c>
      <c r="C26" s="3">
        <f>p!C26^2</f>
        <v>2.4999999999999996E-3</v>
      </c>
      <c r="D26" s="3">
        <f>p!D26^2</f>
        <v>0</v>
      </c>
      <c r="E26" s="3">
        <f>p!E26^2</f>
        <v>0</v>
      </c>
      <c r="F26" s="3">
        <f>p!F26^2</f>
        <v>0</v>
      </c>
      <c r="G26" s="3">
        <f>p!G26^2</f>
        <v>0</v>
      </c>
      <c r="H26" s="3">
        <f>p!H26^2</f>
        <v>0.41602500000000003</v>
      </c>
      <c r="I26" s="3">
        <f>p!I26^2</f>
        <v>0</v>
      </c>
      <c r="J26" s="3">
        <f>p!J26^2</f>
        <v>3.8024999999999989E-2</v>
      </c>
      <c r="K26" s="3">
        <f>p!K26^2</f>
        <v>0</v>
      </c>
      <c r="L26" s="3">
        <f>p!L26^2</f>
        <v>0</v>
      </c>
      <c r="M26" s="3">
        <f>p!M26^2</f>
        <v>0</v>
      </c>
      <c r="N26" s="3">
        <f>p!N26^2</f>
        <v>2.5000000000000001E-5</v>
      </c>
      <c r="O26" s="3">
        <f>p!O26^2</f>
        <v>1E-4</v>
      </c>
      <c r="P26" s="3">
        <f>p!P26^2</f>
        <v>0</v>
      </c>
      <c r="Q26" s="3">
        <f>p!Q26^2</f>
        <v>0</v>
      </c>
      <c r="R26" s="3">
        <f>p!R26^2</f>
        <v>0</v>
      </c>
      <c r="S26" s="3">
        <f>p!S26^2</f>
        <v>0</v>
      </c>
      <c r="T26" s="3">
        <f>p!T26^2</f>
        <v>0</v>
      </c>
      <c r="U26" s="3">
        <f>p!U26^2</f>
        <v>0</v>
      </c>
      <c r="V26" s="3">
        <f>p!V26^2</f>
        <v>0</v>
      </c>
      <c r="W26" s="3">
        <f>p!W26^2</f>
        <v>0</v>
      </c>
      <c r="X26" s="3">
        <f>p!X26^2</f>
        <v>0</v>
      </c>
      <c r="Y26" s="3">
        <f>p!Y26^2</f>
        <v>0</v>
      </c>
      <c r="Z26" s="3">
        <f>p!Z26^2</f>
        <v>0</v>
      </c>
      <c r="AA26" s="3">
        <f>p!AA26^2</f>
        <v>0</v>
      </c>
    </row>
    <row r="27" spans="1:27" x14ac:dyDescent="0.25">
      <c r="A27" t="s">
        <v>24</v>
      </c>
      <c r="B27" s="3">
        <f>p!B27^2</f>
        <v>0.44939643347050745</v>
      </c>
      <c r="C27" s="3">
        <f>p!C27^2</f>
        <v>2.6886145404663923E-3</v>
      </c>
      <c r="D27" s="3">
        <f>p!D27^2</f>
        <v>0</v>
      </c>
      <c r="E27" s="3">
        <f>p!E27^2</f>
        <v>0</v>
      </c>
      <c r="F27" s="3">
        <f>p!F27^2</f>
        <v>0</v>
      </c>
      <c r="G27" s="3">
        <f>p!G27^2</f>
        <v>0</v>
      </c>
      <c r="H27" s="3">
        <f>p!H27^2</f>
        <v>4.45679012345679E-2</v>
      </c>
      <c r="I27" s="3">
        <f>p!I27^2</f>
        <v>0</v>
      </c>
      <c r="J27" s="3">
        <f>p!J27^2</f>
        <v>2.6886145404663923E-3</v>
      </c>
      <c r="K27" s="3">
        <f>p!K27^2</f>
        <v>0</v>
      </c>
      <c r="L27" s="3">
        <f>p!L27^2</f>
        <v>0</v>
      </c>
      <c r="M27" s="3">
        <f>p!M27^2</f>
        <v>0</v>
      </c>
      <c r="N27" s="3">
        <f>p!N27^2</f>
        <v>0</v>
      </c>
      <c r="O27" s="3">
        <f>p!O27^2</f>
        <v>1.2345679012345677E-4</v>
      </c>
      <c r="P27" s="3">
        <f>p!P27^2</f>
        <v>0</v>
      </c>
      <c r="Q27" s="3">
        <f>p!Q27^2</f>
        <v>1.3717421124828534E-5</v>
      </c>
      <c r="R27" s="3">
        <f>p!R27^2</f>
        <v>0</v>
      </c>
      <c r="S27" s="3">
        <f>p!S27^2</f>
        <v>0</v>
      </c>
      <c r="T27" s="3">
        <f>p!T27^2</f>
        <v>0</v>
      </c>
      <c r="U27" s="3">
        <f>p!U27^2</f>
        <v>0</v>
      </c>
      <c r="V27" s="3">
        <f>p!V27^2</f>
        <v>0</v>
      </c>
      <c r="W27" s="3">
        <f>p!W27^2</f>
        <v>0</v>
      </c>
      <c r="X27" s="3">
        <f>p!X27^2</f>
        <v>0</v>
      </c>
      <c r="Y27" s="3">
        <f>p!Y27^2</f>
        <v>0</v>
      </c>
      <c r="Z27" s="3">
        <f>p!Z27^2</f>
        <v>0</v>
      </c>
      <c r="AA27" s="3">
        <f>p!AA27^2</f>
        <v>0</v>
      </c>
    </row>
    <row r="28" spans="1:27" x14ac:dyDescent="0.25">
      <c r="A28" t="s">
        <v>63</v>
      </c>
      <c r="B28" s="3">
        <f>p!B28^2</f>
        <v>0.43183673469387757</v>
      </c>
      <c r="C28" s="3">
        <f>p!C28^2</f>
        <v>0</v>
      </c>
      <c r="D28" s="3">
        <f>p!D28^2</f>
        <v>0</v>
      </c>
      <c r="E28" s="3">
        <f>p!E28^2</f>
        <v>0</v>
      </c>
      <c r="F28" s="3">
        <f>p!F28^2</f>
        <v>0</v>
      </c>
      <c r="G28" s="3">
        <f>p!G28^2</f>
        <v>0</v>
      </c>
      <c r="H28" s="3">
        <f>p!H28^2</f>
        <v>2.9387755102040818E-2</v>
      </c>
      <c r="I28" s="3">
        <f>p!I28^2</f>
        <v>0</v>
      </c>
      <c r="J28" s="3">
        <f>p!J28^2</f>
        <v>0</v>
      </c>
      <c r="K28" s="3">
        <f>p!K28^2</f>
        <v>0</v>
      </c>
      <c r="L28" s="3">
        <f>p!L28^2</f>
        <v>0</v>
      </c>
      <c r="M28" s="3">
        <f>p!M28^2</f>
        <v>0</v>
      </c>
      <c r="N28" s="3">
        <f>p!N28^2</f>
        <v>0</v>
      </c>
      <c r="O28" s="3">
        <f>p!O28^2</f>
        <v>2.9387755102040818E-2</v>
      </c>
      <c r="P28" s="3">
        <f>p!P28^2</f>
        <v>0</v>
      </c>
      <c r="Q28" s="3">
        <f>p!Q28^2</f>
        <v>0</v>
      </c>
      <c r="R28" s="3">
        <f>p!R28^2</f>
        <v>0</v>
      </c>
      <c r="S28" s="3">
        <f>p!S28^2</f>
        <v>0</v>
      </c>
      <c r="T28" s="3">
        <f>p!T28^2</f>
        <v>0</v>
      </c>
      <c r="U28" s="3">
        <f>p!U28^2</f>
        <v>0</v>
      </c>
      <c r="V28" s="3">
        <f>p!V28^2</f>
        <v>0</v>
      </c>
      <c r="W28" s="3">
        <f>p!W28^2</f>
        <v>0</v>
      </c>
      <c r="X28" s="3">
        <f>p!X28^2</f>
        <v>0</v>
      </c>
      <c r="Y28" s="3">
        <f>p!Y28^2</f>
        <v>0</v>
      </c>
      <c r="Z28" s="3">
        <f>p!Z28^2</f>
        <v>0</v>
      </c>
      <c r="AA28" s="3">
        <f>p!AA28^2</f>
        <v>0</v>
      </c>
    </row>
    <row r="29" spans="1:27" x14ac:dyDescent="0.25">
      <c r="A29" t="s">
        <v>64</v>
      </c>
      <c r="B29" s="3">
        <f>p!B29^2</f>
        <v>0.36</v>
      </c>
      <c r="C29" s="3">
        <f>p!C29^2</f>
        <v>0</v>
      </c>
      <c r="D29" s="3">
        <f>p!D29^2</f>
        <v>0</v>
      </c>
      <c r="E29" s="3">
        <f>p!E29^2</f>
        <v>0</v>
      </c>
      <c r="F29" s="3">
        <f>p!F29^2</f>
        <v>0</v>
      </c>
      <c r="G29" s="3">
        <f>p!G29^2</f>
        <v>0</v>
      </c>
      <c r="H29" s="3">
        <f>p!H29^2</f>
        <v>7.1111111111111111E-2</v>
      </c>
      <c r="I29" s="3">
        <f>p!I29^2</f>
        <v>0</v>
      </c>
      <c r="J29" s="3">
        <f>p!J29^2</f>
        <v>1.7777777777777778E-2</v>
      </c>
      <c r="K29" s="3">
        <f>p!K29^2</f>
        <v>0</v>
      </c>
      <c r="L29" s="3">
        <f>p!L29^2</f>
        <v>0</v>
      </c>
      <c r="M29" s="3">
        <f>p!M29^2</f>
        <v>0</v>
      </c>
      <c r="N29" s="3">
        <f>p!N29^2</f>
        <v>0</v>
      </c>
      <c r="O29" s="3">
        <f>p!O29^2</f>
        <v>0</v>
      </c>
      <c r="P29" s="3">
        <f>p!P29^2</f>
        <v>0</v>
      </c>
      <c r="Q29" s="3">
        <f>p!Q29^2</f>
        <v>0</v>
      </c>
      <c r="R29" s="3">
        <f>p!R29^2</f>
        <v>0</v>
      </c>
      <c r="S29" s="3">
        <f>p!S29^2</f>
        <v>0</v>
      </c>
      <c r="T29" s="3">
        <f>p!T29^2</f>
        <v>0</v>
      </c>
      <c r="U29" s="3">
        <f>p!U29^2</f>
        <v>0</v>
      </c>
      <c r="V29" s="3">
        <f>p!V29^2</f>
        <v>0</v>
      </c>
      <c r="W29" s="3">
        <f>p!W29^2</f>
        <v>0</v>
      </c>
      <c r="X29" s="3">
        <f>p!X29^2</f>
        <v>0</v>
      </c>
      <c r="Y29" s="3">
        <f>p!Y29^2</f>
        <v>0</v>
      </c>
      <c r="Z29" s="3">
        <f>p!Z29^2</f>
        <v>0</v>
      </c>
      <c r="AA29" s="3">
        <f>p!AA29^2</f>
        <v>0</v>
      </c>
    </row>
    <row r="30" spans="1:27" x14ac:dyDescent="0.25">
      <c r="A30" t="s">
        <v>65</v>
      </c>
      <c r="B30" s="3">
        <f>p!B30^2</f>
        <v>6.6784496906956203E-2</v>
      </c>
      <c r="C30" s="3">
        <f>p!C30^2</f>
        <v>3.231915162226992E-2</v>
      </c>
      <c r="D30" s="3">
        <f>p!D30^2</f>
        <v>0</v>
      </c>
      <c r="E30" s="3">
        <f>p!E30^2</f>
        <v>0</v>
      </c>
      <c r="F30" s="3">
        <f>p!F30^2</f>
        <v>0</v>
      </c>
      <c r="G30" s="3">
        <f>p!G30^2</f>
        <v>0</v>
      </c>
      <c r="H30" s="3">
        <f>p!H30^2</f>
        <v>5.0498674409796739E-2</v>
      </c>
      <c r="I30" s="3">
        <f>p!I30^2</f>
        <v>0</v>
      </c>
      <c r="J30" s="3">
        <f>p!J30^2</f>
        <v>9.8977401843201612E-2</v>
      </c>
      <c r="K30" s="3">
        <f>p!K30^2</f>
        <v>0</v>
      </c>
      <c r="L30" s="3">
        <f>p!L30^2</f>
        <v>0</v>
      </c>
      <c r="M30" s="3">
        <f>p!M30^2</f>
        <v>0</v>
      </c>
      <c r="N30" s="3">
        <f>p!N30^2</f>
        <v>5.0498674409796751E-4</v>
      </c>
      <c r="O30" s="3">
        <f>p!O30^2</f>
        <v>0</v>
      </c>
      <c r="P30" s="3">
        <f>p!P30^2</f>
        <v>0</v>
      </c>
      <c r="Q30" s="3">
        <f>p!Q30^2</f>
        <v>0</v>
      </c>
      <c r="R30" s="3">
        <f>p!R30^2</f>
        <v>0</v>
      </c>
      <c r="S30" s="3">
        <f>p!S30^2</f>
        <v>0</v>
      </c>
      <c r="T30" s="3">
        <f>p!T30^2</f>
        <v>0</v>
      </c>
      <c r="U30" s="3">
        <f>p!U30^2</f>
        <v>0</v>
      </c>
      <c r="V30" s="3">
        <f>p!V30^2</f>
        <v>0</v>
      </c>
      <c r="W30" s="3">
        <f>p!W30^2</f>
        <v>0</v>
      </c>
      <c r="X30" s="3">
        <f>p!X30^2</f>
        <v>0</v>
      </c>
      <c r="Y30" s="3">
        <f>p!Y30^2</f>
        <v>0</v>
      </c>
      <c r="Z30" s="3">
        <f>p!Z30^2</f>
        <v>0</v>
      </c>
      <c r="AA30" s="3">
        <f>p!AA30^2</f>
        <v>0</v>
      </c>
    </row>
    <row r="31" spans="1:27" x14ac:dyDescent="0.25">
      <c r="A31" t="s">
        <v>66</v>
      </c>
      <c r="B31" s="3">
        <f>p!B31^2</f>
        <v>0.22827160493827156</v>
      </c>
      <c r="C31" s="3">
        <f>p!C31^2</f>
        <v>1.2345679012345679E-4</v>
      </c>
      <c r="D31" s="3">
        <f>p!D31^2</f>
        <v>0</v>
      </c>
      <c r="E31" s="3">
        <f>p!E31^2</f>
        <v>0</v>
      </c>
      <c r="F31" s="3">
        <f>p!F31^2</f>
        <v>0</v>
      </c>
      <c r="G31" s="3">
        <f>p!G31^2</f>
        <v>0</v>
      </c>
      <c r="H31" s="3">
        <f>p!H31^2</f>
        <v>0.12641975308641976</v>
      </c>
      <c r="I31" s="3">
        <f>p!I31^2</f>
        <v>0</v>
      </c>
      <c r="J31" s="3">
        <f>p!J31^2</f>
        <v>1.4938271604938271E-2</v>
      </c>
      <c r="K31" s="3">
        <f>p!K31^2</f>
        <v>0</v>
      </c>
      <c r="L31" s="3">
        <f>p!L31^2</f>
        <v>0</v>
      </c>
      <c r="M31" s="3">
        <f>p!M31^2</f>
        <v>0</v>
      </c>
      <c r="N31" s="3">
        <f>p!N31^2</f>
        <v>0</v>
      </c>
      <c r="O31" s="3">
        <f>p!O31^2</f>
        <v>1.1111111111111111E-3</v>
      </c>
      <c r="P31" s="3">
        <f>p!P31^2</f>
        <v>0</v>
      </c>
      <c r="Q31" s="3">
        <f>p!Q31^2</f>
        <v>0</v>
      </c>
      <c r="R31" s="3">
        <f>p!R31^2</f>
        <v>0</v>
      </c>
      <c r="S31" s="3">
        <f>p!S31^2</f>
        <v>0</v>
      </c>
      <c r="T31" s="3">
        <f>p!T31^2</f>
        <v>0</v>
      </c>
      <c r="U31" s="3">
        <f>p!U31^2</f>
        <v>0</v>
      </c>
      <c r="V31" s="3">
        <f>p!V31^2</f>
        <v>0</v>
      </c>
      <c r="W31" s="3">
        <f>p!W31^2</f>
        <v>0</v>
      </c>
      <c r="X31" s="3">
        <f>p!X31^2</f>
        <v>0</v>
      </c>
      <c r="Y31" s="3">
        <f>p!Y31^2</f>
        <v>0</v>
      </c>
      <c r="Z31" s="3">
        <f>p!Z31^2</f>
        <v>0</v>
      </c>
      <c r="AA31" s="3">
        <f>p!AA31^2</f>
        <v>0</v>
      </c>
    </row>
    <row r="32" spans="1:27" x14ac:dyDescent="0.25">
      <c r="A32" t="s">
        <v>88</v>
      </c>
      <c r="B32" s="3">
        <f>p!B32^2</f>
        <v>0.11870630605183254</v>
      </c>
      <c r="C32" s="3">
        <f>p!C32^2</f>
        <v>1.0168773391709629E-2</v>
      </c>
      <c r="D32" s="3">
        <f>p!D32^2</f>
        <v>0</v>
      </c>
      <c r="E32" s="3">
        <f>p!E32^2</f>
        <v>0</v>
      </c>
      <c r="F32" s="3">
        <f>p!F32^2</f>
        <v>0</v>
      </c>
      <c r="G32" s="3">
        <f>p!G32^2</f>
        <v>0</v>
      </c>
      <c r="H32" s="3">
        <f>p!H32^2</f>
        <v>2.5492549961160939E-2</v>
      </c>
      <c r="I32" s="3">
        <f>p!I32^2</f>
        <v>0</v>
      </c>
      <c r="J32" s="3">
        <f>p!J32^2</f>
        <v>0.12456747404844293</v>
      </c>
      <c r="K32" s="3">
        <f>p!K32^2</f>
        <v>0</v>
      </c>
      <c r="L32" s="3">
        <f>p!L32^2</f>
        <v>0</v>
      </c>
      <c r="M32" s="3">
        <f>p!M32^2</f>
        <v>0</v>
      </c>
      <c r="N32" s="3">
        <f>p!N32^2</f>
        <v>7.0616481886872422E-5</v>
      </c>
      <c r="O32" s="3">
        <f>p!O32^2</f>
        <v>1.1298637101899588E-3</v>
      </c>
      <c r="P32" s="3">
        <f>p!P32^2</f>
        <v>0</v>
      </c>
      <c r="Q32" s="3">
        <f>p!Q32^2</f>
        <v>0</v>
      </c>
      <c r="R32" s="3">
        <f>p!R32^2</f>
        <v>0</v>
      </c>
      <c r="S32" s="3">
        <f>p!S32^2</f>
        <v>0</v>
      </c>
      <c r="T32" s="3">
        <f>p!T32^2</f>
        <v>0</v>
      </c>
      <c r="U32" s="3">
        <f>p!U32^2</f>
        <v>0</v>
      </c>
      <c r="V32" s="3">
        <f>p!V32^2</f>
        <v>0</v>
      </c>
      <c r="W32" s="3">
        <f>p!W32^2</f>
        <v>0</v>
      </c>
      <c r="X32" s="3">
        <f>p!X32^2</f>
        <v>0</v>
      </c>
      <c r="Y32" s="3">
        <f>p!Y32^2</f>
        <v>0</v>
      </c>
      <c r="Z32" s="3">
        <f>p!Z32^2</f>
        <v>0</v>
      </c>
      <c r="AA32" s="3">
        <f>p!AA32^2</f>
        <v>0</v>
      </c>
    </row>
    <row r="33" spans="1:27" x14ac:dyDescent="0.25">
      <c r="A33" t="s">
        <v>89</v>
      </c>
      <c r="B33" s="3">
        <f>p!B33^2</f>
        <v>5.4869684499314125E-3</v>
      </c>
      <c r="C33" s="3">
        <f>p!C33^2</f>
        <v>0</v>
      </c>
      <c r="D33" s="3">
        <f>p!D33^2</f>
        <v>0</v>
      </c>
      <c r="E33" s="3">
        <f>p!E33^2</f>
        <v>0</v>
      </c>
      <c r="F33" s="3">
        <f>p!F33^2</f>
        <v>0</v>
      </c>
      <c r="G33" s="3">
        <f>p!G33^2</f>
        <v>0</v>
      </c>
      <c r="H33" s="3">
        <f>p!H33^2</f>
        <v>0.23182441700960216</v>
      </c>
      <c r="I33" s="3">
        <f>p!I33^2</f>
        <v>0</v>
      </c>
      <c r="J33" s="3">
        <f>p!J33^2</f>
        <v>0.18141289437585734</v>
      </c>
      <c r="K33" s="3">
        <f>p!K33^2</f>
        <v>0</v>
      </c>
      <c r="L33" s="3">
        <f>p!L33^2</f>
        <v>0</v>
      </c>
      <c r="M33" s="3">
        <f>p!M33^2</f>
        <v>0</v>
      </c>
      <c r="N33" s="3">
        <f>p!N33^2</f>
        <v>0</v>
      </c>
      <c r="O33" s="3">
        <f>p!O33^2</f>
        <v>3.4293552812071328E-4</v>
      </c>
      <c r="P33" s="3">
        <f>p!P33^2</f>
        <v>0</v>
      </c>
      <c r="Q33" s="3">
        <f>p!Q33^2</f>
        <v>0</v>
      </c>
      <c r="R33" s="3">
        <f>p!R33^2</f>
        <v>0</v>
      </c>
      <c r="S33" s="3">
        <f>p!S33^2</f>
        <v>0</v>
      </c>
      <c r="T33" s="3">
        <f>p!T33^2</f>
        <v>0</v>
      </c>
      <c r="U33" s="3">
        <f>p!U33^2</f>
        <v>0</v>
      </c>
      <c r="V33" s="3">
        <f>p!V33^2</f>
        <v>0</v>
      </c>
      <c r="W33" s="3">
        <f>p!W33^2</f>
        <v>0</v>
      </c>
      <c r="X33" s="3">
        <f>p!X33^2</f>
        <v>0</v>
      </c>
      <c r="Y33" s="3">
        <f>p!Y33^2</f>
        <v>0</v>
      </c>
      <c r="Z33" s="3">
        <f>p!Z33^2</f>
        <v>0</v>
      </c>
      <c r="AA33" s="3">
        <f>p!AA33^2</f>
        <v>0</v>
      </c>
    </row>
    <row r="34" spans="1:27" x14ac:dyDescent="0.25">
      <c r="A34" t="s">
        <v>115</v>
      </c>
      <c r="B34" s="3">
        <f>p!B34^2</f>
        <v>0</v>
      </c>
      <c r="C34" s="3">
        <f>p!C34^2</f>
        <v>0</v>
      </c>
      <c r="D34" s="3">
        <f>p!D34^2</f>
        <v>0</v>
      </c>
      <c r="E34" s="3">
        <f>p!E34^2</f>
        <v>0</v>
      </c>
      <c r="F34" s="3">
        <f>p!F34^2</f>
        <v>0</v>
      </c>
      <c r="G34" s="3">
        <f>p!G34^2</f>
        <v>0</v>
      </c>
      <c r="H34" s="3">
        <f>p!H34^2</f>
        <v>0.78366030636925554</v>
      </c>
      <c r="I34" s="3">
        <f>p!I34^2</f>
        <v>0</v>
      </c>
      <c r="J34" s="3">
        <f>p!J34^2</f>
        <v>1.3168503090567052E-2</v>
      </c>
      <c r="K34" s="3">
        <f>p!K34^2</f>
        <v>0</v>
      </c>
      <c r="L34" s="3">
        <f>p!L34^2</f>
        <v>0</v>
      </c>
      <c r="M34" s="3">
        <f>p!M34^2</f>
        <v>0</v>
      </c>
      <c r="N34" s="3">
        <f>p!N34^2</f>
        <v>0</v>
      </c>
      <c r="O34" s="3">
        <f>p!O34^2</f>
        <v>0</v>
      </c>
      <c r="P34" s="3">
        <f>p!P34^2</f>
        <v>0</v>
      </c>
      <c r="Q34" s="3">
        <f>p!Q34^2</f>
        <v>0</v>
      </c>
      <c r="R34" s="3">
        <f>p!R34^2</f>
        <v>0</v>
      </c>
      <c r="S34" s="3">
        <f>p!S34^2</f>
        <v>0</v>
      </c>
      <c r="T34" s="3">
        <f>p!T34^2</f>
        <v>0</v>
      </c>
      <c r="U34" s="3">
        <f>p!U34^2</f>
        <v>0</v>
      </c>
      <c r="V34" s="3">
        <f>p!V34^2</f>
        <v>0</v>
      </c>
      <c r="W34" s="3">
        <f>p!W34^2</f>
        <v>0</v>
      </c>
      <c r="X34" s="3">
        <f>p!X34^2</f>
        <v>0</v>
      </c>
      <c r="Y34" s="3">
        <f>p!Y34^2</f>
        <v>0</v>
      </c>
      <c r="Z34" s="3">
        <f>p!Z34^2</f>
        <v>0</v>
      </c>
      <c r="AA34" s="3">
        <f>p!AA34^2</f>
        <v>0</v>
      </c>
    </row>
    <row r="35" spans="1:27" x14ac:dyDescent="0.25">
      <c r="A35" t="s">
        <v>116</v>
      </c>
      <c r="B35" s="3">
        <f>p!B35^2</f>
        <v>4.5448806968817063E-3</v>
      </c>
      <c r="C35" s="3">
        <f>p!C35^2</f>
        <v>3.6485292261078148E-2</v>
      </c>
      <c r="D35" s="3">
        <f>p!D35^2</f>
        <v>0</v>
      </c>
      <c r="E35" s="3">
        <f>p!E35^2</f>
        <v>0</v>
      </c>
      <c r="F35" s="3">
        <f>p!F35^2</f>
        <v>0</v>
      </c>
      <c r="G35" s="3">
        <f>p!G35^2</f>
        <v>0</v>
      </c>
      <c r="H35" s="3">
        <f>p!H35^2</f>
        <v>0.11362201742204267</v>
      </c>
      <c r="I35" s="3">
        <f>p!I35^2</f>
        <v>0</v>
      </c>
      <c r="J35" s="3">
        <f>p!J35^2</f>
        <v>0.11362201742204267</v>
      </c>
      <c r="K35" s="3">
        <f>p!K35^2</f>
        <v>0</v>
      </c>
      <c r="L35" s="3">
        <f>p!L35^2</f>
        <v>0</v>
      </c>
      <c r="M35" s="3">
        <f>p!M35^2</f>
        <v>0</v>
      </c>
      <c r="N35" s="3">
        <f>p!N35^2</f>
        <v>1.2624668602449185E-4</v>
      </c>
      <c r="O35" s="3">
        <f>p!O35^2</f>
        <v>5.049867440979674E-4</v>
      </c>
      <c r="P35" s="3">
        <f>p!P35^2</f>
        <v>0</v>
      </c>
      <c r="Q35" s="3">
        <f>p!Q35^2</f>
        <v>0</v>
      </c>
      <c r="R35" s="3">
        <f>p!R35^2</f>
        <v>0</v>
      </c>
      <c r="S35" s="3">
        <f>p!S35^2</f>
        <v>0</v>
      </c>
      <c r="T35" s="3">
        <f>p!T35^2</f>
        <v>0</v>
      </c>
      <c r="U35" s="3">
        <f>p!U35^2</f>
        <v>0</v>
      </c>
      <c r="V35" s="3">
        <f>p!V35^2</f>
        <v>0</v>
      </c>
      <c r="W35" s="3">
        <f>p!W35^2</f>
        <v>0</v>
      </c>
      <c r="X35" s="3">
        <f>p!X35^2</f>
        <v>0</v>
      </c>
      <c r="Y35" s="3">
        <f>p!Y35^2</f>
        <v>0</v>
      </c>
      <c r="Z35" s="3">
        <f>p!Z35^2</f>
        <v>0</v>
      </c>
      <c r="AA35" s="3">
        <f>p!AA35^2</f>
        <v>0</v>
      </c>
    </row>
    <row r="36" spans="1:27" x14ac:dyDescent="0.25">
      <c r="A36" t="s">
        <v>117</v>
      </c>
      <c r="B36" s="3">
        <f>p!B36^2</f>
        <v>0.13223140495867769</v>
      </c>
      <c r="C36" s="3">
        <f>p!C36^2</f>
        <v>3.3057851239669422E-2</v>
      </c>
      <c r="D36" s="3">
        <f>p!D36^2</f>
        <v>0</v>
      </c>
      <c r="E36" s="3">
        <f>p!E36^2</f>
        <v>0</v>
      </c>
      <c r="F36" s="3">
        <f>p!F36^2</f>
        <v>0</v>
      </c>
      <c r="G36" s="3">
        <f>p!G36^2</f>
        <v>0</v>
      </c>
      <c r="H36" s="3">
        <f>p!H36^2</f>
        <v>0.15999999999999998</v>
      </c>
      <c r="I36" s="3">
        <f>p!I36^2</f>
        <v>0</v>
      </c>
      <c r="J36" s="3">
        <f>p!J36^2</f>
        <v>1.3223140495867767E-3</v>
      </c>
      <c r="K36" s="3">
        <f>p!K36^2</f>
        <v>0</v>
      </c>
      <c r="L36" s="3">
        <f>p!L36^2</f>
        <v>0</v>
      </c>
      <c r="M36" s="3">
        <f>p!M36^2</f>
        <v>0</v>
      </c>
      <c r="N36" s="3">
        <f>p!N36^2</f>
        <v>0</v>
      </c>
      <c r="O36" s="3">
        <f>p!O36^2</f>
        <v>0</v>
      </c>
      <c r="P36" s="3">
        <f>p!P36^2</f>
        <v>0</v>
      </c>
      <c r="Q36" s="3">
        <f>p!Q36^2</f>
        <v>0</v>
      </c>
      <c r="R36" s="3">
        <f>p!R36^2</f>
        <v>0</v>
      </c>
      <c r="S36" s="3">
        <f>p!S36^2</f>
        <v>0</v>
      </c>
      <c r="T36" s="3">
        <f>p!T36^2</f>
        <v>0</v>
      </c>
      <c r="U36" s="3">
        <f>p!U36^2</f>
        <v>0</v>
      </c>
      <c r="V36" s="3">
        <f>p!V36^2</f>
        <v>0</v>
      </c>
      <c r="W36" s="3">
        <f>p!W36^2</f>
        <v>0</v>
      </c>
      <c r="X36" s="3">
        <f>p!X36^2</f>
        <v>0</v>
      </c>
      <c r="Y36" s="3">
        <f>p!Y36^2</f>
        <v>0</v>
      </c>
      <c r="Z36" s="3">
        <f>p!Z36^2</f>
        <v>0</v>
      </c>
      <c r="AA36" s="3">
        <f>p!AA36^2</f>
        <v>0</v>
      </c>
    </row>
    <row r="37" spans="1:27" x14ac:dyDescent="0.25">
      <c r="A37" t="s">
        <v>118</v>
      </c>
      <c r="B37" s="3">
        <f>p!B37^2</f>
        <v>1.3168503090567052E-2</v>
      </c>
      <c r="C37" s="3">
        <f>p!C37^2</f>
        <v>0.54420854608976088</v>
      </c>
      <c r="D37" s="3">
        <f>p!D37^2</f>
        <v>0</v>
      </c>
      <c r="E37" s="3">
        <f>p!E37^2</f>
        <v>0</v>
      </c>
      <c r="F37" s="3">
        <f>p!F37^2</f>
        <v>0</v>
      </c>
      <c r="G37" s="3">
        <f>p!G37^2</f>
        <v>0</v>
      </c>
      <c r="H37" s="3">
        <f>p!H37^2</f>
        <v>1.3168503090567052E-2</v>
      </c>
      <c r="I37" s="3">
        <f>p!I37^2</f>
        <v>0</v>
      </c>
      <c r="J37" s="3">
        <f>p!J37^2</f>
        <v>0</v>
      </c>
      <c r="K37" s="3">
        <f>p!K37^2</f>
        <v>0</v>
      </c>
      <c r="L37" s="3">
        <f>p!L37^2</f>
        <v>0</v>
      </c>
      <c r="M37" s="3">
        <f>p!M37^2</f>
        <v>0</v>
      </c>
      <c r="N37" s="3">
        <f>p!N37^2</f>
        <v>0</v>
      </c>
      <c r="O37" s="3">
        <f>p!O37^2</f>
        <v>1.0749798441279227E-3</v>
      </c>
      <c r="P37" s="3">
        <f>p!P37^2</f>
        <v>0</v>
      </c>
      <c r="Q37" s="3">
        <f>p!Q37^2</f>
        <v>0</v>
      </c>
      <c r="R37" s="3">
        <f>p!R37^2</f>
        <v>0</v>
      </c>
      <c r="S37" s="3">
        <f>p!S37^2</f>
        <v>0</v>
      </c>
      <c r="T37" s="3">
        <f>p!T37^2</f>
        <v>0</v>
      </c>
      <c r="U37" s="3">
        <f>p!U37^2</f>
        <v>0</v>
      </c>
      <c r="V37" s="3">
        <f>p!V37^2</f>
        <v>0</v>
      </c>
      <c r="W37" s="3">
        <f>p!W37^2</f>
        <v>0</v>
      </c>
      <c r="X37" s="3">
        <f>p!X37^2</f>
        <v>0</v>
      </c>
      <c r="Y37" s="3">
        <f>p!Y37^2</f>
        <v>0</v>
      </c>
      <c r="Z37" s="3">
        <f>p!Z37^2</f>
        <v>0</v>
      </c>
      <c r="AA37" s="3">
        <f>p!AA37^2</f>
        <v>0</v>
      </c>
    </row>
    <row r="38" spans="1:27" x14ac:dyDescent="0.25">
      <c r="A38" t="s">
        <v>120</v>
      </c>
      <c r="B38" s="3">
        <f>p!B38^2</f>
        <v>1.0412328196584754E-4</v>
      </c>
      <c r="C38" s="3">
        <f>p!C38^2</f>
        <v>0</v>
      </c>
      <c r="D38" s="3">
        <f>p!D38^2</f>
        <v>0</v>
      </c>
      <c r="E38" s="3">
        <f>p!E38^2</f>
        <v>0</v>
      </c>
      <c r="F38" s="3">
        <f>p!F38^2</f>
        <v>0</v>
      </c>
      <c r="G38" s="3">
        <f>p!G38^2</f>
        <v>0</v>
      </c>
      <c r="H38" s="3">
        <f>p!H38^2</f>
        <v>0.52488546438983763</v>
      </c>
      <c r="I38" s="3">
        <f>p!I38^2</f>
        <v>0</v>
      </c>
      <c r="J38" s="3">
        <f>p!J38^2</f>
        <v>7.0387338608912955E-2</v>
      </c>
      <c r="K38" s="3">
        <f>p!K38^2</f>
        <v>0</v>
      </c>
      <c r="L38" s="3">
        <f>p!L38^2</f>
        <v>0</v>
      </c>
      <c r="M38" s="3">
        <f>p!M38^2</f>
        <v>0</v>
      </c>
      <c r="N38" s="3">
        <f>p!N38^2</f>
        <v>0</v>
      </c>
      <c r="O38" s="3">
        <f>p!O38^2</f>
        <v>0</v>
      </c>
      <c r="P38" s="3">
        <f>p!P38^2</f>
        <v>0</v>
      </c>
      <c r="Q38" s="3">
        <f>p!Q38^2</f>
        <v>0</v>
      </c>
      <c r="R38" s="3">
        <f>p!R38^2</f>
        <v>0</v>
      </c>
      <c r="S38" s="3">
        <f>p!S38^2</f>
        <v>0</v>
      </c>
      <c r="T38" s="3">
        <f>p!T38^2</f>
        <v>0</v>
      </c>
      <c r="U38" s="3">
        <f>p!U38^2</f>
        <v>0</v>
      </c>
      <c r="V38" s="3">
        <f>p!V38^2</f>
        <v>0</v>
      </c>
      <c r="W38" s="3">
        <f>p!W38^2</f>
        <v>0</v>
      </c>
      <c r="X38" s="3">
        <f>p!X38^2</f>
        <v>0</v>
      </c>
      <c r="Y38" s="3">
        <f>p!Y38^2</f>
        <v>0</v>
      </c>
      <c r="Z38" s="3">
        <f>p!Z38^2</f>
        <v>0</v>
      </c>
      <c r="AA38" s="3">
        <f>p!AA38^2</f>
        <v>0</v>
      </c>
    </row>
    <row r="39" spans="1:27" x14ac:dyDescent="0.25">
      <c r="A39" t="s">
        <v>121</v>
      </c>
      <c r="B39" s="3">
        <f>p!B39^2</f>
        <v>4.4444444444444444E-3</v>
      </c>
      <c r="C39" s="3">
        <f>p!C39^2</f>
        <v>0.21777777777777774</v>
      </c>
      <c r="D39" s="3">
        <f>p!D39^2</f>
        <v>0</v>
      </c>
      <c r="E39" s="3">
        <f>p!E39^2</f>
        <v>0</v>
      </c>
      <c r="F39" s="3">
        <f>p!F39^2</f>
        <v>0</v>
      </c>
      <c r="G39" s="3">
        <f>p!G39^2</f>
        <v>0</v>
      </c>
      <c r="H39" s="3">
        <f>p!H39^2</f>
        <v>0.1111111111111111</v>
      </c>
      <c r="I39" s="3">
        <f>p!I39^2</f>
        <v>0</v>
      </c>
      <c r="J39" s="3">
        <f>p!J39^2</f>
        <v>2.8444444444444441E-3</v>
      </c>
      <c r="K39" s="3">
        <f>p!K39^2</f>
        <v>0</v>
      </c>
      <c r="L39" s="3">
        <f>p!L39^2</f>
        <v>0</v>
      </c>
      <c r="M39" s="3">
        <f>p!M39^2</f>
        <v>0</v>
      </c>
      <c r="N39" s="3">
        <f>p!N39^2</f>
        <v>0</v>
      </c>
      <c r="O39" s="3">
        <f>p!O39^2</f>
        <v>4.4444444444444444E-3</v>
      </c>
      <c r="P39" s="3">
        <f>p!P39^2</f>
        <v>0</v>
      </c>
      <c r="Q39" s="3">
        <f>p!Q39^2</f>
        <v>0</v>
      </c>
      <c r="R39" s="3">
        <f>p!R39^2</f>
        <v>0</v>
      </c>
      <c r="S39" s="3">
        <f>p!S39^2</f>
        <v>0</v>
      </c>
      <c r="T39" s="3">
        <f>p!T39^2</f>
        <v>0</v>
      </c>
      <c r="U39" s="3">
        <f>p!U39^2</f>
        <v>0</v>
      </c>
      <c r="V39" s="3">
        <f>p!V39^2</f>
        <v>0</v>
      </c>
      <c r="W39" s="3">
        <f>p!W39^2</f>
        <v>0</v>
      </c>
      <c r="X39" s="3">
        <f>p!X39^2</f>
        <v>0</v>
      </c>
      <c r="Y39" s="3">
        <f>p!Y39^2</f>
        <v>0</v>
      </c>
      <c r="Z39" s="3">
        <f>p!Z39^2</f>
        <v>0</v>
      </c>
      <c r="AA39" s="3">
        <f>p!AA39^2</f>
        <v>0</v>
      </c>
    </row>
    <row r="40" spans="1:27" x14ac:dyDescent="0.25">
      <c r="A40" t="s">
        <v>122</v>
      </c>
      <c r="B40" s="3">
        <f>p!B40^2</f>
        <v>0</v>
      </c>
      <c r="C40" s="3">
        <f>p!C40^2</f>
        <v>0.11816406250000004</v>
      </c>
      <c r="D40" s="3">
        <f>p!D40^2</f>
        <v>0</v>
      </c>
      <c r="E40" s="3">
        <f>p!E40^2</f>
        <v>0</v>
      </c>
      <c r="F40" s="3">
        <f>p!F40^2</f>
        <v>0</v>
      </c>
      <c r="G40" s="3">
        <f>p!G40^2</f>
        <v>0</v>
      </c>
      <c r="H40" s="3">
        <f>p!H40^2</f>
        <v>0.1650390625</v>
      </c>
      <c r="I40" s="3">
        <f>p!I40^2</f>
        <v>0</v>
      </c>
      <c r="J40" s="3">
        <f>p!J40^2</f>
        <v>1.1962890625E-2</v>
      </c>
      <c r="K40" s="3">
        <f>p!K40^2</f>
        <v>0</v>
      </c>
      <c r="L40" s="3">
        <f>p!L40^2</f>
        <v>0</v>
      </c>
      <c r="M40" s="3">
        <f>p!M40^2</f>
        <v>0</v>
      </c>
      <c r="N40" s="3">
        <f>p!N40^2</f>
        <v>0</v>
      </c>
      <c r="O40" s="3">
        <f>p!O40^2</f>
        <v>2.197265625E-3</v>
      </c>
      <c r="P40" s="3">
        <f>p!P40^2</f>
        <v>0</v>
      </c>
      <c r="Q40" s="3">
        <f>p!Q40^2</f>
        <v>0</v>
      </c>
      <c r="R40" s="3">
        <f>p!R40^2</f>
        <v>0</v>
      </c>
      <c r="S40" s="3">
        <f>p!S40^2</f>
        <v>0</v>
      </c>
      <c r="T40" s="3">
        <f>p!T40^2</f>
        <v>0</v>
      </c>
      <c r="U40" s="3">
        <f>p!U40^2</f>
        <v>0</v>
      </c>
      <c r="V40" s="3">
        <f>p!V40^2</f>
        <v>0</v>
      </c>
      <c r="W40" s="3">
        <f>p!W40^2</f>
        <v>0</v>
      </c>
      <c r="X40" s="3">
        <f>p!X40^2</f>
        <v>0</v>
      </c>
      <c r="Y40" s="3">
        <f>p!Y40^2</f>
        <v>0</v>
      </c>
      <c r="Z40" s="3">
        <f>p!Z40^2</f>
        <v>0</v>
      </c>
      <c r="AA40" s="3">
        <f>p!AA40^2</f>
        <v>0</v>
      </c>
    </row>
    <row r="41" spans="1:27" x14ac:dyDescent="0.25">
      <c r="A41" t="s">
        <v>123</v>
      </c>
      <c r="B41" s="3">
        <f>p!B41^2</f>
        <v>0</v>
      </c>
      <c r="C41" s="3">
        <f>p!C41^2</f>
        <v>4.432132963988919E-2</v>
      </c>
      <c r="D41" s="3">
        <f>p!D41^2</f>
        <v>0</v>
      </c>
      <c r="E41" s="3">
        <f>p!E41^2</f>
        <v>0</v>
      </c>
      <c r="F41" s="3">
        <f>p!F41^2</f>
        <v>0</v>
      </c>
      <c r="G41" s="3">
        <f>p!G41^2</f>
        <v>0</v>
      </c>
      <c r="H41" s="3">
        <f>p!H41^2</f>
        <v>5.6094182825484756E-2</v>
      </c>
      <c r="I41" s="3">
        <f>p!I41^2</f>
        <v>0</v>
      </c>
      <c r="J41" s="3">
        <f>p!J41^2</f>
        <v>0</v>
      </c>
      <c r="K41" s="3">
        <f>p!K41^2</f>
        <v>0</v>
      </c>
      <c r="L41" s="3">
        <f>p!L41^2</f>
        <v>0</v>
      </c>
      <c r="M41" s="3">
        <f>p!M41^2</f>
        <v>0</v>
      </c>
      <c r="N41" s="3">
        <f>p!N41^2</f>
        <v>0</v>
      </c>
      <c r="O41" s="3">
        <f>p!O41^2</f>
        <v>1.1080332409972297E-2</v>
      </c>
      <c r="P41" s="3">
        <f>p!P41^2</f>
        <v>0</v>
      </c>
      <c r="Q41" s="3">
        <f>p!Q41^2</f>
        <v>0</v>
      </c>
      <c r="R41" s="3">
        <f>p!R41^2</f>
        <v>0</v>
      </c>
      <c r="S41" s="3">
        <f>p!S41^2</f>
        <v>0</v>
      </c>
      <c r="T41" s="3">
        <f>p!T41^2</f>
        <v>0</v>
      </c>
      <c r="U41" s="3">
        <f>p!U41^2</f>
        <v>0</v>
      </c>
      <c r="V41" s="3">
        <f>p!V41^2</f>
        <v>0</v>
      </c>
      <c r="W41" s="3">
        <f>p!W41^2</f>
        <v>0</v>
      </c>
      <c r="X41" s="3">
        <f>p!X41^2</f>
        <v>0</v>
      </c>
      <c r="Y41" s="3">
        <f>p!Y41^2</f>
        <v>0</v>
      </c>
      <c r="Z41" s="3">
        <f>p!Z41^2</f>
        <v>0</v>
      </c>
      <c r="AA41" s="3">
        <f>p!AA41^2</f>
        <v>0</v>
      </c>
    </row>
    <row r="42" spans="1:27" x14ac:dyDescent="0.25">
      <c r="A42" t="s">
        <v>124</v>
      </c>
      <c r="B42" s="3">
        <f>p!B42^2</f>
        <v>0</v>
      </c>
      <c r="C42" s="3">
        <f>p!C42^2</f>
        <v>2.3842993079584769E-2</v>
      </c>
      <c r="D42" s="3">
        <f>p!D42^2</f>
        <v>0</v>
      </c>
      <c r="E42" s="3">
        <f>p!E42^2</f>
        <v>0</v>
      </c>
      <c r="F42" s="3">
        <f>p!F42^2</f>
        <v>0</v>
      </c>
      <c r="G42" s="3">
        <f>p!G42^2</f>
        <v>0</v>
      </c>
      <c r="H42" s="3">
        <f>p!H42^2</f>
        <v>2.1626297577854666E-2</v>
      </c>
      <c r="I42" s="3">
        <f>p!I42^2</f>
        <v>0</v>
      </c>
      <c r="J42" s="3">
        <f>p!J42^2</f>
        <v>1.3516435986159166E-3</v>
      </c>
      <c r="K42" s="3">
        <f>p!K42^2</f>
        <v>0</v>
      </c>
      <c r="L42" s="3">
        <f>p!L42^2</f>
        <v>0</v>
      </c>
      <c r="M42" s="3">
        <f>p!M42^2</f>
        <v>0</v>
      </c>
      <c r="N42" s="3">
        <f>p!N42^2</f>
        <v>0</v>
      </c>
      <c r="O42" s="3">
        <f>p!O42^2</f>
        <v>4.8659169550173002E-4</v>
      </c>
      <c r="P42" s="3">
        <f>p!P42^2</f>
        <v>0</v>
      </c>
      <c r="Q42" s="3">
        <f>p!Q42^2</f>
        <v>8.6505190311418666E-4</v>
      </c>
      <c r="R42" s="3">
        <f>p!R42^2</f>
        <v>0</v>
      </c>
      <c r="S42" s="3">
        <f>p!S42^2</f>
        <v>0</v>
      </c>
      <c r="T42" s="3">
        <f>p!T42^2</f>
        <v>0</v>
      </c>
      <c r="U42" s="3">
        <f>p!U42^2</f>
        <v>0</v>
      </c>
      <c r="V42" s="3">
        <f>p!V42^2</f>
        <v>0</v>
      </c>
      <c r="W42" s="3">
        <f>p!W42^2</f>
        <v>0</v>
      </c>
      <c r="X42" s="3">
        <f>p!X42^2</f>
        <v>0</v>
      </c>
      <c r="Y42" s="3">
        <f>p!Y42^2</f>
        <v>0</v>
      </c>
      <c r="Z42" s="3">
        <f>p!Z42^2</f>
        <v>0</v>
      </c>
      <c r="AA42" s="3">
        <f>p!AA42^2</f>
        <v>0</v>
      </c>
    </row>
    <row r="43" spans="1:27" x14ac:dyDescent="0.25">
      <c r="A43" t="s">
        <v>136</v>
      </c>
      <c r="B43" s="3">
        <f>p!B43^2</f>
        <v>3.7319214876033055E-2</v>
      </c>
      <c r="C43" s="3">
        <f>p!C43^2</f>
        <v>0.15818698347107432</v>
      </c>
      <c r="D43" s="3">
        <f>p!D43^2</f>
        <v>0</v>
      </c>
      <c r="E43" s="3">
        <f>p!E43^2</f>
        <v>0</v>
      </c>
      <c r="F43" s="3">
        <f>p!F43^2</f>
        <v>0</v>
      </c>
      <c r="G43" s="3">
        <f>p!G43^2</f>
        <v>0</v>
      </c>
      <c r="H43" s="3">
        <f>p!H43^2</f>
        <v>4.661673553719007E-2</v>
      </c>
      <c r="I43" s="3">
        <f>p!I43^2</f>
        <v>0</v>
      </c>
      <c r="J43" s="3">
        <f>p!J43^2</f>
        <v>0</v>
      </c>
      <c r="K43" s="3">
        <f>p!K43^2</f>
        <v>0</v>
      </c>
      <c r="L43" s="3">
        <f>p!L43^2</f>
        <v>0</v>
      </c>
      <c r="M43" s="3">
        <f>p!M43^2</f>
        <v>0</v>
      </c>
      <c r="N43" s="3">
        <f>p!N43^2</f>
        <v>1.2913223140495865E-4</v>
      </c>
      <c r="O43" s="3">
        <f>p!O43^2</f>
        <v>1.5624999999999997E-2</v>
      </c>
      <c r="P43" s="3">
        <f>p!P43^2</f>
        <v>0</v>
      </c>
      <c r="Q43" s="3">
        <f>p!Q43^2</f>
        <v>1.2913223140495865E-4</v>
      </c>
      <c r="R43" s="3">
        <f>p!R43^2</f>
        <v>0</v>
      </c>
      <c r="S43" s="3">
        <f>p!S43^2</f>
        <v>0</v>
      </c>
      <c r="T43" s="3">
        <f>p!T43^2</f>
        <v>0</v>
      </c>
      <c r="U43" s="3">
        <f>p!U43^2</f>
        <v>0</v>
      </c>
      <c r="V43" s="3">
        <f>p!V43^2</f>
        <v>0</v>
      </c>
      <c r="W43" s="3">
        <f>p!W43^2</f>
        <v>0</v>
      </c>
      <c r="X43" s="3">
        <f>p!X43^2</f>
        <v>5.1652892561983462E-4</v>
      </c>
      <c r="Y43" s="3">
        <f>p!Y43^2</f>
        <v>0</v>
      </c>
      <c r="Z43" s="3">
        <f>p!Z43^2</f>
        <v>0</v>
      </c>
      <c r="AA43" s="3">
        <f>p!AA43^2</f>
        <v>0</v>
      </c>
    </row>
    <row r="44" spans="1:27" x14ac:dyDescent="0.25">
      <c r="A44" t="s">
        <v>94</v>
      </c>
      <c r="B44" s="3">
        <f>p!B44^2</f>
        <v>0.94806094182825495</v>
      </c>
      <c r="C44" s="3">
        <f>p!C44^2</f>
        <v>0</v>
      </c>
      <c r="D44" s="3">
        <f>p!D44^2</f>
        <v>0</v>
      </c>
      <c r="E44" s="3">
        <f>p!E44^2</f>
        <v>0</v>
      </c>
      <c r="F44" s="3">
        <f>p!F44^2</f>
        <v>0</v>
      </c>
      <c r="G44" s="3">
        <f>p!G44^2</f>
        <v>0</v>
      </c>
      <c r="H44" s="3">
        <f>p!H44^2</f>
        <v>0</v>
      </c>
      <c r="I44" s="3">
        <f>p!I44^2</f>
        <v>0</v>
      </c>
      <c r="J44" s="3">
        <f>p!J44^2</f>
        <v>0</v>
      </c>
      <c r="K44" s="3">
        <f>p!K44^2</f>
        <v>0</v>
      </c>
      <c r="L44" s="3">
        <f>p!L44^2</f>
        <v>0</v>
      </c>
      <c r="M44" s="3">
        <f>p!M44^2</f>
        <v>0</v>
      </c>
      <c r="N44" s="3">
        <f>p!N44^2</f>
        <v>1.731301939058172E-4</v>
      </c>
      <c r="O44" s="3">
        <f>p!O44^2</f>
        <v>0</v>
      </c>
      <c r="P44" s="3">
        <f>p!P44^2</f>
        <v>0</v>
      </c>
      <c r="Q44" s="3">
        <f>p!Q44^2</f>
        <v>1.731301939058172E-4</v>
      </c>
      <c r="R44" s="3">
        <f>p!R44^2</f>
        <v>0</v>
      </c>
      <c r="S44" s="3">
        <f>p!S44^2</f>
        <v>0</v>
      </c>
      <c r="T44" s="3">
        <f>p!T44^2</f>
        <v>0</v>
      </c>
      <c r="U44" s="3">
        <f>p!U44^2</f>
        <v>0</v>
      </c>
      <c r="V44" s="3">
        <f>p!V44^2</f>
        <v>0</v>
      </c>
      <c r="W44" s="3">
        <f>p!W44^2</f>
        <v>0</v>
      </c>
      <c r="X44" s="3">
        <f>p!X44^2</f>
        <v>0</v>
      </c>
      <c r="Y44" s="3">
        <f>p!Y44^2</f>
        <v>0</v>
      </c>
      <c r="Z44" s="3">
        <f>p!Z44^2</f>
        <v>0</v>
      </c>
      <c r="AA44" s="3">
        <f>p!AA44^2</f>
        <v>0</v>
      </c>
    </row>
    <row r="45" spans="1:27" x14ac:dyDescent="0.25">
      <c r="A45" t="s">
        <v>95</v>
      </c>
      <c r="B45" s="3">
        <f>p!B45^2</f>
        <v>0.72565157750342935</v>
      </c>
      <c r="C45" s="3">
        <f>p!C45^2</f>
        <v>1.2345679012345678E-2</v>
      </c>
      <c r="D45" s="3">
        <f>p!D45^2</f>
        <v>0</v>
      </c>
      <c r="E45" s="3">
        <f>p!E45^2</f>
        <v>0</v>
      </c>
      <c r="F45" s="3">
        <f>p!F45^2</f>
        <v>0</v>
      </c>
      <c r="G45" s="3">
        <f>p!G45^2</f>
        <v>0</v>
      </c>
      <c r="H45" s="3">
        <f>p!H45^2</f>
        <v>0</v>
      </c>
      <c r="I45" s="3">
        <f>p!I45^2</f>
        <v>0</v>
      </c>
      <c r="J45" s="3">
        <f>p!J45^2</f>
        <v>0</v>
      </c>
      <c r="K45" s="3">
        <f>p!K45^2</f>
        <v>0</v>
      </c>
      <c r="L45" s="3">
        <f>p!L45^2</f>
        <v>0</v>
      </c>
      <c r="M45" s="3">
        <f>p!M45^2</f>
        <v>0</v>
      </c>
      <c r="N45" s="3">
        <f>p!N45^2</f>
        <v>0</v>
      </c>
      <c r="O45" s="3">
        <f>p!O45^2</f>
        <v>0</v>
      </c>
      <c r="P45" s="3">
        <f>p!P45^2</f>
        <v>0</v>
      </c>
      <c r="Q45" s="3">
        <f>p!Q45^2</f>
        <v>1.3717421124828531E-3</v>
      </c>
      <c r="R45" s="3">
        <f>p!R45^2</f>
        <v>0</v>
      </c>
      <c r="S45" s="3">
        <f>p!S45^2</f>
        <v>0</v>
      </c>
      <c r="T45" s="3">
        <f>p!T45^2</f>
        <v>0</v>
      </c>
      <c r="U45" s="3">
        <f>p!U45^2</f>
        <v>0</v>
      </c>
      <c r="V45" s="3">
        <f>p!V45^2</f>
        <v>0</v>
      </c>
      <c r="W45" s="3">
        <f>p!W45^2</f>
        <v>0</v>
      </c>
      <c r="X45" s="3">
        <f>p!X45^2</f>
        <v>0</v>
      </c>
      <c r="Y45" s="3">
        <f>p!Y45^2</f>
        <v>0</v>
      </c>
      <c r="Z45" s="3">
        <f>p!Z45^2</f>
        <v>0</v>
      </c>
      <c r="AA45" s="3">
        <f>p!AA45^2</f>
        <v>0</v>
      </c>
    </row>
    <row r="46" spans="1:27" x14ac:dyDescent="0.25">
      <c r="A46" t="s">
        <v>96</v>
      </c>
      <c r="B46" s="3">
        <f>p!B46^2</f>
        <v>1</v>
      </c>
      <c r="C46" s="3">
        <f>p!C46^2</f>
        <v>0</v>
      </c>
      <c r="D46" s="3">
        <f>p!D46^2</f>
        <v>0</v>
      </c>
      <c r="E46" s="3">
        <f>p!E46^2</f>
        <v>0</v>
      </c>
      <c r="F46" s="3">
        <f>p!F46^2</f>
        <v>0</v>
      </c>
      <c r="G46" s="3">
        <f>p!G46^2</f>
        <v>0</v>
      </c>
      <c r="H46" s="3">
        <f>p!H46^2</f>
        <v>0</v>
      </c>
      <c r="I46" s="3">
        <f>p!I46^2</f>
        <v>0</v>
      </c>
      <c r="J46" s="3">
        <f>p!J46^2</f>
        <v>0</v>
      </c>
      <c r="K46" s="3">
        <f>p!K46^2</f>
        <v>0</v>
      </c>
      <c r="L46" s="3">
        <f>p!L46^2</f>
        <v>0</v>
      </c>
      <c r="M46" s="3">
        <f>p!M46^2</f>
        <v>0</v>
      </c>
      <c r="N46" s="3">
        <f>p!N46^2</f>
        <v>0</v>
      </c>
      <c r="O46" s="3">
        <f>p!O46^2</f>
        <v>0</v>
      </c>
      <c r="P46" s="3">
        <f>p!P46^2</f>
        <v>0</v>
      </c>
      <c r="Q46" s="3">
        <f>p!Q46^2</f>
        <v>0</v>
      </c>
      <c r="R46" s="3">
        <f>p!R46^2</f>
        <v>0</v>
      </c>
      <c r="S46" s="3">
        <f>p!S46^2</f>
        <v>0</v>
      </c>
      <c r="T46" s="3">
        <f>p!T46^2</f>
        <v>0</v>
      </c>
      <c r="U46" s="3">
        <f>p!U46^2</f>
        <v>0</v>
      </c>
      <c r="V46" s="3">
        <f>p!V46^2</f>
        <v>0</v>
      </c>
      <c r="W46" s="3">
        <f>p!W46^2</f>
        <v>0</v>
      </c>
      <c r="X46" s="3">
        <f>p!X46^2</f>
        <v>0</v>
      </c>
      <c r="Y46" s="3">
        <f>p!Y46^2</f>
        <v>0</v>
      </c>
      <c r="Z46" s="3">
        <f>p!Z46^2</f>
        <v>0</v>
      </c>
      <c r="AA46" s="3">
        <f>p!AA46^2</f>
        <v>0</v>
      </c>
    </row>
    <row r="47" spans="1:27" x14ac:dyDescent="0.25">
      <c r="A47" t="s">
        <v>128</v>
      </c>
      <c r="B47" s="3">
        <f>p!B47^2</f>
        <v>0.54065743944636668</v>
      </c>
      <c r="C47" s="3">
        <f>p!C47^2</f>
        <v>0</v>
      </c>
      <c r="D47" s="3">
        <f>p!D47^2</f>
        <v>0</v>
      </c>
      <c r="E47" s="3">
        <f>p!E47^2</f>
        <v>0</v>
      </c>
      <c r="F47" s="3">
        <f>p!F47^2</f>
        <v>0</v>
      </c>
      <c r="G47" s="3">
        <f>p!G47^2</f>
        <v>0</v>
      </c>
      <c r="H47" s="3">
        <f>p!H47^2</f>
        <v>0</v>
      </c>
      <c r="I47" s="3">
        <f>p!I47^2</f>
        <v>0</v>
      </c>
      <c r="J47" s="3">
        <f>p!J47^2</f>
        <v>3.4602076124567475E-3</v>
      </c>
      <c r="K47" s="3">
        <f>p!K47^2</f>
        <v>0</v>
      </c>
      <c r="L47" s="3">
        <f>p!L47^2</f>
        <v>0</v>
      </c>
      <c r="M47" s="3">
        <f>p!M47^2</f>
        <v>0</v>
      </c>
      <c r="N47" s="3">
        <f>p!N47^2</f>
        <v>0</v>
      </c>
      <c r="O47" s="3">
        <f>p!O47^2</f>
        <v>0</v>
      </c>
      <c r="P47" s="3">
        <f>p!P47^2</f>
        <v>0</v>
      </c>
      <c r="Q47" s="3">
        <f>p!Q47^2</f>
        <v>7.7854671280276804E-3</v>
      </c>
      <c r="R47" s="3">
        <f>p!R47^2</f>
        <v>0</v>
      </c>
      <c r="S47" s="3">
        <f>p!S47^2</f>
        <v>0</v>
      </c>
      <c r="T47" s="3">
        <f>p!T47^2</f>
        <v>0</v>
      </c>
      <c r="U47" s="3">
        <f>p!U47^2</f>
        <v>0</v>
      </c>
      <c r="V47" s="3">
        <f>p!V47^2</f>
        <v>0</v>
      </c>
      <c r="W47" s="3">
        <f>p!W47^2</f>
        <v>0</v>
      </c>
      <c r="X47" s="3">
        <f>p!X47^2</f>
        <v>0</v>
      </c>
      <c r="Y47" s="3">
        <f>p!Y47^2</f>
        <v>0</v>
      </c>
      <c r="Z47" s="3">
        <f>p!Z47^2</f>
        <v>0</v>
      </c>
      <c r="AA47" s="3">
        <f>p!AA47^2</f>
        <v>1.384083044982699E-2</v>
      </c>
    </row>
    <row r="48" spans="1:27" x14ac:dyDescent="0.25">
      <c r="A48" t="s">
        <v>129</v>
      </c>
      <c r="B48" s="3">
        <f>p!B48^2</f>
        <v>0.32653061224489793</v>
      </c>
      <c r="C48" s="3">
        <f>p!C48^2</f>
        <v>0</v>
      </c>
      <c r="D48" s="3">
        <f>p!D48^2</f>
        <v>0</v>
      </c>
      <c r="E48" s="3">
        <f>p!E48^2</f>
        <v>0</v>
      </c>
      <c r="F48" s="3">
        <f>p!F48^2</f>
        <v>0</v>
      </c>
      <c r="G48" s="3">
        <f>p!G48^2</f>
        <v>0</v>
      </c>
      <c r="H48" s="3">
        <f>p!H48^2</f>
        <v>0</v>
      </c>
      <c r="I48" s="3">
        <f>p!I48^2</f>
        <v>0</v>
      </c>
      <c r="J48" s="3">
        <f>p!J48^2</f>
        <v>5.1020408163265302E-3</v>
      </c>
      <c r="K48" s="3">
        <f>p!K48^2</f>
        <v>0</v>
      </c>
      <c r="L48" s="3">
        <f>p!L48^2</f>
        <v>0</v>
      </c>
      <c r="M48" s="3">
        <f>p!M48^2</f>
        <v>0</v>
      </c>
      <c r="N48" s="3">
        <f>p!N48^2</f>
        <v>0</v>
      </c>
      <c r="O48" s="3">
        <f>p!O48^2</f>
        <v>0</v>
      </c>
      <c r="P48" s="3">
        <f>p!P48^2</f>
        <v>0</v>
      </c>
      <c r="Q48" s="3">
        <f>p!Q48^2</f>
        <v>5.1020408163265302E-3</v>
      </c>
      <c r="R48" s="3">
        <f>p!R48^2</f>
        <v>0</v>
      </c>
      <c r="S48" s="3">
        <f>p!S48^2</f>
        <v>0</v>
      </c>
      <c r="T48" s="3">
        <f>p!T48^2</f>
        <v>0</v>
      </c>
      <c r="U48" s="3">
        <f>p!U48^2</f>
        <v>0</v>
      </c>
      <c r="V48" s="3">
        <f>p!V48^2</f>
        <v>0</v>
      </c>
      <c r="W48" s="3">
        <f>p!W48^2</f>
        <v>0</v>
      </c>
      <c r="X48" s="3">
        <f>p!X48^2</f>
        <v>0</v>
      </c>
      <c r="Y48" s="3">
        <f>p!Y48^2</f>
        <v>0</v>
      </c>
      <c r="Z48" s="3">
        <f>p!Z48^2</f>
        <v>0</v>
      </c>
      <c r="AA48" s="3">
        <f>p!AA48^2</f>
        <v>8.1632653061224483E-2</v>
      </c>
    </row>
    <row r="49" spans="1:27" x14ac:dyDescent="0.25">
      <c r="A49" t="s">
        <v>130</v>
      </c>
      <c r="B49" s="3">
        <f>p!B49^2</f>
        <v>1.7853600476096011E-3</v>
      </c>
      <c r="C49" s="3">
        <f>p!C49^2</f>
        <v>0.64451497718706607</v>
      </c>
      <c r="D49" s="3">
        <f>p!D49^2</f>
        <v>0</v>
      </c>
      <c r="E49" s="3">
        <f>p!E49^2</f>
        <v>0</v>
      </c>
      <c r="F49" s="3">
        <f>p!F49^2</f>
        <v>0</v>
      </c>
      <c r="G49" s="3">
        <f>p!G49^2</f>
        <v>0</v>
      </c>
      <c r="H49" s="3">
        <f>p!H49^2</f>
        <v>0</v>
      </c>
      <c r="I49" s="3">
        <f>p!I49^2</f>
        <v>0</v>
      </c>
      <c r="J49" s="3">
        <f>p!J49^2</f>
        <v>8.3812735568339625E-3</v>
      </c>
      <c r="K49" s="3">
        <f>p!K49^2</f>
        <v>0</v>
      </c>
      <c r="L49" s="3">
        <f>p!L49^2</f>
        <v>0</v>
      </c>
      <c r="M49" s="3">
        <f>p!M49^2</f>
        <v>0</v>
      </c>
      <c r="N49" s="3">
        <f>p!N49^2</f>
        <v>0</v>
      </c>
      <c r="O49" s="3">
        <f>p!O49^2</f>
        <v>2.4300733981352904E-3</v>
      </c>
      <c r="P49" s="3">
        <f>p!P49^2</f>
        <v>0</v>
      </c>
      <c r="Q49" s="3">
        <f>p!Q49^2</f>
        <v>1.9837333862328903E-4</v>
      </c>
      <c r="R49" s="3">
        <f>p!R49^2</f>
        <v>0</v>
      </c>
      <c r="S49" s="3">
        <f>p!S49^2</f>
        <v>0</v>
      </c>
      <c r="T49" s="3">
        <f>p!T49^2</f>
        <v>0</v>
      </c>
      <c r="U49" s="3">
        <f>p!U49^2</f>
        <v>0</v>
      </c>
      <c r="V49" s="3">
        <f>p!V49^2</f>
        <v>0</v>
      </c>
      <c r="W49" s="3">
        <f>p!W49^2</f>
        <v>0</v>
      </c>
      <c r="X49" s="3">
        <f>p!X49^2</f>
        <v>0</v>
      </c>
      <c r="Y49" s="3">
        <f>p!Y49^2</f>
        <v>0</v>
      </c>
      <c r="Z49" s="3">
        <f>p!Z49^2</f>
        <v>0</v>
      </c>
      <c r="AA49" s="3">
        <f>p!AA49^2</f>
        <v>0</v>
      </c>
    </row>
    <row r="50" spans="1:27" x14ac:dyDescent="0.25">
      <c r="A50" t="s">
        <v>131</v>
      </c>
      <c r="B50" s="3">
        <f>p!B50^2</f>
        <v>0</v>
      </c>
      <c r="C50" s="3">
        <f>p!C50^2</f>
        <v>0.60887281910009194</v>
      </c>
      <c r="D50" s="3">
        <f>p!D50^2</f>
        <v>0</v>
      </c>
      <c r="E50" s="3">
        <f>p!E50^2</f>
        <v>0</v>
      </c>
      <c r="F50" s="3">
        <f>p!F50^2</f>
        <v>0</v>
      </c>
      <c r="G50" s="3">
        <f>p!G50^2</f>
        <v>0</v>
      </c>
      <c r="H50" s="3">
        <f>p!H50^2</f>
        <v>0</v>
      </c>
      <c r="I50" s="3">
        <f>p!I50^2</f>
        <v>0</v>
      </c>
      <c r="J50" s="3">
        <f>p!J50^2</f>
        <v>2.7777777777777776E-2</v>
      </c>
      <c r="K50" s="3">
        <f>p!K50^2</f>
        <v>0</v>
      </c>
      <c r="L50" s="3">
        <f>p!L50^2</f>
        <v>0</v>
      </c>
      <c r="M50" s="3">
        <f>p!M50^2</f>
        <v>0</v>
      </c>
      <c r="N50" s="3">
        <f>p!N50^2</f>
        <v>0</v>
      </c>
      <c r="O50" s="3">
        <f>p!O50^2</f>
        <v>5.7392102846648294E-5</v>
      </c>
      <c r="P50" s="3">
        <f>p!P50^2</f>
        <v>0</v>
      </c>
      <c r="Q50" s="3">
        <f>p!Q50^2</f>
        <v>5.7392102846648294E-5</v>
      </c>
      <c r="R50" s="3">
        <f>p!R50^2</f>
        <v>0</v>
      </c>
      <c r="S50" s="3">
        <f>p!S50^2</f>
        <v>0</v>
      </c>
      <c r="T50" s="3">
        <f>p!T50^2</f>
        <v>0</v>
      </c>
      <c r="U50" s="3">
        <f>p!U50^2</f>
        <v>0</v>
      </c>
      <c r="V50" s="3">
        <f>p!V50^2</f>
        <v>0</v>
      </c>
      <c r="W50" s="3">
        <f>p!W50^2</f>
        <v>0</v>
      </c>
      <c r="X50" s="3">
        <f>p!X50^2</f>
        <v>0</v>
      </c>
      <c r="Y50" s="3">
        <f>p!Y50^2</f>
        <v>0</v>
      </c>
      <c r="Z50" s="3">
        <f>p!Z50^2</f>
        <v>0</v>
      </c>
      <c r="AA50" s="3">
        <f>p!AA50^2</f>
        <v>0</v>
      </c>
    </row>
    <row r="51" spans="1:27" x14ac:dyDescent="0.25">
      <c r="A51" t="s">
        <v>132</v>
      </c>
      <c r="B51" s="3">
        <f>p!B51^2</f>
        <v>8.8999644001423982E-3</v>
      </c>
      <c r="C51" s="3">
        <f>p!C51^2</f>
        <v>0.6430224279102883</v>
      </c>
      <c r="D51" s="3">
        <f>p!D51^2</f>
        <v>0</v>
      </c>
      <c r="E51" s="3">
        <f>p!E51^2</f>
        <v>0</v>
      </c>
      <c r="F51" s="3">
        <f>p!F51^2</f>
        <v>0</v>
      </c>
      <c r="G51" s="3">
        <f>p!G51^2</f>
        <v>0</v>
      </c>
      <c r="H51" s="3">
        <f>p!H51^2</f>
        <v>0</v>
      </c>
      <c r="I51" s="3">
        <f>p!I51^2</f>
        <v>0</v>
      </c>
      <c r="J51" s="3">
        <f>p!J51^2</f>
        <v>0</v>
      </c>
      <c r="K51" s="3">
        <f>p!K51^2</f>
        <v>0</v>
      </c>
      <c r="L51" s="3">
        <f>p!L51^2</f>
        <v>0</v>
      </c>
      <c r="M51" s="3">
        <f>p!M51^2</f>
        <v>0</v>
      </c>
      <c r="N51" s="3">
        <f>p!N51^2</f>
        <v>0</v>
      </c>
      <c r="O51" s="3">
        <f>p!O51^2</f>
        <v>0</v>
      </c>
      <c r="P51" s="3">
        <f>p!P51^2</f>
        <v>0</v>
      </c>
      <c r="Q51" s="3">
        <f>p!Q51^2</f>
        <v>0</v>
      </c>
      <c r="R51" s="3">
        <f>p!R51^2</f>
        <v>0</v>
      </c>
      <c r="S51" s="3">
        <f>p!S51^2</f>
        <v>0</v>
      </c>
      <c r="T51" s="3">
        <f>p!T51^2</f>
        <v>0</v>
      </c>
      <c r="U51" s="3">
        <f>p!U51^2</f>
        <v>0</v>
      </c>
      <c r="V51" s="3">
        <f>p!V51^2</f>
        <v>0</v>
      </c>
      <c r="W51" s="3">
        <f>p!W51^2</f>
        <v>0</v>
      </c>
      <c r="X51" s="3">
        <f>p!X51^2</f>
        <v>8.8999644001423986E-5</v>
      </c>
      <c r="Y51" s="3">
        <f>p!Y51^2</f>
        <v>0</v>
      </c>
      <c r="Z51" s="3">
        <f>p!Z51^2</f>
        <v>0</v>
      </c>
      <c r="AA51" s="3">
        <f>p!AA51^2</f>
        <v>0</v>
      </c>
    </row>
    <row r="52" spans="1:27" x14ac:dyDescent="0.25">
      <c r="A52" t="s">
        <v>25</v>
      </c>
      <c r="B52" s="3">
        <f>p!B52^2</f>
        <v>0.83193760330464861</v>
      </c>
      <c r="C52" s="3">
        <f>p!C52^2</f>
        <v>0</v>
      </c>
      <c r="D52" s="3">
        <f>p!D52^2</f>
        <v>0</v>
      </c>
      <c r="E52" s="3">
        <f>p!E52^2</f>
        <v>0</v>
      </c>
      <c r="F52" s="3">
        <f>p!F52^2</f>
        <v>0</v>
      </c>
      <c r="G52" s="3">
        <f>p!G52^2</f>
        <v>2.3129240475345766E-3</v>
      </c>
      <c r="H52" s="3">
        <f>p!H52^2</f>
        <v>0</v>
      </c>
      <c r="I52" s="3">
        <f>p!I52^2</f>
        <v>0</v>
      </c>
      <c r="J52" s="3">
        <f>p!J52^2</f>
        <v>0</v>
      </c>
      <c r="K52" s="3">
        <f>p!K52^2</f>
        <v>0</v>
      </c>
      <c r="L52" s="3">
        <f>p!L52^2</f>
        <v>0</v>
      </c>
      <c r="M52" s="3">
        <f>p!M52^2</f>
        <v>0</v>
      </c>
      <c r="N52" s="3">
        <f>p!N52^2</f>
        <v>0</v>
      </c>
      <c r="O52" s="3">
        <f>p!O52^2</f>
        <v>0</v>
      </c>
      <c r="P52" s="3">
        <f>p!P52^2</f>
        <v>2.7502069530732189E-6</v>
      </c>
      <c r="Q52" s="3">
        <f>p!Q52^2</f>
        <v>1.4548594781757327E-3</v>
      </c>
      <c r="R52" s="3">
        <f>p!R52^2</f>
        <v>0</v>
      </c>
      <c r="S52" s="3">
        <f>p!S52^2</f>
        <v>0</v>
      </c>
      <c r="T52" s="3">
        <f>p!T52^2</f>
        <v>0</v>
      </c>
      <c r="U52" s="3">
        <f>p!U52^2</f>
        <v>0</v>
      </c>
      <c r="V52" s="3">
        <f>p!V52^2</f>
        <v>0</v>
      </c>
      <c r="W52" s="3">
        <f>p!W52^2</f>
        <v>0</v>
      </c>
      <c r="X52" s="3">
        <f>p!X52^2</f>
        <v>0</v>
      </c>
      <c r="Y52" s="3">
        <f>p!Y52^2</f>
        <v>0</v>
      </c>
      <c r="Z52" s="3">
        <f>p!Z52^2</f>
        <v>0</v>
      </c>
      <c r="AA52" s="3">
        <f>p!AA52^2</f>
        <v>0</v>
      </c>
    </row>
    <row r="53" spans="1:27" x14ac:dyDescent="0.25">
      <c r="A53" t="s">
        <v>37</v>
      </c>
      <c r="B53" s="3">
        <f>p!B53^2</f>
        <v>0.93609759661041714</v>
      </c>
      <c r="C53" s="3">
        <f>p!C53^2</f>
        <v>0</v>
      </c>
      <c r="D53" s="3">
        <f>p!D53^2</f>
        <v>0</v>
      </c>
      <c r="E53" s="3">
        <f>p!E53^2</f>
        <v>0</v>
      </c>
      <c r="F53" s="3">
        <f>p!F53^2</f>
        <v>0</v>
      </c>
      <c r="G53" s="3">
        <f>p!G53^2</f>
        <v>0</v>
      </c>
      <c r="H53" s="3">
        <f>p!H53^2</f>
        <v>0</v>
      </c>
      <c r="I53" s="3">
        <f>p!I53^2</f>
        <v>0</v>
      </c>
      <c r="J53" s="3">
        <f>p!J53^2</f>
        <v>1.1688216816421947E-5</v>
      </c>
      <c r="K53" s="3">
        <f>p!K53^2</f>
        <v>0</v>
      </c>
      <c r="L53" s="3">
        <f>p!L53^2</f>
        <v>0</v>
      </c>
      <c r="M53" s="3">
        <f>p!M53^2</f>
        <v>0</v>
      </c>
      <c r="N53" s="3">
        <f>p!N53^2</f>
        <v>0</v>
      </c>
      <c r="O53" s="3">
        <f>p!O53^2</f>
        <v>0</v>
      </c>
      <c r="P53" s="3">
        <f>p!P53^2</f>
        <v>0</v>
      </c>
      <c r="Q53" s="3">
        <f>p!Q53^2</f>
        <v>8.4447366498648579E-4</v>
      </c>
      <c r="R53" s="3">
        <f>p!R53^2</f>
        <v>0</v>
      </c>
      <c r="S53" s="3">
        <f>p!S53^2</f>
        <v>0</v>
      </c>
      <c r="T53" s="3">
        <f>p!T53^2</f>
        <v>0</v>
      </c>
      <c r="U53" s="3">
        <f>p!U53^2</f>
        <v>0</v>
      </c>
      <c r="V53" s="3">
        <f>p!V53^2</f>
        <v>0</v>
      </c>
      <c r="W53" s="3">
        <f>p!W53^2</f>
        <v>0</v>
      </c>
      <c r="X53" s="3">
        <f>p!X53^2</f>
        <v>0</v>
      </c>
      <c r="Y53" s="3">
        <f>p!Y53^2</f>
        <v>0</v>
      </c>
      <c r="Z53" s="3">
        <f>p!Z53^2</f>
        <v>0</v>
      </c>
      <c r="AA53" s="3">
        <f>p!AA53^2</f>
        <v>0</v>
      </c>
    </row>
    <row r="54" spans="1:27" x14ac:dyDescent="0.25">
      <c r="A54" s="13" t="s">
        <v>147</v>
      </c>
      <c r="B54" s="3">
        <f>p!B54^2</f>
        <v>4.8303345006641703E-4</v>
      </c>
      <c r="C54" s="3">
        <f>p!C54^2</f>
        <v>0</v>
      </c>
      <c r="D54" s="3">
        <f>p!D54^2</f>
        <v>0</v>
      </c>
      <c r="E54" s="3">
        <f>p!E54^2</f>
        <v>0</v>
      </c>
      <c r="F54" s="3">
        <f>p!F54^2</f>
        <v>0</v>
      </c>
      <c r="G54" s="3">
        <f>p!G54^2</f>
        <v>0</v>
      </c>
      <c r="H54" s="3">
        <f>p!H54^2</f>
        <v>0</v>
      </c>
      <c r="I54" s="3">
        <f>p!I54^2</f>
        <v>0</v>
      </c>
      <c r="J54" s="3">
        <f>p!J54^2</f>
        <v>0.63473614297790126</v>
      </c>
      <c r="K54" s="3">
        <f>p!K54^2</f>
        <v>0</v>
      </c>
      <c r="L54" s="3">
        <f>p!L54^2</f>
        <v>0</v>
      </c>
      <c r="M54" s="3">
        <f>p!M54^2</f>
        <v>0</v>
      </c>
      <c r="N54" s="3">
        <f>p!N54^2</f>
        <v>0</v>
      </c>
      <c r="O54" s="3">
        <f>p!O54^2</f>
        <v>1.2075836251660426E-4</v>
      </c>
      <c r="P54" s="3">
        <f>p!P54^2</f>
        <v>0</v>
      </c>
      <c r="Q54" s="3">
        <f>p!Q54^2</f>
        <v>5.1020408163265319E-3</v>
      </c>
      <c r="R54" s="3">
        <f>p!R54^2</f>
        <v>0</v>
      </c>
      <c r="S54" s="3">
        <f>p!S54^2</f>
        <v>0</v>
      </c>
      <c r="T54" s="3">
        <f>p!T54^2</f>
        <v>0</v>
      </c>
      <c r="U54" s="3">
        <f>p!U54^2</f>
        <v>9.781427363844946E-3</v>
      </c>
      <c r="V54" s="3">
        <f>p!V54^2</f>
        <v>0</v>
      </c>
      <c r="W54" s="3">
        <f>p!W54^2</f>
        <v>0</v>
      </c>
      <c r="X54" s="3">
        <f>p!X54^2</f>
        <v>0</v>
      </c>
      <c r="Y54" s="3">
        <f>p!Y54^2</f>
        <v>0</v>
      </c>
      <c r="Z54" s="3">
        <f>p!Z54^2</f>
        <v>0</v>
      </c>
      <c r="AA54" s="3">
        <f>p!AA54^2</f>
        <v>0</v>
      </c>
    </row>
    <row r="55" spans="1:27" x14ac:dyDescent="0.25">
      <c r="A55" s="13" t="s">
        <v>148</v>
      </c>
      <c r="B55" s="3">
        <f>p!B55^2</f>
        <v>6.504211522003514E-2</v>
      </c>
      <c r="C55" s="3">
        <f>p!C55^2</f>
        <v>0</v>
      </c>
      <c r="D55" s="3">
        <f>p!D55^2</f>
        <v>0</v>
      </c>
      <c r="E55" s="3">
        <f>p!E55^2</f>
        <v>0</v>
      </c>
      <c r="F55" s="3">
        <f>p!F55^2</f>
        <v>0</v>
      </c>
      <c r="G55" s="3">
        <f>p!G55^2</f>
        <v>0</v>
      </c>
      <c r="H55" s="3">
        <f>p!H55^2</f>
        <v>0</v>
      </c>
      <c r="I55" s="3">
        <f>p!I55^2</f>
        <v>0</v>
      </c>
      <c r="J55" s="3">
        <f>p!J55^2</f>
        <v>0.51569749110400442</v>
      </c>
      <c r="K55" s="3">
        <f>p!K55^2</f>
        <v>0</v>
      </c>
      <c r="L55" s="3">
        <f>p!L55^2</f>
        <v>0</v>
      </c>
      <c r="M55" s="3">
        <f>p!M55^2</f>
        <v>0</v>
      </c>
      <c r="N55" s="3">
        <f>p!N55^2</f>
        <v>0</v>
      </c>
      <c r="O55" s="3">
        <f>p!O55^2</f>
        <v>4.5043016080356741E-5</v>
      </c>
      <c r="P55" s="3">
        <f>p!P55^2</f>
        <v>4.5043016080356741E-5</v>
      </c>
      <c r="Q55" s="3">
        <f>p!Q55^2</f>
        <v>0</v>
      </c>
      <c r="R55" s="3">
        <f>p!R55^2</f>
        <v>0</v>
      </c>
      <c r="S55" s="3">
        <f>p!S55^2</f>
        <v>0</v>
      </c>
      <c r="T55" s="3">
        <f>p!T55^2</f>
        <v>0</v>
      </c>
      <c r="U55" s="3">
        <f>p!U55^2</f>
        <v>1.8017206432142696E-4</v>
      </c>
      <c r="V55" s="3">
        <f>p!V55^2</f>
        <v>0</v>
      </c>
      <c r="W55" s="3">
        <f>p!W55^2</f>
        <v>0</v>
      </c>
      <c r="X55" s="3">
        <f>p!X55^2</f>
        <v>0</v>
      </c>
      <c r="Y55" s="3">
        <f>p!Y55^2</f>
        <v>0</v>
      </c>
      <c r="Z55" s="3">
        <f>p!Z55^2</f>
        <v>0</v>
      </c>
      <c r="AA55" s="3">
        <f>p!AA55^2</f>
        <v>0</v>
      </c>
    </row>
    <row r="56" spans="1:27" x14ac:dyDescent="0.25">
      <c r="A56" s="13" t="s">
        <v>149</v>
      </c>
      <c r="B56" s="3">
        <f>p!B56^2</f>
        <v>4.3207928291882344E-2</v>
      </c>
      <c r="C56" s="3">
        <f>p!C56^2</f>
        <v>0</v>
      </c>
      <c r="D56" s="3">
        <f>p!D56^2</f>
        <v>0</v>
      </c>
      <c r="E56" s="3">
        <f>p!E56^2</f>
        <v>0</v>
      </c>
      <c r="F56" s="3">
        <f>p!F56^2</f>
        <v>0</v>
      </c>
      <c r="G56" s="3">
        <f>p!G56^2</f>
        <v>0</v>
      </c>
      <c r="H56" s="3">
        <f>p!H56^2</f>
        <v>0</v>
      </c>
      <c r="I56" s="3">
        <f>p!I56^2</f>
        <v>0</v>
      </c>
      <c r="J56" s="3">
        <f>p!J56^2</f>
        <v>0.52521777553339244</v>
      </c>
      <c r="K56" s="3">
        <f>p!K56^2</f>
        <v>0</v>
      </c>
      <c r="L56" s="3">
        <f>p!L56^2</f>
        <v>0</v>
      </c>
      <c r="M56" s="3">
        <f>p!M56^2</f>
        <v>0</v>
      </c>
      <c r="N56" s="3">
        <f>p!N56^2</f>
        <v>0</v>
      </c>
      <c r="O56" s="3">
        <f>p!O56^2</f>
        <v>2.5564953919959598E-3</v>
      </c>
      <c r="P56" s="3">
        <f>p!P56^2</f>
        <v>0</v>
      </c>
      <c r="Q56" s="3">
        <f>p!Q56^2</f>
        <v>0</v>
      </c>
      <c r="R56" s="3">
        <f>p!R56^2</f>
        <v>0</v>
      </c>
      <c r="S56" s="3">
        <f>p!S56^2</f>
        <v>0</v>
      </c>
      <c r="T56" s="3">
        <f>p!T56^2</f>
        <v>0</v>
      </c>
      <c r="U56" s="3">
        <f>p!U56^2</f>
        <v>2.8405504355510664E-4</v>
      </c>
      <c r="V56" s="3">
        <f>p!V56^2</f>
        <v>0</v>
      </c>
      <c r="W56" s="3">
        <f>p!W56^2</f>
        <v>0</v>
      </c>
      <c r="X56" s="3">
        <f>p!X56^2</f>
        <v>0</v>
      </c>
      <c r="Y56" s="3">
        <f>p!Y56^2</f>
        <v>0</v>
      </c>
      <c r="Z56" s="3">
        <f>p!Z56^2</f>
        <v>0</v>
      </c>
      <c r="AA56" s="3">
        <f>p!AA56^2</f>
        <v>0</v>
      </c>
    </row>
    <row r="57" spans="1:27" x14ac:dyDescent="0.25">
      <c r="A57" t="s">
        <v>38</v>
      </c>
      <c r="B57" s="3">
        <f>p!B57^2</f>
        <v>0.41282176946953264</v>
      </c>
      <c r="C57" s="3">
        <f>p!C57^2</f>
        <v>0</v>
      </c>
      <c r="D57" s="3">
        <f>p!D57^2</f>
        <v>0</v>
      </c>
      <c r="E57" s="3">
        <f>p!E57^2</f>
        <v>0</v>
      </c>
      <c r="F57" s="3">
        <f>p!F57^2</f>
        <v>0</v>
      </c>
      <c r="G57" s="3">
        <f>p!G57^2</f>
        <v>2.3337767509160074E-3</v>
      </c>
      <c r="H57" s="3">
        <f>p!H57^2</f>
        <v>0</v>
      </c>
      <c r="I57" s="3">
        <f>p!I57^2</f>
        <v>0</v>
      </c>
      <c r="J57" s="3">
        <f>p!J57^2</f>
        <v>5.2509976895610171E-3</v>
      </c>
      <c r="K57" s="3">
        <f>p!K57^2</f>
        <v>0</v>
      </c>
      <c r="L57" s="3">
        <f>p!L57^2</f>
        <v>0</v>
      </c>
      <c r="M57" s="3">
        <f>p!M57^2</f>
        <v>0</v>
      </c>
      <c r="N57" s="3">
        <f>p!N57^2</f>
        <v>0</v>
      </c>
      <c r="O57" s="3">
        <f>p!O57^2</f>
        <v>0</v>
      </c>
      <c r="P57" s="3">
        <f>p!P57^2</f>
        <v>2.3337767509160072E-5</v>
      </c>
      <c r="Q57" s="3">
        <f>p!Q57^2</f>
        <v>5.3770216341104814E-2</v>
      </c>
      <c r="R57" s="3">
        <f>p!R57^2</f>
        <v>0</v>
      </c>
      <c r="S57" s="3">
        <f>p!S57^2</f>
        <v>0</v>
      </c>
      <c r="T57" s="3">
        <f>p!T57^2</f>
        <v>0</v>
      </c>
      <c r="U57" s="3">
        <f>p!U57^2</f>
        <v>0</v>
      </c>
      <c r="V57" s="3">
        <f>p!V57^2</f>
        <v>0</v>
      </c>
      <c r="W57" s="3">
        <f>p!W57^2</f>
        <v>0</v>
      </c>
      <c r="X57" s="3">
        <f>p!X57^2</f>
        <v>0</v>
      </c>
      <c r="Y57" s="3">
        <f>p!Y57^2</f>
        <v>0</v>
      </c>
      <c r="Z57" s="3">
        <f>p!Z57^2</f>
        <v>0</v>
      </c>
      <c r="AA57" s="3">
        <f>p!AA57^2</f>
        <v>0</v>
      </c>
    </row>
    <row r="58" spans="1:27" x14ac:dyDescent="0.25">
      <c r="A58" t="s">
        <v>50</v>
      </c>
      <c r="B58" s="3">
        <f>p!B58^2</f>
        <v>0.31469363474122553</v>
      </c>
      <c r="C58" s="3">
        <f>p!C58^2</f>
        <v>0</v>
      </c>
      <c r="D58" s="3">
        <f>p!D58^2</f>
        <v>0</v>
      </c>
      <c r="E58" s="3">
        <f>p!E58^2</f>
        <v>0</v>
      </c>
      <c r="F58" s="3">
        <f>p!F58^2</f>
        <v>0</v>
      </c>
      <c r="G58" s="3">
        <f>p!G58^2</f>
        <v>1.9102386145812677E-2</v>
      </c>
      <c r="H58" s="3">
        <f>p!H58^2</f>
        <v>0</v>
      </c>
      <c r="I58" s="3">
        <f>p!I58^2</f>
        <v>0</v>
      </c>
      <c r="J58" s="3">
        <f>p!J58^2</f>
        <v>1.0575715513252695E-3</v>
      </c>
      <c r="K58" s="3">
        <f>p!K58^2</f>
        <v>0</v>
      </c>
      <c r="L58" s="3">
        <f>p!L58^2</f>
        <v>0</v>
      </c>
      <c r="M58" s="3">
        <f>p!M58^2</f>
        <v>0</v>
      </c>
      <c r="N58" s="3">
        <f>p!N58^2</f>
        <v>0</v>
      </c>
      <c r="O58" s="3">
        <f>p!O58^2</f>
        <v>0</v>
      </c>
      <c r="P58" s="3">
        <f>p!P58^2</f>
        <v>6.6098221957829344E-5</v>
      </c>
      <c r="Q58" s="3">
        <f>p!Q58^2</f>
        <v>6.7684579284817248E-2</v>
      </c>
      <c r="R58" s="3">
        <f>p!R58^2</f>
        <v>0</v>
      </c>
      <c r="S58" s="3">
        <f>p!S58^2</f>
        <v>0</v>
      </c>
      <c r="T58" s="3">
        <f>p!T58^2</f>
        <v>0</v>
      </c>
      <c r="U58" s="3">
        <f>p!U58^2</f>
        <v>0</v>
      </c>
      <c r="V58" s="3">
        <f>p!V58^2</f>
        <v>0</v>
      </c>
      <c r="W58" s="3">
        <f>p!W58^2</f>
        <v>0</v>
      </c>
      <c r="X58" s="3">
        <f>p!X58^2</f>
        <v>0</v>
      </c>
      <c r="Y58" s="3">
        <f>p!Y58^2</f>
        <v>0</v>
      </c>
      <c r="Z58" s="3">
        <f>p!Z58^2</f>
        <v>0</v>
      </c>
      <c r="AA58" s="3">
        <f>p!AA58^2</f>
        <v>0</v>
      </c>
    </row>
    <row r="59" spans="1:27" x14ac:dyDescent="0.25">
      <c r="A59" t="s">
        <v>52</v>
      </c>
      <c r="B59" s="3">
        <f>p!B59^2</f>
        <v>0.55776317897772787</v>
      </c>
      <c r="C59" s="3">
        <f>p!C59^2</f>
        <v>0</v>
      </c>
      <c r="D59" s="3">
        <f>p!D59^2</f>
        <v>0</v>
      </c>
      <c r="E59" s="3">
        <f>p!E59^2</f>
        <v>0</v>
      </c>
      <c r="F59" s="3">
        <f>p!F59^2</f>
        <v>0</v>
      </c>
      <c r="G59" s="3">
        <f>p!G59^2</f>
        <v>1.0254766864284569E-2</v>
      </c>
      <c r="H59" s="3">
        <f>p!H59^2</f>
        <v>0</v>
      </c>
      <c r="I59" s="3">
        <f>p!I59^2</f>
        <v>0</v>
      </c>
      <c r="J59" s="3">
        <f>p!J59^2</f>
        <v>1.602307322544464E-4</v>
      </c>
      <c r="K59" s="3">
        <f>p!K59^2</f>
        <v>0</v>
      </c>
      <c r="L59" s="3">
        <f>p!L59^2</f>
        <v>0</v>
      </c>
      <c r="M59" s="3">
        <f>p!M59^2</f>
        <v>0</v>
      </c>
      <c r="N59" s="3">
        <f>p!N59^2</f>
        <v>0</v>
      </c>
      <c r="O59" s="3">
        <f>p!O59^2</f>
        <v>0</v>
      </c>
      <c r="P59" s="3">
        <f>p!P59^2</f>
        <v>1.602307322544464E-4</v>
      </c>
      <c r="Q59" s="3">
        <f>p!Q59^2</f>
        <v>1.6023073225444634E-2</v>
      </c>
      <c r="R59" s="3">
        <f>p!R59^2</f>
        <v>0</v>
      </c>
      <c r="S59" s="3">
        <f>p!S59^2</f>
        <v>0</v>
      </c>
      <c r="T59" s="3">
        <f>p!T59^2</f>
        <v>0</v>
      </c>
      <c r="U59" s="3">
        <f>p!U59^2</f>
        <v>0</v>
      </c>
      <c r="V59" s="3">
        <f>p!V59^2</f>
        <v>0</v>
      </c>
      <c r="W59" s="3">
        <f>p!W59^2</f>
        <v>0</v>
      </c>
      <c r="X59" s="3">
        <f>p!X59^2</f>
        <v>0</v>
      </c>
      <c r="Y59" s="3">
        <f>p!Y59^2</f>
        <v>0</v>
      </c>
      <c r="Z59" s="3">
        <f>p!Z59^2</f>
        <v>0</v>
      </c>
      <c r="AA59" s="3">
        <f>p!AA59^2</f>
        <v>0</v>
      </c>
    </row>
    <row r="60" spans="1:27" x14ac:dyDescent="0.25">
      <c r="A60" t="s">
        <v>53</v>
      </c>
      <c r="B60" s="3">
        <f>p!B60^2</f>
        <v>0.97015094126293178</v>
      </c>
      <c r="C60" s="3">
        <f>p!C60^2</f>
        <v>0</v>
      </c>
      <c r="D60" s="3">
        <f>p!D60^2</f>
        <v>0</v>
      </c>
      <c r="E60" s="3">
        <f>p!E60^2</f>
        <v>0</v>
      </c>
      <c r="F60" s="3">
        <f>p!F60^2</f>
        <v>0</v>
      </c>
      <c r="G60" s="3">
        <f>p!G60^2</f>
        <v>0</v>
      </c>
      <c r="H60" s="3">
        <f>p!H60^2</f>
        <v>0</v>
      </c>
      <c r="I60" s="3">
        <f>p!I60^2</f>
        <v>0</v>
      </c>
      <c r="J60" s="3">
        <f>p!J60^2</f>
        <v>2.2612923285657752E-4</v>
      </c>
      <c r="K60" s="3">
        <f>p!K60^2</f>
        <v>0</v>
      </c>
      <c r="L60" s="3">
        <f>p!L60^2</f>
        <v>0</v>
      </c>
      <c r="M60" s="3">
        <f>p!M60^2</f>
        <v>0</v>
      </c>
      <c r="N60" s="3">
        <f>p!N60^2</f>
        <v>0</v>
      </c>
      <c r="O60" s="3">
        <f>p!O60^2</f>
        <v>0</v>
      </c>
      <c r="P60" s="3">
        <f>p!P60^2</f>
        <v>0</v>
      </c>
      <c r="Q60" s="3">
        <f>p!Q60^2</f>
        <v>0</v>
      </c>
      <c r="R60" s="3">
        <f>p!R60^2</f>
        <v>0</v>
      </c>
      <c r="S60" s="3">
        <f>p!S60^2</f>
        <v>0</v>
      </c>
      <c r="T60" s="3">
        <f>p!T60^2</f>
        <v>0</v>
      </c>
      <c r="U60" s="3">
        <f>p!U60^2</f>
        <v>0</v>
      </c>
      <c r="V60" s="3">
        <f>p!V60^2</f>
        <v>0</v>
      </c>
      <c r="W60" s="3">
        <f>p!W60^2</f>
        <v>0</v>
      </c>
      <c r="X60" s="3">
        <f>p!X60^2</f>
        <v>0</v>
      </c>
      <c r="Y60" s="3">
        <f>p!Y60^2</f>
        <v>0</v>
      </c>
      <c r="Z60" s="3">
        <f>p!Z60^2</f>
        <v>0</v>
      </c>
      <c r="AA60" s="3">
        <f>p!AA60^2</f>
        <v>0</v>
      </c>
    </row>
    <row r="61" spans="1:27" x14ac:dyDescent="0.25">
      <c r="A61" t="s">
        <v>54</v>
      </c>
      <c r="B61" s="3">
        <f>p!B61^2</f>
        <v>0.98950138504155116</v>
      </c>
      <c r="C61" s="3">
        <f>p!C61^2</f>
        <v>0</v>
      </c>
      <c r="D61" s="3">
        <f>p!D61^2</f>
        <v>0</v>
      </c>
      <c r="E61" s="3">
        <f>p!E61^2</f>
        <v>0</v>
      </c>
      <c r="F61" s="3">
        <f>p!F61^2</f>
        <v>0</v>
      </c>
      <c r="G61" s="3">
        <f>p!G61^2</f>
        <v>0</v>
      </c>
      <c r="H61" s="3">
        <f>p!H61^2</f>
        <v>0</v>
      </c>
      <c r="I61" s="3">
        <f>p!I61^2</f>
        <v>0</v>
      </c>
      <c r="J61" s="3">
        <f>p!J61^2</f>
        <v>2.7700831024930747E-5</v>
      </c>
      <c r="K61" s="3">
        <f>p!K61^2</f>
        <v>0</v>
      </c>
      <c r="L61" s="3">
        <f>p!L61^2</f>
        <v>0</v>
      </c>
      <c r="M61" s="3">
        <f>p!M61^2</f>
        <v>0</v>
      </c>
      <c r="N61" s="3">
        <f>p!N61^2</f>
        <v>0</v>
      </c>
      <c r="O61" s="3">
        <f>p!O61^2</f>
        <v>0</v>
      </c>
      <c r="P61" s="3">
        <f>p!P61^2</f>
        <v>0</v>
      </c>
      <c r="Q61" s="3">
        <f>p!Q61^2</f>
        <v>0</v>
      </c>
      <c r="R61" s="3">
        <f>p!R61^2</f>
        <v>0</v>
      </c>
      <c r="S61" s="3">
        <f>p!S61^2</f>
        <v>0</v>
      </c>
      <c r="T61" s="3">
        <f>p!T61^2</f>
        <v>0</v>
      </c>
      <c r="U61" s="3">
        <f>p!U61^2</f>
        <v>0</v>
      </c>
      <c r="V61" s="3">
        <f>p!V61^2</f>
        <v>0</v>
      </c>
      <c r="W61" s="3">
        <f>p!W61^2</f>
        <v>0</v>
      </c>
      <c r="X61" s="3">
        <f>p!X61^2</f>
        <v>0</v>
      </c>
      <c r="Y61" s="3">
        <f>p!Y61^2</f>
        <v>0</v>
      </c>
      <c r="Z61" s="3">
        <f>p!Z61^2</f>
        <v>0</v>
      </c>
      <c r="AA61" s="3">
        <f>p!AA61^2</f>
        <v>0</v>
      </c>
    </row>
    <row r="62" spans="1:27" x14ac:dyDescent="0.25">
      <c r="A62" t="s">
        <v>55</v>
      </c>
      <c r="B62" s="3">
        <f>p!B62^2</f>
        <v>0.89497606449987399</v>
      </c>
      <c r="C62" s="3">
        <f>p!C62^2</f>
        <v>0</v>
      </c>
      <c r="D62" s="3">
        <f>p!D62^2</f>
        <v>0</v>
      </c>
      <c r="E62" s="3">
        <f>p!E62^2</f>
        <v>0</v>
      </c>
      <c r="F62" s="3">
        <f>p!F62^2</f>
        <v>0</v>
      </c>
      <c r="G62" s="3">
        <f>p!G62^2</f>
        <v>0</v>
      </c>
      <c r="H62" s="3">
        <f>p!H62^2</f>
        <v>0</v>
      </c>
      <c r="I62" s="3">
        <f>p!I62^2</f>
        <v>0</v>
      </c>
      <c r="J62" s="3">
        <f>p!J62^2</f>
        <v>0</v>
      </c>
      <c r="K62" s="3">
        <f>p!K62^2</f>
        <v>0</v>
      </c>
      <c r="L62" s="3">
        <f>p!L62^2</f>
        <v>0</v>
      </c>
      <c r="M62" s="3">
        <f>p!M62^2</f>
        <v>0</v>
      </c>
      <c r="N62" s="3">
        <f>p!N62^2</f>
        <v>0</v>
      </c>
      <c r="O62" s="3">
        <f>p!O62^2</f>
        <v>0</v>
      </c>
      <c r="P62" s="3">
        <f>p!P62^2</f>
        <v>4.0312421264802226E-5</v>
      </c>
      <c r="Q62" s="3">
        <f>p!Q62^2</f>
        <v>2.2675736961451252E-3</v>
      </c>
      <c r="R62" s="3">
        <f>p!R62^2</f>
        <v>0</v>
      </c>
      <c r="S62" s="3">
        <f>p!S62^2</f>
        <v>0</v>
      </c>
      <c r="T62" s="3">
        <f>p!T62^2</f>
        <v>0</v>
      </c>
      <c r="U62" s="3">
        <f>p!U62^2</f>
        <v>0</v>
      </c>
      <c r="V62" s="3">
        <f>p!V62^2</f>
        <v>0</v>
      </c>
      <c r="W62" s="3">
        <f>p!W62^2</f>
        <v>0</v>
      </c>
      <c r="X62" s="3">
        <f>p!X62^2</f>
        <v>0</v>
      </c>
      <c r="Y62" s="3">
        <f>p!Y62^2</f>
        <v>0</v>
      </c>
      <c r="Z62" s="3">
        <f>p!Z62^2</f>
        <v>0</v>
      </c>
      <c r="AA62" s="3">
        <f>p!AA62^2</f>
        <v>0</v>
      </c>
    </row>
    <row r="63" spans="1:27" x14ac:dyDescent="0.25">
      <c r="A63" t="s">
        <v>56</v>
      </c>
      <c r="B63" s="3">
        <f>p!B63^2</f>
        <v>0.93196745562130179</v>
      </c>
      <c r="C63" s="3">
        <f>p!C63^2</f>
        <v>0</v>
      </c>
      <c r="D63" s="3">
        <f>p!D63^2</f>
        <v>0</v>
      </c>
      <c r="E63" s="3">
        <f>p!E63^2</f>
        <v>0</v>
      </c>
      <c r="F63" s="3">
        <f>p!F63^2</f>
        <v>0</v>
      </c>
      <c r="G63" s="3">
        <f>p!G63^2</f>
        <v>0</v>
      </c>
      <c r="H63" s="3">
        <f>p!H63^2</f>
        <v>0</v>
      </c>
      <c r="I63" s="3">
        <f>p!I63^2</f>
        <v>0</v>
      </c>
      <c r="J63" s="3">
        <f>p!J63^2</f>
        <v>5.9171597633136087E-5</v>
      </c>
      <c r="K63" s="3">
        <f>p!K63^2</f>
        <v>0</v>
      </c>
      <c r="L63" s="3">
        <f>p!L63^2</f>
        <v>0</v>
      </c>
      <c r="M63" s="3">
        <f>p!M63^2</f>
        <v>0</v>
      </c>
      <c r="N63" s="3">
        <f>p!N63^2</f>
        <v>0</v>
      </c>
      <c r="O63" s="3">
        <f>p!O63^2</f>
        <v>0</v>
      </c>
      <c r="P63" s="3">
        <f>p!P63^2</f>
        <v>0</v>
      </c>
      <c r="Q63" s="3">
        <f>p!Q63^2</f>
        <v>5.3254437869822472E-4</v>
      </c>
      <c r="R63" s="3">
        <f>p!R63^2</f>
        <v>0</v>
      </c>
      <c r="S63" s="3">
        <f>p!S63^2</f>
        <v>0</v>
      </c>
      <c r="T63" s="3">
        <f>p!T63^2</f>
        <v>1.4792899408284022E-5</v>
      </c>
      <c r="U63" s="3">
        <f>p!U63^2</f>
        <v>0</v>
      </c>
      <c r="V63" s="3">
        <f>p!V63^2</f>
        <v>0</v>
      </c>
      <c r="W63" s="3">
        <f>p!W63^2</f>
        <v>0</v>
      </c>
      <c r="X63" s="3">
        <f>p!X63^2</f>
        <v>0</v>
      </c>
      <c r="Y63" s="3">
        <f>p!Y63^2</f>
        <v>0</v>
      </c>
      <c r="Z63" s="3">
        <f>p!Z63^2</f>
        <v>0</v>
      </c>
      <c r="AA63" s="3">
        <f>p!AA63^2</f>
        <v>0</v>
      </c>
    </row>
    <row r="64" spans="1:27" x14ac:dyDescent="0.25">
      <c r="A64" t="s">
        <v>57</v>
      </c>
      <c r="B64" s="3">
        <f>p!B64^2</f>
        <v>0.93995389649018435</v>
      </c>
      <c r="C64" s="3">
        <f>p!C64^2</f>
        <v>0</v>
      </c>
      <c r="D64" s="3">
        <f>p!D64^2</f>
        <v>0</v>
      </c>
      <c r="E64" s="3">
        <f>p!E64^2</f>
        <v>0</v>
      </c>
      <c r="F64" s="3">
        <f>p!F64^2</f>
        <v>0</v>
      </c>
      <c r="G64" s="3">
        <f>p!G64^2</f>
        <v>0</v>
      </c>
      <c r="H64" s="3">
        <f>p!H64^2</f>
        <v>0</v>
      </c>
      <c r="I64" s="3">
        <f>p!I64^2</f>
        <v>0</v>
      </c>
      <c r="J64" s="3">
        <f>p!J64^2</f>
        <v>0</v>
      </c>
      <c r="K64" s="3">
        <f>p!K64^2</f>
        <v>0</v>
      </c>
      <c r="L64" s="3">
        <f>p!L64^2</f>
        <v>0</v>
      </c>
      <c r="M64" s="3">
        <f>p!M64^2</f>
        <v>0</v>
      </c>
      <c r="N64" s="3">
        <f>p!N64^2</f>
        <v>0</v>
      </c>
      <c r="O64" s="3">
        <f>p!O64^2</f>
        <v>0</v>
      </c>
      <c r="P64" s="3">
        <f>p!P64^2</f>
        <v>0</v>
      </c>
      <c r="Q64" s="3">
        <f>p!Q64^2</f>
        <v>9.2950624628197493E-4</v>
      </c>
      <c r="R64" s="3">
        <f>p!R64^2</f>
        <v>0</v>
      </c>
      <c r="S64" s="3">
        <f>p!S64^2</f>
        <v>0</v>
      </c>
      <c r="T64" s="3">
        <f>p!T64^2</f>
        <v>0</v>
      </c>
      <c r="U64" s="3">
        <f>p!U64^2</f>
        <v>0</v>
      </c>
      <c r="V64" s="3">
        <f>p!V64^2</f>
        <v>0</v>
      </c>
      <c r="W64" s="3">
        <f>p!W64^2</f>
        <v>0</v>
      </c>
      <c r="X64" s="3">
        <f>p!X64^2</f>
        <v>0</v>
      </c>
      <c r="Y64" s="3">
        <f>p!Y64^2</f>
        <v>0</v>
      </c>
      <c r="Z64" s="3">
        <f>p!Z64^2</f>
        <v>0</v>
      </c>
      <c r="AA64" s="3">
        <f>p!AA64^2</f>
        <v>0</v>
      </c>
    </row>
    <row r="65" spans="1:27" x14ac:dyDescent="0.25">
      <c r="A65" t="s">
        <v>59</v>
      </c>
      <c r="B65" s="3">
        <f>p!B65^2</f>
        <v>0.98524005486968447</v>
      </c>
      <c r="C65" s="3">
        <f>p!C65^2</f>
        <v>0</v>
      </c>
      <c r="D65" s="3">
        <f>p!D65^2</f>
        <v>0</v>
      </c>
      <c r="E65" s="3">
        <f>p!E65^2</f>
        <v>0</v>
      </c>
      <c r="F65" s="3">
        <f>p!F65^2</f>
        <v>0</v>
      </c>
      <c r="G65" s="3">
        <f>p!G65^2</f>
        <v>0</v>
      </c>
      <c r="H65" s="3">
        <f>p!H65^2</f>
        <v>0</v>
      </c>
      <c r="I65" s="3">
        <f>p!I65^2</f>
        <v>0</v>
      </c>
      <c r="J65" s="3">
        <f>p!J65^2</f>
        <v>0</v>
      </c>
      <c r="K65" s="3">
        <f>p!K65^2</f>
        <v>0</v>
      </c>
      <c r="L65" s="3">
        <f>p!L65^2</f>
        <v>0</v>
      </c>
      <c r="M65" s="3">
        <f>p!M65^2</f>
        <v>0</v>
      </c>
      <c r="N65" s="3">
        <f>p!N65^2</f>
        <v>0</v>
      </c>
      <c r="O65" s="3">
        <f>p!O65^2</f>
        <v>0</v>
      </c>
      <c r="P65" s="3">
        <f>p!P65^2</f>
        <v>0</v>
      </c>
      <c r="Q65" s="3">
        <f>p!Q65^2</f>
        <v>5.4869684499314136E-5</v>
      </c>
      <c r="R65" s="3">
        <f>p!R65^2</f>
        <v>0</v>
      </c>
      <c r="S65" s="3">
        <f>p!S65^2</f>
        <v>0</v>
      </c>
      <c r="T65" s="3">
        <f>p!T65^2</f>
        <v>0</v>
      </c>
      <c r="U65" s="3">
        <f>p!U65^2</f>
        <v>0</v>
      </c>
      <c r="V65" s="3">
        <f>p!V65^2</f>
        <v>0</v>
      </c>
      <c r="W65" s="3">
        <f>p!W65^2</f>
        <v>0</v>
      </c>
      <c r="X65" s="3">
        <f>p!X65^2</f>
        <v>0</v>
      </c>
      <c r="Y65" s="3">
        <f>p!Y65^2</f>
        <v>0</v>
      </c>
      <c r="Z65" s="3">
        <f>p!Z65^2</f>
        <v>0</v>
      </c>
      <c r="AA65" s="3">
        <f>p!AA65^2</f>
        <v>0</v>
      </c>
    </row>
    <row r="66" spans="1:27" x14ac:dyDescent="0.25">
      <c r="A66" t="s">
        <v>60</v>
      </c>
      <c r="B66" s="3">
        <f>p!B66^2</f>
        <v>0.61942729766803828</v>
      </c>
      <c r="C66" s="3">
        <f>p!C66^2</f>
        <v>0</v>
      </c>
      <c r="D66" s="3">
        <f>p!D66^2</f>
        <v>0</v>
      </c>
      <c r="E66" s="3">
        <f>p!E66^2</f>
        <v>0</v>
      </c>
      <c r="F66" s="3">
        <f>p!F66^2</f>
        <v>0</v>
      </c>
      <c r="G66" s="3">
        <f>p!G66^2</f>
        <v>6.9444444444444441E-3</v>
      </c>
      <c r="H66" s="3">
        <f>p!H66^2</f>
        <v>0</v>
      </c>
      <c r="I66" s="3">
        <f>p!I66^2</f>
        <v>0</v>
      </c>
      <c r="J66" s="3">
        <f>p!J66^2</f>
        <v>8.573388203017832E-5</v>
      </c>
      <c r="K66" s="3">
        <f>p!K66^2</f>
        <v>0</v>
      </c>
      <c r="L66" s="3">
        <f>p!L66^2</f>
        <v>0</v>
      </c>
      <c r="M66" s="3">
        <f>p!M66^2</f>
        <v>0</v>
      </c>
      <c r="N66" s="3">
        <f>p!N66^2</f>
        <v>0</v>
      </c>
      <c r="O66" s="3">
        <f>p!O66^2</f>
        <v>0</v>
      </c>
      <c r="P66" s="3">
        <f>p!P66^2</f>
        <v>0</v>
      </c>
      <c r="Q66" s="3">
        <f>p!Q66^2</f>
        <v>1.4489026063100135E-2</v>
      </c>
      <c r="R66" s="3">
        <f>p!R66^2</f>
        <v>0</v>
      </c>
      <c r="S66" s="3">
        <f>p!S66^2</f>
        <v>0</v>
      </c>
      <c r="T66" s="3">
        <f>p!T66^2</f>
        <v>0</v>
      </c>
      <c r="U66" s="3">
        <f>p!U66^2</f>
        <v>0</v>
      </c>
      <c r="V66" s="3">
        <f>p!V66^2</f>
        <v>0</v>
      </c>
      <c r="W66" s="3">
        <f>p!W66^2</f>
        <v>0</v>
      </c>
      <c r="X66" s="3">
        <f>p!X66^2</f>
        <v>0</v>
      </c>
      <c r="Y66" s="3">
        <f>p!Y66^2</f>
        <v>0</v>
      </c>
      <c r="Z66" s="3">
        <f>p!Z66^2</f>
        <v>0</v>
      </c>
      <c r="AA66" s="3">
        <f>p!AA66^2</f>
        <v>0</v>
      </c>
    </row>
    <row r="67" spans="1:27" x14ac:dyDescent="0.25">
      <c r="A67" t="s">
        <v>61</v>
      </c>
      <c r="B67" s="3">
        <f>p!B67^2</f>
        <v>0.8203996600970368</v>
      </c>
      <c r="C67" s="3">
        <f>p!C67^2</f>
        <v>0</v>
      </c>
      <c r="D67" s="3">
        <f>p!D67^2</f>
        <v>0</v>
      </c>
      <c r="E67" s="3">
        <f>p!E67^2</f>
        <v>0</v>
      </c>
      <c r="F67" s="3">
        <f>p!F67^2</f>
        <v>0</v>
      </c>
      <c r="G67" s="3">
        <f>p!G67^2</f>
        <v>0</v>
      </c>
      <c r="H67" s="3">
        <f>p!H67^2</f>
        <v>0</v>
      </c>
      <c r="I67" s="3">
        <f>p!I67^2</f>
        <v>0</v>
      </c>
      <c r="J67" s="3">
        <f>p!J67^2</f>
        <v>8.8813354897069683E-3</v>
      </c>
      <c r="K67" s="3">
        <f>p!K67^2</f>
        <v>0</v>
      </c>
      <c r="L67" s="3">
        <f>p!L67^2</f>
        <v>0</v>
      </c>
      <c r="M67" s="3">
        <f>p!M67^2</f>
        <v>0</v>
      </c>
      <c r="N67" s="3">
        <f>p!N67^2</f>
        <v>0</v>
      </c>
      <c r="O67" s="3">
        <f>p!O67^2</f>
        <v>0</v>
      </c>
      <c r="P67" s="3">
        <f>p!P67^2</f>
        <v>0</v>
      </c>
      <c r="Q67" s="3">
        <f>p!Q67^2</f>
        <v>0</v>
      </c>
      <c r="R67" s="3">
        <f>p!R67^2</f>
        <v>0</v>
      </c>
      <c r="S67" s="3">
        <f>p!S67^2</f>
        <v>0</v>
      </c>
      <c r="T67" s="3">
        <f>p!T67^2</f>
        <v>0</v>
      </c>
      <c r="U67" s="3">
        <f>p!U67^2</f>
        <v>0</v>
      </c>
      <c r="V67" s="3">
        <f>p!V67^2</f>
        <v>0</v>
      </c>
      <c r="W67" s="3">
        <f>p!W67^2</f>
        <v>0</v>
      </c>
      <c r="X67" s="3">
        <f>p!X67^2</f>
        <v>0</v>
      </c>
      <c r="Y67" s="3">
        <f>p!Y67^2</f>
        <v>0</v>
      </c>
      <c r="Z67" s="3">
        <f>p!Z67^2</f>
        <v>0</v>
      </c>
      <c r="AA67" s="3">
        <f>p!AA67^2</f>
        <v>0</v>
      </c>
    </row>
    <row r="68" spans="1:27" x14ac:dyDescent="0.25">
      <c r="A68" t="s">
        <v>62</v>
      </c>
      <c r="B68" s="3">
        <f>p!B68^2</f>
        <v>0.88773430452069901</v>
      </c>
      <c r="C68" s="3">
        <f>p!C68^2</f>
        <v>0</v>
      </c>
      <c r="D68" s="3">
        <f>p!D68^2</f>
        <v>0</v>
      </c>
      <c r="E68" s="3">
        <f>p!E68^2</f>
        <v>0</v>
      </c>
      <c r="F68" s="3">
        <f>p!F68^2</f>
        <v>0</v>
      </c>
      <c r="G68" s="3">
        <f>p!G68^2</f>
        <v>8.3531023422098963E-4</v>
      </c>
      <c r="H68" s="3">
        <f>p!H68^2</f>
        <v>0</v>
      </c>
      <c r="I68" s="3">
        <f>p!I68^2</f>
        <v>0</v>
      </c>
      <c r="J68" s="3">
        <f>p!J68^2</f>
        <v>3.3412409368839592E-5</v>
      </c>
      <c r="K68" s="3">
        <f>p!K68^2</f>
        <v>0</v>
      </c>
      <c r="L68" s="3">
        <f>p!L68^2</f>
        <v>0</v>
      </c>
      <c r="M68" s="3">
        <f>p!M68^2</f>
        <v>0</v>
      </c>
      <c r="N68" s="3">
        <f>p!N68^2</f>
        <v>0</v>
      </c>
      <c r="O68" s="3">
        <f>p!O68^2</f>
        <v>0</v>
      </c>
      <c r="P68" s="3">
        <f>p!P68^2</f>
        <v>0</v>
      </c>
      <c r="Q68" s="3">
        <f>p!Q68^2</f>
        <v>3.0071168431955632E-4</v>
      </c>
      <c r="R68" s="3">
        <f>p!R68^2</f>
        <v>0</v>
      </c>
      <c r="S68" s="3">
        <f>p!S68^2</f>
        <v>0</v>
      </c>
      <c r="T68" s="3">
        <f>p!T68^2</f>
        <v>0</v>
      </c>
      <c r="U68" s="3">
        <f>p!U68^2</f>
        <v>3.3412409368839592E-5</v>
      </c>
      <c r="V68" s="3">
        <f>p!V68^2</f>
        <v>0</v>
      </c>
      <c r="W68" s="3">
        <f>p!W68^2</f>
        <v>0</v>
      </c>
      <c r="X68" s="3">
        <f>p!X68^2</f>
        <v>0</v>
      </c>
      <c r="Y68" s="3">
        <f>p!Y68^2</f>
        <v>0</v>
      </c>
      <c r="Z68" s="3">
        <f>p!Z68^2</f>
        <v>0</v>
      </c>
      <c r="AA68" s="3">
        <f>p!AA68^2</f>
        <v>0</v>
      </c>
    </row>
    <row r="69" spans="1:27" x14ac:dyDescent="0.25">
      <c r="A69" t="s">
        <v>70</v>
      </c>
      <c r="B69" s="3">
        <f>p!B69^2</f>
        <v>0.51020408163265307</v>
      </c>
      <c r="C69" s="3">
        <f>p!C69^2</f>
        <v>0</v>
      </c>
      <c r="D69" s="3">
        <f>p!D69^2</f>
        <v>0</v>
      </c>
      <c r="E69" s="3">
        <f>p!E69^2</f>
        <v>0</v>
      </c>
      <c r="F69" s="3">
        <f>p!F69^2</f>
        <v>0</v>
      </c>
      <c r="G69" s="3">
        <f>p!G69^2</f>
        <v>2.2675736961451252E-3</v>
      </c>
      <c r="H69" s="3">
        <f>p!H69^2</f>
        <v>0</v>
      </c>
      <c r="I69" s="3">
        <f>p!I69^2</f>
        <v>0</v>
      </c>
      <c r="J69" s="3">
        <f>p!J69^2</f>
        <v>2.2675736961451252E-3</v>
      </c>
      <c r="K69" s="3">
        <f>p!K69^2</f>
        <v>0</v>
      </c>
      <c r="L69" s="3">
        <f>p!L69^2</f>
        <v>0</v>
      </c>
      <c r="M69" s="3">
        <f>p!M69^2</f>
        <v>0</v>
      </c>
      <c r="N69" s="3">
        <f>p!N69^2</f>
        <v>0</v>
      </c>
      <c r="O69" s="3">
        <f>p!O69^2</f>
        <v>5.668934240362813E-4</v>
      </c>
      <c r="P69" s="3">
        <f>p!P69^2</f>
        <v>0</v>
      </c>
      <c r="Q69" s="3">
        <f>p!Q69^2</f>
        <v>2.7777777777777783E-2</v>
      </c>
      <c r="R69" s="3">
        <f>p!R69^2</f>
        <v>0</v>
      </c>
      <c r="S69" s="3">
        <f>p!S69^2</f>
        <v>0</v>
      </c>
      <c r="T69" s="3">
        <f>p!T69^2</f>
        <v>0</v>
      </c>
      <c r="U69" s="3">
        <f>p!U69^2</f>
        <v>0</v>
      </c>
      <c r="V69" s="3">
        <f>p!V69^2</f>
        <v>0</v>
      </c>
      <c r="W69" s="3">
        <f>p!W69^2</f>
        <v>0</v>
      </c>
      <c r="X69" s="3">
        <f>p!X69^2</f>
        <v>0</v>
      </c>
      <c r="Y69" s="3">
        <f>p!Y69^2</f>
        <v>0</v>
      </c>
      <c r="Z69" s="3">
        <f>p!Z69^2</f>
        <v>0</v>
      </c>
      <c r="AA69" s="3">
        <f>p!AA69^2</f>
        <v>0</v>
      </c>
    </row>
    <row r="70" spans="1:27" x14ac:dyDescent="0.25">
      <c r="A70" t="s">
        <v>71</v>
      </c>
      <c r="B70" s="3">
        <f>p!B70^2</f>
        <v>0.27700831024930744</v>
      </c>
      <c r="C70" s="3">
        <f>p!C70^2</f>
        <v>0</v>
      </c>
      <c r="D70" s="3">
        <f>p!D70^2</f>
        <v>0</v>
      </c>
      <c r="E70" s="3">
        <f>p!E70^2</f>
        <v>0</v>
      </c>
      <c r="F70" s="3">
        <f>p!F70^2</f>
        <v>0</v>
      </c>
      <c r="G70" s="3">
        <f>p!G70^2</f>
        <v>2.7700831024930752E-3</v>
      </c>
      <c r="H70" s="3">
        <f>p!H70^2</f>
        <v>0</v>
      </c>
      <c r="I70" s="3">
        <f>p!I70^2</f>
        <v>0</v>
      </c>
      <c r="J70" s="3">
        <f>p!J70^2</f>
        <v>0</v>
      </c>
      <c r="K70" s="3">
        <f>p!K70^2</f>
        <v>0</v>
      </c>
      <c r="L70" s="3">
        <f>p!L70^2</f>
        <v>0</v>
      </c>
      <c r="M70" s="3">
        <f>p!M70^2</f>
        <v>0</v>
      </c>
      <c r="N70" s="3">
        <f>p!N70^2</f>
        <v>0</v>
      </c>
      <c r="O70" s="3">
        <f>p!O70^2</f>
        <v>2.7700831024930752E-3</v>
      </c>
      <c r="P70" s="3">
        <f>p!P70^2</f>
        <v>2.7700831024930752E-3</v>
      </c>
      <c r="Q70" s="3">
        <f>p!Q70^2</f>
        <v>9.9722991689750712E-2</v>
      </c>
      <c r="R70" s="3">
        <f>p!R70^2</f>
        <v>0</v>
      </c>
      <c r="S70" s="3">
        <f>p!S70^2</f>
        <v>0</v>
      </c>
      <c r="T70" s="3">
        <f>p!T70^2</f>
        <v>0</v>
      </c>
      <c r="U70" s="3">
        <f>p!U70^2</f>
        <v>0</v>
      </c>
      <c r="V70" s="3">
        <f>p!V70^2</f>
        <v>0</v>
      </c>
      <c r="W70" s="3">
        <f>p!W70^2</f>
        <v>0</v>
      </c>
      <c r="X70" s="3">
        <f>p!X70^2</f>
        <v>0</v>
      </c>
      <c r="Y70" s="3">
        <f>p!Y70^2</f>
        <v>0</v>
      </c>
      <c r="Z70" s="3">
        <f>p!Z70^2</f>
        <v>0</v>
      </c>
      <c r="AA70" s="3">
        <f>p!AA70^2</f>
        <v>0</v>
      </c>
    </row>
    <row r="71" spans="1:27" x14ac:dyDescent="0.25">
      <c r="A71" t="s">
        <v>72</v>
      </c>
      <c r="B71" s="3">
        <f>p!B71^2</f>
        <v>0.75754458161865568</v>
      </c>
      <c r="C71" s="3">
        <f>p!C71^2</f>
        <v>0</v>
      </c>
      <c r="D71" s="3">
        <f>p!D71^2</f>
        <v>0</v>
      </c>
      <c r="E71" s="3">
        <f>p!E71^2</f>
        <v>0</v>
      </c>
      <c r="F71" s="3">
        <f>p!F71^2</f>
        <v>0</v>
      </c>
      <c r="G71" s="3">
        <f>p!G71^2</f>
        <v>3.4293552812071328E-4</v>
      </c>
      <c r="H71" s="3">
        <f>p!H71^2</f>
        <v>0</v>
      </c>
      <c r="I71" s="3">
        <f>p!I71^2</f>
        <v>0</v>
      </c>
      <c r="J71" s="3">
        <f>p!J71^2</f>
        <v>0</v>
      </c>
      <c r="K71" s="3">
        <f>p!K71^2</f>
        <v>0</v>
      </c>
      <c r="L71" s="3">
        <f>p!L71^2</f>
        <v>0</v>
      </c>
      <c r="M71" s="3">
        <f>p!M71^2</f>
        <v>0</v>
      </c>
      <c r="N71" s="3">
        <f>p!N71^2</f>
        <v>0</v>
      </c>
      <c r="O71" s="3">
        <f>p!O71^2</f>
        <v>0</v>
      </c>
      <c r="P71" s="3">
        <f>p!P71^2</f>
        <v>5.4869684499314125E-3</v>
      </c>
      <c r="Q71" s="3">
        <f>p!Q71^2</f>
        <v>1.3717421124828531E-3</v>
      </c>
      <c r="R71" s="3">
        <f>p!R71^2</f>
        <v>0</v>
      </c>
      <c r="S71" s="3">
        <f>p!S71^2</f>
        <v>0</v>
      </c>
      <c r="T71" s="3">
        <f>p!T71^2</f>
        <v>0</v>
      </c>
      <c r="U71" s="3">
        <f>p!U71^2</f>
        <v>0</v>
      </c>
      <c r="V71" s="3">
        <f>p!V71^2</f>
        <v>0</v>
      </c>
      <c r="W71" s="3">
        <f>p!W71^2</f>
        <v>0</v>
      </c>
      <c r="X71" s="3">
        <f>p!X71^2</f>
        <v>0</v>
      </c>
      <c r="Y71" s="3">
        <f>p!Y71^2</f>
        <v>0</v>
      </c>
      <c r="Z71" s="3">
        <f>p!Z71^2</f>
        <v>0</v>
      </c>
      <c r="AA71" s="3">
        <f>p!AA71^2</f>
        <v>0</v>
      </c>
    </row>
    <row r="72" spans="1:27" x14ac:dyDescent="0.25">
      <c r="A72" t="s">
        <v>77</v>
      </c>
      <c r="B72" s="3">
        <f>p!B72^2</f>
        <v>0.429991937651169</v>
      </c>
      <c r="C72" s="3">
        <f>p!C72^2</f>
        <v>0</v>
      </c>
      <c r="D72" s="3">
        <f>p!D72^2</f>
        <v>0</v>
      </c>
      <c r="E72" s="3">
        <f>p!E72^2</f>
        <v>0</v>
      </c>
      <c r="F72" s="3">
        <f>p!F72^2</f>
        <v>0</v>
      </c>
      <c r="G72" s="3">
        <f>p!G72^2</f>
        <v>2.6874496103198068E-4</v>
      </c>
      <c r="H72" s="3">
        <f>p!H72^2</f>
        <v>0</v>
      </c>
      <c r="I72" s="3">
        <f>p!I72^2</f>
        <v>0</v>
      </c>
      <c r="J72" s="3">
        <f>p!J72^2</f>
        <v>3.8699274388605209E-2</v>
      </c>
      <c r="K72" s="3">
        <f>p!K72^2</f>
        <v>0</v>
      </c>
      <c r="L72" s="3">
        <f>p!L72^2</f>
        <v>0</v>
      </c>
      <c r="M72" s="3">
        <f>p!M72^2</f>
        <v>0</v>
      </c>
      <c r="N72" s="3">
        <f>p!N72^2</f>
        <v>0</v>
      </c>
      <c r="O72" s="3">
        <f>p!O72^2</f>
        <v>0</v>
      </c>
      <c r="P72" s="3">
        <f>p!P72^2</f>
        <v>1.0749798441279227E-3</v>
      </c>
      <c r="Q72" s="3">
        <f>p!Q72^2</f>
        <v>6.7186240257995156E-3</v>
      </c>
      <c r="R72" s="3">
        <f>p!R72^2</f>
        <v>0</v>
      </c>
      <c r="S72" s="3">
        <f>p!S72^2</f>
        <v>0</v>
      </c>
      <c r="T72" s="3">
        <f>p!T72^2</f>
        <v>0</v>
      </c>
      <c r="U72" s="3">
        <f>p!U72^2</f>
        <v>2.6874496103198068E-4</v>
      </c>
      <c r="V72" s="3">
        <f>p!V72^2</f>
        <v>0</v>
      </c>
      <c r="W72" s="3">
        <f>p!W72^2</f>
        <v>0</v>
      </c>
      <c r="X72" s="3">
        <f>p!X72^2</f>
        <v>0</v>
      </c>
      <c r="Y72" s="3">
        <f>p!Y72^2</f>
        <v>0</v>
      </c>
      <c r="Z72" s="3">
        <f>p!Z72^2</f>
        <v>0</v>
      </c>
      <c r="AA72" s="3">
        <f>p!AA72^2</f>
        <v>0</v>
      </c>
    </row>
    <row r="73" spans="1:27" x14ac:dyDescent="0.25">
      <c r="A73" t="s">
        <v>78</v>
      </c>
      <c r="B73" s="3">
        <f>p!B73^2</f>
        <v>0.85422405876951324</v>
      </c>
      <c r="C73" s="3">
        <f>p!C73^2</f>
        <v>0</v>
      </c>
      <c r="D73" s="3">
        <f>p!D73^2</f>
        <v>0</v>
      </c>
      <c r="E73" s="3">
        <f>p!E73^2</f>
        <v>0</v>
      </c>
      <c r="F73" s="3">
        <f>p!F73^2</f>
        <v>0</v>
      </c>
      <c r="G73" s="3">
        <f>p!G73^2</f>
        <v>0</v>
      </c>
      <c r="H73" s="3">
        <f>p!H73^2</f>
        <v>0</v>
      </c>
      <c r="I73" s="3">
        <f>p!I73^2</f>
        <v>0</v>
      </c>
      <c r="J73" s="3">
        <f>p!J73^2</f>
        <v>5.1652892561983462E-4</v>
      </c>
      <c r="K73" s="3">
        <f>p!K73^2</f>
        <v>0</v>
      </c>
      <c r="L73" s="3">
        <f>p!L73^2</f>
        <v>0</v>
      </c>
      <c r="M73" s="3">
        <f>p!M73^2</f>
        <v>0</v>
      </c>
      <c r="N73" s="3">
        <f>p!N73^2</f>
        <v>0</v>
      </c>
      <c r="O73" s="3">
        <f>p!O73^2</f>
        <v>0</v>
      </c>
      <c r="P73" s="3">
        <f>p!P73^2</f>
        <v>9.1827364554637292E-4</v>
      </c>
      <c r="Q73" s="3">
        <f>p!Q73^2</f>
        <v>5.1652892561983462E-4</v>
      </c>
      <c r="R73" s="3">
        <f>p!R73^2</f>
        <v>0</v>
      </c>
      <c r="S73" s="3">
        <f>p!S73^2</f>
        <v>0</v>
      </c>
      <c r="T73" s="3">
        <f>p!T73^2</f>
        <v>0</v>
      </c>
      <c r="U73" s="3">
        <f>p!U73^2</f>
        <v>0</v>
      </c>
      <c r="V73" s="3">
        <f>p!V73^2</f>
        <v>0</v>
      </c>
      <c r="W73" s="3">
        <f>p!W73^2</f>
        <v>0</v>
      </c>
      <c r="X73" s="3">
        <f>p!X73^2</f>
        <v>0</v>
      </c>
      <c r="Y73" s="3">
        <f>p!Y73^2</f>
        <v>0</v>
      </c>
      <c r="Z73" s="3">
        <f>p!Z73^2</f>
        <v>0</v>
      </c>
      <c r="AA73" s="3">
        <f>p!AA73^2</f>
        <v>0</v>
      </c>
    </row>
    <row r="74" spans="1:27" x14ac:dyDescent="0.25">
      <c r="A74" t="s">
        <v>79</v>
      </c>
      <c r="B74" s="3">
        <f>p!B74^2</f>
        <v>0.86682520808561236</v>
      </c>
      <c r="C74" s="3">
        <f>p!C74^2</f>
        <v>0</v>
      </c>
      <c r="D74" s="3">
        <f>p!D74^2</f>
        <v>0</v>
      </c>
      <c r="E74" s="3">
        <f>p!E74^2</f>
        <v>0</v>
      </c>
      <c r="F74" s="3">
        <f>p!F74^2</f>
        <v>2.9726516052318666E-4</v>
      </c>
      <c r="G74" s="3">
        <f>p!G74^2</f>
        <v>0</v>
      </c>
      <c r="H74" s="3">
        <f>p!H74^2</f>
        <v>0</v>
      </c>
      <c r="I74" s="3">
        <f>p!I74^2</f>
        <v>0</v>
      </c>
      <c r="J74" s="3">
        <f>p!J74^2</f>
        <v>0</v>
      </c>
      <c r="K74" s="3">
        <f>p!K74^2</f>
        <v>0</v>
      </c>
      <c r="L74" s="3">
        <f>p!L74^2</f>
        <v>0</v>
      </c>
      <c r="M74" s="3">
        <f>p!M74^2</f>
        <v>0</v>
      </c>
      <c r="N74" s="3">
        <f>p!N74^2</f>
        <v>0</v>
      </c>
      <c r="O74" s="3">
        <f>p!O74^2</f>
        <v>0</v>
      </c>
      <c r="P74" s="3">
        <f>p!P74^2</f>
        <v>2.6753864447086801E-3</v>
      </c>
      <c r="Q74" s="3">
        <f>p!Q74^2</f>
        <v>0</v>
      </c>
      <c r="R74" s="3">
        <f>p!R74^2</f>
        <v>0</v>
      </c>
      <c r="S74" s="3">
        <f>p!S74^2</f>
        <v>0</v>
      </c>
      <c r="T74" s="3">
        <f>p!T74^2</f>
        <v>0</v>
      </c>
      <c r="U74" s="3">
        <f>p!U74^2</f>
        <v>0</v>
      </c>
      <c r="V74" s="3">
        <f>p!V74^2</f>
        <v>0</v>
      </c>
      <c r="W74" s="3">
        <f>p!W74^2</f>
        <v>0</v>
      </c>
      <c r="X74" s="3">
        <f>p!X74^2</f>
        <v>0</v>
      </c>
      <c r="Y74" s="3">
        <f>p!Y74^2</f>
        <v>0</v>
      </c>
      <c r="Z74" s="3">
        <f>p!Z74^2</f>
        <v>0</v>
      </c>
      <c r="AA74" s="3">
        <f>p!AA74^2</f>
        <v>0</v>
      </c>
    </row>
    <row r="75" spans="1:27" x14ac:dyDescent="0.25">
      <c r="A75" t="s">
        <v>80</v>
      </c>
      <c r="B75" s="3">
        <f>p!B75^2</f>
        <v>0.36</v>
      </c>
      <c r="C75" s="3">
        <f>p!C75^2</f>
        <v>0</v>
      </c>
      <c r="D75" s="3">
        <f>p!D75^2</f>
        <v>0</v>
      </c>
      <c r="E75" s="3">
        <f>p!E75^2</f>
        <v>0</v>
      </c>
      <c r="F75" s="3">
        <f>p!F75^2</f>
        <v>0</v>
      </c>
      <c r="G75" s="3">
        <f>p!G75^2</f>
        <v>0</v>
      </c>
      <c r="H75" s="3">
        <f>p!H75^2</f>
        <v>0</v>
      </c>
      <c r="I75" s="3">
        <f>p!I75^2</f>
        <v>0</v>
      </c>
      <c r="J75" s="3">
        <f>p!J75^2</f>
        <v>1.7777777777777778E-2</v>
      </c>
      <c r="K75" s="3">
        <f>p!K75^2</f>
        <v>0</v>
      </c>
      <c r="L75" s="3">
        <f>p!L75^2</f>
        <v>0</v>
      </c>
      <c r="M75" s="3">
        <f>p!M75^2</f>
        <v>0</v>
      </c>
      <c r="N75" s="3">
        <f>p!N75^2</f>
        <v>0</v>
      </c>
      <c r="O75" s="3">
        <f>p!O75^2</f>
        <v>0</v>
      </c>
      <c r="P75" s="3">
        <f>p!P75^2</f>
        <v>0</v>
      </c>
      <c r="Q75" s="3">
        <f>p!Q75^2</f>
        <v>7.1111111111111111E-2</v>
      </c>
      <c r="R75" s="3">
        <f>p!R75^2</f>
        <v>0</v>
      </c>
      <c r="S75" s="3">
        <f>p!S75^2</f>
        <v>0</v>
      </c>
      <c r="T75" s="3">
        <f>p!T75^2</f>
        <v>0</v>
      </c>
      <c r="U75" s="3">
        <f>p!U75^2</f>
        <v>0</v>
      </c>
      <c r="V75" s="3">
        <f>p!V75^2</f>
        <v>0</v>
      </c>
      <c r="W75" s="3">
        <f>p!W75^2</f>
        <v>0</v>
      </c>
      <c r="X75" s="3">
        <f>p!X75^2</f>
        <v>0</v>
      </c>
      <c r="Y75" s="3">
        <f>p!Y75^2</f>
        <v>0</v>
      </c>
      <c r="Z75" s="3">
        <f>p!Z75^2</f>
        <v>0</v>
      </c>
      <c r="AA75" s="3">
        <f>p!AA75^2</f>
        <v>0</v>
      </c>
    </row>
    <row r="76" spans="1:27" x14ac:dyDescent="0.25">
      <c r="A76" t="s">
        <v>97</v>
      </c>
      <c r="B76" s="3">
        <f>p!B76^2</f>
        <v>0.67324128862590393</v>
      </c>
      <c r="C76" s="3">
        <f>p!C76^2</f>
        <v>0</v>
      </c>
      <c r="D76" s="3">
        <f>p!D76^2</f>
        <v>0</v>
      </c>
      <c r="E76" s="3">
        <f>p!E76^2</f>
        <v>0</v>
      </c>
      <c r="F76" s="3">
        <f>p!F76^2</f>
        <v>0</v>
      </c>
      <c r="G76" s="3">
        <f>p!G76^2</f>
        <v>6.5746219592373431E-4</v>
      </c>
      <c r="H76" s="3">
        <f>p!H76^2</f>
        <v>0</v>
      </c>
      <c r="I76" s="3">
        <f>p!I76^2</f>
        <v>0</v>
      </c>
      <c r="J76" s="3">
        <f>p!J76^2</f>
        <v>6.5746219592373431E-4</v>
      </c>
      <c r="K76" s="3">
        <f>p!K76^2</f>
        <v>0</v>
      </c>
      <c r="L76" s="3">
        <f>p!L76^2</f>
        <v>0</v>
      </c>
      <c r="M76" s="3">
        <f>p!M76^2</f>
        <v>0</v>
      </c>
      <c r="N76" s="3">
        <f>p!N76^2</f>
        <v>0</v>
      </c>
      <c r="O76" s="3">
        <f>p!O76^2</f>
        <v>0</v>
      </c>
      <c r="P76" s="3">
        <f>p!P76^2</f>
        <v>6.5746219592373431E-4</v>
      </c>
      <c r="Q76" s="3">
        <f>p!Q76^2</f>
        <v>1.0519395134779749E-2</v>
      </c>
      <c r="R76" s="3">
        <f>p!R76^2</f>
        <v>0</v>
      </c>
      <c r="S76" s="3">
        <f>p!S76^2</f>
        <v>0</v>
      </c>
      <c r="T76" s="3">
        <f>p!T76^2</f>
        <v>0</v>
      </c>
      <c r="U76" s="3">
        <f>p!U76^2</f>
        <v>0</v>
      </c>
      <c r="V76" s="3">
        <f>p!V76^2</f>
        <v>0</v>
      </c>
      <c r="W76" s="3">
        <f>p!W76^2</f>
        <v>0</v>
      </c>
      <c r="X76" s="3">
        <f>p!X76^2</f>
        <v>0</v>
      </c>
      <c r="Y76" s="3">
        <f>p!Y76^2</f>
        <v>0</v>
      </c>
      <c r="Z76" s="3">
        <f>p!Z76^2</f>
        <v>0</v>
      </c>
      <c r="AA76" s="3">
        <f>p!AA76^2</f>
        <v>0</v>
      </c>
    </row>
    <row r="77" spans="1:27" x14ac:dyDescent="0.25">
      <c r="A77" t="s">
        <v>99</v>
      </c>
      <c r="B77" s="3">
        <f>p!B77^2</f>
        <v>0.27040000000000003</v>
      </c>
      <c r="C77" s="3">
        <f>p!C77^2</f>
        <v>0</v>
      </c>
      <c r="D77" s="3">
        <f>p!D77^2</f>
        <v>0</v>
      </c>
      <c r="E77" s="3">
        <f>p!E77^2</f>
        <v>0</v>
      </c>
      <c r="F77" s="3">
        <f>p!F77^2</f>
        <v>0</v>
      </c>
      <c r="G77" s="3">
        <f>p!G77^2</f>
        <v>0</v>
      </c>
      <c r="H77" s="3">
        <f>p!H77^2</f>
        <v>0</v>
      </c>
      <c r="I77" s="3">
        <f>p!I77^2</f>
        <v>0</v>
      </c>
      <c r="J77" s="3">
        <f>p!J77^2</f>
        <v>2.5600000000000001E-2</v>
      </c>
      <c r="K77" s="3">
        <f>p!K77^2</f>
        <v>0</v>
      </c>
      <c r="L77" s="3">
        <f>p!L77^2</f>
        <v>0</v>
      </c>
      <c r="M77" s="3">
        <f>p!M77^2</f>
        <v>0</v>
      </c>
      <c r="N77" s="3">
        <f>p!N77^2</f>
        <v>0</v>
      </c>
      <c r="O77" s="3">
        <f>p!O77^2</f>
        <v>0</v>
      </c>
      <c r="P77" s="3">
        <f>p!P77^2</f>
        <v>6.4000000000000003E-3</v>
      </c>
      <c r="Q77" s="3">
        <f>p!Q77^2</f>
        <v>5.7599999999999998E-2</v>
      </c>
      <c r="R77" s="3">
        <f>p!R77^2</f>
        <v>0</v>
      </c>
      <c r="S77" s="3">
        <f>p!S77^2</f>
        <v>0</v>
      </c>
      <c r="T77" s="3">
        <f>p!T77^2</f>
        <v>0</v>
      </c>
      <c r="U77" s="3">
        <f>p!U77^2</f>
        <v>0</v>
      </c>
      <c r="V77" s="3">
        <f>p!V77^2</f>
        <v>0</v>
      </c>
      <c r="W77" s="3">
        <f>p!W77^2</f>
        <v>0</v>
      </c>
      <c r="X77" s="3">
        <f>p!X77^2</f>
        <v>0</v>
      </c>
      <c r="Y77" s="3">
        <f>p!Y77^2</f>
        <v>0</v>
      </c>
      <c r="Z77" s="3">
        <f>p!Z77^2</f>
        <v>0</v>
      </c>
      <c r="AA77" s="3">
        <f>p!AA77^2</f>
        <v>0</v>
      </c>
    </row>
    <row r="78" spans="1:27" x14ac:dyDescent="0.25">
      <c r="A78" t="s">
        <v>100</v>
      </c>
      <c r="B78" s="3">
        <f>p!B78^2</f>
        <v>0.23850730124391561</v>
      </c>
      <c r="C78" s="3">
        <f>p!C78^2</f>
        <v>0</v>
      </c>
      <c r="D78" s="3">
        <f>p!D78^2</f>
        <v>0</v>
      </c>
      <c r="E78" s="3">
        <f>p!E78^2</f>
        <v>0</v>
      </c>
      <c r="F78" s="3">
        <f>p!F78^2</f>
        <v>0</v>
      </c>
      <c r="G78" s="3">
        <f>p!G78^2</f>
        <v>8.6533261222282339E-3</v>
      </c>
      <c r="H78" s="3">
        <f>p!H78^2</f>
        <v>0</v>
      </c>
      <c r="I78" s="3">
        <f>p!I78^2</f>
        <v>0</v>
      </c>
      <c r="J78" s="3">
        <f>p!J78^2</f>
        <v>2.6500811249323963E-2</v>
      </c>
      <c r="K78" s="3">
        <f>p!K78^2</f>
        <v>0</v>
      </c>
      <c r="L78" s="3">
        <f>p!L78^2</f>
        <v>0</v>
      </c>
      <c r="M78" s="3">
        <f>p!M78^2</f>
        <v>0</v>
      </c>
      <c r="N78" s="3">
        <f>p!N78^2</f>
        <v>0</v>
      </c>
      <c r="O78" s="3">
        <f>p!O78^2</f>
        <v>0</v>
      </c>
      <c r="P78" s="3">
        <f>p!P78^2</f>
        <v>0</v>
      </c>
      <c r="Q78" s="3">
        <f>p!Q78^2</f>
        <v>6.5440778799351007E-2</v>
      </c>
      <c r="R78" s="3">
        <f>p!R78^2</f>
        <v>0</v>
      </c>
      <c r="S78" s="3">
        <f>p!S78^2</f>
        <v>0</v>
      </c>
      <c r="T78" s="3">
        <f>p!T78^2</f>
        <v>0</v>
      </c>
      <c r="U78" s="3">
        <f>p!U78^2</f>
        <v>0</v>
      </c>
      <c r="V78" s="3">
        <f>p!V78^2</f>
        <v>0</v>
      </c>
      <c r="W78" s="3">
        <f>p!W78^2</f>
        <v>0</v>
      </c>
      <c r="X78" s="3">
        <f>p!X78^2</f>
        <v>0</v>
      </c>
      <c r="Y78" s="3">
        <f>p!Y78^2</f>
        <v>0</v>
      </c>
      <c r="Z78" s="3">
        <f>p!Z78^2</f>
        <v>0</v>
      </c>
      <c r="AA78" s="3">
        <f>p!AA78^2</f>
        <v>0</v>
      </c>
    </row>
    <row r="79" spans="1:27" x14ac:dyDescent="0.25">
      <c r="A79" t="s">
        <v>101</v>
      </c>
      <c r="B79" s="3">
        <f>p!B79^2</f>
        <v>0.13223140495867769</v>
      </c>
      <c r="C79" s="3">
        <f>p!C79^2</f>
        <v>0</v>
      </c>
      <c r="D79" s="3">
        <f>p!D79^2</f>
        <v>0</v>
      </c>
      <c r="E79" s="3">
        <f>p!E79^2</f>
        <v>0</v>
      </c>
      <c r="F79" s="3">
        <f>p!F79^2</f>
        <v>0</v>
      </c>
      <c r="G79" s="3">
        <f>p!G79^2</f>
        <v>7.4380165289256187E-2</v>
      </c>
      <c r="H79" s="3">
        <f>p!H79^2</f>
        <v>0</v>
      </c>
      <c r="I79" s="3">
        <f>p!I79^2</f>
        <v>0</v>
      </c>
      <c r="J79" s="3">
        <f>p!J79^2</f>
        <v>3.3057851239669422E-2</v>
      </c>
      <c r="K79" s="3">
        <f>p!K79^2</f>
        <v>0</v>
      </c>
      <c r="L79" s="3">
        <f>p!L79^2</f>
        <v>0</v>
      </c>
      <c r="M79" s="3">
        <f>p!M79^2</f>
        <v>0</v>
      </c>
      <c r="N79" s="3">
        <f>p!N79^2</f>
        <v>0</v>
      </c>
      <c r="O79" s="3">
        <f>p!O79^2</f>
        <v>0</v>
      </c>
      <c r="P79" s="3">
        <f>p!P79^2</f>
        <v>2.0661157024793389E-3</v>
      </c>
      <c r="Q79" s="3">
        <f>p!Q79^2</f>
        <v>1.8595041322314047E-2</v>
      </c>
      <c r="R79" s="3">
        <f>p!R79^2</f>
        <v>0</v>
      </c>
      <c r="S79" s="3">
        <f>p!S79^2</f>
        <v>0</v>
      </c>
      <c r="T79" s="3">
        <f>p!T79^2</f>
        <v>0</v>
      </c>
      <c r="U79" s="3">
        <f>p!U79^2</f>
        <v>0</v>
      </c>
      <c r="V79" s="3">
        <f>p!V79^2</f>
        <v>0</v>
      </c>
      <c r="W79" s="3">
        <f>p!W79^2</f>
        <v>0</v>
      </c>
      <c r="X79" s="3">
        <f>p!X79^2</f>
        <v>0</v>
      </c>
      <c r="Y79" s="3">
        <f>p!Y79^2</f>
        <v>0</v>
      </c>
      <c r="Z79" s="3">
        <f>p!Z79^2</f>
        <v>0</v>
      </c>
      <c r="AA79" s="3">
        <f>p!AA79^2</f>
        <v>0</v>
      </c>
    </row>
    <row r="80" spans="1:27" x14ac:dyDescent="0.25">
      <c r="A80" t="s">
        <v>103</v>
      </c>
      <c r="B80" s="3">
        <f>p!B80^2</f>
        <v>8.8581314878892758E-3</v>
      </c>
      <c r="C80" s="3">
        <f>p!C80^2</f>
        <v>0</v>
      </c>
      <c r="D80" s="3">
        <f>p!D80^2</f>
        <v>0</v>
      </c>
      <c r="E80" s="3">
        <f>p!E80^2</f>
        <v>0</v>
      </c>
      <c r="F80" s="3">
        <f>p!F80^2</f>
        <v>0</v>
      </c>
      <c r="G80" s="3">
        <f>p!G80^2</f>
        <v>3.4602076124567475E-3</v>
      </c>
      <c r="H80" s="3">
        <f>p!H80^2</f>
        <v>0</v>
      </c>
      <c r="I80" s="3">
        <f>p!I80^2</f>
        <v>0</v>
      </c>
      <c r="J80" s="3">
        <f>p!J80^2</f>
        <v>0.51501730103806231</v>
      </c>
      <c r="K80" s="3">
        <f>p!K80^2</f>
        <v>0</v>
      </c>
      <c r="L80" s="3">
        <f>p!L80^2</f>
        <v>0</v>
      </c>
      <c r="M80" s="3">
        <f>p!M80^2</f>
        <v>0</v>
      </c>
      <c r="N80" s="3">
        <f>p!N80^2</f>
        <v>0</v>
      </c>
      <c r="O80" s="3">
        <f>p!O80^2</f>
        <v>1.3840830449826994E-4</v>
      </c>
      <c r="P80" s="3">
        <f>p!P80^2</f>
        <v>0</v>
      </c>
      <c r="Q80" s="3">
        <f>p!Q80^2</f>
        <v>1.384083044982699E-2</v>
      </c>
      <c r="R80" s="3">
        <f>p!R80^2</f>
        <v>0</v>
      </c>
      <c r="S80" s="3">
        <f>p!S80^2</f>
        <v>0</v>
      </c>
      <c r="T80" s="3">
        <f>p!T80^2</f>
        <v>0</v>
      </c>
      <c r="U80" s="3">
        <f>p!U80^2</f>
        <v>0</v>
      </c>
      <c r="V80" s="3">
        <f>p!V80^2</f>
        <v>0</v>
      </c>
      <c r="W80" s="3">
        <f>p!W80^2</f>
        <v>0</v>
      </c>
      <c r="X80" s="3">
        <f>p!X80^2</f>
        <v>0</v>
      </c>
      <c r="Y80" s="3">
        <f>p!Y80^2</f>
        <v>0</v>
      </c>
      <c r="Z80" s="3">
        <f>p!Z80^2</f>
        <v>0</v>
      </c>
      <c r="AA80" s="3">
        <f>p!AA80^2</f>
        <v>0</v>
      </c>
    </row>
    <row r="81" spans="1:27" x14ac:dyDescent="0.25">
      <c r="A81" t="s">
        <v>104</v>
      </c>
      <c r="B81" s="3">
        <f>p!B81^2</f>
        <v>0.23305588585017839</v>
      </c>
      <c r="C81" s="3">
        <f>p!C81^2</f>
        <v>0</v>
      </c>
      <c r="D81" s="3">
        <f>p!D81^2</f>
        <v>0</v>
      </c>
      <c r="E81" s="3">
        <f>p!E81^2</f>
        <v>0</v>
      </c>
      <c r="F81" s="3">
        <f>p!F81^2</f>
        <v>0</v>
      </c>
      <c r="G81" s="3">
        <f>p!G81^2</f>
        <v>1.9024970273483946E-2</v>
      </c>
      <c r="H81" s="3">
        <f>p!H81^2</f>
        <v>0</v>
      </c>
      <c r="I81" s="3">
        <f>p!I81^2</f>
        <v>0</v>
      </c>
      <c r="J81" s="3">
        <f>p!J81^2</f>
        <v>1.1890606420927466E-3</v>
      </c>
      <c r="K81" s="3">
        <f>p!K81^2</f>
        <v>0</v>
      </c>
      <c r="L81" s="3">
        <f>p!L81^2</f>
        <v>0</v>
      </c>
      <c r="M81" s="3">
        <f>p!M81^2</f>
        <v>0</v>
      </c>
      <c r="N81" s="3">
        <f>p!N81^2</f>
        <v>0</v>
      </c>
      <c r="O81" s="3">
        <f>p!O81^2</f>
        <v>1.1890606420927466E-3</v>
      </c>
      <c r="P81" s="3">
        <f>p!P81^2</f>
        <v>0</v>
      </c>
      <c r="Q81" s="3">
        <f>p!Q81^2</f>
        <v>9.6313912009512462E-2</v>
      </c>
      <c r="R81" s="3">
        <f>p!R81^2</f>
        <v>0</v>
      </c>
      <c r="S81" s="3">
        <f>p!S81^2</f>
        <v>0</v>
      </c>
      <c r="T81" s="3">
        <f>p!T81^2</f>
        <v>0</v>
      </c>
      <c r="U81" s="3">
        <f>p!U81^2</f>
        <v>0</v>
      </c>
      <c r="V81" s="3">
        <f>p!V81^2</f>
        <v>0</v>
      </c>
      <c r="W81" s="3">
        <f>p!W81^2</f>
        <v>0</v>
      </c>
      <c r="X81" s="3">
        <f>p!X81^2</f>
        <v>0</v>
      </c>
      <c r="Y81" s="3">
        <f>p!Y81^2</f>
        <v>0</v>
      </c>
      <c r="Z81" s="3">
        <f>p!Z81^2</f>
        <v>0</v>
      </c>
      <c r="AA81" s="3">
        <f>p!AA81^2</f>
        <v>0</v>
      </c>
    </row>
    <row r="82" spans="1:27" x14ac:dyDescent="0.25">
      <c r="A82" t="s">
        <v>105</v>
      </c>
      <c r="B82" s="3">
        <f>p!B82^2</f>
        <v>0.36634349030470914</v>
      </c>
      <c r="C82" s="3">
        <f>p!C82^2</f>
        <v>0</v>
      </c>
      <c r="D82" s="3">
        <f>p!D82^2</f>
        <v>0</v>
      </c>
      <c r="E82" s="3">
        <f>p!E82^2</f>
        <v>0</v>
      </c>
      <c r="F82" s="3">
        <f>p!F82^2</f>
        <v>0</v>
      </c>
      <c r="G82" s="3">
        <f>p!G82^2</f>
        <v>2.7700831024930752E-3</v>
      </c>
      <c r="H82" s="3">
        <f>p!H82^2</f>
        <v>0</v>
      </c>
      <c r="I82" s="3">
        <f>p!I82^2</f>
        <v>0</v>
      </c>
      <c r="J82" s="3">
        <f>p!J82^2</f>
        <v>8.3795013850415517E-2</v>
      </c>
      <c r="K82" s="3">
        <f>p!K82^2</f>
        <v>0</v>
      </c>
      <c r="L82" s="3">
        <f>p!L82^2</f>
        <v>0</v>
      </c>
      <c r="M82" s="3">
        <f>p!M82^2</f>
        <v>0</v>
      </c>
      <c r="N82" s="3">
        <f>p!N82^2</f>
        <v>0</v>
      </c>
      <c r="O82" s="3">
        <f>p!O82^2</f>
        <v>0</v>
      </c>
      <c r="P82" s="3">
        <f>p!P82^2</f>
        <v>0</v>
      </c>
      <c r="Q82" s="3">
        <f>p!Q82^2</f>
        <v>6.9252077562326881E-4</v>
      </c>
      <c r="R82" s="3">
        <f>p!R82^2</f>
        <v>0</v>
      </c>
      <c r="S82" s="3">
        <f>p!S82^2</f>
        <v>0</v>
      </c>
      <c r="T82" s="3">
        <f>p!T82^2</f>
        <v>0</v>
      </c>
      <c r="U82" s="3">
        <f>p!U82^2</f>
        <v>0</v>
      </c>
      <c r="V82" s="3">
        <f>p!V82^2</f>
        <v>0</v>
      </c>
      <c r="W82" s="3">
        <f>p!W82^2</f>
        <v>0</v>
      </c>
      <c r="X82" s="3">
        <f>p!X82^2</f>
        <v>0</v>
      </c>
      <c r="Y82" s="3">
        <f>p!Y82^2</f>
        <v>0</v>
      </c>
      <c r="Z82" s="3">
        <f>p!Z82^2</f>
        <v>6.9252077562326881E-4</v>
      </c>
      <c r="AA82" s="3">
        <f>p!AA82^2</f>
        <v>0</v>
      </c>
    </row>
    <row r="83" spans="1:27" x14ac:dyDescent="0.25">
      <c r="A83" t="s">
        <v>107</v>
      </c>
      <c r="B83" s="3">
        <f>p!B83^2</f>
        <v>1.9024970273483946E-2</v>
      </c>
      <c r="C83" s="3">
        <f>p!C83^2</f>
        <v>0</v>
      </c>
      <c r="D83" s="3">
        <f>p!D83^2</f>
        <v>0</v>
      </c>
      <c r="E83" s="3">
        <f>p!E83^2</f>
        <v>0</v>
      </c>
      <c r="F83" s="3">
        <f>p!F83^2</f>
        <v>0</v>
      </c>
      <c r="G83" s="3">
        <f>p!G83^2</f>
        <v>1.3211784912141631E-4</v>
      </c>
      <c r="H83" s="3">
        <f>p!H83^2</f>
        <v>0</v>
      </c>
      <c r="I83" s="3">
        <f>p!I83^2</f>
        <v>0</v>
      </c>
      <c r="J83" s="3">
        <f>p!J83^2</f>
        <v>0.6290130796670631</v>
      </c>
      <c r="K83" s="3">
        <f>p!K83^2</f>
        <v>0</v>
      </c>
      <c r="L83" s="3">
        <f>p!L83^2</f>
        <v>0</v>
      </c>
      <c r="M83" s="3">
        <f>p!M83^2</f>
        <v>0</v>
      </c>
      <c r="N83" s="3">
        <f>p!N83^2</f>
        <v>0</v>
      </c>
      <c r="O83" s="3">
        <f>p!O83^2</f>
        <v>0</v>
      </c>
      <c r="P83" s="3">
        <f>p!P83^2</f>
        <v>0</v>
      </c>
      <c r="Q83" s="3">
        <f>p!Q83^2</f>
        <v>2.9726516052318666E-4</v>
      </c>
      <c r="R83" s="3">
        <f>p!R83^2</f>
        <v>0</v>
      </c>
      <c r="S83" s="3">
        <f>p!S83^2</f>
        <v>0</v>
      </c>
      <c r="T83" s="3">
        <f>p!T83^2</f>
        <v>0</v>
      </c>
      <c r="U83" s="3">
        <f>p!U83^2</f>
        <v>0</v>
      </c>
      <c r="V83" s="3">
        <f>p!V83^2</f>
        <v>0</v>
      </c>
      <c r="W83" s="3">
        <f>p!W83^2</f>
        <v>0</v>
      </c>
      <c r="X83" s="3">
        <f>p!X83^2</f>
        <v>0</v>
      </c>
      <c r="Y83" s="3">
        <f>p!Y83^2</f>
        <v>0</v>
      </c>
      <c r="Z83" s="3">
        <f>p!Z83^2</f>
        <v>2.9726516052318666E-4</v>
      </c>
      <c r="AA83" s="3">
        <f>p!AA83^2</f>
        <v>5.2847139648566524E-4</v>
      </c>
    </row>
    <row r="84" spans="1:27" x14ac:dyDescent="0.25">
      <c r="A84" t="s">
        <v>108</v>
      </c>
      <c r="B84" s="3">
        <f>p!B84^2</f>
        <v>0.32111111111111107</v>
      </c>
      <c r="C84" s="3">
        <f>p!C84^2</f>
        <v>0</v>
      </c>
      <c r="D84" s="3">
        <f>p!D84^2</f>
        <v>0</v>
      </c>
      <c r="E84" s="3">
        <f>p!E84^2</f>
        <v>0</v>
      </c>
      <c r="F84" s="3">
        <f>p!F84^2</f>
        <v>0</v>
      </c>
      <c r="G84" s="3">
        <f>p!G84^2</f>
        <v>0</v>
      </c>
      <c r="H84" s="3">
        <f>p!H84^2</f>
        <v>0</v>
      </c>
      <c r="I84" s="3">
        <f>p!I84^2</f>
        <v>0</v>
      </c>
      <c r="J84" s="3">
        <f>p!J84^2</f>
        <v>0.1111111111111111</v>
      </c>
      <c r="K84" s="3">
        <f>p!K84^2</f>
        <v>0</v>
      </c>
      <c r="L84" s="3">
        <f>p!L84^2</f>
        <v>0</v>
      </c>
      <c r="M84" s="3">
        <f>p!M84^2</f>
        <v>0</v>
      </c>
      <c r="N84" s="3">
        <f>p!N84^2</f>
        <v>0</v>
      </c>
      <c r="O84" s="3">
        <f>p!O84^2</f>
        <v>0</v>
      </c>
      <c r="P84" s="3">
        <f>p!P84^2</f>
        <v>1.1111111111111111E-3</v>
      </c>
      <c r="Q84" s="3">
        <f>p!Q84^2</f>
        <v>4.4444444444444444E-3</v>
      </c>
      <c r="R84" s="3">
        <f>p!R84^2</f>
        <v>0</v>
      </c>
      <c r="S84" s="3">
        <f>p!S84^2</f>
        <v>0</v>
      </c>
      <c r="T84" s="3">
        <f>p!T84^2</f>
        <v>0</v>
      </c>
      <c r="U84" s="3">
        <f>p!U84^2</f>
        <v>0</v>
      </c>
      <c r="V84" s="3">
        <f>p!V84^2</f>
        <v>0</v>
      </c>
      <c r="W84" s="3">
        <f>p!W84^2</f>
        <v>0</v>
      </c>
      <c r="X84" s="3">
        <f>p!X84^2</f>
        <v>0</v>
      </c>
      <c r="Y84" s="3">
        <f>p!Y84^2</f>
        <v>0</v>
      </c>
      <c r="Z84" s="3">
        <f>p!Z84^2</f>
        <v>0</v>
      </c>
      <c r="AA84" s="3">
        <f>p!AA84^2</f>
        <v>0</v>
      </c>
    </row>
    <row r="85" spans="1:27" x14ac:dyDescent="0.25">
      <c r="A85" t="s">
        <v>109</v>
      </c>
      <c r="B85" s="3">
        <f>p!B85^2</f>
        <v>0.44444444444444442</v>
      </c>
      <c r="C85" s="3">
        <f>p!C85^2</f>
        <v>0</v>
      </c>
      <c r="D85" s="3">
        <f>p!D85^2</f>
        <v>0</v>
      </c>
      <c r="E85" s="3">
        <f>p!E85^2</f>
        <v>0</v>
      </c>
      <c r="F85" s="3">
        <f>p!F85^2</f>
        <v>0</v>
      </c>
      <c r="G85" s="3">
        <f>p!G85^2</f>
        <v>0</v>
      </c>
      <c r="H85" s="3">
        <f>p!H85^2</f>
        <v>0</v>
      </c>
      <c r="I85" s="3">
        <f>p!I85^2</f>
        <v>0</v>
      </c>
      <c r="J85" s="3">
        <f>p!J85^2</f>
        <v>6.9444444444444441E-3</v>
      </c>
      <c r="K85" s="3">
        <f>p!K85^2</f>
        <v>0</v>
      </c>
      <c r="L85" s="3">
        <f>p!L85^2</f>
        <v>0</v>
      </c>
      <c r="M85" s="3">
        <f>p!M85^2</f>
        <v>0</v>
      </c>
      <c r="N85" s="3">
        <f>p!N85^2</f>
        <v>0</v>
      </c>
      <c r="O85" s="3">
        <f>p!O85^2</f>
        <v>0</v>
      </c>
      <c r="P85" s="3">
        <f>p!P85^2</f>
        <v>6.9444444444444441E-3</v>
      </c>
      <c r="Q85" s="3">
        <f>p!Q85^2</f>
        <v>2.7777777777777776E-2</v>
      </c>
      <c r="R85" s="3">
        <f>p!R85^2</f>
        <v>0</v>
      </c>
      <c r="S85" s="3">
        <f>p!S85^2</f>
        <v>0</v>
      </c>
      <c r="T85" s="3">
        <f>p!T85^2</f>
        <v>0</v>
      </c>
      <c r="U85" s="3">
        <f>p!U85^2</f>
        <v>0</v>
      </c>
      <c r="V85" s="3">
        <f>p!V85^2</f>
        <v>0</v>
      </c>
      <c r="W85" s="3">
        <f>p!W85^2</f>
        <v>0</v>
      </c>
      <c r="X85" s="3">
        <f>p!X85^2</f>
        <v>0</v>
      </c>
      <c r="Y85" s="3">
        <f>p!Y85^2</f>
        <v>0</v>
      </c>
      <c r="Z85" s="3">
        <f>p!Z85^2</f>
        <v>0</v>
      </c>
      <c r="AA85" s="3">
        <f>p!AA85^2</f>
        <v>0</v>
      </c>
    </row>
    <row r="86" spans="1:27" x14ac:dyDescent="0.25">
      <c r="A86" t="s">
        <v>110</v>
      </c>
      <c r="B86" s="3">
        <f>p!B86^2</f>
        <v>0</v>
      </c>
      <c r="C86" s="3">
        <f>p!C86^2</f>
        <v>0</v>
      </c>
      <c r="D86" s="3">
        <f>p!D86^2</f>
        <v>0</v>
      </c>
      <c r="E86" s="3">
        <f>p!E86^2</f>
        <v>0</v>
      </c>
      <c r="F86" s="3">
        <f>p!F86^2</f>
        <v>2.0408163265306121E-2</v>
      </c>
      <c r="G86" s="3">
        <f>p!G86^2</f>
        <v>0</v>
      </c>
      <c r="H86" s="3">
        <f>p!H86^2</f>
        <v>0</v>
      </c>
      <c r="I86" s="3">
        <f>p!I86^2</f>
        <v>0</v>
      </c>
      <c r="J86" s="3">
        <f>p!J86^2</f>
        <v>0</v>
      </c>
      <c r="K86" s="3">
        <f>p!K86^2</f>
        <v>0</v>
      </c>
      <c r="L86" s="3">
        <f>p!L86^2</f>
        <v>0</v>
      </c>
      <c r="M86" s="3">
        <f>p!M86^2</f>
        <v>0</v>
      </c>
      <c r="N86" s="3">
        <f>p!N86^2</f>
        <v>0</v>
      </c>
      <c r="O86" s="3">
        <f>p!O86^2</f>
        <v>0</v>
      </c>
      <c r="P86" s="3">
        <f>p!P86^2</f>
        <v>0</v>
      </c>
      <c r="Q86" s="3">
        <f>p!Q86^2</f>
        <v>0.73469387755102034</v>
      </c>
      <c r="R86" s="3">
        <f>p!R86^2</f>
        <v>0</v>
      </c>
      <c r="S86" s="3">
        <f>p!S86^2</f>
        <v>0</v>
      </c>
      <c r="T86" s="3">
        <f>p!T86^2</f>
        <v>0</v>
      </c>
      <c r="U86" s="3">
        <f>p!U86^2</f>
        <v>0</v>
      </c>
      <c r="V86" s="3">
        <f>p!V86^2</f>
        <v>0</v>
      </c>
      <c r="W86" s="3">
        <f>p!W86^2</f>
        <v>0</v>
      </c>
      <c r="X86" s="3">
        <f>p!X86^2</f>
        <v>0</v>
      </c>
      <c r="Y86" s="3">
        <f>p!Y86^2</f>
        <v>0</v>
      </c>
      <c r="Z86" s="3">
        <f>p!Z86^2</f>
        <v>0</v>
      </c>
      <c r="AA86" s="3">
        <f>p!AA86^2</f>
        <v>0</v>
      </c>
    </row>
    <row r="87" spans="1:27" x14ac:dyDescent="0.25">
      <c r="A87" t="s">
        <v>113</v>
      </c>
      <c r="B87" s="3">
        <f>p!B87^2</f>
        <v>1.44E-2</v>
      </c>
      <c r="C87" s="3">
        <f>p!C87^2</f>
        <v>0</v>
      </c>
      <c r="D87" s="3">
        <f>p!D87^2</f>
        <v>0</v>
      </c>
      <c r="E87" s="3">
        <f>p!E87^2</f>
        <v>0</v>
      </c>
      <c r="F87" s="3">
        <f>p!F87^2</f>
        <v>0</v>
      </c>
      <c r="G87" s="3">
        <f>p!G87^2</f>
        <v>1.6000000000000001E-3</v>
      </c>
      <c r="H87" s="3">
        <f>p!H87^2</f>
        <v>0</v>
      </c>
      <c r="I87" s="3">
        <f>p!I87^2</f>
        <v>0</v>
      </c>
      <c r="J87" s="3">
        <f>p!J87^2</f>
        <v>0.36</v>
      </c>
      <c r="K87" s="3">
        <f>p!K87^2</f>
        <v>0</v>
      </c>
      <c r="L87" s="3">
        <f>p!L87^2</f>
        <v>0</v>
      </c>
      <c r="M87" s="3">
        <f>p!M87^2</f>
        <v>0</v>
      </c>
      <c r="N87" s="3">
        <f>p!N87^2</f>
        <v>0</v>
      </c>
      <c r="O87" s="3">
        <f>p!O87^2</f>
        <v>0</v>
      </c>
      <c r="P87" s="3">
        <f>p!P87^2</f>
        <v>1.6000000000000001E-3</v>
      </c>
      <c r="Q87" s="3">
        <f>p!Q87^2</f>
        <v>4.0000000000000008E-2</v>
      </c>
      <c r="R87" s="3">
        <f>p!R87^2</f>
        <v>0</v>
      </c>
      <c r="S87" s="3">
        <f>p!S87^2</f>
        <v>0</v>
      </c>
      <c r="T87" s="3">
        <f>p!T87^2</f>
        <v>0</v>
      </c>
      <c r="U87" s="3">
        <f>p!U87^2</f>
        <v>0</v>
      </c>
      <c r="V87" s="3">
        <f>p!V87^2</f>
        <v>0</v>
      </c>
      <c r="W87" s="3">
        <f>p!W87^2</f>
        <v>0</v>
      </c>
      <c r="X87" s="3">
        <f>p!X87^2</f>
        <v>0</v>
      </c>
      <c r="Y87" s="3">
        <f>p!Y87^2</f>
        <v>0</v>
      </c>
      <c r="Z87" s="3">
        <f>p!Z87^2</f>
        <v>0</v>
      </c>
      <c r="AA87" s="3">
        <f>p!AA87^2</f>
        <v>0</v>
      </c>
    </row>
    <row r="88" spans="1:27" x14ac:dyDescent="0.25">
      <c r="A88" t="s">
        <v>114</v>
      </c>
      <c r="B88" s="3">
        <f>p!B88^2</f>
        <v>0.36634349030470914</v>
      </c>
      <c r="C88" s="3">
        <f>p!C88^2</f>
        <v>0</v>
      </c>
      <c r="D88" s="3">
        <f>p!D88^2</f>
        <v>0</v>
      </c>
      <c r="E88" s="3">
        <f>p!E88^2</f>
        <v>0</v>
      </c>
      <c r="F88" s="3">
        <f>p!F88^2</f>
        <v>0</v>
      </c>
      <c r="G88" s="3">
        <f>p!G88^2</f>
        <v>6.9252077562326881E-4</v>
      </c>
      <c r="H88" s="3">
        <f>p!H88^2</f>
        <v>0</v>
      </c>
      <c r="I88" s="3">
        <f>p!I88^2</f>
        <v>0</v>
      </c>
      <c r="J88" s="3">
        <f>p!J88^2</f>
        <v>5.6094182825484756E-2</v>
      </c>
      <c r="K88" s="3">
        <f>p!K88^2</f>
        <v>0</v>
      </c>
      <c r="L88" s="3">
        <f>p!L88^2</f>
        <v>0</v>
      </c>
      <c r="M88" s="3">
        <f>p!M88^2</f>
        <v>0</v>
      </c>
      <c r="N88" s="3">
        <f>p!N88^2</f>
        <v>0</v>
      </c>
      <c r="O88" s="3">
        <f>p!O88^2</f>
        <v>0</v>
      </c>
      <c r="P88" s="3">
        <f>p!P88^2</f>
        <v>6.9252077562326881E-4</v>
      </c>
      <c r="Q88" s="3">
        <f>p!Q88^2</f>
        <v>6.2326869806094195E-3</v>
      </c>
      <c r="R88" s="3">
        <f>p!R88^2</f>
        <v>0</v>
      </c>
      <c r="S88" s="3">
        <f>p!S88^2</f>
        <v>0</v>
      </c>
      <c r="T88" s="3">
        <f>p!T88^2</f>
        <v>0</v>
      </c>
      <c r="U88" s="3">
        <f>p!U88^2</f>
        <v>0</v>
      </c>
      <c r="V88" s="3">
        <f>p!V88^2</f>
        <v>0</v>
      </c>
      <c r="W88" s="3">
        <f>p!W88^2</f>
        <v>0</v>
      </c>
      <c r="X88" s="3">
        <f>p!X88^2</f>
        <v>0</v>
      </c>
      <c r="Y88" s="3">
        <f>p!Y88^2</f>
        <v>0</v>
      </c>
      <c r="Z88" s="3">
        <f>p!Z88^2</f>
        <v>0</v>
      </c>
      <c r="AA88" s="3">
        <f>p!AA88^2</f>
        <v>6.9252077562326881E-4</v>
      </c>
    </row>
    <row r="89" spans="1:27" x14ac:dyDescent="0.25">
      <c r="A89" t="s">
        <v>134</v>
      </c>
      <c r="B89" s="3">
        <f>p!B89^2</f>
        <v>0</v>
      </c>
      <c r="C89" s="3">
        <f>p!C89^2</f>
        <v>0</v>
      </c>
      <c r="D89" s="3">
        <f>p!D89^2</f>
        <v>0</v>
      </c>
      <c r="E89" s="3">
        <f>p!E89^2</f>
        <v>0</v>
      </c>
      <c r="F89" s="3">
        <f>p!F89^2</f>
        <v>1.7361111111111114E-3</v>
      </c>
      <c r="G89" s="3">
        <f>p!G89^2</f>
        <v>0</v>
      </c>
      <c r="H89" s="3">
        <f>p!H89^2</f>
        <v>0</v>
      </c>
      <c r="I89" s="3">
        <f>p!I89^2</f>
        <v>0</v>
      </c>
      <c r="J89" s="3">
        <f>p!J89^2</f>
        <v>0.69444444444444431</v>
      </c>
      <c r="K89" s="3">
        <f>p!K89^2</f>
        <v>0</v>
      </c>
      <c r="L89" s="3">
        <f>p!L89^2</f>
        <v>0</v>
      </c>
      <c r="M89" s="3">
        <f>p!M89^2</f>
        <v>0</v>
      </c>
      <c r="N89" s="3">
        <f>p!N89^2</f>
        <v>0</v>
      </c>
      <c r="O89" s="3">
        <f>p!O89^2</f>
        <v>0</v>
      </c>
      <c r="P89" s="3">
        <f>p!P89^2</f>
        <v>0</v>
      </c>
      <c r="Q89" s="3">
        <f>p!Q89^2</f>
        <v>1.5625E-2</v>
      </c>
      <c r="R89" s="3">
        <f>p!R89^2</f>
        <v>0</v>
      </c>
      <c r="S89" s="3">
        <f>p!S89^2</f>
        <v>0</v>
      </c>
      <c r="T89" s="3">
        <f>p!T89^2</f>
        <v>0</v>
      </c>
      <c r="U89" s="3">
        <f>p!U89^2</f>
        <v>0</v>
      </c>
      <c r="V89" s="3">
        <f>p!V89^2</f>
        <v>0</v>
      </c>
      <c r="W89" s="3">
        <f>p!W89^2</f>
        <v>0</v>
      </c>
      <c r="X89" s="3">
        <f>p!X89^2</f>
        <v>0</v>
      </c>
      <c r="Y89" s="3">
        <f>p!Y89^2</f>
        <v>0</v>
      </c>
      <c r="Z89" s="3">
        <f>p!Z89^2</f>
        <v>0</v>
      </c>
      <c r="AA89" s="3">
        <f>p!AA89^2</f>
        <v>0</v>
      </c>
    </row>
    <row r="90" spans="1:27" x14ac:dyDescent="0.25">
      <c r="A90" t="s">
        <v>135</v>
      </c>
      <c r="B90" s="3">
        <f>p!B90^2</f>
        <v>0</v>
      </c>
      <c r="C90" s="3">
        <f>p!C90^2</f>
        <v>0</v>
      </c>
      <c r="D90" s="3">
        <f>p!D90^2</f>
        <v>0</v>
      </c>
      <c r="E90" s="3">
        <f>p!E90^2</f>
        <v>0</v>
      </c>
      <c r="F90" s="3">
        <f>p!F90^2</f>
        <v>1.6391024275106952E-5</v>
      </c>
      <c r="G90" s="3">
        <f>p!G90^2</f>
        <v>1.6391024275106952E-5</v>
      </c>
      <c r="H90" s="3">
        <f>p!H90^2</f>
        <v>0</v>
      </c>
      <c r="I90" s="3">
        <f>p!I90^2</f>
        <v>0</v>
      </c>
      <c r="J90" s="3">
        <f>p!J90^2</f>
        <v>0.94412299824616031</v>
      </c>
      <c r="K90" s="3">
        <f>p!K90^2</f>
        <v>1.6391024275106952E-5</v>
      </c>
      <c r="L90" s="3">
        <f>p!L90^2</f>
        <v>0</v>
      </c>
      <c r="M90" s="3">
        <f>p!M90^2</f>
        <v>0</v>
      </c>
      <c r="N90" s="3">
        <f>p!N90^2</f>
        <v>0</v>
      </c>
      <c r="O90" s="3">
        <f>p!O90^2</f>
        <v>0</v>
      </c>
      <c r="P90" s="3">
        <f>p!P90^2</f>
        <v>1.6391024275106952E-5</v>
      </c>
      <c r="Q90" s="3">
        <f>p!Q90^2</f>
        <v>1.4751921847596254E-4</v>
      </c>
      <c r="R90" s="3">
        <f>p!R90^2</f>
        <v>0</v>
      </c>
      <c r="S90" s="3">
        <f>p!S90^2</f>
        <v>0</v>
      </c>
      <c r="T90" s="3">
        <f>p!T90^2</f>
        <v>0</v>
      </c>
      <c r="U90" s="3">
        <f>p!U90^2</f>
        <v>0</v>
      </c>
      <c r="V90" s="3">
        <f>p!V90^2</f>
        <v>0</v>
      </c>
      <c r="W90" s="3">
        <f>p!W90^2</f>
        <v>0</v>
      </c>
      <c r="X90" s="3">
        <f>p!X90^2</f>
        <v>0</v>
      </c>
      <c r="Y90" s="3">
        <f>p!Y90^2</f>
        <v>0</v>
      </c>
      <c r="Z90" s="3">
        <f>p!Z90^2</f>
        <v>0</v>
      </c>
      <c r="AA90" s="3">
        <f>p!AA90^2</f>
        <v>0</v>
      </c>
    </row>
    <row r="91" spans="1:27" x14ac:dyDescent="0.25">
      <c r="A91" s="7" t="s">
        <v>137</v>
      </c>
      <c r="B91" s="3">
        <f>p!B91^2</f>
        <v>0</v>
      </c>
      <c r="C91" s="3">
        <f>p!C91^2</f>
        <v>0</v>
      </c>
      <c r="D91" s="3">
        <f>p!D91^2</f>
        <v>0</v>
      </c>
      <c r="E91" s="3">
        <f>p!E91^2</f>
        <v>0</v>
      </c>
      <c r="F91" s="3">
        <f>p!F91^2</f>
        <v>0</v>
      </c>
      <c r="G91" s="3">
        <f>p!G91^2</f>
        <v>4.5110269547783471E-3</v>
      </c>
      <c r="H91" s="3">
        <f>p!H91^2</f>
        <v>0</v>
      </c>
      <c r="I91" s="3">
        <f>p!I91^2</f>
        <v>0</v>
      </c>
      <c r="J91" s="3">
        <f>p!J91^2</f>
        <v>0.67386945867676551</v>
      </c>
      <c r="K91" s="3">
        <f>p!K91^2</f>
        <v>0</v>
      </c>
      <c r="L91" s="3">
        <f>p!L91^2</f>
        <v>0</v>
      </c>
      <c r="M91" s="3">
        <f>p!M91^2</f>
        <v>0</v>
      </c>
      <c r="N91" s="3">
        <f>p!N91^2</f>
        <v>0</v>
      </c>
      <c r="O91" s="3">
        <f>p!O91^2</f>
        <v>0</v>
      </c>
      <c r="P91" s="3">
        <f>p!P91^2</f>
        <v>0</v>
      </c>
      <c r="Q91" s="3">
        <f>p!Q91^2</f>
        <v>8.0196034751615075E-3</v>
      </c>
      <c r="R91" s="3">
        <f>p!R91^2</f>
        <v>0</v>
      </c>
      <c r="S91" s="3">
        <f>p!S91^2</f>
        <v>0</v>
      </c>
      <c r="T91" s="3">
        <f>p!T91^2</f>
        <v>0</v>
      </c>
      <c r="U91" s="3">
        <f>p!U91^2</f>
        <v>5.0122521719759422E-4</v>
      </c>
      <c r="V91" s="3">
        <f>p!V91^2</f>
        <v>0</v>
      </c>
      <c r="W91" s="3">
        <f>p!W91^2</f>
        <v>0</v>
      </c>
      <c r="X91" s="3">
        <f>p!X91^2</f>
        <v>0</v>
      </c>
      <c r="Y91" s="3">
        <f>p!Y91^2</f>
        <v>0</v>
      </c>
      <c r="Z91" s="3">
        <f>p!Z91^2</f>
        <v>0</v>
      </c>
      <c r="AA91" s="3">
        <f>p!AA91^2</f>
        <v>0</v>
      </c>
    </row>
    <row r="92" spans="1:27" x14ac:dyDescent="0.25">
      <c r="A92" s="7" t="s">
        <v>138</v>
      </c>
      <c r="B92" s="3">
        <f>p!B92^2</f>
        <v>0</v>
      </c>
      <c r="C92" s="3">
        <f>p!C92^2</f>
        <v>0</v>
      </c>
      <c r="D92" s="3">
        <f>p!D92^2</f>
        <v>0</v>
      </c>
      <c r="E92" s="3">
        <f>p!E92^2</f>
        <v>0</v>
      </c>
      <c r="F92" s="3">
        <f>p!F92^2</f>
        <v>0</v>
      </c>
      <c r="G92" s="3">
        <f>p!G92^2</f>
        <v>4.4321329639889211E-4</v>
      </c>
      <c r="H92" s="3">
        <f>p!H92^2</f>
        <v>0</v>
      </c>
      <c r="I92" s="3">
        <f>p!I92^2</f>
        <v>0</v>
      </c>
      <c r="J92" s="3">
        <f>p!J92^2</f>
        <v>0.64000000000000024</v>
      </c>
      <c r="K92" s="3">
        <f>p!K92^2</f>
        <v>0</v>
      </c>
      <c r="L92" s="3">
        <f>p!L92^2</f>
        <v>0</v>
      </c>
      <c r="M92" s="3">
        <f>p!M92^2</f>
        <v>0</v>
      </c>
      <c r="N92" s="3">
        <f>p!N92^2</f>
        <v>0</v>
      </c>
      <c r="O92" s="3">
        <f>p!O92^2</f>
        <v>0</v>
      </c>
      <c r="P92" s="3">
        <f>p!P92^2</f>
        <v>0</v>
      </c>
      <c r="Q92" s="3">
        <f>p!Q92^2</f>
        <v>3.2022160664819957E-2</v>
      </c>
      <c r="R92" s="3">
        <f>p!R92^2</f>
        <v>0</v>
      </c>
      <c r="S92" s="3">
        <f>p!S92^2</f>
        <v>0</v>
      </c>
      <c r="T92" s="3">
        <f>p!T92^2</f>
        <v>0</v>
      </c>
      <c r="U92" s="3">
        <f>p!U92^2</f>
        <v>0</v>
      </c>
      <c r="V92" s="3">
        <f>p!V92^2</f>
        <v>0</v>
      </c>
      <c r="W92" s="3">
        <f>p!W92^2</f>
        <v>0</v>
      </c>
      <c r="X92" s="3">
        <f>p!X92^2</f>
        <v>0</v>
      </c>
      <c r="Y92" s="3">
        <f>p!Y92^2</f>
        <v>0</v>
      </c>
      <c r="Z92" s="3">
        <f>p!Z92^2</f>
        <v>0</v>
      </c>
      <c r="AA92" s="3">
        <f>p!AA92^2</f>
        <v>0</v>
      </c>
    </row>
    <row r="93" spans="1:27" x14ac:dyDescent="0.25">
      <c r="A93" s="7" t="s">
        <v>139</v>
      </c>
      <c r="B93" s="3">
        <f>p!B93^2</f>
        <v>0</v>
      </c>
      <c r="C93" s="3">
        <f>p!C93^2</f>
        <v>0</v>
      </c>
      <c r="D93" s="3">
        <f>p!D93^2</f>
        <v>0</v>
      </c>
      <c r="E93" s="3">
        <f>p!E93^2</f>
        <v>0</v>
      </c>
      <c r="F93" s="3">
        <f>p!F93^2</f>
        <v>0</v>
      </c>
      <c r="G93" s="3">
        <f>p!G93^2</f>
        <v>2.366863905325443E-4</v>
      </c>
      <c r="H93" s="3">
        <f>p!H93^2</f>
        <v>0</v>
      </c>
      <c r="I93" s="3">
        <f>p!I93^2</f>
        <v>0</v>
      </c>
      <c r="J93" s="3">
        <f>p!J93^2</f>
        <v>0.50082840236686377</v>
      </c>
      <c r="K93" s="3">
        <f>p!K93^2</f>
        <v>0</v>
      </c>
      <c r="L93" s="3">
        <f>p!L93^2</f>
        <v>0</v>
      </c>
      <c r="M93" s="3">
        <f>p!M93^2</f>
        <v>0</v>
      </c>
      <c r="N93" s="3">
        <f>p!N93^2</f>
        <v>0</v>
      </c>
      <c r="O93" s="3">
        <f>p!O93^2</f>
        <v>0</v>
      </c>
      <c r="P93" s="3">
        <f>p!P93^2</f>
        <v>0</v>
      </c>
      <c r="Q93" s="3">
        <f>p!Q93^2</f>
        <v>7.6686390532544363E-2</v>
      </c>
      <c r="R93" s="3">
        <f>p!R93^2</f>
        <v>0</v>
      </c>
      <c r="S93" s="3">
        <f>p!S93^2</f>
        <v>0</v>
      </c>
      <c r="T93" s="3">
        <f>p!T93^2</f>
        <v>0</v>
      </c>
      <c r="U93" s="3">
        <f>p!U93^2</f>
        <v>0</v>
      </c>
      <c r="V93" s="3">
        <f>p!V93^2</f>
        <v>0</v>
      </c>
      <c r="W93" s="3">
        <f>p!W93^2</f>
        <v>0</v>
      </c>
      <c r="X93" s="3">
        <f>p!X93^2</f>
        <v>0</v>
      </c>
      <c r="Y93" s="3">
        <f>p!Y93^2</f>
        <v>0</v>
      </c>
      <c r="Z93" s="3">
        <f>p!Z93^2</f>
        <v>0</v>
      </c>
      <c r="AA93" s="3">
        <f>p!AA93^2</f>
        <v>0</v>
      </c>
    </row>
    <row r="94" spans="1:27" x14ac:dyDescent="0.25">
      <c r="A94" s="7" t="s">
        <v>140</v>
      </c>
      <c r="B94" s="3">
        <f>p!B94^2</f>
        <v>0</v>
      </c>
      <c r="C94" s="3">
        <f>p!C94^2</f>
        <v>0</v>
      </c>
      <c r="D94" s="3">
        <f>p!D94^2</f>
        <v>0</v>
      </c>
      <c r="E94" s="3">
        <f>p!E94^2</f>
        <v>0</v>
      </c>
      <c r="F94" s="3">
        <f>p!F94^2</f>
        <v>0</v>
      </c>
      <c r="G94" s="3">
        <f>p!G94^2</f>
        <v>0</v>
      </c>
      <c r="H94" s="3">
        <f>p!H94^2</f>
        <v>0</v>
      </c>
      <c r="I94" s="3">
        <f>p!I94^2</f>
        <v>0</v>
      </c>
      <c r="J94" s="3">
        <f>p!J94^2</f>
        <v>0.70063100137174206</v>
      </c>
      <c r="K94" s="3">
        <f>p!K94^2</f>
        <v>0</v>
      </c>
      <c r="L94" s="3">
        <f>p!L94^2</f>
        <v>0</v>
      </c>
      <c r="M94" s="3">
        <f>p!M94^2</f>
        <v>0</v>
      </c>
      <c r="N94" s="3">
        <f>p!N94^2</f>
        <v>0</v>
      </c>
      <c r="O94" s="3">
        <f>p!O94^2</f>
        <v>0</v>
      </c>
      <c r="P94" s="3">
        <f>p!P94^2</f>
        <v>0</v>
      </c>
      <c r="Q94" s="3">
        <f>p!Q94^2</f>
        <v>1.9807956104252403E-2</v>
      </c>
      <c r="R94" s="3">
        <f>p!R94^2</f>
        <v>0</v>
      </c>
      <c r="S94" s="3">
        <f>p!S94^2</f>
        <v>0</v>
      </c>
      <c r="T94" s="3">
        <f>p!T94^2</f>
        <v>0</v>
      </c>
      <c r="U94" s="3">
        <f>p!U94^2</f>
        <v>5.4869684499314136E-5</v>
      </c>
      <c r="V94" s="3">
        <f>p!V94^2</f>
        <v>0</v>
      </c>
      <c r="W94" s="3">
        <f>p!W94^2</f>
        <v>0</v>
      </c>
      <c r="X94" s="3">
        <f>p!X94^2</f>
        <v>0</v>
      </c>
      <c r="Y94" s="3">
        <f>p!Y94^2</f>
        <v>0</v>
      </c>
      <c r="Z94" s="3">
        <f>p!Z94^2</f>
        <v>0</v>
      </c>
      <c r="AA94" s="3">
        <f>p!AA94^2</f>
        <v>2.1947873799725654E-4</v>
      </c>
    </row>
    <row r="95" spans="1:27" x14ac:dyDescent="0.25">
      <c r="A95" s="7" t="s">
        <v>141</v>
      </c>
      <c r="B95" s="3">
        <f>p!B95^2</f>
        <v>0</v>
      </c>
      <c r="C95" s="3">
        <f>p!C95^2</f>
        <v>0</v>
      </c>
      <c r="D95" s="3">
        <f>p!D95^2</f>
        <v>0</v>
      </c>
      <c r="E95" s="3">
        <f>p!E95^2</f>
        <v>0</v>
      </c>
      <c r="F95" s="3">
        <f>p!F95^2</f>
        <v>0</v>
      </c>
      <c r="G95" s="3">
        <f>p!G95^2</f>
        <v>5.3539559785841778E-3</v>
      </c>
      <c r="H95" s="3">
        <f>p!H95^2</f>
        <v>0</v>
      </c>
      <c r="I95" s="3">
        <f>p!I95^2</f>
        <v>0</v>
      </c>
      <c r="J95" s="3">
        <f>p!J95^2</f>
        <v>0</v>
      </c>
      <c r="K95" s="3">
        <f>p!K95^2</f>
        <v>0</v>
      </c>
      <c r="L95" s="3">
        <f>p!L95^2</f>
        <v>0</v>
      </c>
      <c r="M95" s="3">
        <f>p!M95^2</f>
        <v>0</v>
      </c>
      <c r="N95" s="3">
        <f>p!N95^2</f>
        <v>0</v>
      </c>
      <c r="O95" s="3">
        <f>p!O95^2</f>
        <v>0</v>
      </c>
      <c r="P95" s="3">
        <f>p!P95^2</f>
        <v>0</v>
      </c>
      <c r="Q95" s="3">
        <f>p!Q95^2</f>
        <v>0.85901249256395007</v>
      </c>
      <c r="R95" s="3">
        <f>p!R95^2</f>
        <v>0</v>
      </c>
      <c r="S95" s="3">
        <f>p!S95^2</f>
        <v>0</v>
      </c>
      <c r="T95" s="3">
        <f>p!T95^2</f>
        <v>0</v>
      </c>
      <c r="U95" s="3">
        <f>p!U95^2</f>
        <v>0</v>
      </c>
      <c r="V95" s="3">
        <f>p!V95^2</f>
        <v>0</v>
      </c>
      <c r="W95" s="3">
        <f>p!W95^2</f>
        <v>0</v>
      </c>
      <c r="X95" s="3">
        <f>p!X95^2</f>
        <v>0</v>
      </c>
      <c r="Y95" s="3">
        <f>p!Y95^2</f>
        <v>0</v>
      </c>
      <c r="Z95" s="3">
        <f>p!Z95^2</f>
        <v>0</v>
      </c>
      <c r="AA95" s="3">
        <f>p!AA95^2</f>
        <v>0</v>
      </c>
    </row>
    <row r="96" spans="1:27" x14ac:dyDescent="0.25">
      <c r="A96" s="7" t="s">
        <v>142</v>
      </c>
      <c r="B96" s="3">
        <f>p!B96^2</f>
        <v>0</v>
      </c>
      <c r="C96" s="3">
        <f>p!C96^2</f>
        <v>0</v>
      </c>
      <c r="D96" s="3">
        <f>p!D96^2</f>
        <v>0</v>
      </c>
      <c r="E96" s="3">
        <f>p!E96^2</f>
        <v>0</v>
      </c>
      <c r="F96" s="3">
        <f>p!F96^2</f>
        <v>0</v>
      </c>
      <c r="G96" s="3">
        <f>p!G96^2</f>
        <v>2.4414062499999995E-4</v>
      </c>
      <c r="H96" s="3">
        <f>p!H96^2</f>
        <v>0</v>
      </c>
      <c r="I96" s="3">
        <f>p!I96^2</f>
        <v>0</v>
      </c>
      <c r="J96" s="3">
        <f>p!J96^2</f>
        <v>0.50543212890625</v>
      </c>
      <c r="K96" s="3">
        <f>p!K96^2</f>
        <v>0</v>
      </c>
      <c r="L96" s="3">
        <f>p!L96^2</f>
        <v>0</v>
      </c>
      <c r="M96" s="3">
        <f>p!M96^2</f>
        <v>0</v>
      </c>
      <c r="N96" s="3">
        <f>p!N96^2</f>
        <v>0</v>
      </c>
      <c r="O96" s="3">
        <f>p!O96^2</f>
        <v>0</v>
      </c>
      <c r="P96" s="3">
        <f>p!P96^2</f>
        <v>0</v>
      </c>
      <c r="Q96" s="3">
        <f>p!Q96^2</f>
        <v>7.476806640625E-2</v>
      </c>
      <c r="R96" s="3">
        <f>p!R96^2</f>
        <v>0</v>
      </c>
      <c r="S96" s="3">
        <f>p!S96^2</f>
        <v>0</v>
      </c>
      <c r="T96" s="3">
        <f>p!T96^2</f>
        <v>0</v>
      </c>
      <c r="U96" s="3">
        <f>p!U96^2</f>
        <v>0</v>
      </c>
      <c r="V96" s="3">
        <f>p!V96^2</f>
        <v>0</v>
      </c>
      <c r="W96" s="3">
        <f>p!W96^2</f>
        <v>0</v>
      </c>
      <c r="X96" s="3">
        <f>p!X96^2</f>
        <v>0</v>
      </c>
      <c r="Y96" s="3">
        <f>p!Y96^2</f>
        <v>0</v>
      </c>
      <c r="Z96" s="3">
        <f>p!Z96^2</f>
        <v>0</v>
      </c>
      <c r="AA96" s="3">
        <f>p!AA96^2</f>
        <v>0</v>
      </c>
    </row>
    <row r="97" spans="1:27" x14ac:dyDescent="0.25">
      <c r="A97" s="7" t="s">
        <v>143</v>
      </c>
      <c r="B97" s="3">
        <f>p!B97^2</f>
        <v>0</v>
      </c>
      <c r="C97" s="3">
        <f>p!C97^2</f>
        <v>0</v>
      </c>
      <c r="D97" s="3">
        <f>p!D97^2</f>
        <v>0</v>
      </c>
      <c r="E97" s="3">
        <f>p!E97^2</f>
        <v>0</v>
      </c>
      <c r="F97" s="3">
        <f>p!F97^2</f>
        <v>4.6913116907487329E-5</v>
      </c>
      <c r="G97" s="3">
        <f>p!G97^2</f>
        <v>4.6913116907487329E-5</v>
      </c>
      <c r="H97" s="3">
        <f>p!H97^2</f>
        <v>0</v>
      </c>
      <c r="I97" s="3">
        <f>p!I97^2</f>
        <v>0</v>
      </c>
      <c r="J97" s="3">
        <f>p!J97^2</f>
        <v>0.72133608556952511</v>
      </c>
      <c r="K97" s="3">
        <f>p!K97^2</f>
        <v>0</v>
      </c>
      <c r="L97" s="3">
        <f>p!L97^2</f>
        <v>0</v>
      </c>
      <c r="M97" s="3">
        <f>p!M97^2</f>
        <v>0</v>
      </c>
      <c r="N97" s="3">
        <f>p!N97^2</f>
        <v>0</v>
      </c>
      <c r="O97" s="3">
        <f>p!O97^2</f>
        <v>0</v>
      </c>
      <c r="P97" s="3">
        <f>p!P97^2</f>
        <v>0</v>
      </c>
      <c r="Q97" s="3">
        <f>p!Q97^2</f>
        <v>7.9283167573653592E-3</v>
      </c>
      <c r="R97" s="3">
        <f>p!R97^2</f>
        <v>0</v>
      </c>
      <c r="S97" s="3">
        <f>p!S97^2</f>
        <v>0</v>
      </c>
      <c r="T97" s="3">
        <f>p!T97^2</f>
        <v>0</v>
      </c>
      <c r="U97" s="3">
        <f>p!U97^2</f>
        <v>7.5060987051979726E-4</v>
      </c>
      <c r="V97" s="3">
        <f>p!V97^2</f>
        <v>0</v>
      </c>
      <c r="W97" s="3">
        <f>p!W97^2</f>
        <v>0</v>
      </c>
      <c r="X97" s="3">
        <f>p!X97^2</f>
        <v>0</v>
      </c>
      <c r="Y97" s="3">
        <f>p!Y97^2</f>
        <v>0</v>
      </c>
      <c r="Z97" s="3">
        <f>p!Z97^2</f>
        <v>0</v>
      </c>
      <c r="AA97" s="3">
        <f>p!AA97^2</f>
        <v>4.2221805216738595E-4</v>
      </c>
    </row>
    <row r="98" spans="1:27" x14ac:dyDescent="0.25">
      <c r="A98" s="7" t="s">
        <v>144</v>
      </c>
      <c r="B98" s="3">
        <f>p!B98^2</f>
        <v>0</v>
      </c>
      <c r="C98" s="3">
        <f>p!C98^2</f>
        <v>0</v>
      </c>
      <c r="D98" s="3">
        <f>p!D98^2</f>
        <v>0</v>
      </c>
      <c r="E98" s="3">
        <f>p!E98^2</f>
        <v>0</v>
      </c>
      <c r="F98" s="3">
        <f>p!F98^2</f>
        <v>0</v>
      </c>
      <c r="G98" s="3">
        <f>p!G98^2</f>
        <v>0</v>
      </c>
      <c r="H98" s="3">
        <f>p!H98^2</f>
        <v>0</v>
      </c>
      <c r="I98" s="3">
        <f>p!I98^2</f>
        <v>0</v>
      </c>
      <c r="J98" s="3">
        <f>p!J98^2</f>
        <v>0.56588345101858628</v>
      </c>
      <c r="K98" s="3">
        <f>p!K98^2</f>
        <v>0</v>
      </c>
      <c r="L98" s="3">
        <f>p!L98^2</f>
        <v>0</v>
      </c>
      <c r="M98" s="3">
        <f>p!M98^2</f>
        <v>0</v>
      </c>
      <c r="N98" s="3">
        <f>p!N98^2</f>
        <v>0</v>
      </c>
      <c r="O98" s="3">
        <f>p!O98^2</f>
        <v>0</v>
      </c>
      <c r="P98" s="3">
        <f>p!P98^2</f>
        <v>0</v>
      </c>
      <c r="Q98" s="3">
        <f>p!Q98^2</f>
        <v>3.2464897329762203E-2</v>
      </c>
      <c r="R98" s="3">
        <f>p!R98^2</f>
        <v>0</v>
      </c>
      <c r="S98" s="3">
        <f>p!S98^2</f>
        <v>0</v>
      </c>
      <c r="T98" s="3">
        <f>p!T98^2</f>
        <v>0</v>
      </c>
      <c r="U98" s="3">
        <f>p!U98^2</f>
        <v>4.5653761869978108E-3</v>
      </c>
      <c r="V98" s="3">
        <f>p!V98^2</f>
        <v>0</v>
      </c>
      <c r="W98" s="3">
        <f>p!W98^2</f>
        <v>0</v>
      </c>
      <c r="X98" s="3">
        <f>p!X98^2</f>
        <v>0</v>
      </c>
      <c r="Y98" s="3">
        <f>p!Y98^2</f>
        <v>0</v>
      </c>
      <c r="Z98" s="3">
        <f>p!Z98^2</f>
        <v>0</v>
      </c>
      <c r="AA98" s="3">
        <f>p!AA98^2</f>
        <v>0</v>
      </c>
    </row>
    <row r="99" spans="1:27" x14ac:dyDescent="0.25">
      <c r="A99" s="7" t="s">
        <v>145</v>
      </c>
      <c r="B99" s="3">
        <f>p!B99^2</f>
        <v>0</v>
      </c>
      <c r="C99" s="3">
        <f>p!C99^2</f>
        <v>0</v>
      </c>
      <c r="D99" s="3">
        <f>p!D99^2</f>
        <v>0</v>
      </c>
      <c r="E99" s="3">
        <f>p!E99^2</f>
        <v>0</v>
      </c>
      <c r="F99" s="3">
        <f>p!F99^2</f>
        <v>0</v>
      </c>
      <c r="G99" s="3">
        <f>p!G99^2</f>
        <v>4.1088385682980282E-4</v>
      </c>
      <c r="H99" s="3">
        <f>p!H99^2</f>
        <v>0</v>
      </c>
      <c r="I99" s="3">
        <f>p!I99^2</f>
        <v>0</v>
      </c>
      <c r="J99" s="3">
        <f>p!J99^2</f>
        <v>0.59331628926223523</v>
      </c>
      <c r="K99" s="3">
        <f>p!K99^2</f>
        <v>0</v>
      </c>
      <c r="L99" s="3">
        <f>p!L99^2</f>
        <v>0</v>
      </c>
      <c r="M99" s="3">
        <f>p!M99^2</f>
        <v>0</v>
      </c>
      <c r="N99" s="3">
        <f>p!N99^2</f>
        <v>0</v>
      </c>
      <c r="O99" s="3">
        <f>p!O99^2</f>
        <v>0</v>
      </c>
      <c r="P99" s="3">
        <f>p!P99^2</f>
        <v>0</v>
      </c>
      <c r="Q99" s="3">
        <f>p!Q99^2</f>
        <v>3.0861943024105189E-2</v>
      </c>
      <c r="R99" s="3">
        <f>p!R99^2</f>
        <v>0</v>
      </c>
      <c r="S99" s="3">
        <f>p!S99^2</f>
        <v>0</v>
      </c>
      <c r="T99" s="3">
        <f>p!T99^2</f>
        <v>0</v>
      </c>
      <c r="U99" s="3">
        <f>p!U99^2</f>
        <v>1.1413440467494518E-3</v>
      </c>
      <c r="V99" s="3">
        <f>p!V99^2</f>
        <v>0</v>
      </c>
      <c r="W99" s="3">
        <f>p!W99^2</f>
        <v>0</v>
      </c>
      <c r="X99" s="3">
        <f>p!X99^2</f>
        <v>0</v>
      </c>
      <c r="Y99" s="3">
        <f>p!Y99^2</f>
        <v>0</v>
      </c>
      <c r="Z99" s="3">
        <f>p!Z99^2</f>
        <v>0</v>
      </c>
      <c r="AA99" s="3">
        <f>p!AA99^2</f>
        <v>0</v>
      </c>
    </row>
    <row r="100" spans="1:27" x14ac:dyDescent="0.25">
      <c r="A100" s="7" t="s">
        <v>146</v>
      </c>
      <c r="B100" s="3">
        <f>p!B100^2</f>
        <v>5.2509976895610156E-5</v>
      </c>
      <c r="C100" s="3">
        <f>p!C100^2</f>
        <v>0</v>
      </c>
      <c r="D100" s="3">
        <f>p!D100^2</f>
        <v>0</v>
      </c>
      <c r="E100" s="3">
        <f>p!E100^2</f>
        <v>0</v>
      </c>
      <c r="F100" s="3">
        <f>p!F100^2</f>
        <v>0</v>
      </c>
      <c r="G100" s="3">
        <f>p!G100^2</f>
        <v>0</v>
      </c>
      <c r="H100" s="3">
        <f>p!H100^2</f>
        <v>0</v>
      </c>
      <c r="I100" s="3">
        <f>p!I100^2</f>
        <v>0</v>
      </c>
      <c r="J100" s="3">
        <f>p!J100^2</f>
        <v>0.79442344045368618</v>
      </c>
      <c r="K100" s="3">
        <f>p!K100^2</f>
        <v>0</v>
      </c>
      <c r="L100" s="3">
        <f>p!L100^2</f>
        <v>0</v>
      </c>
      <c r="M100" s="3">
        <f>p!M100^2</f>
        <v>0</v>
      </c>
      <c r="N100" s="3">
        <f>p!N100^2</f>
        <v>0</v>
      </c>
      <c r="O100" s="3">
        <f>p!O100^2</f>
        <v>2.1003990758244062E-4</v>
      </c>
      <c r="P100" s="3">
        <f>p!P100^2</f>
        <v>0</v>
      </c>
      <c r="Q100" s="3">
        <f>p!Q100^2</f>
        <v>1.8903591682419658E-3</v>
      </c>
      <c r="R100" s="3">
        <f>p!R100^2</f>
        <v>0</v>
      </c>
      <c r="S100" s="3">
        <f>p!S100^2</f>
        <v>0</v>
      </c>
      <c r="T100" s="3">
        <f>p!T100^2</f>
        <v>0</v>
      </c>
      <c r="U100" s="3">
        <f>p!U100^2</f>
        <v>1.8903591682419658E-3</v>
      </c>
      <c r="V100" s="3">
        <f>p!V100^2</f>
        <v>0</v>
      </c>
      <c r="W100" s="3">
        <f>p!W100^2</f>
        <v>0</v>
      </c>
      <c r="X100" s="3">
        <f>p!X100^2</f>
        <v>0</v>
      </c>
      <c r="Y100" s="3">
        <f>p!Y100^2</f>
        <v>0</v>
      </c>
      <c r="Z100" s="3">
        <f>p!Z100^2</f>
        <v>0</v>
      </c>
      <c r="AA100" s="3">
        <f>p!AA100^2</f>
        <v>0</v>
      </c>
    </row>
    <row r="101" spans="1:27" x14ac:dyDescent="0.25">
      <c r="B101" s="3">
        <f>p!B101^2</f>
        <v>0.54293628808864258</v>
      </c>
      <c r="C101" s="3">
        <f>p!C101^2</f>
        <v>5.6094182825484756E-2</v>
      </c>
      <c r="D101" s="3">
        <f>p!D101^2</f>
        <v>0</v>
      </c>
      <c r="E101" s="3">
        <f>p!E101^2</f>
        <v>0</v>
      </c>
      <c r="F101" s="3">
        <f>p!F101^2</f>
        <v>0</v>
      </c>
      <c r="G101" s="3">
        <f>p!G101^2</f>
        <v>0</v>
      </c>
      <c r="H101" s="3">
        <f>p!H101^2</f>
        <v>0</v>
      </c>
      <c r="I101" s="3">
        <f>p!I101^2</f>
        <v>0</v>
      </c>
      <c r="J101" s="3">
        <f>p!J101^2</f>
        <v>7.6946752847029852E-5</v>
      </c>
      <c r="K101" s="3">
        <f>p!K101^2</f>
        <v>0</v>
      </c>
      <c r="L101" s="3">
        <f>p!L101^2</f>
        <v>0</v>
      </c>
      <c r="M101" s="3">
        <f>p!M101^2</f>
        <v>0</v>
      </c>
      <c r="N101" s="3">
        <f>p!N101^2</f>
        <v>0</v>
      </c>
      <c r="O101" s="3">
        <f>p!O101^2</f>
        <v>0</v>
      </c>
      <c r="P101" s="3">
        <f>p!P101^2</f>
        <v>0</v>
      </c>
      <c r="Q101" s="3">
        <f>p!Q101^2</f>
        <v>3.0778701138811941E-4</v>
      </c>
      <c r="R101" s="3">
        <f>p!R101^2</f>
        <v>0</v>
      </c>
      <c r="S101" s="3">
        <f>p!S101^2</f>
        <v>0</v>
      </c>
      <c r="T101" s="3">
        <f>p!T101^2</f>
        <v>0</v>
      </c>
      <c r="U101" s="3">
        <f>p!U101^2</f>
        <v>0</v>
      </c>
      <c r="V101" s="3">
        <f>p!V101^2</f>
        <v>0</v>
      </c>
      <c r="W101" s="3">
        <f>p!W101^2</f>
        <v>0</v>
      </c>
      <c r="X101" s="3">
        <f>p!X101^2</f>
        <v>0</v>
      </c>
      <c r="Y101" s="3">
        <f>p!Y101^2</f>
        <v>0</v>
      </c>
      <c r="Z101" s="3">
        <f>p!Z101^2</f>
        <v>0</v>
      </c>
      <c r="AA101" s="3">
        <f>p!AA101^2</f>
        <v>0</v>
      </c>
    </row>
    <row r="102" spans="1:27" x14ac:dyDescent="0.25">
      <c r="B102" s="3">
        <f>p!B102^2</f>
        <v>0.65271792907529769</v>
      </c>
      <c r="C102" s="3">
        <f>p!C102^2</f>
        <v>7.1818442976156272E-3</v>
      </c>
      <c r="D102" s="3">
        <f>p!D102^2</f>
        <v>3.1919307989402791E-5</v>
      </c>
      <c r="E102" s="3">
        <f>p!E102^2</f>
        <v>0</v>
      </c>
      <c r="F102" s="3">
        <f>p!F102^2</f>
        <v>0</v>
      </c>
      <c r="G102" s="3">
        <f>p!G102^2</f>
        <v>0</v>
      </c>
      <c r="H102" s="3">
        <f>p!H102^2</f>
        <v>0</v>
      </c>
      <c r="I102" s="3">
        <f>p!I102^2</f>
        <v>0</v>
      </c>
      <c r="J102" s="3">
        <f>p!J102^2</f>
        <v>0</v>
      </c>
      <c r="K102" s="3">
        <f>p!K102^2</f>
        <v>0</v>
      </c>
      <c r="L102" s="3">
        <f>p!L102^2</f>
        <v>0</v>
      </c>
      <c r="M102" s="3">
        <f>p!M102^2</f>
        <v>0</v>
      </c>
      <c r="N102" s="3">
        <f>p!N102^2</f>
        <v>0</v>
      </c>
      <c r="O102" s="3">
        <f>p!O102^2</f>
        <v>0</v>
      </c>
      <c r="P102" s="3">
        <f>p!P102^2</f>
        <v>0</v>
      </c>
      <c r="Q102" s="3">
        <f>p!Q102^2</f>
        <v>9.2246800089374071E-3</v>
      </c>
      <c r="R102" s="3">
        <f>p!R102^2</f>
        <v>0</v>
      </c>
      <c r="S102" s="3">
        <f>p!S102^2</f>
        <v>0</v>
      </c>
      <c r="T102" s="3">
        <f>p!T102^2</f>
        <v>0</v>
      </c>
      <c r="U102" s="3">
        <f>p!U102^2</f>
        <v>0</v>
      </c>
      <c r="V102" s="3">
        <f>p!V102^2</f>
        <v>0</v>
      </c>
      <c r="W102" s="3">
        <f>p!W102^2</f>
        <v>0</v>
      </c>
      <c r="X102" s="3">
        <f>p!X102^2</f>
        <v>0</v>
      </c>
      <c r="Y102" s="3">
        <f>p!Y102^2</f>
        <v>0</v>
      </c>
      <c r="Z102" s="3">
        <f>p!Z102^2</f>
        <v>0</v>
      </c>
      <c r="AA102" s="3">
        <f>p!AA102^2</f>
        <v>0</v>
      </c>
    </row>
    <row r="103" spans="1:27" x14ac:dyDescent="0.25">
      <c r="B103" s="3">
        <f>p!B103^2</f>
        <v>0.83501783590963152</v>
      </c>
      <c r="C103" s="3">
        <f>p!C103^2</f>
        <v>0</v>
      </c>
      <c r="D103" s="3">
        <f>p!D103^2</f>
        <v>3.3029462280354077E-5</v>
      </c>
      <c r="E103" s="3">
        <f>p!E103^2</f>
        <v>0</v>
      </c>
      <c r="F103" s="3">
        <f>p!F103^2</f>
        <v>0</v>
      </c>
      <c r="G103" s="3">
        <f>p!G103^2</f>
        <v>0</v>
      </c>
      <c r="H103" s="3">
        <f>p!H103^2</f>
        <v>0</v>
      </c>
      <c r="I103" s="3">
        <f>p!I103^2</f>
        <v>0</v>
      </c>
      <c r="J103" s="3">
        <f>p!J103^2</f>
        <v>0</v>
      </c>
      <c r="K103" s="3">
        <f>p!K103^2</f>
        <v>1.3211784912141631E-4</v>
      </c>
      <c r="L103" s="3">
        <f>p!L103^2</f>
        <v>0</v>
      </c>
      <c r="M103" s="3">
        <f>p!M103^2</f>
        <v>0</v>
      </c>
      <c r="N103" s="3">
        <f>p!N103^2</f>
        <v>0</v>
      </c>
      <c r="O103" s="3">
        <f>p!O103^2</f>
        <v>3.3029462280354077E-5</v>
      </c>
      <c r="P103" s="3">
        <f>p!P103^2</f>
        <v>0</v>
      </c>
      <c r="Q103" s="3">
        <f>p!Q103^2</f>
        <v>1.1890606420927466E-3</v>
      </c>
      <c r="R103" s="3">
        <f>p!R103^2</f>
        <v>0</v>
      </c>
      <c r="S103" s="3">
        <f>p!S103^2</f>
        <v>0</v>
      </c>
      <c r="T103" s="3">
        <f>p!T103^2</f>
        <v>0</v>
      </c>
      <c r="U103" s="3">
        <f>p!U103^2</f>
        <v>0</v>
      </c>
      <c r="V103" s="3">
        <f>p!V103^2</f>
        <v>0</v>
      </c>
      <c r="W103" s="3">
        <f>p!W103^2</f>
        <v>0</v>
      </c>
      <c r="X103" s="3">
        <f>p!X103^2</f>
        <v>0</v>
      </c>
      <c r="Y103" s="3">
        <f>p!Y103^2</f>
        <v>0</v>
      </c>
      <c r="Z103" s="3">
        <f>p!Z103^2</f>
        <v>0</v>
      </c>
      <c r="AA103" s="3">
        <f>p!AA103^2</f>
        <v>0</v>
      </c>
    </row>
    <row r="104" spans="1:27" x14ac:dyDescent="0.25">
      <c r="B104" s="3">
        <f>p!B104^2</f>
        <v>0.31640625</v>
      </c>
      <c r="C104" s="3">
        <f>p!C104^2</f>
        <v>0</v>
      </c>
      <c r="D104" s="3">
        <f>p!D104^2</f>
        <v>4.8225308641975306E-5</v>
      </c>
      <c r="E104" s="3">
        <f>p!E104^2</f>
        <v>1.9290123456790122E-4</v>
      </c>
      <c r="F104" s="3">
        <f>p!F104^2</f>
        <v>0</v>
      </c>
      <c r="G104" s="3">
        <f>p!G104^2</f>
        <v>0</v>
      </c>
      <c r="H104" s="3">
        <f>p!H104^2</f>
        <v>1.9290123456790122E-4</v>
      </c>
      <c r="I104" s="3">
        <f>p!I104^2</f>
        <v>4.8225308641975306E-5</v>
      </c>
      <c r="J104" s="3">
        <f>p!J104^2</f>
        <v>0</v>
      </c>
      <c r="K104" s="3">
        <f>p!K104^2</f>
        <v>8.1500771604938269E-3</v>
      </c>
      <c r="L104" s="3">
        <f>p!L104^2</f>
        <v>4.3402777777777775E-4</v>
      </c>
      <c r="M104" s="3">
        <f>p!M104^2</f>
        <v>1.736111111111111E-3</v>
      </c>
      <c r="N104" s="3">
        <f>p!N104^2</f>
        <v>0</v>
      </c>
      <c r="O104" s="3">
        <f>p!O104^2</f>
        <v>0</v>
      </c>
      <c r="P104" s="3">
        <f>p!P104^2</f>
        <v>0</v>
      </c>
      <c r="Q104" s="3">
        <f>p!Q104^2</f>
        <v>8.1500771604938269E-3</v>
      </c>
      <c r="R104" s="3">
        <f>p!R104^2</f>
        <v>0</v>
      </c>
      <c r="S104" s="3">
        <f>p!S104^2</f>
        <v>0</v>
      </c>
      <c r="T104" s="3">
        <f>p!T104^2</f>
        <v>0</v>
      </c>
      <c r="U104" s="3">
        <f>p!U104^2</f>
        <v>0</v>
      </c>
      <c r="V104" s="3">
        <f>p!V104^2</f>
        <v>0</v>
      </c>
      <c r="W104" s="3">
        <f>p!W104^2</f>
        <v>0</v>
      </c>
      <c r="X104" s="3">
        <f>p!X104^2</f>
        <v>0</v>
      </c>
      <c r="Y104" s="3">
        <f>p!Y104^2</f>
        <v>0</v>
      </c>
      <c r="Z104" s="3">
        <f>p!Z104^2</f>
        <v>0</v>
      </c>
      <c r="AA104" s="3">
        <f>p!AA104^2</f>
        <v>0</v>
      </c>
    </row>
    <row r="105" spans="1:27" x14ac:dyDescent="0.25">
      <c r="B105" s="3">
        <f>p!B105^2</f>
        <v>0.47456790123456788</v>
      </c>
      <c r="C105" s="3">
        <f>p!C105^2</f>
        <v>0</v>
      </c>
      <c r="D105" s="3">
        <f>p!D105^2</f>
        <v>1.7777777777777781E-4</v>
      </c>
      <c r="E105" s="3">
        <f>p!E105^2</f>
        <v>7.9012345679012346E-5</v>
      </c>
      <c r="F105" s="3">
        <f>p!F105^2</f>
        <v>0</v>
      </c>
      <c r="G105" s="3">
        <f>p!G105^2</f>
        <v>0</v>
      </c>
      <c r="H105" s="3">
        <f>p!H105^2</f>
        <v>1.7777777777777781E-4</v>
      </c>
      <c r="I105" s="3">
        <f>p!I105^2</f>
        <v>4.9382716049382717E-4</v>
      </c>
      <c r="J105" s="3">
        <f>p!J105^2</f>
        <v>0</v>
      </c>
      <c r="K105" s="3">
        <f>p!K105^2</f>
        <v>7.9012345679012348E-3</v>
      </c>
      <c r="L105" s="3">
        <f>p!L105^2</f>
        <v>0</v>
      </c>
      <c r="M105" s="3">
        <f>p!M105^2</f>
        <v>0</v>
      </c>
      <c r="N105" s="3">
        <f>p!N105^2</f>
        <v>0</v>
      </c>
      <c r="O105" s="3">
        <f>p!O105^2</f>
        <v>3.1604938271604939E-4</v>
      </c>
      <c r="P105" s="3">
        <f>p!P105^2</f>
        <v>0</v>
      </c>
      <c r="Q105" s="3">
        <f>p!Q105^2</f>
        <v>1.6612345679012343E-2</v>
      </c>
      <c r="R105" s="3">
        <f>p!R105^2</f>
        <v>0</v>
      </c>
      <c r="S105" s="3">
        <f>p!S105^2</f>
        <v>0</v>
      </c>
      <c r="T105" s="3">
        <f>p!T105^2</f>
        <v>0</v>
      </c>
      <c r="U105" s="3">
        <f>p!U105^2</f>
        <v>0</v>
      </c>
      <c r="V105" s="3">
        <f>p!V105^2</f>
        <v>0</v>
      </c>
      <c r="W105" s="3">
        <f>p!W105^2</f>
        <v>0</v>
      </c>
      <c r="X105" s="3">
        <f>p!X105^2</f>
        <v>0</v>
      </c>
      <c r="Y105" s="3">
        <f>p!Y105^2</f>
        <v>0</v>
      </c>
      <c r="Z105" s="3">
        <f>p!Z105^2</f>
        <v>0</v>
      </c>
      <c r="AA105" s="3">
        <f>p!AA105^2</f>
        <v>0</v>
      </c>
    </row>
    <row r="106" spans="1:27" x14ac:dyDescent="0.25">
      <c r="B106" s="3">
        <f>p!B106^2</f>
        <v>9.4674556213017761E-4</v>
      </c>
      <c r="C106" s="3">
        <f>p!C106^2</f>
        <v>6.8402366863905328E-2</v>
      </c>
      <c r="D106" s="3">
        <f>p!D106^2</f>
        <v>0</v>
      </c>
      <c r="E106" s="3">
        <f>p!E106^2</f>
        <v>0</v>
      </c>
      <c r="F106" s="3">
        <f>p!F106^2</f>
        <v>0</v>
      </c>
      <c r="G106" s="3">
        <f>p!G106^2</f>
        <v>0</v>
      </c>
      <c r="H106" s="3">
        <f>p!H106^2</f>
        <v>2.366863905325444E-4</v>
      </c>
      <c r="I106" s="3">
        <f>p!I106^2</f>
        <v>0</v>
      </c>
      <c r="J106" s="3">
        <f>p!J106^2</f>
        <v>1.1597633136094675E-2</v>
      </c>
      <c r="K106" s="3">
        <f>p!K106^2</f>
        <v>0</v>
      </c>
      <c r="L106" s="3">
        <f>p!L106^2</f>
        <v>0</v>
      </c>
      <c r="M106" s="3">
        <f>p!M106^2</f>
        <v>0</v>
      </c>
      <c r="N106" s="3">
        <f>p!N106^2</f>
        <v>0</v>
      </c>
      <c r="O106" s="3">
        <f>p!O106^2</f>
        <v>3.7869822485207105E-3</v>
      </c>
      <c r="P106" s="3">
        <f>p!P106^2</f>
        <v>0</v>
      </c>
      <c r="Q106" s="3">
        <f>p!Q106^2</f>
        <v>0.10437869822485209</v>
      </c>
      <c r="R106" s="3">
        <f>p!R106^2</f>
        <v>0</v>
      </c>
      <c r="S106" s="3">
        <f>p!S106^2</f>
        <v>0</v>
      </c>
      <c r="T106" s="3">
        <f>p!T106^2</f>
        <v>0</v>
      </c>
      <c r="U106" s="3">
        <f>p!U106^2</f>
        <v>0</v>
      </c>
      <c r="V106" s="3">
        <f>p!V106^2</f>
        <v>0</v>
      </c>
      <c r="W106" s="3">
        <f>p!W106^2</f>
        <v>0</v>
      </c>
      <c r="X106" s="3">
        <f>p!X106^2</f>
        <v>0</v>
      </c>
      <c r="Y106" s="3">
        <f>p!Y106^2</f>
        <v>0</v>
      </c>
      <c r="Z106" s="3">
        <f>p!Z106^2</f>
        <v>0</v>
      </c>
      <c r="AA106" s="3">
        <f>p!AA106^2</f>
        <v>0</v>
      </c>
    </row>
    <row r="107" spans="1:27" x14ac:dyDescent="0.25">
      <c r="B107" s="3">
        <f>p!B107^2</f>
        <v>5.9488399762046404E-4</v>
      </c>
      <c r="C107" s="3">
        <f>p!C107^2</f>
        <v>3.4965959415691722E-2</v>
      </c>
      <c r="D107" s="3">
        <f>p!D107^2</f>
        <v>5.9488399762046404E-4</v>
      </c>
      <c r="E107" s="3">
        <f>p!E107^2</f>
        <v>4.4682398043492638E-2</v>
      </c>
      <c r="F107" s="3">
        <f>p!F107^2</f>
        <v>0</v>
      </c>
      <c r="G107" s="3">
        <f>p!G107^2</f>
        <v>0</v>
      </c>
      <c r="H107" s="3">
        <f>p!H107^2</f>
        <v>6.6098221957829344E-5</v>
      </c>
      <c r="I107" s="3">
        <f>p!I107^2</f>
        <v>0</v>
      </c>
      <c r="J107" s="3">
        <f>p!J107^2</f>
        <v>1.6921144821204312E-2</v>
      </c>
      <c r="K107" s="3">
        <f>p!K107^2</f>
        <v>0</v>
      </c>
      <c r="L107" s="3">
        <f>p!L107^2</f>
        <v>0</v>
      </c>
      <c r="M107" s="3">
        <f>p!M107^2</f>
        <v>0</v>
      </c>
      <c r="N107" s="3">
        <f>p!N107^2</f>
        <v>0</v>
      </c>
      <c r="O107" s="3">
        <f>p!O107^2</f>
        <v>1.9102386145812677E-2</v>
      </c>
      <c r="P107" s="3">
        <f>p!P107^2</f>
        <v>0</v>
      </c>
      <c r="Q107" s="3">
        <f>p!Q107^2</f>
        <v>2.3795359904818562E-3</v>
      </c>
      <c r="R107" s="3">
        <f>p!R107^2</f>
        <v>0</v>
      </c>
      <c r="S107" s="3">
        <f>p!S107^2</f>
        <v>0</v>
      </c>
      <c r="T107" s="3">
        <f>p!T107^2</f>
        <v>0</v>
      </c>
      <c r="U107" s="3">
        <f>p!U107^2</f>
        <v>0</v>
      </c>
      <c r="V107" s="3">
        <f>p!V107^2</f>
        <v>0</v>
      </c>
      <c r="W107" s="3">
        <f>p!W107^2</f>
        <v>0</v>
      </c>
      <c r="X107" s="3">
        <f>p!X107^2</f>
        <v>0</v>
      </c>
      <c r="Y107" s="3">
        <f>p!Y107^2</f>
        <v>6.6098221957829344E-5</v>
      </c>
      <c r="Z107" s="3">
        <f>p!Z107^2</f>
        <v>0</v>
      </c>
      <c r="AA107" s="3">
        <f>p!AA107^2</f>
        <v>0</v>
      </c>
    </row>
    <row r="108" spans="1:27" x14ac:dyDescent="0.25">
      <c r="B108" s="3">
        <f>p!B108^2</f>
        <v>2.1626297577854672E-4</v>
      </c>
      <c r="C108" s="3">
        <f>p!C108^2</f>
        <v>2.6167820069204154E-2</v>
      </c>
      <c r="D108" s="3">
        <f>p!D108^2</f>
        <v>0</v>
      </c>
      <c r="E108" s="3">
        <f>p!E108^2</f>
        <v>1.0596885813148788E-2</v>
      </c>
      <c r="F108" s="3">
        <f>p!F108^2</f>
        <v>0</v>
      </c>
      <c r="G108" s="3">
        <f>p!G108^2</f>
        <v>0</v>
      </c>
      <c r="H108" s="3">
        <f>p!H108^2</f>
        <v>0</v>
      </c>
      <c r="I108" s="3">
        <f>p!I108^2</f>
        <v>0</v>
      </c>
      <c r="J108" s="3">
        <f>p!J108^2</f>
        <v>6.25E-2</v>
      </c>
      <c r="K108" s="3">
        <f>p!K108^2</f>
        <v>0</v>
      </c>
      <c r="L108" s="3">
        <f>p!L108^2</f>
        <v>0</v>
      </c>
      <c r="M108" s="3">
        <f>p!M108^2</f>
        <v>0</v>
      </c>
      <c r="N108" s="3">
        <f>p!N108^2</f>
        <v>0</v>
      </c>
      <c r="O108" s="3">
        <f>p!O108^2</f>
        <v>3.1141868512110732E-2</v>
      </c>
      <c r="P108" s="3">
        <f>p!P108^2</f>
        <v>0</v>
      </c>
      <c r="Q108" s="3">
        <f>p!Q108^2</f>
        <v>3.6548442906574392E-2</v>
      </c>
      <c r="R108" s="3">
        <f>p!R108^2</f>
        <v>0</v>
      </c>
      <c r="S108" s="3">
        <f>p!S108^2</f>
        <v>0</v>
      </c>
      <c r="T108" s="3">
        <f>p!T108^2</f>
        <v>0</v>
      </c>
      <c r="U108" s="3">
        <f>p!U108^2</f>
        <v>0</v>
      </c>
      <c r="V108" s="3">
        <f>p!V108^2</f>
        <v>0</v>
      </c>
      <c r="W108" s="3">
        <f>p!W108^2</f>
        <v>0</v>
      </c>
      <c r="X108" s="3">
        <f>p!X108^2</f>
        <v>0</v>
      </c>
      <c r="Y108" s="3">
        <f>p!Y108^2</f>
        <v>8.6505190311418688E-4</v>
      </c>
      <c r="Z108" s="3">
        <f>p!Z108^2</f>
        <v>0</v>
      </c>
      <c r="AA108" s="3">
        <f>p!AA108^2</f>
        <v>0</v>
      </c>
    </row>
    <row r="109" spans="1:27" x14ac:dyDescent="0.25">
      <c r="B109" s="3">
        <f>p!B109^2</f>
        <v>0.1352886775003303</v>
      </c>
      <c r="C109" s="3">
        <f>p!C109^2</f>
        <v>0</v>
      </c>
      <c r="D109" s="3">
        <f>p!D109^2</f>
        <v>0</v>
      </c>
      <c r="E109" s="3">
        <f>p!E109^2</f>
        <v>0</v>
      </c>
      <c r="F109" s="3">
        <f>p!F109^2</f>
        <v>0</v>
      </c>
      <c r="G109" s="3">
        <f>p!G109^2</f>
        <v>0</v>
      </c>
      <c r="H109" s="3">
        <f>p!H109^2</f>
        <v>0</v>
      </c>
      <c r="I109" s="3">
        <f>p!I109^2</f>
        <v>0</v>
      </c>
      <c r="J109" s="3">
        <f>p!J109^2</f>
        <v>5.826397146254457E-2</v>
      </c>
      <c r="K109" s="3">
        <f>p!K109^2</f>
        <v>0</v>
      </c>
      <c r="L109" s="3">
        <f>p!L109^2</f>
        <v>0</v>
      </c>
      <c r="M109" s="3">
        <f>p!M109^2</f>
        <v>0</v>
      </c>
      <c r="N109" s="3">
        <f>p!N109^2</f>
        <v>0</v>
      </c>
      <c r="O109" s="3">
        <f>p!O109^2</f>
        <v>1.1890606420927462E-3</v>
      </c>
      <c r="P109" s="3">
        <f>p!P109^2</f>
        <v>0</v>
      </c>
      <c r="Q109" s="3">
        <f>p!Q109^2</f>
        <v>1.1890606420927462E-3</v>
      </c>
      <c r="R109" s="3">
        <f>p!R109^2</f>
        <v>0</v>
      </c>
      <c r="S109" s="3">
        <f>p!S109^2</f>
        <v>0</v>
      </c>
      <c r="T109" s="3">
        <f>p!T109^2</f>
        <v>0</v>
      </c>
      <c r="U109" s="3">
        <f>p!U109^2</f>
        <v>0</v>
      </c>
      <c r="V109" s="3">
        <f>p!V109^2</f>
        <v>0</v>
      </c>
      <c r="W109" s="3">
        <f>p!W109^2</f>
        <v>0</v>
      </c>
      <c r="X109" s="3">
        <f>p!X109^2</f>
        <v>0</v>
      </c>
      <c r="Y109" s="3">
        <f>p!Y109^2</f>
        <v>3.3029462280354076E-3</v>
      </c>
      <c r="Z109" s="3">
        <f>p!Z109^2</f>
        <v>1.3211784912141631E-4</v>
      </c>
      <c r="AA109" s="3">
        <f>p!AA109^2</f>
        <v>0</v>
      </c>
    </row>
    <row r="110" spans="1:27" x14ac:dyDescent="0.25">
      <c r="B110" s="3">
        <f>p!B110^2</f>
        <v>5.0157335069444448E-2</v>
      </c>
      <c r="C110" s="3">
        <f>p!C110^2</f>
        <v>0</v>
      </c>
      <c r="D110" s="3">
        <f>p!D110^2</f>
        <v>2.712673611111111E-5</v>
      </c>
      <c r="E110" s="3">
        <f>p!E110^2</f>
        <v>2.44140625E-4</v>
      </c>
      <c r="F110" s="3">
        <f>p!F110^2</f>
        <v>0</v>
      </c>
      <c r="G110" s="3">
        <f>p!G110^2</f>
        <v>0</v>
      </c>
      <c r="H110" s="3">
        <f>p!H110^2</f>
        <v>0.27126736111111116</v>
      </c>
      <c r="I110" s="3">
        <f>p!I110^2</f>
        <v>0</v>
      </c>
      <c r="J110" s="3">
        <f>p!J110^2</f>
        <v>4.5844184027777771E-3</v>
      </c>
      <c r="K110" s="3">
        <f>p!K110^2</f>
        <v>2.712673611111111E-5</v>
      </c>
      <c r="L110" s="3">
        <f>p!L110^2</f>
        <v>0</v>
      </c>
      <c r="M110" s="3">
        <f>p!M110^2</f>
        <v>0</v>
      </c>
      <c r="N110" s="3">
        <f>p!N110^2</f>
        <v>1.0850694444444444E-4</v>
      </c>
      <c r="O110" s="3">
        <f>p!O110^2</f>
        <v>1.3292100694444447E-3</v>
      </c>
      <c r="P110" s="3">
        <f>p!P110^2</f>
        <v>0</v>
      </c>
      <c r="Q110" s="3">
        <f>p!Q110^2</f>
        <v>1.0850694444444444E-4</v>
      </c>
      <c r="R110" s="3">
        <f>p!R110^2</f>
        <v>0</v>
      </c>
      <c r="S110" s="3">
        <f>p!S110^2</f>
        <v>0</v>
      </c>
      <c r="T110" s="3">
        <f>p!T110^2</f>
        <v>0</v>
      </c>
      <c r="U110" s="3">
        <f>p!U110^2</f>
        <v>0</v>
      </c>
      <c r="V110" s="3">
        <f>p!V110^2</f>
        <v>1.0850694444444444E-4</v>
      </c>
      <c r="W110" s="3">
        <f>p!W110^2</f>
        <v>0</v>
      </c>
      <c r="X110" s="3">
        <f>p!X110^2</f>
        <v>0</v>
      </c>
      <c r="Y110" s="3">
        <f>p!Y110^2</f>
        <v>0</v>
      </c>
      <c r="Z110" s="3">
        <f>p!Z110^2</f>
        <v>0</v>
      </c>
      <c r="AA110" s="3">
        <f>p!AA110^2</f>
        <v>0</v>
      </c>
    </row>
    <row r="111" spans="1:27" x14ac:dyDescent="0.25">
      <c r="B111" s="3">
        <f>p!B111^2</f>
        <v>0.1286625708884688</v>
      </c>
      <c r="C111" s="3">
        <f>p!C111^2</f>
        <v>1.1814744801512286E-4</v>
      </c>
      <c r="D111" s="3">
        <f>p!D111^2</f>
        <v>2.9536862003780716E-5</v>
      </c>
      <c r="E111" s="3">
        <f>p!E111^2</f>
        <v>4.7258979206049145E-4</v>
      </c>
      <c r="F111" s="3">
        <f>p!F111^2</f>
        <v>0</v>
      </c>
      <c r="G111" s="3">
        <f>p!G111^2</f>
        <v>2.9536862003780716E-5</v>
      </c>
      <c r="H111" s="3">
        <f>p!H111^2</f>
        <v>5.4613657844990553E-2</v>
      </c>
      <c r="I111" s="3">
        <f>p!I111^2</f>
        <v>1.1814744801512286E-4</v>
      </c>
      <c r="J111" s="3">
        <f>p!J111^2</f>
        <v>7.3842155009451796E-4</v>
      </c>
      <c r="K111" s="3">
        <f>p!K111^2</f>
        <v>1.1814744801512286E-4</v>
      </c>
      <c r="L111" s="3">
        <f>p!L111^2</f>
        <v>0</v>
      </c>
      <c r="M111" s="3">
        <f>p!M111^2</f>
        <v>2.9536862003780716E-5</v>
      </c>
      <c r="N111" s="3">
        <f>p!N111^2</f>
        <v>0</v>
      </c>
      <c r="O111" s="3">
        <f>p!O111^2</f>
        <v>1.0633270321361058E-3</v>
      </c>
      <c r="P111" s="3">
        <f>p!P111^2</f>
        <v>0</v>
      </c>
      <c r="Q111" s="3">
        <f>p!Q111^2</f>
        <v>2.9536862003780716E-5</v>
      </c>
      <c r="R111" s="3">
        <f>p!R111^2</f>
        <v>0</v>
      </c>
      <c r="S111" s="3">
        <f>p!S111^2</f>
        <v>0</v>
      </c>
      <c r="T111" s="3">
        <f>p!T111^2</f>
        <v>0</v>
      </c>
      <c r="U111" s="3">
        <f>p!U111^2</f>
        <v>0</v>
      </c>
      <c r="V111" s="3">
        <f>p!V111^2</f>
        <v>1.1814744801512286E-4</v>
      </c>
      <c r="W111" s="3">
        <f>p!W111^2</f>
        <v>0</v>
      </c>
      <c r="X111" s="3">
        <f>p!X111^2</f>
        <v>4.2533081285444233E-3</v>
      </c>
      <c r="Y111" s="3">
        <f>p!Y111^2</f>
        <v>0</v>
      </c>
      <c r="Z111" s="3">
        <f>p!Z111^2</f>
        <v>0</v>
      </c>
      <c r="AA111" s="3">
        <f>p!AA111^2</f>
        <v>0</v>
      </c>
    </row>
    <row r="112" spans="1:27" x14ac:dyDescent="0.25">
      <c r="B112" s="3">
        <f>p!B112^2</f>
        <v>0.16392623438429507</v>
      </c>
      <c r="C112" s="3">
        <f>p!C112^2</f>
        <v>4.6638905413444384E-3</v>
      </c>
      <c r="D112" s="3">
        <f>p!D112^2</f>
        <v>2.1415823914336707E-4</v>
      </c>
      <c r="E112" s="3">
        <f>p!E112^2</f>
        <v>1.522903033908388E-3</v>
      </c>
      <c r="F112" s="3">
        <f>p!F112^2</f>
        <v>0</v>
      </c>
      <c r="G112" s="3">
        <f>p!G112^2</f>
        <v>9.5181439619274248E-5</v>
      </c>
      <c r="H112" s="3">
        <f>p!H112^2</f>
        <v>1.8655562165377754E-2</v>
      </c>
      <c r="I112" s="3">
        <f>p!I112^2</f>
        <v>0</v>
      </c>
      <c r="J112" s="3">
        <f>p!J112^2</f>
        <v>3.8072575847709699E-4</v>
      </c>
      <c r="K112" s="3">
        <f>p!K112^2</f>
        <v>2.3795359904818562E-5</v>
      </c>
      <c r="L112" s="3">
        <f>p!L112^2</f>
        <v>0</v>
      </c>
      <c r="M112" s="3">
        <f>p!M112^2</f>
        <v>0</v>
      </c>
      <c r="N112" s="3">
        <f>p!N112^2</f>
        <v>3.8072575847709699E-4</v>
      </c>
      <c r="O112" s="3">
        <f>p!O112^2</f>
        <v>6.0916121356335519E-3</v>
      </c>
      <c r="P112" s="3">
        <f>p!P112^2</f>
        <v>0</v>
      </c>
      <c r="Q112" s="3">
        <f>p!Q112^2</f>
        <v>2.1415823914336707E-4</v>
      </c>
      <c r="R112" s="3">
        <f>p!R112^2</f>
        <v>0</v>
      </c>
      <c r="S112" s="3">
        <f>p!S112^2</f>
        <v>0</v>
      </c>
      <c r="T112" s="3">
        <f>p!T112^2</f>
        <v>0</v>
      </c>
      <c r="U112" s="3">
        <f>p!U112^2</f>
        <v>0</v>
      </c>
      <c r="V112" s="3">
        <f>p!V112^2</f>
        <v>3.8072575847709699E-4</v>
      </c>
      <c r="W112" s="3">
        <f>p!W112^2</f>
        <v>0</v>
      </c>
      <c r="X112" s="3">
        <f>p!X112^2</f>
        <v>1.522903033908388E-3</v>
      </c>
      <c r="Y112" s="3">
        <f>p!Y112^2</f>
        <v>0</v>
      </c>
      <c r="Z112" s="3">
        <f>p!Z112^2</f>
        <v>0</v>
      </c>
      <c r="AA112" s="3">
        <f>p!AA112^2</f>
        <v>0</v>
      </c>
    </row>
    <row r="113" spans="2:27" x14ac:dyDescent="0.25">
      <c r="B113" s="3">
        <f>p!B113^2</f>
        <v>0.1111111111111111</v>
      </c>
      <c r="C113" s="3">
        <f>p!C113^2</f>
        <v>1.2876615864393138E-2</v>
      </c>
      <c r="D113" s="3">
        <f>p!D113^2</f>
        <v>8.0478849152457112E-4</v>
      </c>
      <c r="E113" s="3">
        <f>p!E113^2</f>
        <v>1.2574820180071427E-3</v>
      </c>
      <c r="F113" s="3">
        <f>p!F113^2</f>
        <v>0</v>
      </c>
      <c r="G113" s="3">
        <f>p!G113^2</f>
        <v>0</v>
      </c>
      <c r="H113" s="3">
        <f>p!H113^2</f>
        <v>8.0478849152457135E-2</v>
      </c>
      <c r="I113" s="3">
        <f>p!I113^2</f>
        <v>0</v>
      </c>
      <c r="J113" s="3">
        <f>p!J113^2</f>
        <v>3.2191539660982845E-3</v>
      </c>
      <c r="K113" s="3">
        <f>p!K113^2</f>
        <v>0</v>
      </c>
      <c r="L113" s="3">
        <f>p!L113^2</f>
        <v>0</v>
      </c>
      <c r="M113" s="3">
        <f>p!M113^2</f>
        <v>0</v>
      </c>
      <c r="N113" s="3">
        <f>p!N113^2</f>
        <v>5.0299280720285695E-5</v>
      </c>
      <c r="O113" s="3">
        <f>p!O113^2</f>
        <v>4.0742417383431411E-3</v>
      </c>
      <c r="P113" s="3">
        <f>p!P113^2</f>
        <v>0</v>
      </c>
      <c r="Q113" s="3">
        <f>p!Q113^2</f>
        <v>2.0119712288114278E-4</v>
      </c>
      <c r="R113" s="3">
        <f>p!R113^2</f>
        <v>0</v>
      </c>
      <c r="S113" s="3">
        <f>p!S113^2</f>
        <v>0</v>
      </c>
      <c r="T113" s="3">
        <f>p!T113^2</f>
        <v>0</v>
      </c>
      <c r="U113" s="3">
        <f>p!U113^2</f>
        <v>0</v>
      </c>
      <c r="V113" s="3">
        <f>p!V113^2</f>
        <v>0</v>
      </c>
      <c r="W113" s="3">
        <f>p!W113^2</f>
        <v>0</v>
      </c>
      <c r="X113" s="3">
        <f>p!X113^2</f>
        <v>0</v>
      </c>
      <c r="Y113" s="3">
        <f>p!Y113^2</f>
        <v>0</v>
      </c>
      <c r="Z113" s="3">
        <f>p!Z113^2</f>
        <v>0</v>
      </c>
      <c r="AA113" s="3">
        <f>p!AA113^2</f>
        <v>0</v>
      </c>
    </row>
    <row r="114" spans="2:27" x14ac:dyDescent="0.25">
      <c r="B114" s="3">
        <f>p!B114^2</f>
        <v>0.20773751677541766</v>
      </c>
      <c r="C114" s="3">
        <f>p!C114^2</f>
        <v>2.665556018325697E-2</v>
      </c>
      <c r="D114" s="3">
        <f>p!D114^2</f>
        <v>4.1649312786339016E-4</v>
      </c>
      <c r="E114" s="3">
        <f>p!E114^2</f>
        <v>0</v>
      </c>
      <c r="F114" s="3">
        <f>p!F114^2</f>
        <v>0</v>
      </c>
      <c r="G114" s="3">
        <f>p!G114^2</f>
        <v>0</v>
      </c>
      <c r="H114" s="3">
        <f>p!H114^2</f>
        <v>3.8918968948123467E-2</v>
      </c>
      <c r="I114" s="3">
        <f>p!I114^2</f>
        <v>0</v>
      </c>
      <c r="J114" s="3">
        <f>p!J114^2</f>
        <v>2.2675736961451243E-3</v>
      </c>
      <c r="K114" s="3">
        <f>p!K114^2</f>
        <v>0</v>
      </c>
      <c r="L114" s="3">
        <f>p!L114^2</f>
        <v>0</v>
      </c>
      <c r="M114" s="3">
        <f>p!M114^2</f>
        <v>0</v>
      </c>
      <c r="N114" s="3">
        <f>p!N114^2</f>
        <v>7.4043222731269369E-4</v>
      </c>
      <c r="O114" s="3">
        <f>p!O114^2</f>
        <v>1.1569253551760843E-3</v>
      </c>
      <c r="P114" s="3">
        <f>p!P114^2</f>
        <v>0</v>
      </c>
      <c r="Q114" s="3">
        <f>p!Q114^2</f>
        <v>1.8510805682817342E-4</v>
      </c>
      <c r="R114" s="3">
        <f>p!R114^2</f>
        <v>0</v>
      </c>
      <c r="S114" s="3">
        <f>p!S114^2</f>
        <v>0</v>
      </c>
      <c r="T114" s="3">
        <f>p!T114^2</f>
        <v>0</v>
      </c>
      <c r="U114" s="3">
        <f>p!U114^2</f>
        <v>0</v>
      </c>
      <c r="V114" s="3">
        <f>p!V114^2</f>
        <v>0</v>
      </c>
      <c r="W114" s="3">
        <f>p!W114^2</f>
        <v>0</v>
      </c>
      <c r="X114" s="3">
        <f>p!X114^2</f>
        <v>0</v>
      </c>
      <c r="Y114" s="3">
        <f>p!Y114^2</f>
        <v>0</v>
      </c>
      <c r="Z114" s="3">
        <f>p!Z114^2</f>
        <v>0</v>
      </c>
      <c r="AA114" s="3">
        <f>p!AA114^2</f>
        <v>0</v>
      </c>
    </row>
    <row r="115" spans="2:27" x14ac:dyDescent="0.25">
      <c r="B115" s="3">
        <f>p!B115^2</f>
        <v>0.19113153708239691</v>
      </c>
      <c r="C115" s="3">
        <f>p!C115^2</f>
        <v>8.2043382742860035E-2</v>
      </c>
      <c r="D115" s="3">
        <f>p!D115^2</f>
        <v>2.2726698820736848E-4</v>
      </c>
      <c r="E115" s="3">
        <f>p!E115^2</f>
        <v>2.5251887578596499E-5</v>
      </c>
      <c r="F115" s="3">
        <f>p!F115^2</f>
        <v>0</v>
      </c>
      <c r="G115" s="3">
        <f>p!G115^2</f>
        <v>0</v>
      </c>
      <c r="H115" s="3">
        <f>p!H115^2</f>
        <v>1.7070276003131237E-2</v>
      </c>
      <c r="I115" s="3">
        <f>p!I115^2</f>
        <v>0</v>
      </c>
      <c r="J115" s="3">
        <f>p!J115^2</f>
        <v>1.01007550314386E-4</v>
      </c>
      <c r="K115" s="3">
        <f>p!K115^2</f>
        <v>0</v>
      </c>
      <c r="L115" s="3">
        <f>p!L115^2</f>
        <v>0</v>
      </c>
      <c r="M115" s="3">
        <f>p!M115^2</f>
        <v>0</v>
      </c>
      <c r="N115" s="3">
        <f>p!N115^2</f>
        <v>2.2726698820736848E-4</v>
      </c>
      <c r="O115" s="3">
        <f>p!O115^2</f>
        <v>2.2726698820736848E-4</v>
      </c>
      <c r="P115" s="3">
        <f>p!P115^2</f>
        <v>0</v>
      </c>
      <c r="Q115" s="3">
        <f>p!Q115^2</f>
        <v>1.01007550314386E-4</v>
      </c>
      <c r="R115" s="3">
        <f>p!R115^2</f>
        <v>0</v>
      </c>
      <c r="S115" s="3">
        <f>p!S115^2</f>
        <v>0</v>
      </c>
      <c r="T115" s="3">
        <f>p!T115^2</f>
        <v>0</v>
      </c>
      <c r="U115" s="3">
        <f>p!U115^2</f>
        <v>0</v>
      </c>
      <c r="V115" s="3">
        <f>p!V115^2</f>
        <v>0</v>
      </c>
      <c r="W115" s="3">
        <f>p!W115^2</f>
        <v>0</v>
      </c>
      <c r="X115" s="3">
        <f>p!X115^2</f>
        <v>0</v>
      </c>
      <c r="Y115" s="3">
        <f>p!Y115^2</f>
        <v>0</v>
      </c>
      <c r="Z115" s="3">
        <f>p!Z115^2</f>
        <v>0</v>
      </c>
      <c r="AA115" s="3">
        <f>p!AA115^2</f>
        <v>0</v>
      </c>
    </row>
    <row r="116" spans="2:27" x14ac:dyDescent="0.25">
      <c r="B116" s="3">
        <f>p!B116^2</f>
        <v>0.65947479843250312</v>
      </c>
      <c r="C116" s="3">
        <f>p!C116^2</f>
        <v>4.5043016080356741E-5</v>
      </c>
      <c r="D116" s="3">
        <f>p!D116^2</f>
        <v>1.1260754020089185E-5</v>
      </c>
      <c r="E116" s="3">
        <f>p!E116^2</f>
        <v>4.0538714472321063E-4</v>
      </c>
      <c r="F116" s="3">
        <f>p!F116^2</f>
        <v>0</v>
      </c>
      <c r="G116" s="3">
        <f>p!G116^2</f>
        <v>0</v>
      </c>
      <c r="H116" s="3">
        <f>p!H116^2</f>
        <v>0</v>
      </c>
      <c r="I116" s="3">
        <f>p!I116^2</f>
        <v>0</v>
      </c>
      <c r="J116" s="3">
        <f>p!J116^2</f>
        <v>0</v>
      </c>
      <c r="K116" s="3">
        <f>p!K116^2</f>
        <v>1.5415972253502094E-2</v>
      </c>
      <c r="L116" s="3">
        <f>p!L116^2</f>
        <v>0</v>
      </c>
      <c r="M116" s="3">
        <f>p!M116^2</f>
        <v>1.1260754020089185E-5</v>
      </c>
      <c r="N116" s="3">
        <f>p!N116^2</f>
        <v>0</v>
      </c>
      <c r="O116" s="3">
        <f>p!O116^2</f>
        <v>0</v>
      </c>
      <c r="P116" s="3">
        <f>p!P116^2</f>
        <v>0</v>
      </c>
      <c r="Q116" s="3">
        <f>p!Q116^2</f>
        <v>7.2068825728570786E-4</v>
      </c>
      <c r="R116" s="3">
        <f>p!R116^2</f>
        <v>0</v>
      </c>
      <c r="S116" s="3">
        <f>p!S116^2</f>
        <v>0</v>
      </c>
      <c r="T116" s="3">
        <f>p!T116^2</f>
        <v>0</v>
      </c>
      <c r="U116" s="3">
        <f>p!U116^2</f>
        <v>0</v>
      </c>
      <c r="V116" s="3">
        <f>p!V116^2</f>
        <v>0</v>
      </c>
      <c r="W116" s="3">
        <f>p!W116^2</f>
        <v>0</v>
      </c>
      <c r="X116" s="3">
        <f>p!X116^2</f>
        <v>0</v>
      </c>
      <c r="Y116" s="3">
        <f>p!Y116^2</f>
        <v>0</v>
      </c>
      <c r="Z116" s="3">
        <f>p!Z116^2</f>
        <v>0</v>
      </c>
      <c r="AA116" s="3">
        <f>p!AA116^2</f>
        <v>0</v>
      </c>
    </row>
    <row r="117" spans="2:27" x14ac:dyDescent="0.25">
      <c r="B117" s="3">
        <f>p!B117^2</f>
        <v>0.38989177632304001</v>
      </c>
      <c r="C117" s="3">
        <f>p!C117^2</f>
        <v>1.7853600476096011E-3</v>
      </c>
      <c r="D117" s="3">
        <f>p!D117^2</f>
        <v>0</v>
      </c>
      <c r="E117" s="3">
        <f>p!E117^2</f>
        <v>0</v>
      </c>
      <c r="F117" s="3">
        <f>p!F117^2</f>
        <v>0</v>
      </c>
      <c r="G117" s="3">
        <f>p!G117^2</f>
        <v>0</v>
      </c>
      <c r="H117" s="3">
        <f>p!H117^2</f>
        <v>2.8565760761753618E-2</v>
      </c>
      <c r="I117" s="3">
        <f>p!I117^2</f>
        <v>0</v>
      </c>
      <c r="J117" s="3">
        <f>p!J117^2</f>
        <v>2.6670193303797748E-3</v>
      </c>
      <c r="K117" s="3">
        <f>p!K117^2</f>
        <v>0</v>
      </c>
      <c r="L117" s="3">
        <f>p!L117^2</f>
        <v>0</v>
      </c>
      <c r="M117" s="3">
        <f>p!M117^2</f>
        <v>0</v>
      </c>
      <c r="N117" s="3">
        <f>p!N117^2</f>
        <v>0</v>
      </c>
      <c r="O117" s="3">
        <f>p!O117^2</f>
        <v>3.5266371310806942E-4</v>
      </c>
      <c r="P117" s="3">
        <f>p!P117^2</f>
        <v>0</v>
      </c>
      <c r="Q117" s="3">
        <f>p!Q117^2</f>
        <v>0</v>
      </c>
      <c r="R117" s="3">
        <f>p!R117^2</f>
        <v>0</v>
      </c>
      <c r="S117" s="3">
        <f>p!S117^2</f>
        <v>0</v>
      </c>
      <c r="T117" s="3">
        <f>p!T117^2</f>
        <v>0</v>
      </c>
      <c r="U117" s="3">
        <f>p!U117^2</f>
        <v>0</v>
      </c>
      <c r="V117" s="3">
        <f>p!V117^2</f>
        <v>0</v>
      </c>
      <c r="W117" s="3">
        <f>p!W117^2</f>
        <v>0</v>
      </c>
      <c r="X117" s="3">
        <f>p!X117^2</f>
        <v>0</v>
      </c>
      <c r="Y117" s="3">
        <f>p!Y117^2</f>
        <v>0</v>
      </c>
      <c r="Z117" s="3">
        <f>p!Z117^2</f>
        <v>0</v>
      </c>
      <c r="AA117" s="3">
        <f>p!AA117^2</f>
        <v>0</v>
      </c>
    </row>
    <row r="118" spans="2:27" x14ac:dyDescent="0.25">
      <c r="B118" s="3">
        <f>p!B118^2</f>
        <v>0.3413019390581718</v>
      </c>
      <c r="C118" s="3">
        <f>p!C118^2</f>
        <v>1.1080332409972297E-2</v>
      </c>
      <c r="D118" s="3">
        <f>p!D118^2</f>
        <v>1.1080332409972299E-4</v>
      </c>
      <c r="E118" s="3">
        <f>p!E118^2</f>
        <v>1.3573407202216064E-3</v>
      </c>
      <c r="F118" s="3">
        <f>p!F118^2</f>
        <v>0</v>
      </c>
      <c r="G118" s="3">
        <f>p!G118^2</f>
        <v>0</v>
      </c>
      <c r="H118" s="3">
        <f>p!H118^2</f>
        <v>1.3407202216066482E-2</v>
      </c>
      <c r="I118" s="3">
        <f>p!I118^2</f>
        <v>0</v>
      </c>
      <c r="J118" s="3">
        <f>p!J118^2</f>
        <v>0</v>
      </c>
      <c r="K118" s="3">
        <f>p!K118^2</f>
        <v>0</v>
      </c>
      <c r="L118" s="3">
        <f>p!L118^2</f>
        <v>0</v>
      </c>
      <c r="M118" s="3">
        <f>p!M118^2</f>
        <v>0</v>
      </c>
      <c r="N118" s="3">
        <f>p!N118^2</f>
        <v>1.1080332409972299E-4</v>
      </c>
      <c r="O118" s="3">
        <f>p!O118^2</f>
        <v>3.988919667590028E-3</v>
      </c>
      <c r="P118" s="3">
        <f>p!P118^2</f>
        <v>0</v>
      </c>
      <c r="Q118" s="3">
        <f>p!Q118^2</f>
        <v>2.7700831024930744E-3</v>
      </c>
      <c r="R118" s="3">
        <f>p!R118^2</f>
        <v>0</v>
      </c>
      <c r="S118" s="3">
        <f>p!S118^2</f>
        <v>0</v>
      </c>
      <c r="T118" s="3">
        <f>p!T118^2</f>
        <v>0</v>
      </c>
      <c r="U118" s="3">
        <f>p!U118^2</f>
        <v>0</v>
      </c>
      <c r="V118" s="3">
        <f>p!V118^2</f>
        <v>0</v>
      </c>
      <c r="W118" s="3">
        <f>p!W118^2</f>
        <v>0</v>
      </c>
      <c r="X118" s="3">
        <f>p!X118^2</f>
        <v>0</v>
      </c>
      <c r="Y118" s="3">
        <f>p!Y118^2</f>
        <v>0</v>
      </c>
      <c r="Z118" s="3">
        <f>p!Z118^2</f>
        <v>0</v>
      </c>
      <c r="AA118" s="3">
        <f>p!AA118^2</f>
        <v>0</v>
      </c>
    </row>
    <row r="119" spans="2:27" x14ac:dyDescent="0.25">
      <c r="B119" s="3">
        <f>p!B119^2</f>
        <v>0.34805062936573244</v>
      </c>
      <c r="C119" s="3">
        <f>p!C119^2</f>
        <v>5.0594352339769968E-3</v>
      </c>
      <c r="D119" s="3">
        <f>p!D119^2</f>
        <v>1.5756026680205178E-4</v>
      </c>
      <c r="E119" s="3">
        <f>p!E119^2</f>
        <v>6.3024106720820712E-4</v>
      </c>
      <c r="F119" s="3">
        <f>p!F119^2</f>
        <v>0</v>
      </c>
      <c r="G119" s="3">
        <f>p!G119^2</f>
        <v>0</v>
      </c>
      <c r="H119" s="3">
        <f>p!H119^2</f>
        <v>1.9064792283048266E-2</v>
      </c>
      <c r="I119" s="3">
        <f>p!I119^2</f>
        <v>0</v>
      </c>
      <c r="J119" s="3">
        <f>p!J119^2</f>
        <v>1.5756026680205178E-4</v>
      </c>
      <c r="K119" s="3">
        <f>p!K119^2</f>
        <v>0</v>
      </c>
      <c r="L119" s="3">
        <f>p!L119^2</f>
        <v>0</v>
      </c>
      <c r="M119" s="3">
        <f>p!M119^2</f>
        <v>0</v>
      </c>
      <c r="N119" s="3">
        <f>p!N119^2</f>
        <v>7.0026785245356338E-5</v>
      </c>
      <c r="O119" s="3">
        <f>p!O119^2</f>
        <v>3.4313124770224612E-3</v>
      </c>
      <c r="P119" s="3">
        <f>p!P119^2</f>
        <v>0</v>
      </c>
      <c r="Q119" s="3">
        <f>p!Q119^2</f>
        <v>2.9586316766163061E-3</v>
      </c>
      <c r="R119" s="3">
        <f>p!R119^2</f>
        <v>0</v>
      </c>
      <c r="S119" s="3">
        <f>p!S119^2</f>
        <v>0</v>
      </c>
      <c r="T119" s="3">
        <f>p!T119^2</f>
        <v>0</v>
      </c>
      <c r="U119" s="3">
        <f>p!U119^2</f>
        <v>0</v>
      </c>
      <c r="V119" s="3">
        <f>p!V119^2</f>
        <v>0</v>
      </c>
      <c r="W119" s="3">
        <f>p!W119^2</f>
        <v>0</v>
      </c>
      <c r="X119" s="3">
        <f>p!X119^2</f>
        <v>0</v>
      </c>
      <c r="Y119" s="3">
        <f>p!Y119^2</f>
        <v>0</v>
      </c>
      <c r="Z119" s="3">
        <f>p!Z119^2</f>
        <v>0</v>
      </c>
      <c r="AA119" s="3">
        <f>p!AA119^2</f>
        <v>0</v>
      </c>
    </row>
    <row r="120" spans="2:27" x14ac:dyDescent="0.25">
      <c r="B120" s="3">
        <f>p!B120^2</f>
        <v>0.37051039697542537</v>
      </c>
      <c r="C120" s="3">
        <f>p!C120^2</f>
        <v>1.4473062381852554E-3</v>
      </c>
      <c r="D120" s="3">
        <f>p!D120^2</f>
        <v>0</v>
      </c>
      <c r="E120" s="3">
        <f>p!E120^2</f>
        <v>2.9536862003780716E-5</v>
      </c>
      <c r="F120" s="3">
        <f>p!F120^2</f>
        <v>0</v>
      </c>
      <c r="G120" s="3">
        <f>p!G120^2</f>
        <v>0</v>
      </c>
      <c r="H120" s="3">
        <f>p!H120^2</f>
        <v>1.8460538752362948E-2</v>
      </c>
      <c r="I120" s="3">
        <f>p!I120^2</f>
        <v>0</v>
      </c>
      <c r="J120" s="3">
        <f>p!J120^2</f>
        <v>0</v>
      </c>
      <c r="K120" s="3">
        <f>p!K120^2</f>
        <v>0</v>
      </c>
      <c r="L120" s="3">
        <f>p!L120^2</f>
        <v>0</v>
      </c>
      <c r="M120" s="3">
        <f>p!M120^2</f>
        <v>0</v>
      </c>
      <c r="N120" s="3">
        <f>p!N120^2</f>
        <v>1.0633270321361058E-3</v>
      </c>
      <c r="O120" s="3">
        <f>p!O120^2</f>
        <v>3.5739603024574672E-3</v>
      </c>
      <c r="P120" s="3">
        <f>p!P120^2</f>
        <v>0</v>
      </c>
      <c r="Q120" s="3">
        <f>p!Q120^2</f>
        <v>1.0662807183364839E-2</v>
      </c>
      <c r="R120" s="3">
        <f>p!R120^2</f>
        <v>0</v>
      </c>
      <c r="S120" s="3">
        <f>p!S120^2</f>
        <v>0</v>
      </c>
      <c r="T120" s="3">
        <f>p!T120^2</f>
        <v>0</v>
      </c>
      <c r="U120" s="3">
        <f>p!U120^2</f>
        <v>0</v>
      </c>
      <c r="V120" s="3">
        <f>p!V120^2</f>
        <v>0</v>
      </c>
      <c r="W120" s="3">
        <f>p!W120^2</f>
        <v>0</v>
      </c>
      <c r="X120" s="3">
        <f>p!X120^2</f>
        <v>0</v>
      </c>
      <c r="Y120" s="3">
        <f>p!Y120^2</f>
        <v>0</v>
      </c>
      <c r="Z120" s="3">
        <f>p!Z120^2</f>
        <v>0</v>
      </c>
      <c r="AA120" s="3">
        <f>p!AA120^2</f>
        <v>0</v>
      </c>
    </row>
    <row r="121" spans="2:27" x14ac:dyDescent="0.25">
      <c r="B121" s="3">
        <f>p!B121^2</f>
        <v>0.13573407202216065</v>
      </c>
      <c r="C121" s="3">
        <f>p!C121^2</f>
        <v>1.5955678670360112E-2</v>
      </c>
      <c r="D121" s="3">
        <f>p!D121^2</f>
        <v>2.7700831024930747E-5</v>
      </c>
      <c r="E121" s="3">
        <f>p!E121^2</f>
        <v>1.1080332409972299E-4</v>
      </c>
      <c r="F121" s="3">
        <f>p!F121^2</f>
        <v>0</v>
      </c>
      <c r="G121" s="3">
        <f>p!G121^2</f>
        <v>0</v>
      </c>
      <c r="H121" s="3">
        <f>p!H121^2</f>
        <v>5.362880886426593E-2</v>
      </c>
      <c r="I121" s="3">
        <f>p!I121^2</f>
        <v>0</v>
      </c>
      <c r="J121" s="3">
        <f>p!J121^2</f>
        <v>1.1080332409972297E-2</v>
      </c>
      <c r="K121" s="3">
        <f>p!K121^2</f>
        <v>0</v>
      </c>
      <c r="L121" s="3">
        <f>p!L121^2</f>
        <v>0</v>
      </c>
      <c r="M121" s="3">
        <f>p!M121^2</f>
        <v>0</v>
      </c>
      <c r="N121" s="3">
        <f>p!N121^2</f>
        <v>1.1080332409972299E-4</v>
      </c>
      <c r="O121" s="3">
        <f>p!O121^2</f>
        <v>1.3573407202216064E-3</v>
      </c>
      <c r="P121" s="3">
        <f>p!P121^2</f>
        <v>0</v>
      </c>
      <c r="Q121" s="3">
        <f>p!Q121^2</f>
        <v>1.1080332409972299E-4</v>
      </c>
      <c r="R121" s="3">
        <f>p!R121^2</f>
        <v>0</v>
      </c>
      <c r="S121" s="3">
        <f>p!S121^2</f>
        <v>0</v>
      </c>
      <c r="T121" s="3">
        <f>p!T121^2</f>
        <v>0</v>
      </c>
      <c r="U121" s="3">
        <f>p!U121^2</f>
        <v>0</v>
      </c>
      <c r="V121" s="3">
        <f>p!V121^2</f>
        <v>0</v>
      </c>
      <c r="W121" s="3">
        <f>p!W121^2</f>
        <v>0</v>
      </c>
      <c r="X121" s="3">
        <f>p!X121^2</f>
        <v>0</v>
      </c>
      <c r="Y121" s="3">
        <f>p!Y121^2</f>
        <v>0</v>
      </c>
      <c r="Z121" s="3">
        <f>p!Z121^2</f>
        <v>0</v>
      </c>
      <c r="AA121" s="3">
        <f>p!AA121^2</f>
        <v>0</v>
      </c>
    </row>
    <row r="122" spans="2:27" x14ac:dyDescent="0.25">
      <c r="B122" s="3">
        <f>p!B122^2</f>
        <v>7.006920415224914E-2</v>
      </c>
      <c r="C122" s="3">
        <f>p!C122^2</f>
        <v>3.4698193002691273E-2</v>
      </c>
      <c r="D122" s="3">
        <f>p!D122^2</f>
        <v>0</v>
      </c>
      <c r="E122" s="3">
        <f>p!E122^2</f>
        <v>2.4029219530949635E-5</v>
      </c>
      <c r="F122" s="3">
        <f>p!F122^2</f>
        <v>0</v>
      </c>
      <c r="G122" s="3">
        <f>p!G122^2</f>
        <v>2.4029219530949635E-5</v>
      </c>
      <c r="H122" s="3">
        <f>p!H122^2</f>
        <v>3.4698193002691273E-2</v>
      </c>
      <c r="I122" s="3">
        <f>p!I122^2</f>
        <v>0</v>
      </c>
      <c r="J122" s="3">
        <f>p!J122^2</f>
        <v>6.9444444444444441E-3</v>
      </c>
      <c r="K122" s="3">
        <f>p!K122^2</f>
        <v>0</v>
      </c>
      <c r="L122" s="3">
        <f>p!L122^2</f>
        <v>0</v>
      </c>
      <c r="M122" s="3">
        <f>p!M122^2</f>
        <v>0</v>
      </c>
      <c r="N122" s="3">
        <f>p!N122^2</f>
        <v>6.0073048827374083E-4</v>
      </c>
      <c r="O122" s="3">
        <f>p!O122^2</f>
        <v>4.7097270280661296E-3</v>
      </c>
      <c r="P122" s="3">
        <f>p!P122^2</f>
        <v>0</v>
      </c>
      <c r="Q122" s="3">
        <f>p!Q122^2</f>
        <v>2.1626297577854672E-4</v>
      </c>
      <c r="R122" s="3">
        <f>p!R122^2</f>
        <v>0</v>
      </c>
      <c r="S122" s="3">
        <f>p!S122^2</f>
        <v>0</v>
      </c>
      <c r="T122" s="3">
        <f>p!T122^2</f>
        <v>0</v>
      </c>
      <c r="U122" s="3">
        <f>p!U122^2</f>
        <v>0</v>
      </c>
      <c r="V122" s="3">
        <f>p!V122^2</f>
        <v>0</v>
      </c>
      <c r="W122" s="3">
        <f>p!W122^2</f>
        <v>0</v>
      </c>
      <c r="X122" s="3">
        <f>p!X122^2</f>
        <v>0</v>
      </c>
      <c r="Y122" s="3">
        <f>p!Y122^2</f>
        <v>0</v>
      </c>
      <c r="Z122" s="3">
        <f>p!Z122^2</f>
        <v>0</v>
      </c>
      <c r="AA122" s="3">
        <f>p!AA122^2</f>
        <v>0</v>
      </c>
    </row>
    <row r="123" spans="2:27" x14ac:dyDescent="0.25">
      <c r="B123" s="3">
        <f>p!B123^2</f>
        <v>0.140625</v>
      </c>
      <c r="C123" s="3">
        <f>p!C123^2</f>
        <v>9.5699432892249539E-3</v>
      </c>
      <c r="D123" s="3">
        <f>p!D123^2</f>
        <v>2.9536862003780716E-5</v>
      </c>
      <c r="E123" s="3">
        <f>p!E123^2</f>
        <v>2.9536862003780716E-5</v>
      </c>
      <c r="F123" s="3">
        <f>p!F123^2</f>
        <v>0</v>
      </c>
      <c r="G123" s="3">
        <f>p!G123^2</f>
        <v>0</v>
      </c>
      <c r="H123" s="3">
        <f>p!H123^2</f>
        <v>5.4613657844990553E-2</v>
      </c>
      <c r="I123" s="3">
        <f>p!I123^2</f>
        <v>0</v>
      </c>
      <c r="J123" s="3">
        <f>p!J123^2</f>
        <v>1.1814744801512286E-4</v>
      </c>
      <c r="K123" s="3">
        <f>p!K123^2</f>
        <v>0</v>
      </c>
      <c r="L123" s="3">
        <f>p!L123^2</f>
        <v>0</v>
      </c>
      <c r="M123" s="3">
        <f>p!M123^2</f>
        <v>0</v>
      </c>
      <c r="N123" s="3">
        <f>p!N123^2</f>
        <v>1.1814744801512286E-4</v>
      </c>
      <c r="O123" s="3">
        <f>p!O123^2</f>
        <v>4.9917296786389405E-3</v>
      </c>
      <c r="P123" s="3">
        <f>p!P123^2</f>
        <v>0</v>
      </c>
      <c r="Q123" s="3">
        <f>p!Q123^2</f>
        <v>4.7258979206049145E-4</v>
      </c>
      <c r="R123" s="3">
        <f>p!R123^2</f>
        <v>0</v>
      </c>
      <c r="S123" s="3">
        <f>p!S123^2</f>
        <v>0</v>
      </c>
      <c r="T123" s="3">
        <f>p!T123^2</f>
        <v>0</v>
      </c>
      <c r="U123" s="3">
        <f>p!U123^2</f>
        <v>0</v>
      </c>
      <c r="V123" s="3">
        <f>p!V123^2</f>
        <v>0</v>
      </c>
      <c r="W123" s="3">
        <f>p!W123^2</f>
        <v>0</v>
      </c>
      <c r="X123" s="3">
        <f>p!X123^2</f>
        <v>1.4473062381852554E-3</v>
      </c>
      <c r="Y123" s="3">
        <f>p!Y123^2</f>
        <v>0</v>
      </c>
      <c r="Z123" s="3">
        <f>p!Z123^2</f>
        <v>0</v>
      </c>
      <c r="AA123" s="3">
        <f>p!AA123^2</f>
        <v>0</v>
      </c>
    </row>
    <row r="124" spans="2:27" x14ac:dyDescent="0.25">
      <c r="B124" s="3">
        <f>p!B124^2</f>
        <v>0.13186230142629757</v>
      </c>
      <c r="C124" s="3">
        <f>p!C124^2</f>
        <v>3.1210012171904744E-3</v>
      </c>
      <c r="D124" s="3">
        <f>p!D124^2</f>
        <v>1.2484004868761899E-4</v>
      </c>
      <c r="E124" s="3">
        <f>p!E124^2</f>
        <v>3.1210012171904748E-5</v>
      </c>
      <c r="F124" s="3">
        <f>p!F124^2</f>
        <v>0</v>
      </c>
      <c r="G124" s="3">
        <f>p!G124^2</f>
        <v>0</v>
      </c>
      <c r="H124" s="3">
        <f>p!H124^2</f>
        <v>0.10499048094628756</v>
      </c>
      <c r="I124" s="3">
        <f>p!I124^2</f>
        <v>0</v>
      </c>
      <c r="J124" s="3">
        <f>p!J124^2</f>
        <v>1.5292905964233326E-3</v>
      </c>
      <c r="K124" s="3">
        <f>p!K124^2</f>
        <v>0</v>
      </c>
      <c r="L124" s="3">
        <f>p!L124^2</f>
        <v>0</v>
      </c>
      <c r="M124" s="3">
        <f>p!M124^2</f>
        <v>0</v>
      </c>
      <c r="N124" s="3">
        <f>p!N124^2</f>
        <v>1.2484004868761899E-4</v>
      </c>
      <c r="O124" s="3">
        <f>p!O124^2</f>
        <v>7.0222527386785676E-3</v>
      </c>
      <c r="P124" s="3">
        <f>p!P124^2</f>
        <v>0</v>
      </c>
      <c r="Q124" s="3">
        <f>p!Q124^2</f>
        <v>1.5292905964233326E-3</v>
      </c>
      <c r="R124" s="3">
        <f>p!R124^2</f>
        <v>0</v>
      </c>
      <c r="S124" s="3">
        <f>p!S124^2</f>
        <v>0</v>
      </c>
      <c r="T124" s="3">
        <f>p!T124^2</f>
        <v>0</v>
      </c>
      <c r="U124" s="3">
        <f>p!U124^2</f>
        <v>0</v>
      </c>
      <c r="V124" s="3">
        <f>p!V124^2</f>
        <v>0</v>
      </c>
      <c r="W124" s="3">
        <f>p!W124^2</f>
        <v>0</v>
      </c>
      <c r="X124" s="3">
        <f>p!X124^2</f>
        <v>0</v>
      </c>
      <c r="Y124" s="3">
        <f>p!Y124^2</f>
        <v>0</v>
      </c>
      <c r="Z124" s="3">
        <f>p!Z124^2</f>
        <v>0</v>
      </c>
      <c r="AA124" s="3">
        <f>p!AA124^2</f>
        <v>0</v>
      </c>
    </row>
    <row r="125" spans="2:27" x14ac:dyDescent="0.25">
      <c r="B125" s="3">
        <f>p!B125^2</f>
        <v>1.3626247180123849E-4</v>
      </c>
      <c r="C125" s="3">
        <f>p!C125^2</f>
        <v>0</v>
      </c>
      <c r="D125" s="3">
        <f>p!D125^2</f>
        <v>0</v>
      </c>
      <c r="E125" s="3">
        <f>p!E125^2</f>
        <v>0</v>
      </c>
      <c r="F125" s="3">
        <f>p!F125^2</f>
        <v>0</v>
      </c>
      <c r="G125" s="3">
        <f>p!G125^2</f>
        <v>0</v>
      </c>
      <c r="H125" s="3">
        <f>p!H125^2</f>
        <v>0</v>
      </c>
      <c r="I125" s="3">
        <f>p!I125^2</f>
        <v>0</v>
      </c>
      <c r="J125" s="3">
        <f>p!J125^2</f>
        <v>6.5951036351799414E-2</v>
      </c>
      <c r="K125" s="3">
        <f>p!K125^2</f>
        <v>0</v>
      </c>
      <c r="L125" s="3">
        <f>p!L125^2</f>
        <v>0</v>
      </c>
      <c r="M125" s="3">
        <f>p!M125^2</f>
        <v>0</v>
      </c>
      <c r="N125" s="3">
        <f>p!N125^2</f>
        <v>0</v>
      </c>
      <c r="O125" s="3">
        <f>p!O125^2</f>
        <v>0</v>
      </c>
      <c r="P125" s="3">
        <f>p!P125^2</f>
        <v>0</v>
      </c>
      <c r="Q125" s="3">
        <f>p!Q125^2</f>
        <v>6.0561098578328211E-5</v>
      </c>
      <c r="R125" s="3">
        <f>p!R125^2</f>
        <v>0</v>
      </c>
      <c r="S125" s="3">
        <f>p!S125^2</f>
        <v>0</v>
      </c>
      <c r="T125" s="3">
        <f>p!T125^2</f>
        <v>0</v>
      </c>
      <c r="U125" s="3">
        <f>p!U125^2</f>
        <v>0</v>
      </c>
      <c r="V125" s="3">
        <f>p!V125^2</f>
        <v>0</v>
      </c>
      <c r="W125" s="3">
        <f>p!W125^2</f>
        <v>0</v>
      </c>
      <c r="X125" s="3">
        <f>p!X125^2</f>
        <v>0</v>
      </c>
      <c r="Y125" s="3">
        <f>p!Y125^2</f>
        <v>0</v>
      </c>
      <c r="Z125" s="3">
        <f>p!Z125^2</f>
        <v>0</v>
      </c>
      <c r="AA125" s="3">
        <f>p!AA125^2</f>
        <v>0</v>
      </c>
    </row>
    <row r="126" spans="2:27" x14ac:dyDescent="0.25">
      <c r="B126" s="3">
        <f>p!B126^2</f>
        <v>2.227667631989307E-4</v>
      </c>
      <c r="C126" s="3">
        <f>p!C126^2</f>
        <v>0</v>
      </c>
      <c r="D126" s="3">
        <f>p!D126^2</f>
        <v>0</v>
      </c>
      <c r="E126" s="3">
        <f>p!E126^2</f>
        <v>0</v>
      </c>
      <c r="F126" s="3">
        <f>p!F126^2</f>
        <v>0</v>
      </c>
      <c r="G126" s="3">
        <f>p!G126^2</f>
        <v>0</v>
      </c>
      <c r="H126" s="3">
        <f>p!H126^2</f>
        <v>0</v>
      </c>
      <c r="I126" s="3">
        <f>p!I126^2</f>
        <v>0</v>
      </c>
      <c r="J126" s="3">
        <f>p!J126^2</f>
        <v>0.27288928491869008</v>
      </c>
      <c r="K126" s="3">
        <f>p!K126^2</f>
        <v>0</v>
      </c>
      <c r="L126" s="3">
        <f>p!L126^2</f>
        <v>0</v>
      </c>
      <c r="M126" s="3">
        <f>p!M126^2</f>
        <v>0</v>
      </c>
      <c r="N126" s="3">
        <f>p!N126^2</f>
        <v>0</v>
      </c>
      <c r="O126" s="3">
        <f>p!O126^2</f>
        <v>5.5691690799732676E-5</v>
      </c>
      <c r="P126" s="3">
        <f>p!P126^2</f>
        <v>0</v>
      </c>
      <c r="Q126" s="3">
        <f>p!Q126^2</f>
        <v>0</v>
      </c>
      <c r="R126" s="3">
        <f>p!R126^2</f>
        <v>0</v>
      </c>
      <c r="S126" s="3">
        <f>p!S126^2</f>
        <v>0</v>
      </c>
      <c r="T126" s="3">
        <f>p!T126^2</f>
        <v>0</v>
      </c>
      <c r="U126" s="3">
        <f>p!U126^2</f>
        <v>0</v>
      </c>
      <c r="V126" s="3">
        <f>p!V126^2</f>
        <v>0</v>
      </c>
      <c r="W126" s="3">
        <f>p!W126^2</f>
        <v>0</v>
      </c>
      <c r="X126" s="3">
        <f>p!X126^2</f>
        <v>0</v>
      </c>
      <c r="Y126" s="3">
        <f>p!Y126^2</f>
        <v>0</v>
      </c>
      <c r="Z126" s="3">
        <f>p!Z126^2</f>
        <v>0</v>
      </c>
      <c r="AA126" s="3">
        <f>p!AA126^2</f>
        <v>0</v>
      </c>
    </row>
    <row r="127" spans="2:27" x14ac:dyDescent="0.25">
      <c r="B127" s="3">
        <f>p!B127^2</f>
        <v>1.2755102040816326E-3</v>
      </c>
      <c r="C127" s="3">
        <f>p!C127^2</f>
        <v>2.7777777777777776E-2</v>
      </c>
      <c r="D127" s="3">
        <f>p!D127^2</f>
        <v>0</v>
      </c>
      <c r="E127" s="3">
        <f>p!E127^2</f>
        <v>1.4172335600907027E-4</v>
      </c>
      <c r="F127" s="3">
        <f>p!F127^2</f>
        <v>0</v>
      </c>
      <c r="G127" s="3">
        <f>p!G127^2</f>
        <v>0</v>
      </c>
      <c r="H127" s="3">
        <f>p!H127^2</f>
        <v>1.2755102040816326E-3</v>
      </c>
      <c r="I127" s="3">
        <f>p!I127^2</f>
        <v>1.2755102040816326E-3</v>
      </c>
      <c r="J127" s="3">
        <f>p!J127^2</f>
        <v>6.9444444444444441E-3</v>
      </c>
      <c r="K127" s="3">
        <f>p!K127^2</f>
        <v>0</v>
      </c>
      <c r="L127" s="3">
        <f>p!L127^2</f>
        <v>0</v>
      </c>
      <c r="M127" s="3">
        <f>p!M127^2</f>
        <v>0</v>
      </c>
      <c r="N127" s="3">
        <f>p!N127^2</f>
        <v>0</v>
      </c>
      <c r="O127" s="3">
        <f>p!O127^2</f>
        <v>9.0702947845804974E-3</v>
      </c>
      <c r="P127" s="3">
        <f>p!P127^2</f>
        <v>0</v>
      </c>
      <c r="Q127" s="3">
        <f>p!Q127^2</f>
        <v>2.2675736961451243E-3</v>
      </c>
      <c r="R127" s="3">
        <f>p!R127^2</f>
        <v>0</v>
      </c>
      <c r="S127" s="3">
        <f>p!S127^2</f>
        <v>0</v>
      </c>
      <c r="T127" s="3">
        <f>p!T127^2</f>
        <v>0</v>
      </c>
      <c r="U127" s="3">
        <f>p!U127^2</f>
        <v>0</v>
      </c>
      <c r="V127" s="3">
        <f>p!V127^2</f>
        <v>0</v>
      </c>
      <c r="W127" s="3">
        <f>p!W127^2</f>
        <v>0</v>
      </c>
      <c r="X127" s="3">
        <f>p!X127^2</f>
        <v>6.9444444444444441E-3</v>
      </c>
      <c r="Y127" s="3">
        <f>p!Y127^2</f>
        <v>0</v>
      </c>
      <c r="Z127" s="3">
        <f>p!Z127^2</f>
        <v>0</v>
      </c>
      <c r="AA127" s="3">
        <f>p!AA127^2</f>
        <v>0</v>
      </c>
    </row>
    <row r="128" spans="2:27" x14ac:dyDescent="0.25">
      <c r="B128" s="3">
        <f>p!B128^2</f>
        <v>1.2345679012345679E-4</v>
      </c>
      <c r="C128" s="3">
        <f>p!C128^2</f>
        <v>1.0000000000000002E-2</v>
      </c>
      <c r="D128" s="3">
        <f>p!D128^2</f>
        <v>0</v>
      </c>
      <c r="E128" s="3">
        <f>p!E128^2</f>
        <v>0</v>
      </c>
      <c r="F128" s="3">
        <f>p!F128^2</f>
        <v>0</v>
      </c>
      <c r="G128" s="3">
        <f>p!G128^2</f>
        <v>0</v>
      </c>
      <c r="H128" s="3">
        <f>p!H128^2</f>
        <v>1.1111111111111111E-3</v>
      </c>
      <c r="I128" s="3">
        <f>p!I128^2</f>
        <v>1.9753086419753087E-3</v>
      </c>
      <c r="J128" s="3">
        <f>p!J128^2</f>
        <v>4.4444444444444444E-3</v>
      </c>
      <c r="K128" s="3">
        <f>p!K128^2</f>
        <v>0</v>
      </c>
      <c r="L128" s="3">
        <f>p!L128^2</f>
        <v>0</v>
      </c>
      <c r="M128" s="3">
        <f>p!M128^2</f>
        <v>0</v>
      </c>
      <c r="N128" s="3">
        <f>p!N128^2</f>
        <v>0</v>
      </c>
      <c r="O128" s="3">
        <f>p!O128^2</f>
        <v>1.1111111111111111E-3</v>
      </c>
      <c r="P128" s="3">
        <f>p!P128^2</f>
        <v>0</v>
      </c>
      <c r="Q128" s="3">
        <f>p!Q128^2</f>
        <v>1.4938271604938274E-2</v>
      </c>
      <c r="R128" s="3">
        <f>p!R128^2</f>
        <v>0</v>
      </c>
      <c r="S128" s="3">
        <f>p!S128^2</f>
        <v>0</v>
      </c>
      <c r="T128" s="3">
        <f>p!T128^2</f>
        <v>0</v>
      </c>
      <c r="U128" s="3">
        <f>p!U128^2</f>
        <v>0</v>
      </c>
      <c r="V128" s="3">
        <f>p!V128^2</f>
        <v>0</v>
      </c>
      <c r="W128" s="3">
        <f>p!W128^2</f>
        <v>0</v>
      </c>
      <c r="X128" s="3">
        <f>p!X128^2</f>
        <v>1.234567901234568E-2</v>
      </c>
      <c r="Y128" s="3">
        <f>p!Y128^2</f>
        <v>0</v>
      </c>
      <c r="Z128" s="3">
        <f>p!Z128^2</f>
        <v>0</v>
      </c>
      <c r="AA128" s="3">
        <f>p!AA128^2</f>
        <v>0</v>
      </c>
    </row>
    <row r="129" spans="2:27" x14ac:dyDescent="0.25">
      <c r="B129" s="3">
        <f>p!B129^2</f>
        <v>0</v>
      </c>
      <c r="C129" s="3">
        <f>p!C129^2</f>
        <v>6.817607945459137E-3</v>
      </c>
      <c r="D129" s="3">
        <f>p!D129^2</f>
        <v>0</v>
      </c>
      <c r="E129" s="3">
        <f>p!E129^2</f>
        <v>0</v>
      </c>
      <c r="F129" s="3">
        <f>p!F129^2</f>
        <v>0</v>
      </c>
      <c r="G129" s="3">
        <f>p!G129^2</f>
        <v>0</v>
      </c>
      <c r="H129" s="3">
        <f>p!H129^2</f>
        <v>0</v>
      </c>
      <c r="I129" s="3">
        <f>p!I129^2</f>
        <v>3.3667199730662403E-4</v>
      </c>
      <c r="J129" s="3">
        <f>p!J129^2</f>
        <v>4.4524871643801034E-2</v>
      </c>
      <c r="K129" s="3">
        <f>p!K129^2</f>
        <v>0</v>
      </c>
      <c r="L129" s="3">
        <f>p!L129^2</f>
        <v>0</v>
      </c>
      <c r="M129" s="3">
        <f>p!M129^2</f>
        <v>0</v>
      </c>
      <c r="N129" s="3">
        <f>p!N129^2</f>
        <v>0</v>
      </c>
      <c r="O129" s="3">
        <f>p!O129^2</f>
        <v>3.0300479757596156E-3</v>
      </c>
      <c r="P129" s="3">
        <f>p!P129^2</f>
        <v>0</v>
      </c>
      <c r="Q129" s="3">
        <f>p!Q129^2</f>
        <v>0</v>
      </c>
      <c r="R129" s="3">
        <f>p!R129^2</f>
        <v>0</v>
      </c>
      <c r="S129" s="3">
        <f>p!S129^2</f>
        <v>0</v>
      </c>
      <c r="T129" s="3">
        <f>p!T129^2</f>
        <v>0</v>
      </c>
      <c r="U129" s="3">
        <f>p!U129^2</f>
        <v>0</v>
      </c>
      <c r="V129" s="3">
        <f>p!V129^2</f>
        <v>0</v>
      </c>
      <c r="W129" s="3">
        <f>p!W129^2</f>
        <v>0</v>
      </c>
      <c r="X129" s="3">
        <f>p!X129^2</f>
        <v>0</v>
      </c>
      <c r="Y129" s="3">
        <f>p!Y129^2</f>
        <v>8.4167999326656008E-5</v>
      </c>
      <c r="Z129" s="3">
        <f>p!Z129^2</f>
        <v>0</v>
      </c>
      <c r="AA129" s="3">
        <f>p!AA129^2</f>
        <v>0</v>
      </c>
    </row>
    <row r="130" spans="2:27" x14ac:dyDescent="0.25">
      <c r="B130" s="3">
        <f>p!B130^2</f>
        <v>0.13795918367346935</v>
      </c>
      <c r="C130" s="3">
        <f>p!C130^2</f>
        <v>0</v>
      </c>
      <c r="D130" s="3">
        <f>p!D130^2</f>
        <v>0</v>
      </c>
      <c r="E130" s="3">
        <f>p!E130^2</f>
        <v>1.3061224489795917E-2</v>
      </c>
      <c r="F130" s="3">
        <f>p!F130^2</f>
        <v>0</v>
      </c>
      <c r="G130" s="3">
        <f>p!G130^2</f>
        <v>0</v>
      </c>
      <c r="H130" s="3">
        <f>p!H130^2</f>
        <v>0</v>
      </c>
      <c r="I130" s="3">
        <f>p!I130^2</f>
        <v>0</v>
      </c>
      <c r="J130" s="3">
        <f>p!J130^2</f>
        <v>0</v>
      </c>
      <c r="K130" s="3">
        <f>p!K130^2</f>
        <v>0</v>
      </c>
      <c r="L130" s="3">
        <f>p!L130^2</f>
        <v>0</v>
      </c>
      <c r="M130" s="3">
        <f>p!M130^2</f>
        <v>0</v>
      </c>
      <c r="N130" s="3">
        <f>p!N130^2</f>
        <v>7.3469387755102046E-3</v>
      </c>
      <c r="O130" s="3">
        <f>p!O130^2</f>
        <v>0</v>
      </c>
      <c r="P130" s="3">
        <f>p!P130^2</f>
        <v>0</v>
      </c>
      <c r="Q130" s="3">
        <f>p!Q130^2</f>
        <v>0</v>
      </c>
      <c r="R130" s="3">
        <f>p!R130^2</f>
        <v>0</v>
      </c>
      <c r="S130" s="3">
        <f>p!S130^2</f>
        <v>0</v>
      </c>
      <c r="T130" s="3">
        <f>p!T130^2</f>
        <v>0</v>
      </c>
      <c r="U130" s="3">
        <f>p!U130^2</f>
        <v>0</v>
      </c>
      <c r="V130" s="3">
        <f>p!V130^2</f>
        <v>0</v>
      </c>
      <c r="W130" s="3">
        <f>p!W130^2</f>
        <v>0</v>
      </c>
      <c r="X130" s="3">
        <f>p!X130^2</f>
        <v>2.0408163265306121E-2</v>
      </c>
      <c r="Y130" s="3">
        <f>p!Y130^2</f>
        <v>0</v>
      </c>
      <c r="Z130" s="3">
        <f>p!Z130^2</f>
        <v>0</v>
      </c>
      <c r="AA130" s="3">
        <f>p!AA130^2</f>
        <v>0</v>
      </c>
    </row>
    <row r="131" spans="2:27" x14ac:dyDescent="0.25">
      <c r="B131" s="3">
        <f>p!B131^2</f>
        <v>0</v>
      </c>
      <c r="C131" s="3">
        <f>p!C131^2</f>
        <v>0</v>
      </c>
      <c r="D131" s="3">
        <f>p!D131^2</f>
        <v>0</v>
      </c>
      <c r="E131" s="3">
        <f>p!E131^2</f>
        <v>0</v>
      </c>
      <c r="F131" s="3">
        <f>p!F131^2</f>
        <v>7.9978848568973502E-3</v>
      </c>
      <c r="G131" s="3">
        <f>p!G131^2</f>
        <v>0</v>
      </c>
      <c r="H131" s="3">
        <f>p!H131^2</f>
        <v>0</v>
      </c>
      <c r="I131" s="3">
        <f>p!I131^2</f>
        <v>6.6098221957829316E-5</v>
      </c>
      <c r="J131" s="3">
        <f>p!J131^2</f>
        <v>0.50029744199880999</v>
      </c>
      <c r="K131" s="3">
        <f>p!K131^2</f>
        <v>0</v>
      </c>
      <c r="L131" s="3">
        <f>p!L131^2</f>
        <v>0</v>
      </c>
      <c r="M131" s="3">
        <f>p!M131^2</f>
        <v>0</v>
      </c>
      <c r="N131" s="3">
        <f>p!N131^2</f>
        <v>0</v>
      </c>
      <c r="O131" s="3">
        <f>p!O131^2</f>
        <v>2.6439288783131727E-4</v>
      </c>
      <c r="P131" s="3">
        <f>p!P131^2</f>
        <v>0</v>
      </c>
      <c r="Q131" s="3">
        <f>p!Q131^2</f>
        <v>2.3795359904818557E-3</v>
      </c>
      <c r="R131" s="3">
        <f>p!R131^2</f>
        <v>0</v>
      </c>
      <c r="S131" s="3">
        <f>p!S131^2</f>
        <v>0</v>
      </c>
      <c r="T131" s="3">
        <f>p!T131^2</f>
        <v>0</v>
      </c>
      <c r="U131" s="3">
        <f>p!U131^2</f>
        <v>0</v>
      </c>
      <c r="V131" s="3">
        <f>p!V131^2</f>
        <v>0</v>
      </c>
      <c r="W131" s="3">
        <f>p!W131^2</f>
        <v>0</v>
      </c>
      <c r="X131" s="3">
        <f>p!X131^2</f>
        <v>1.6524555489457332E-3</v>
      </c>
      <c r="Y131" s="3">
        <f>p!Y131^2</f>
        <v>0</v>
      </c>
      <c r="Z131" s="3">
        <f>p!Z131^2</f>
        <v>0</v>
      </c>
      <c r="AA131" s="3">
        <f>p!AA131^2</f>
        <v>1.0575715513252691E-3</v>
      </c>
    </row>
    <row r="132" spans="2:27" x14ac:dyDescent="0.25">
      <c r="B132" s="3">
        <f>p!B132^2</f>
        <v>0</v>
      </c>
      <c r="C132" s="3">
        <f>p!C132^2</f>
        <v>0</v>
      </c>
      <c r="D132" s="3">
        <f>p!D132^2</f>
        <v>0</v>
      </c>
      <c r="E132" s="3">
        <f>p!E132^2</f>
        <v>0</v>
      </c>
      <c r="F132" s="3">
        <f>p!F132^2</f>
        <v>4.8091720529393683E-4</v>
      </c>
      <c r="G132" s="3">
        <f>p!G132^2</f>
        <v>0</v>
      </c>
      <c r="H132" s="3">
        <f>p!H132^2</f>
        <v>0</v>
      </c>
      <c r="I132" s="3">
        <f>p!I132^2</f>
        <v>0</v>
      </c>
      <c r="J132" s="3">
        <f>p!J132^2</f>
        <v>0.80055401662049885</v>
      </c>
      <c r="K132" s="3">
        <f>p!K132^2</f>
        <v>0</v>
      </c>
      <c r="L132" s="3">
        <f>p!L132^2</f>
        <v>0</v>
      </c>
      <c r="M132" s="3">
        <f>p!M132^2</f>
        <v>0</v>
      </c>
      <c r="N132" s="3">
        <f>p!N132^2</f>
        <v>7.694675284702988E-5</v>
      </c>
      <c r="O132" s="3">
        <f>p!O132^2</f>
        <v>0</v>
      </c>
      <c r="P132" s="3">
        <f>p!P132^2</f>
        <v>0</v>
      </c>
      <c r="Q132" s="3">
        <f>p!Q132^2</f>
        <v>7.694675284702988E-5</v>
      </c>
      <c r="R132" s="3">
        <f>p!R132^2</f>
        <v>0</v>
      </c>
      <c r="S132" s="3">
        <f>p!S132^2</f>
        <v>0</v>
      </c>
      <c r="T132" s="3">
        <f>p!T132^2</f>
        <v>0</v>
      </c>
      <c r="U132" s="3">
        <f>p!U132^2</f>
        <v>0</v>
      </c>
      <c r="V132" s="3">
        <f>p!V132^2</f>
        <v>0</v>
      </c>
      <c r="W132" s="3">
        <f>p!W132^2</f>
        <v>0</v>
      </c>
      <c r="X132" s="3">
        <f>p!X132^2</f>
        <v>4.8091720529393683E-4</v>
      </c>
      <c r="Y132" s="3">
        <f>p!Y132^2</f>
        <v>0</v>
      </c>
      <c r="Z132" s="3">
        <f>p!Z132^2</f>
        <v>0</v>
      </c>
      <c r="AA132" s="3">
        <f>p!AA132^2</f>
        <v>1.923668821175747E-5</v>
      </c>
    </row>
    <row r="133" spans="2:27" x14ac:dyDescent="0.25">
      <c r="B133" s="3">
        <f>p!B133^2</f>
        <v>6.0092542515473842E-5</v>
      </c>
      <c r="C133" s="3">
        <f>p!C133^2</f>
        <v>0</v>
      </c>
      <c r="D133" s="3">
        <f>p!D133^2</f>
        <v>0</v>
      </c>
      <c r="E133" s="3">
        <f>p!E133^2</f>
        <v>0</v>
      </c>
      <c r="F133" s="3">
        <f>p!F133^2</f>
        <v>5.408328826392644E-4</v>
      </c>
      <c r="G133" s="3">
        <f>p!G133^2</f>
        <v>0</v>
      </c>
      <c r="H133" s="3">
        <f>p!H133^2</f>
        <v>0</v>
      </c>
      <c r="I133" s="3">
        <f>p!I133^2</f>
        <v>6.0092542515473842E-5</v>
      </c>
      <c r="J133" s="3">
        <f>p!J133^2</f>
        <v>0.42401297998918352</v>
      </c>
      <c r="K133" s="3">
        <f>p!K133^2</f>
        <v>0</v>
      </c>
      <c r="L133" s="3">
        <f>p!L133^2</f>
        <v>0</v>
      </c>
      <c r="M133" s="3">
        <f>p!M133^2</f>
        <v>0</v>
      </c>
      <c r="N133" s="3">
        <f>p!N133^2</f>
        <v>6.0092542515473842E-5</v>
      </c>
      <c r="O133" s="3">
        <f>p!O133^2</f>
        <v>6.0092542515473842E-5</v>
      </c>
      <c r="P133" s="3">
        <f>p!P133^2</f>
        <v>0</v>
      </c>
      <c r="Q133" s="3">
        <f>p!Q133^2</f>
        <v>2.650081124932397E-2</v>
      </c>
      <c r="R133" s="3">
        <f>p!R133^2</f>
        <v>0</v>
      </c>
      <c r="S133" s="3">
        <f>p!S133^2</f>
        <v>0</v>
      </c>
      <c r="T133" s="3">
        <f>p!T133^2</f>
        <v>0</v>
      </c>
      <c r="U133" s="3">
        <f>p!U133^2</f>
        <v>0</v>
      </c>
      <c r="V133" s="3">
        <f>p!V133^2</f>
        <v>0</v>
      </c>
      <c r="W133" s="3">
        <f>p!W133^2</f>
        <v>0</v>
      </c>
      <c r="X133" s="3">
        <f>p!X133^2</f>
        <v>1.5023135628868462E-3</v>
      </c>
      <c r="Y133" s="3">
        <f>p!Y133^2</f>
        <v>0</v>
      </c>
      <c r="Z133" s="3">
        <f>p!Z133^2</f>
        <v>0</v>
      </c>
      <c r="AA133" s="3">
        <f>p!AA133^2</f>
        <v>9.6148068024758148E-4</v>
      </c>
    </row>
  </sheetData>
  <phoneticPr fontId="1" type="noConversion"/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CB4735-6F98-4DCF-81D4-D67F6B30DD3B}">
  <dimension ref="A1:AA134"/>
  <sheetViews>
    <sheetView workbookViewId="0">
      <selection activeCell="B2" sqref="B2"/>
    </sheetView>
  </sheetViews>
  <sheetFormatPr defaultRowHeight="15" x14ac:dyDescent="0.25"/>
  <cols>
    <col min="1" max="1" width="9.140625" style="13"/>
  </cols>
  <sheetData>
    <row r="1" spans="1:27" x14ac:dyDescent="0.25">
      <c r="A1" s="13" t="s">
        <v>0</v>
      </c>
      <c r="B1" t="s">
        <v>4</v>
      </c>
      <c r="C1" t="s">
        <v>26</v>
      </c>
      <c r="D1" t="s">
        <v>9</v>
      </c>
      <c r="E1" t="s">
        <v>5</v>
      </c>
      <c r="F1" t="s">
        <v>6</v>
      </c>
      <c r="G1" t="s">
        <v>7</v>
      </c>
      <c r="H1" t="s">
        <v>69</v>
      </c>
      <c r="I1" t="s">
        <v>8</v>
      </c>
      <c r="J1" t="s">
        <v>10</v>
      </c>
      <c r="K1" t="s">
        <v>39</v>
      </c>
      <c r="L1" t="s">
        <v>28</v>
      </c>
      <c r="M1" t="s">
        <v>29</v>
      </c>
      <c r="N1" t="s">
        <v>30</v>
      </c>
      <c r="O1" t="s">
        <v>36</v>
      </c>
      <c r="P1" t="s">
        <v>58</v>
      </c>
      <c r="Q1" t="s">
        <v>68</v>
      </c>
      <c r="R1" t="s">
        <v>81</v>
      </c>
      <c r="S1" t="s">
        <v>82</v>
      </c>
      <c r="T1" t="s">
        <v>98</v>
      </c>
      <c r="U1" t="s">
        <v>102</v>
      </c>
      <c r="V1" t="s">
        <v>112</v>
      </c>
      <c r="X1" t="s">
        <v>119</v>
      </c>
      <c r="Y1" t="s">
        <v>126</v>
      </c>
      <c r="Z1" t="s">
        <v>127</v>
      </c>
    </row>
    <row r="2" spans="1:27" x14ac:dyDescent="0.25">
      <c r="A2" s="13" t="s">
        <v>11</v>
      </c>
      <c r="B2" s="3">
        <f>IF(ISNUMBER(p!B2*LN(p!B2)),p!B2*LN(p!B2),0)</f>
        <v>-0.19431785778641672</v>
      </c>
      <c r="C2" s="3">
        <f>IF(ISNUMBER(p!C2*LN(p!C2)),p!C2*LN(p!C2),0)</f>
        <v>-0.32188758248682009</v>
      </c>
      <c r="D2" s="3">
        <f>IF(ISNUMBER(p!D2*LN(p!D2)),p!D2*LN(p!D2),0)</f>
        <v>0</v>
      </c>
      <c r="E2" s="3">
        <f>IF(ISNUMBER(p!E2*LN(p!E2)),p!E2*LN(p!E2),0)</f>
        <v>0</v>
      </c>
      <c r="F2" s="3">
        <f>IF(ISNUMBER(p!F2*LN(p!F2)),p!F2*LN(p!F2),0)</f>
        <v>0</v>
      </c>
      <c r="G2" s="3">
        <f>IF(ISNUMBER(p!G2*LN(p!G2)),p!G2*LN(p!G2),0)</f>
        <v>0</v>
      </c>
      <c r="H2" s="3">
        <f>IF(ISNUMBER(p!H2*LN(p!H2)),p!H2*LN(p!H2),0)</f>
        <v>0</v>
      </c>
      <c r="I2" s="3">
        <f>IF(ISNUMBER(p!I2*LN(p!I2)),p!I2*LN(p!I2),0)</f>
        <v>0</v>
      </c>
      <c r="J2" s="3">
        <f>IF(ISNUMBER(p!J2*LN(p!J2)),p!J2*LN(p!J2),0)</f>
        <v>-8.0236995594878582E-2</v>
      </c>
      <c r="K2" s="3">
        <f>IF(ISNUMBER(p!K2*LN(p!K2)),p!K2*LN(p!K2),0)</f>
        <v>0</v>
      </c>
      <c r="L2" s="3">
        <f>IF(ISNUMBER(p!L2*LN(p!L2)),p!L2*LN(p!L2),0)</f>
        <v>0</v>
      </c>
      <c r="M2" s="3">
        <f>IF(ISNUMBER(p!M2*LN(p!M2)),p!M2*LN(p!M2),0)</f>
        <v>0</v>
      </c>
      <c r="N2" s="3">
        <f>IF(ISNUMBER(p!N2*LN(p!N2)),p!N2*LN(p!N2),0)</f>
        <v>0</v>
      </c>
      <c r="O2" s="3">
        <f>IF(ISNUMBER(p!O2*LN(p!O2)),p!O2*LN(p!O2),0)</f>
        <v>0</v>
      </c>
      <c r="P2" s="3">
        <f>IF(ISNUMBER(p!P2*LN(p!P2)),p!P2*LN(p!P2),0)</f>
        <v>0</v>
      </c>
      <c r="Q2" s="3">
        <f>IF(ISNUMBER(p!Q2*LN(p!Q2)),p!Q2*LN(p!Q2),0)</f>
        <v>0</v>
      </c>
      <c r="R2" s="3">
        <f>IF(ISNUMBER(p!R2*LN(p!R2)),p!R2*LN(p!R2),0)</f>
        <v>0</v>
      </c>
      <c r="S2" s="3">
        <f>IF(ISNUMBER(p!S2*LN(p!S2)),p!S2*LN(p!S2),0)</f>
        <v>0</v>
      </c>
      <c r="T2" s="3">
        <f>IF(ISNUMBER(p!T2*LN(p!T2)),p!T2*LN(p!T2),0)</f>
        <v>0</v>
      </c>
      <c r="U2" s="3">
        <f>IF(ISNUMBER(p!U2*LN(p!U2)),p!U2*LN(p!U2),0)</f>
        <v>0</v>
      </c>
      <c r="V2" s="3">
        <f>IF(ISNUMBER(p!V2*LN(p!V2)),p!V2*LN(p!V2),0)</f>
        <v>0</v>
      </c>
      <c r="W2" s="3">
        <f>IF(ISNUMBER(p!W2*LN(p!W2)),p!W2*LN(p!W2),0)</f>
        <v>0</v>
      </c>
      <c r="X2" s="3">
        <f>IF(ISNUMBER(p!X2*LN(p!X2)),p!X2*LN(p!X2),0)</f>
        <v>0</v>
      </c>
      <c r="Y2" s="3">
        <f>IF(ISNUMBER(p!Y2*LN(p!Y2)),p!Y2*LN(p!Y2),0)</f>
        <v>0</v>
      </c>
      <c r="Z2" s="3">
        <f>IF(ISNUMBER(p!Z2*LN(p!Z2)),p!Z2*LN(p!Z2),0)</f>
        <v>0</v>
      </c>
      <c r="AA2" s="3">
        <f>IF(ISNUMBER(p!AA2*LN(p!AA2)),p!AA2*LN(p!AA2),0)</f>
        <v>0</v>
      </c>
    </row>
    <row r="3" spans="1:27" x14ac:dyDescent="0.25">
      <c r="A3" s="13" t="s">
        <v>12</v>
      </c>
      <c r="B3" s="3">
        <f>IF(ISNUMBER(p!B3*LN(p!B3)),p!B3*LN(p!B3),0)</f>
        <v>-0.24754385804460879</v>
      </c>
      <c r="C3" s="3">
        <f>IF(ISNUMBER(p!C3*LN(p!C3)),p!C3*LN(p!C3),0)</f>
        <v>-0.36050122300920956</v>
      </c>
      <c r="D3" s="3">
        <f>IF(ISNUMBER(p!D3*LN(p!D3)),p!D3*LN(p!D3),0)</f>
        <v>0</v>
      </c>
      <c r="E3" s="3">
        <f>IF(ISNUMBER(p!E3*LN(p!E3)),p!E3*LN(p!E3),0)</f>
        <v>0</v>
      </c>
      <c r="F3" s="3">
        <f>IF(ISNUMBER(p!F3*LN(p!F3)),p!F3*LN(p!F3),0)</f>
        <v>0</v>
      </c>
      <c r="G3" s="3">
        <f>IF(ISNUMBER(p!G3*LN(p!G3)),p!G3*LN(p!G3),0)</f>
        <v>0</v>
      </c>
      <c r="H3" s="3">
        <f>IF(ISNUMBER(p!H3*LN(p!H3)),p!H3*LN(p!H3),0)</f>
        <v>0</v>
      </c>
      <c r="I3" s="3">
        <f>IF(ISNUMBER(p!I3*LN(p!I3)),p!I3*LN(p!I3),0)</f>
        <v>0</v>
      </c>
      <c r="J3" s="3">
        <f>IF(ISNUMBER(p!J3*LN(p!J3)),p!J3*LN(p!J3),0)</f>
        <v>0</v>
      </c>
      <c r="K3" s="3">
        <f>IF(ISNUMBER(p!K3*LN(p!K3)),p!K3*LN(p!K3),0)</f>
        <v>0</v>
      </c>
      <c r="L3" s="3">
        <f>IF(ISNUMBER(p!L3*LN(p!L3)),p!L3*LN(p!L3),0)</f>
        <v>0</v>
      </c>
      <c r="M3" s="3">
        <f>IF(ISNUMBER(p!M3*LN(p!M3)),p!M3*LN(p!M3),0)</f>
        <v>0</v>
      </c>
      <c r="N3" s="3">
        <f>IF(ISNUMBER(p!N3*LN(p!N3)),p!N3*LN(p!N3),0)</f>
        <v>0</v>
      </c>
      <c r="O3" s="3">
        <f>IF(ISNUMBER(p!O3*LN(p!O3)),p!O3*LN(p!O3),0)</f>
        <v>0</v>
      </c>
      <c r="P3" s="3">
        <f>IF(ISNUMBER(p!P3*LN(p!P3)),p!P3*LN(p!P3),0)</f>
        <v>0</v>
      </c>
      <c r="Q3" s="3">
        <f>IF(ISNUMBER(p!Q3*LN(p!Q3)),p!Q3*LN(p!Q3),0)</f>
        <v>0</v>
      </c>
      <c r="R3" s="3">
        <f>IF(ISNUMBER(p!R3*LN(p!R3)),p!R3*LN(p!R3),0)</f>
        <v>0</v>
      </c>
      <c r="S3" s="3">
        <f>IF(ISNUMBER(p!S3*LN(p!S3)),p!S3*LN(p!S3),0)</f>
        <v>0</v>
      </c>
      <c r="T3" s="3">
        <f>IF(ISNUMBER(p!T3*LN(p!T3)),p!T3*LN(p!T3),0)</f>
        <v>0</v>
      </c>
      <c r="U3" s="3">
        <f>IF(ISNUMBER(p!U3*LN(p!U3)),p!U3*LN(p!U3),0)</f>
        <v>0</v>
      </c>
      <c r="V3" s="3">
        <f>IF(ISNUMBER(p!V3*LN(p!V3)),p!V3*LN(p!V3),0)</f>
        <v>0</v>
      </c>
      <c r="W3" s="3">
        <f>IF(ISNUMBER(p!W3*LN(p!W3)),p!W3*LN(p!W3),0)</f>
        <v>0</v>
      </c>
      <c r="X3" s="3">
        <f>IF(ISNUMBER(p!X3*LN(p!X3)),p!X3*LN(p!X3),0)</f>
        <v>0</v>
      </c>
      <c r="Y3" s="3">
        <f>IF(ISNUMBER(p!Y3*LN(p!Y3)),p!Y3*LN(p!Y3),0)</f>
        <v>0</v>
      </c>
      <c r="Z3" s="3">
        <f>IF(ISNUMBER(p!Z3*LN(p!Z3)),p!Z3*LN(p!Z3),0)</f>
        <v>0</v>
      </c>
      <c r="AA3" s="3">
        <f>IF(ISNUMBER(p!AA3*LN(p!AA3)),p!AA3*LN(p!AA3),0)</f>
        <v>0</v>
      </c>
    </row>
    <row r="4" spans="1:27" x14ac:dyDescent="0.25">
      <c r="A4" s="13" t="s">
        <v>13</v>
      </c>
      <c r="B4" s="3">
        <f>IF(ISNUMBER(p!B4*LN(p!B4)),p!B4*LN(p!B4),0)</f>
        <v>-5.398294640439593E-2</v>
      </c>
      <c r="C4" s="3">
        <f>IF(ISNUMBER(p!C4*LN(p!C4)),p!C4*LN(p!C4),0)</f>
        <v>-0.12804936486180069</v>
      </c>
      <c r="D4" s="3">
        <f>IF(ISNUMBER(p!D4*LN(p!D4)),p!D4*LN(p!D4),0)</f>
        <v>0</v>
      </c>
      <c r="E4" s="3">
        <f>IF(ISNUMBER(p!E4*LN(p!E4)),p!E4*LN(p!E4),0)</f>
        <v>0</v>
      </c>
      <c r="F4" s="3">
        <f>IF(ISNUMBER(p!F4*LN(p!F4)),p!F4*LN(p!F4),0)</f>
        <v>0</v>
      </c>
      <c r="G4" s="3">
        <f>IF(ISNUMBER(p!G4*LN(p!G4)),p!G4*LN(p!G4),0)</f>
        <v>0</v>
      </c>
      <c r="H4" s="3">
        <f>IF(ISNUMBER(p!H4*LN(p!H4)),p!H4*LN(p!H4),0)</f>
        <v>0</v>
      </c>
      <c r="I4" s="3">
        <f>IF(ISNUMBER(p!I4*LN(p!I4)),p!I4*LN(p!I4),0)</f>
        <v>0</v>
      </c>
      <c r="J4" s="3">
        <f>IF(ISNUMBER(p!J4*LN(p!J4)),p!J4*LN(p!J4),0)</f>
        <v>-6.5764043276056075E-2</v>
      </c>
      <c r="K4" s="3">
        <f>IF(ISNUMBER(p!K4*LN(p!K4)),p!K4*LN(p!K4),0)</f>
        <v>0</v>
      </c>
      <c r="L4" s="3">
        <f>IF(ISNUMBER(p!L4*LN(p!L4)),p!L4*LN(p!L4),0)</f>
        <v>0</v>
      </c>
      <c r="M4" s="3">
        <f>IF(ISNUMBER(p!M4*LN(p!M4)),p!M4*LN(p!M4),0)</f>
        <v>0</v>
      </c>
      <c r="N4" s="3">
        <f>IF(ISNUMBER(p!N4*LN(p!N4)),p!N4*LN(p!N4),0)</f>
        <v>0</v>
      </c>
      <c r="O4" s="3">
        <f>IF(ISNUMBER(p!O4*LN(p!O4)),p!O4*LN(p!O4),0)</f>
        <v>0</v>
      </c>
      <c r="P4" s="3">
        <f>IF(ISNUMBER(p!P4*LN(p!P4)),p!P4*LN(p!P4),0)</f>
        <v>0</v>
      </c>
      <c r="Q4" s="3">
        <f>IF(ISNUMBER(p!Q4*LN(p!Q4)),p!Q4*LN(p!Q4),0)</f>
        <v>0</v>
      </c>
      <c r="R4" s="3">
        <f>IF(ISNUMBER(p!R4*LN(p!R4)),p!R4*LN(p!R4),0)</f>
        <v>0</v>
      </c>
      <c r="S4" s="3">
        <f>IF(ISNUMBER(p!S4*LN(p!S4)),p!S4*LN(p!S4),0)</f>
        <v>0</v>
      </c>
      <c r="T4" s="3">
        <f>IF(ISNUMBER(p!T4*LN(p!T4)),p!T4*LN(p!T4),0)</f>
        <v>0</v>
      </c>
      <c r="U4" s="3">
        <f>IF(ISNUMBER(p!U4*LN(p!U4)),p!U4*LN(p!U4),0)</f>
        <v>0</v>
      </c>
      <c r="V4" s="3">
        <f>IF(ISNUMBER(p!V4*LN(p!V4)),p!V4*LN(p!V4),0)</f>
        <v>0</v>
      </c>
      <c r="W4" s="3">
        <f>IF(ISNUMBER(p!W4*LN(p!W4)),p!W4*LN(p!W4),0)</f>
        <v>0</v>
      </c>
      <c r="X4" s="3">
        <f>IF(ISNUMBER(p!X4*LN(p!X4)),p!X4*LN(p!X4),0)</f>
        <v>0</v>
      </c>
      <c r="Y4" s="3">
        <f>IF(ISNUMBER(p!Y4*LN(p!Y4)),p!Y4*LN(p!Y4),0)</f>
        <v>0</v>
      </c>
      <c r="Z4" s="3">
        <f>IF(ISNUMBER(p!Z4*LN(p!Z4)),p!Z4*LN(p!Z4),0)</f>
        <v>0</v>
      </c>
      <c r="AA4" s="3">
        <f>IF(ISNUMBER(p!AA4*LN(p!AA4)),p!AA4*LN(p!AA4),0)</f>
        <v>0</v>
      </c>
    </row>
    <row r="5" spans="1:27" x14ac:dyDescent="0.25">
      <c r="A5" s="13" t="s">
        <v>14</v>
      </c>
      <c r="B5" s="3">
        <f>IF(ISNUMBER(p!B5*LN(p!B5)),p!B5*LN(p!B5),0)</f>
        <v>-7.1491180183990893E-2</v>
      </c>
      <c r="C5" s="3">
        <f>IF(ISNUMBER(p!C5*LN(p!C5)),p!C5*LN(p!C5),0)</f>
        <v>-9.7592376017411456E-2</v>
      </c>
      <c r="D5" s="3">
        <f>IF(ISNUMBER(p!D5*LN(p!D5)),p!D5*LN(p!D5),0)</f>
        <v>-3.3764947795703472E-2</v>
      </c>
      <c r="E5" s="3">
        <f>IF(ISNUMBER(p!E5*LN(p!E5)),p!E5*LN(p!E5),0)</f>
        <v>0</v>
      </c>
      <c r="F5" s="3">
        <f>IF(ISNUMBER(p!F5*LN(p!F5)),p!F5*LN(p!F5),0)</f>
        <v>0</v>
      </c>
      <c r="G5" s="3">
        <f>IF(ISNUMBER(p!G5*LN(p!G5)),p!G5*LN(p!G5),0)</f>
        <v>0</v>
      </c>
      <c r="H5" s="3">
        <f>IF(ISNUMBER(p!H5*LN(p!H5)),p!H5*LN(p!H5),0)</f>
        <v>0</v>
      </c>
      <c r="I5" s="3">
        <f>IF(ISNUMBER(p!I5*LN(p!I5)),p!I5*LN(p!I5),0)</f>
        <v>0</v>
      </c>
      <c r="J5" s="3">
        <f>IF(ISNUMBER(p!J5*LN(p!J5)),p!J5*LN(p!J5),0)</f>
        <v>0</v>
      </c>
      <c r="K5" s="3">
        <f>IF(ISNUMBER(p!K5*LN(p!K5)),p!K5*LN(p!K5),0)</f>
        <v>0</v>
      </c>
      <c r="L5" s="3">
        <f>IF(ISNUMBER(p!L5*LN(p!L5)),p!L5*LN(p!L5),0)</f>
        <v>0</v>
      </c>
      <c r="M5" s="3">
        <f>IF(ISNUMBER(p!M5*LN(p!M5)),p!M5*LN(p!M5),0)</f>
        <v>-5.8163041800056346E-2</v>
      </c>
      <c r="N5" s="3">
        <f>IF(ISNUMBER(p!N5*LN(p!N5)),p!N5*LN(p!N5),0)</f>
        <v>0</v>
      </c>
      <c r="O5" s="3">
        <f>IF(ISNUMBER(p!O5*LN(p!O5)),p!O5*LN(p!O5),0)</f>
        <v>0</v>
      </c>
      <c r="P5" s="3">
        <f>IF(ISNUMBER(p!P5*LN(p!P5)),p!P5*LN(p!P5),0)</f>
        <v>0</v>
      </c>
      <c r="Q5" s="3">
        <f>IF(ISNUMBER(p!Q5*LN(p!Q5)),p!Q5*LN(p!Q5),0)</f>
        <v>0</v>
      </c>
      <c r="R5" s="3">
        <f>IF(ISNUMBER(p!R5*LN(p!R5)),p!R5*LN(p!R5),0)</f>
        <v>-9.7592376017411456E-2</v>
      </c>
      <c r="S5" s="3">
        <f>IF(ISNUMBER(p!S5*LN(p!S5)),p!S5*LN(p!S5),0)</f>
        <v>0</v>
      </c>
      <c r="T5" s="3">
        <f>IF(ISNUMBER(p!T5*LN(p!T5)),p!T5*LN(p!T5),0)</f>
        <v>0</v>
      </c>
      <c r="U5" s="3">
        <f>IF(ISNUMBER(p!U5*LN(p!U5)),p!U5*LN(p!U5),0)</f>
        <v>0</v>
      </c>
      <c r="V5" s="3">
        <f>IF(ISNUMBER(p!V5*LN(p!V5)),p!V5*LN(p!V5),0)</f>
        <v>0</v>
      </c>
      <c r="W5" s="3">
        <f>IF(ISNUMBER(p!W5*LN(p!W5)),p!W5*LN(p!W5),0)</f>
        <v>0</v>
      </c>
      <c r="X5" s="3">
        <f>IF(ISNUMBER(p!X5*LN(p!X5)),p!X5*LN(p!X5),0)</f>
        <v>0</v>
      </c>
      <c r="Y5" s="3">
        <f>IF(ISNUMBER(p!Y5*LN(p!Y5)),p!Y5*LN(p!Y5),0)</f>
        <v>0</v>
      </c>
      <c r="Z5" s="3">
        <f>IF(ISNUMBER(p!Z5*LN(p!Z5)),p!Z5*LN(p!Z5),0)</f>
        <v>0</v>
      </c>
      <c r="AA5" s="3">
        <f>IF(ISNUMBER(p!AA5*LN(p!AA5)),p!AA5*LN(p!AA5),0)</f>
        <v>0</v>
      </c>
    </row>
    <row r="6" spans="1:27" x14ac:dyDescent="0.25">
      <c r="A6" s="13" t="s">
        <v>15</v>
      </c>
      <c r="B6" s="3">
        <f>IF(ISNUMBER(p!B6*LN(p!B6)),p!B6*LN(p!B6),0)</f>
        <v>-3.6844357967410653E-2</v>
      </c>
      <c r="C6" s="3">
        <f>IF(ISNUMBER(p!C6*LN(p!C6)),p!C6*LN(p!C6),0)</f>
        <v>-0.12326199526871696</v>
      </c>
      <c r="D6" s="3">
        <f>IF(ISNUMBER(p!D6*LN(p!D6)),p!D6*LN(p!D6),0)</f>
        <v>0</v>
      </c>
      <c r="E6" s="3">
        <f>IF(ISNUMBER(p!E6*LN(p!E6)),p!E6*LN(p!E6),0)</f>
        <v>0</v>
      </c>
      <c r="F6" s="3">
        <f>IF(ISNUMBER(p!F6*LN(p!F6)),p!F6*LN(p!F6),0)</f>
        <v>0</v>
      </c>
      <c r="G6" s="3">
        <f>IF(ISNUMBER(p!G6*LN(p!G6)),p!G6*LN(p!G6),0)</f>
        <v>0</v>
      </c>
      <c r="H6" s="3">
        <f>IF(ISNUMBER(p!H6*LN(p!H6)),p!H6*LN(p!H6),0)</f>
        <v>0</v>
      </c>
      <c r="I6" s="3">
        <f>IF(ISNUMBER(p!I6*LN(p!I6)),p!I6*LN(p!I6),0)</f>
        <v>0</v>
      </c>
      <c r="J6" s="3">
        <f>IF(ISNUMBER(p!J6*LN(p!J6)),p!J6*LN(p!J6),0)</f>
        <v>0</v>
      </c>
      <c r="K6" s="3">
        <f>IF(ISNUMBER(p!K6*LN(p!K6)),p!K6*LN(p!K6),0)</f>
        <v>0</v>
      </c>
      <c r="L6" s="3">
        <f>IF(ISNUMBER(p!L6*LN(p!L6)),p!L6*LN(p!L6),0)</f>
        <v>0</v>
      </c>
      <c r="M6" s="3">
        <f>IF(ISNUMBER(p!M6*LN(p!M6)),p!M6*LN(p!M6),0)</f>
        <v>0</v>
      </c>
      <c r="N6" s="3">
        <f>IF(ISNUMBER(p!N6*LN(p!N6)),p!N6*LN(p!N6),0)</f>
        <v>0</v>
      </c>
      <c r="O6" s="3">
        <f>IF(ISNUMBER(p!O6*LN(p!O6)),p!O6*LN(p!O6),0)</f>
        <v>0</v>
      </c>
      <c r="P6" s="3">
        <f>IF(ISNUMBER(p!P6*LN(p!P6)),p!P6*LN(p!P6),0)</f>
        <v>0</v>
      </c>
      <c r="Q6" s="3">
        <f>IF(ISNUMBER(p!Q6*LN(p!Q6)),p!Q6*LN(p!Q6),0)</f>
        <v>0</v>
      </c>
      <c r="R6" s="3">
        <f>IF(ISNUMBER(p!R6*LN(p!R6)),p!R6*LN(p!R6),0)</f>
        <v>0</v>
      </c>
      <c r="S6" s="3">
        <f>IF(ISNUMBER(p!S6*LN(p!S6)),p!S6*LN(p!S6),0)</f>
        <v>0</v>
      </c>
      <c r="T6" s="3">
        <f>IF(ISNUMBER(p!T6*LN(p!T6)),p!T6*LN(p!T6),0)</f>
        <v>0</v>
      </c>
      <c r="U6" s="3">
        <f>IF(ISNUMBER(p!U6*LN(p!U6)),p!U6*LN(p!U6),0)</f>
        <v>0</v>
      </c>
      <c r="V6" s="3">
        <f>IF(ISNUMBER(p!V6*LN(p!V6)),p!V6*LN(p!V6),0)</f>
        <v>0</v>
      </c>
      <c r="W6" s="3">
        <f>IF(ISNUMBER(p!W6*LN(p!W6)),p!W6*LN(p!W6),0)</f>
        <v>0</v>
      </c>
      <c r="X6" s="3">
        <f>IF(ISNUMBER(p!X6*LN(p!X6)),p!X6*LN(p!X6),0)</f>
        <v>0</v>
      </c>
      <c r="Y6" s="3">
        <f>IF(ISNUMBER(p!Y6*LN(p!Y6)),p!Y6*LN(p!Y6),0)</f>
        <v>0</v>
      </c>
      <c r="Z6" s="3">
        <f>IF(ISNUMBER(p!Z6*LN(p!Z6)),p!Z6*LN(p!Z6),0)</f>
        <v>0</v>
      </c>
      <c r="AA6" s="3">
        <f>IF(ISNUMBER(p!AA6*LN(p!AA6)),p!AA6*LN(p!AA6),0)</f>
        <v>0</v>
      </c>
    </row>
    <row r="7" spans="1:27" x14ac:dyDescent="0.25">
      <c r="A7" s="13" t="s">
        <v>16</v>
      </c>
      <c r="B7" s="3">
        <f>IF(ISNUMBER(p!B7*LN(p!B7)),p!B7*LN(p!B7),0)</f>
        <v>-4.4265199238149089E-2</v>
      </c>
      <c r="C7" s="3">
        <f>IF(ISNUMBER(p!C7*LN(p!C7)),p!C7*LN(p!C7),0)</f>
        <v>-0.14019409469888289</v>
      </c>
      <c r="D7" s="3">
        <f>IF(ISNUMBER(p!D7*LN(p!D7)),p!D7*LN(p!D7),0)</f>
        <v>0</v>
      </c>
      <c r="E7" s="3">
        <f>IF(ISNUMBER(p!E7*LN(p!E7)),p!E7*LN(p!E7),0)</f>
        <v>0</v>
      </c>
      <c r="F7" s="3">
        <f>IF(ISNUMBER(p!F7*LN(p!F7)),p!F7*LN(p!F7),0)</f>
        <v>0</v>
      </c>
      <c r="G7" s="3">
        <f>IF(ISNUMBER(p!G7*LN(p!G7)),p!G7*LN(p!G7),0)</f>
        <v>0</v>
      </c>
      <c r="H7" s="3">
        <f>IF(ISNUMBER(p!H7*LN(p!H7)),p!H7*LN(p!H7),0)</f>
        <v>0</v>
      </c>
      <c r="I7" s="3">
        <f>IF(ISNUMBER(p!I7*LN(p!I7)),p!I7*LN(p!I7),0)</f>
        <v>0</v>
      </c>
      <c r="J7" s="3">
        <f>IF(ISNUMBER(p!J7*LN(p!J7)),p!J7*LN(p!J7),0)</f>
        <v>0</v>
      </c>
      <c r="K7" s="3">
        <f>IF(ISNUMBER(p!K7*LN(p!K7)),p!K7*LN(p!K7),0)</f>
        <v>0</v>
      </c>
      <c r="L7" s="3">
        <f>IF(ISNUMBER(p!L7*LN(p!L7)),p!L7*LN(p!L7),0)</f>
        <v>0</v>
      </c>
      <c r="M7" s="3">
        <f>IF(ISNUMBER(p!M7*LN(p!M7)),p!M7*LN(p!M7),0)</f>
        <v>0</v>
      </c>
      <c r="N7" s="3">
        <f>IF(ISNUMBER(p!N7*LN(p!N7)),p!N7*LN(p!N7),0)</f>
        <v>0</v>
      </c>
      <c r="O7" s="3">
        <f>IF(ISNUMBER(p!O7*LN(p!O7)),p!O7*LN(p!O7),0)</f>
        <v>0</v>
      </c>
      <c r="P7" s="3">
        <f>IF(ISNUMBER(p!P7*LN(p!P7)),p!P7*LN(p!P7),0)</f>
        <v>0</v>
      </c>
      <c r="Q7" s="3">
        <f>IF(ISNUMBER(p!Q7*LN(p!Q7)),p!Q7*LN(p!Q7),0)</f>
        <v>0</v>
      </c>
      <c r="R7" s="3">
        <f>IF(ISNUMBER(p!R7*LN(p!R7)),p!R7*LN(p!R7),0)</f>
        <v>0</v>
      </c>
      <c r="S7" s="3">
        <f>IF(ISNUMBER(p!S7*LN(p!S7)),p!S7*LN(p!S7),0)</f>
        <v>0</v>
      </c>
      <c r="T7" s="3">
        <f>IF(ISNUMBER(p!T7*LN(p!T7)),p!T7*LN(p!T7),0)</f>
        <v>0</v>
      </c>
      <c r="U7" s="3">
        <f>IF(ISNUMBER(p!U7*LN(p!U7)),p!U7*LN(p!U7),0)</f>
        <v>0</v>
      </c>
      <c r="V7" s="3">
        <f>IF(ISNUMBER(p!V7*LN(p!V7)),p!V7*LN(p!V7),0)</f>
        <v>0</v>
      </c>
      <c r="W7" s="3">
        <f>IF(ISNUMBER(p!W7*LN(p!W7)),p!W7*LN(p!W7),0)</f>
        <v>0</v>
      </c>
      <c r="X7" s="3">
        <f>IF(ISNUMBER(p!X7*LN(p!X7)),p!X7*LN(p!X7),0)</f>
        <v>0</v>
      </c>
      <c r="Y7" s="3">
        <f>IF(ISNUMBER(p!Y7*LN(p!Y7)),p!Y7*LN(p!Y7),0)</f>
        <v>0</v>
      </c>
      <c r="Z7" s="3">
        <f>IF(ISNUMBER(p!Z7*LN(p!Z7)),p!Z7*LN(p!Z7),0)</f>
        <v>0</v>
      </c>
      <c r="AA7" s="3">
        <f>IF(ISNUMBER(p!AA7*LN(p!AA7)),p!AA7*LN(p!AA7),0)</f>
        <v>0</v>
      </c>
    </row>
    <row r="8" spans="1:27" x14ac:dyDescent="0.25">
      <c r="A8" s="13" t="s">
        <v>17</v>
      </c>
      <c r="B8" s="3">
        <f>IF(ISNUMBER(p!B8*LN(p!B8)),p!B8*LN(p!B8),0)</f>
        <v>-3.6342538057556453E-2</v>
      </c>
      <c r="C8" s="3">
        <f>IF(ISNUMBER(p!C8*LN(p!C8)),p!C8*LN(p!C8),0)</f>
        <v>-4.3353066917816846E-2</v>
      </c>
      <c r="D8" s="3">
        <f>IF(ISNUMBER(p!D8*LN(p!D8)),p!D8*LN(p!D8),0)</f>
        <v>0</v>
      </c>
      <c r="E8" s="3">
        <f>IF(ISNUMBER(p!E8*LN(p!E8)),p!E8*LN(p!E8),0)</f>
        <v>0</v>
      </c>
      <c r="F8" s="3">
        <f>IF(ISNUMBER(p!F8*LN(p!F8)),p!F8*LN(p!F8),0)</f>
        <v>0</v>
      </c>
      <c r="G8" s="3">
        <f>IF(ISNUMBER(p!G8*LN(p!G8)),p!G8*LN(p!G8),0)</f>
        <v>0</v>
      </c>
      <c r="H8" s="3">
        <f>IF(ISNUMBER(p!H8*LN(p!H8)),p!H8*LN(p!H8),0)</f>
        <v>0</v>
      </c>
      <c r="I8" s="3">
        <f>IF(ISNUMBER(p!I8*LN(p!I8)),p!I8*LN(p!I8),0)</f>
        <v>0</v>
      </c>
      <c r="J8" s="3">
        <f>IF(ISNUMBER(p!J8*LN(p!J8)),p!J8*LN(p!J8),0)</f>
        <v>-4.3353066917816846E-2</v>
      </c>
      <c r="K8" s="3">
        <f>IF(ISNUMBER(p!K8*LN(p!K8)),p!K8*LN(p!K8),0)</f>
        <v>0</v>
      </c>
      <c r="L8" s="3">
        <f>IF(ISNUMBER(p!L8*LN(p!L8)),p!L8*LN(p!L8),0)</f>
        <v>0</v>
      </c>
      <c r="M8" s="3">
        <f>IF(ISNUMBER(p!M8*LN(p!M8)),p!M8*LN(p!M8),0)</f>
        <v>0</v>
      </c>
      <c r="N8" s="3">
        <f>IF(ISNUMBER(p!N8*LN(p!N8)),p!N8*LN(p!N8),0)</f>
        <v>0</v>
      </c>
      <c r="O8" s="3">
        <f>IF(ISNUMBER(p!O8*LN(p!O8)),p!O8*LN(p!O8),0)</f>
        <v>-4.3353066917816846E-2</v>
      </c>
      <c r="P8" s="3">
        <f>IF(ISNUMBER(p!P8*LN(p!P8)),p!P8*LN(p!P8),0)</f>
        <v>0</v>
      </c>
      <c r="Q8" s="3">
        <f>IF(ISNUMBER(p!Q8*LN(p!Q8)),p!Q8*LN(p!Q8),0)</f>
        <v>0</v>
      </c>
      <c r="R8" s="3">
        <f>IF(ISNUMBER(p!R8*LN(p!R8)),p!R8*LN(p!R8),0)</f>
        <v>0</v>
      </c>
      <c r="S8" s="3">
        <f>IF(ISNUMBER(p!S8*LN(p!S8)),p!S8*LN(p!S8),0)</f>
        <v>-4.3353066917816846E-2</v>
      </c>
      <c r="T8" s="3">
        <f>IF(ISNUMBER(p!T8*LN(p!T8)),p!T8*LN(p!T8),0)</f>
        <v>0</v>
      </c>
      <c r="U8" s="3">
        <f>IF(ISNUMBER(p!U8*LN(p!U8)),p!U8*LN(p!U8),0)</f>
        <v>0</v>
      </c>
      <c r="V8" s="3">
        <f>IF(ISNUMBER(p!V8*LN(p!V8)),p!V8*LN(p!V8),0)</f>
        <v>0</v>
      </c>
      <c r="W8" s="3">
        <f>IF(ISNUMBER(p!W8*LN(p!W8)),p!W8*LN(p!W8),0)</f>
        <v>0</v>
      </c>
      <c r="X8" s="3">
        <f>IF(ISNUMBER(p!X8*LN(p!X8)),p!X8*LN(p!X8),0)</f>
        <v>0</v>
      </c>
      <c r="Y8" s="3">
        <f>IF(ISNUMBER(p!Y8*LN(p!Y8)),p!Y8*LN(p!Y8),0)</f>
        <v>0</v>
      </c>
      <c r="Z8" s="3">
        <f>IF(ISNUMBER(p!Z8*LN(p!Z8)),p!Z8*LN(p!Z8),0)</f>
        <v>0</v>
      </c>
      <c r="AA8" s="3">
        <f>IF(ISNUMBER(p!AA8*LN(p!AA8)),p!AA8*LN(p!AA8),0)</f>
        <v>0</v>
      </c>
    </row>
    <row r="9" spans="1:27" x14ac:dyDescent="0.25">
      <c r="A9" s="13" t="s">
        <v>73</v>
      </c>
      <c r="B9" s="3">
        <f>IF(ISNUMBER(p!B9*LN(p!B9)),p!B9*LN(p!B9),0)</f>
        <v>-0.14471600583297622</v>
      </c>
      <c r="C9" s="3">
        <f>IF(ISNUMBER(p!C9*LN(p!C9)),p!C9*LN(p!C9),0)</f>
        <v>-0.2496399769139355</v>
      </c>
      <c r="D9" s="3">
        <f>IF(ISNUMBER(p!D9*LN(p!D9)),p!D9*LN(p!D9),0)</f>
        <v>0</v>
      </c>
      <c r="E9" s="3">
        <f>IF(ISNUMBER(p!E9*LN(p!E9)),p!E9*LN(p!E9),0)</f>
        <v>0</v>
      </c>
      <c r="F9" s="3">
        <f>IF(ISNUMBER(p!F9*LN(p!F9)),p!F9*LN(p!F9),0)</f>
        <v>0</v>
      </c>
      <c r="G9" s="3">
        <f>IF(ISNUMBER(p!G9*LN(p!G9)),p!G9*LN(p!G9),0)</f>
        <v>0</v>
      </c>
      <c r="H9" s="3">
        <f>IF(ISNUMBER(p!H9*LN(p!H9)),p!H9*LN(p!H9),0)</f>
        <v>0</v>
      </c>
      <c r="I9" s="3">
        <f>IF(ISNUMBER(p!I9*LN(p!I9)),p!I9*LN(p!I9),0)</f>
        <v>0</v>
      </c>
      <c r="J9" s="3">
        <f>IF(ISNUMBER(p!J9*LN(p!J9)),p!J9*LN(p!J9),0)</f>
        <v>0</v>
      </c>
      <c r="K9" s="3">
        <f>IF(ISNUMBER(p!K9*LN(p!K9)),p!K9*LN(p!K9),0)</f>
        <v>0</v>
      </c>
      <c r="L9" s="3">
        <f>IF(ISNUMBER(p!L9*LN(p!L9)),p!L9*LN(p!L9),0)</f>
        <v>0</v>
      </c>
      <c r="M9" s="3">
        <f>IF(ISNUMBER(p!M9*LN(p!M9)),p!M9*LN(p!M9),0)</f>
        <v>0</v>
      </c>
      <c r="N9" s="3">
        <f>IF(ISNUMBER(p!N9*LN(p!N9)),p!N9*LN(p!N9),0)</f>
        <v>0</v>
      </c>
      <c r="O9" s="3">
        <f>IF(ISNUMBER(p!O9*LN(p!O9)),p!O9*LN(p!O9),0)</f>
        <v>0</v>
      </c>
      <c r="P9" s="3">
        <f>IF(ISNUMBER(p!P9*LN(p!P9)),p!P9*LN(p!P9),0)</f>
        <v>0</v>
      </c>
      <c r="Q9" s="3">
        <f>IF(ISNUMBER(p!Q9*LN(p!Q9)),p!Q9*LN(p!Q9),0)</f>
        <v>0</v>
      </c>
      <c r="R9" s="3">
        <f>IF(ISNUMBER(p!R9*LN(p!R9)),p!R9*LN(p!R9),0)</f>
        <v>0</v>
      </c>
      <c r="S9" s="3">
        <f>IF(ISNUMBER(p!S9*LN(p!S9)),p!S9*LN(p!S9),0)</f>
        <v>0</v>
      </c>
      <c r="T9" s="3">
        <f>IF(ISNUMBER(p!T9*LN(p!T9)),p!T9*LN(p!T9),0)</f>
        <v>0</v>
      </c>
      <c r="U9" s="3">
        <f>IF(ISNUMBER(p!U9*LN(p!U9)),p!U9*LN(p!U9),0)</f>
        <v>0</v>
      </c>
      <c r="V9" s="3">
        <f>IF(ISNUMBER(p!V9*LN(p!V9)),p!V9*LN(p!V9),0)</f>
        <v>-0.10911361903997152</v>
      </c>
      <c r="W9" s="3">
        <f>IF(ISNUMBER(p!W9*LN(p!W9)),p!W9*LN(p!W9),0)</f>
        <v>-4.7935546227374115E-2</v>
      </c>
      <c r="X9" s="3">
        <f>IF(ISNUMBER(p!X9*LN(p!X9)),p!X9*LN(p!X9),0)</f>
        <v>0</v>
      </c>
      <c r="Y9" s="3">
        <f>IF(ISNUMBER(p!Y9*LN(p!Y9)),p!Y9*LN(p!Y9),0)</f>
        <v>0</v>
      </c>
      <c r="Z9" s="3">
        <f>IF(ISNUMBER(p!Z9*LN(p!Z9)),p!Z9*LN(p!Z9),0)</f>
        <v>0</v>
      </c>
      <c r="AA9" s="3">
        <f>IF(ISNUMBER(p!AA9*LN(p!AA9)),p!AA9*LN(p!AA9),0)</f>
        <v>0</v>
      </c>
    </row>
    <row r="10" spans="1:27" x14ac:dyDescent="0.25">
      <c r="A10" s="13" t="s">
        <v>74</v>
      </c>
      <c r="B10" s="3">
        <f>IF(ISNUMBER(p!B10*LN(p!B10)),p!B10*LN(p!B10),0)</f>
        <v>-0.11354970342182365</v>
      </c>
      <c r="C10" s="3">
        <f>IF(ISNUMBER(p!C10*LN(p!C10)),p!C10*LN(p!C10),0)</f>
        <v>-0.23797291137572402</v>
      </c>
      <c r="D10" s="3">
        <f>IF(ISNUMBER(p!D10*LN(p!D10)),p!D10*LN(p!D10),0)</f>
        <v>0</v>
      </c>
      <c r="E10" s="3">
        <f>IF(ISNUMBER(p!E10*LN(p!E10)),p!E10*LN(p!E10),0)</f>
        <v>0</v>
      </c>
      <c r="F10" s="3">
        <f>IF(ISNUMBER(p!F10*LN(p!F10)),p!F10*LN(p!F10),0)</f>
        <v>0</v>
      </c>
      <c r="G10" s="3">
        <f>IF(ISNUMBER(p!G10*LN(p!G10)),p!G10*LN(p!G10),0)</f>
        <v>0</v>
      </c>
      <c r="H10" s="3">
        <f>IF(ISNUMBER(p!H10*LN(p!H10)),p!H10*LN(p!H10),0)</f>
        <v>0</v>
      </c>
      <c r="I10" s="3">
        <f>IF(ISNUMBER(p!I10*LN(p!I10)),p!I10*LN(p!I10),0)</f>
        <v>0</v>
      </c>
      <c r="J10" s="3">
        <f>IF(ISNUMBER(p!J10*LN(p!J10)),p!J10*LN(p!J10),0)</f>
        <v>-3.6990923655957353E-2</v>
      </c>
      <c r="K10" s="3">
        <f>IF(ISNUMBER(p!K10*LN(p!K10)),p!K10*LN(p!K10),0)</f>
        <v>0</v>
      </c>
      <c r="L10" s="3">
        <f>IF(ISNUMBER(p!L10*LN(p!L10)),p!L10*LN(p!L10),0)</f>
        <v>0</v>
      </c>
      <c r="M10" s="3">
        <f>IF(ISNUMBER(p!M10*LN(p!M10)),p!M10*LN(p!M10),0)</f>
        <v>0</v>
      </c>
      <c r="N10" s="3">
        <f>IF(ISNUMBER(p!N10*LN(p!N10)),p!N10*LN(p!N10),0)</f>
        <v>0</v>
      </c>
      <c r="O10" s="3">
        <f>IF(ISNUMBER(p!O10*LN(p!O10)),p!O10*LN(p!O10),0)</f>
        <v>-3.6990923655957353E-2</v>
      </c>
      <c r="P10" s="3">
        <f>IF(ISNUMBER(p!P10*LN(p!P10)),p!P10*LN(p!P10),0)</f>
        <v>0</v>
      </c>
      <c r="Q10" s="3">
        <f>IF(ISNUMBER(p!Q10*LN(p!Q10)),p!Q10*LN(p!Q10),0)</f>
        <v>0</v>
      </c>
      <c r="R10" s="3">
        <f>IF(ISNUMBER(p!R10*LN(p!R10)),p!R10*LN(p!R10),0)</f>
        <v>0</v>
      </c>
      <c r="S10" s="3">
        <f>IF(ISNUMBER(p!S10*LN(p!S10)),p!S10*LN(p!S10),0)</f>
        <v>0</v>
      </c>
      <c r="T10" s="3">
        <f>IF(ISNUMBER(p!T10*LN(p!T10)),p!T10*LN(p!T10),0)</f>
        <v>0</v>
      </c>
      <c r="U10" s="3">
        <f>IF(ISNUMBER(p!U10*LN(p!U10)),p!U10*LN(p!U10),0)</f>
        <v>0</v>
      </c>
      <c r="V10" s="3">
        <f>IF(ISNUMBER(p!V10*LN(p!V10)),p!V10*LN(p!V10),0)</f>
        <v>0</v>
      </c>
      <c r="W10" s="3">
        <f>IF(ISNUMBER(p!W10*LN(p!W10)),p!W10*LN(p!W10),0)</f>
        <v>0</v>
      </c>
      <c r="X10" s="3">
        <f>IF(ISNUMBER(p!X10*LN(p!X10)),p!X10*LN(p!X10),0)</f>
        <v>0</v>
      </c>
      <c r="Y10" s="3">
        <f>IF(ISNUMBER(p!Y10*LN(p!Y10)),p!Y10*LN(p!Y10),0)</f>
        <v>0</v>
      </c>
      <c r="Z10" s="3">
        <f>IF(ISNUMBER(p!Z10*LN(p!Z10)),p!Z10*LN(p!Z10),0)</f>
        <v>0</v>
      </c>
      <c r="AA10" s="3">
        <f>IF(ISNUMBER(p!AA10*LN(p!AA10)),p!AA10*LN(p!AA10),0)</f>
        <v>0</v>
      </c>
    </row>
    <row r="11" spans="1:27" x14ac:dyDescent="0.25">
      <c r="A11" s="13" t="s">
        <v>75</v>
      </c>
      <c r="B11" s="3">
        <f>IF(ISNUMBER(p!B11*LN(p!B11)),p!B11*LN(p!B11),0)</f>
        <v>-0.11400845881496573</v>
      </c>
      <c r="C11" s="3">
        <f>IF(ISNUMBER(p!C11*LN(p!C11)),p!C11*LN(p!C11),0)</f>
        <v>-0.19938580834124586</v>
      </c>
      <c r="D11" s="3">
        <f>IF(ISNUMBER(p!D11*LN(p!D11)),p!D11*LN(p!D11),0)</f>
        <v>0</v>
      </c>
      <c r="E11" s="3">
        <f>IF(ISNUMBER(p!E11*LN(p!E11)),p!E11*LN(p!E11),0)</f>
        <v>0</v>
      </c>
      <c r="F11" s="3">
        <f>IF(ISNUMBER(p!F11*LN(p!F11)),p!F11*LN(p!F11),0)</f>
        <v>0</v>
      </c>
      <c r="G11" s="3">
        <f>IF(ISNUMBER(p!G11*LN(p!G11)),p!G11*LN(p!G11),0)</f>
        <v>0</v>
      </c>
      <c r="H11" s="3">
        <f>IF(ISNUMBER(p!H11*LN(p!H11)),p!H11*LN(p!H11),0)</f>
        <v>0</v>
      </c>
      <c r="I11" s="3">
        <f>IF(ISNUMBER(p!I11*LN(p!I11)),p!I11*LN(p!I11),0)</f>
        <v>0</v>
      </c>
      <c r="J11" s="3">
        <f>IF(ISNUMBER(p!J11*LN(p!J11)),p!J11*LN(p!J11),0)</f>
        <v>0</v>
      </c>
      <c r="K11" s="3">
        <f>IF(ISNUMBER(p!K11*LN(p!K11)),p!K11*LN(p!K11),0)</f>
        <v>0</v>
      </c>
      <c r="L11" s="3">
        <f>IF(ISNUMBER(p!L11*LN(p!L11)),p!L11*LN(p!L11),0)</f>
        <v>0</v>
      </c>
      <c r="M11" s="3">
        <f>IF(ISNUMBER(p!M11*LN(p!M11)),p!M11*LN(p!M11),0)</f>
        <v>0</v>
      </c>
      <c r="N11" s="3">
        <f>IF(ISNUMBER(p!N11*LN(p!N11)),p!N11*LN(p!N11),0)</f>
        <v>0</v>
      </c>
      <c r="O11" s="3">
        <f>IF(ISNUMBER(p!O11*LN(p!O11)),p!O11*LN(p!O11),0)</f>
        <v>-0.13632583547518043</v>
      </c>
      <c r="P11" s="3">
        <f>IF(ISNUMBER(p!P11*LN(p!P11)),p!P11*LN(p!P11),0)</f>
        <v>0</v>
      </c>
      <c r="Q11" s="3">
        <f>IF(ISNUMBER(p!Q11*LN(p!Q11)),p!Q11*LN(p!Q11),0)</f>
        <v>0</v>
      </c>
      <c r="R11" s="3">
        <f>IF(ISNUMBER(p!R11*LN(p!R11)),p!R11*LN(p!R11),0)</f>
        <v>0</v>
      </c>
      <c r="S11" s="3">
        <f>IF(ISNUMBER(p!S11*LN(p!S11)),p!S11*LN(p!S11),0)</f>
        <v>0</v>
      </c>
      <c r="T11" s="3">
        <f>IF(ISNUMBER(p!T11*LN(p!T11)),p!T11*LN(p!T11),0)</f>
        <v>0</v>
      </c>
      <c r="U11" s="3">
        <f>IF(ISNUMBER(p!U11*LN(p!U11)),p!U11*LN(p!U11),0)</f>
        <v>0</v>
      </c>
      <c r="V11" s="3">
        <f>IF(ISNUMBER(p!V11*LN(p!V11)),p!V11*LN(p!V11),0)</f>
        <v>0</v>
      </c>
      <c r="W11" s="3">
        <f>IF(ISNUMBER(p!W11*LN(p!W11)),p!W11*LN(p!W11),0)</f>
        <v>0</v>
      </c>
      <c r="X11" s="3">
        <f>IF(ISNUMBER(p!X11*LN(p!X11)),p!X11*LN(p!X11),0)</f>
        <v>0</v>
      </c>
      <c r="Y11" s="3">
        <f>IF(ISNUMBER(p!Y11*LN(p!Y11)),p!Y11*LN(p!Y11),0)</f>
        <v>0</v>
      </c>
      <c r="Z11" s="3">
        <f>IF(ISNUMBER(p!Z11*LN(p!Z11)),p!Z11*LN(p!Z11),0)</f>
        <v>0</v>
      </c>
      <c r="AA11" s="3">
        <f>IF(ISNUMBER(p!AA11*LN(p!AA11)),p!AA11*LN(p!AA11),0)</f>
        <v>0</v>
      </c>
    </row>
    <row r="12" spans="1:27" x14ac:dyDescent="0.25">
      <c r="A12" s="13" t="s">
        <v>76</v>
      </c>
      <c r="B12" s="3">
        <f>IF(ISNUMBER(p!B12*LN(p!B12)),p!B12*LN(p!B12),0)</f>
        <v>-0.16964051524373694</v>
      </c>
      <c r="C12" s="3">
        <f>IF(ISNUMBER(p!C12*LN(p!C12)),p!C12*LN(p!C12),0)</f>
        <v>-0.31035624399232054</v>
      </c>
      <c r="D12" s="3">
        <f>IF(ISNUMBER(p!D12*LN(p!D12)),p!D12*LN(p!D12),0)</f>
        <v>0</v>
      </c>
      <c r="E12" s="3">
        <f>IF(ISNUMBER(p!E12*LN(p!E12)),p!E12*LN(p!E12),0)</f>
        <v>0</v>
      </c>
      <c r="F12" s="3">
        <f>IF(ISNUMBER(p!F12*LN(p!F12)),p!F12*LN(p!F12),0)</f>
        <v>0</v>
      </c>
      <c r="G12" s="3">
        <f>IF(ISNUMBER(p!G12*LN(p!G12)),p!G12*LN(p!G12),0)</f>
        <v>0</v>
      </c>
      <c r="H12" s="3">
        <f>IF(ISNUMBER(p!H12*LN(p!H12)),p!H12*LN(p!H12),0)</f>
        <v>0</v>
      </c>
      <c r="I12" s="3">
        <f>IF(ISNUMBER(p!I12*LN(p!I12)),p!I12*LN(p!I12),0)</f>
        <v>0</v>
      </c>
      <c r="J12" s="3">
        <f>IF(ISNUMBER(p!J12*LN(p!J12)),p!J12*LN(p!J12),0)</f>
        <v>0</v>
      </c>
      <c r="K12" s="3">
        <f>IF(ISNUMBER(p!K12*LN(p!K12)),p!K12*LN(p!K12),0)</f>
        <v>0</v>
      </c>
      <c r="L12" s="3">
        <f>IF(ISNUMBER(p!L12*LN(p!L12)),p!L12*LN(p!L12),0)</f>
        <v>0</v>
      </c>
      <c r="M12" s="3">
        <f>IF(ISNUMBER(p!M12*LN(p!M12)),p!M12*LN(p!M12),0)</f>
        <v>0</v>
      </c>
      <c r="N12" s="3">
        <f>IF(ISNUMBER(p!N12*LN(p!N12)),p!N12*LN(p!N12),0)</f>
        <v>0</v>
      </c>
      <c r="O12" s="3">
        <f>IF(ISNUMBER(p!O12*LN(p!O12)),p!O12*LN(p!O12),0)</f>
        <v>0</v>
      </c>
      <c r="P12" s="3">
        <f>IF(ISNUMBER(p!P12*LN(p!P12)),p!P12*LN(p!P12),0)</f>
        <v>0</v>
      </c>
      <c r="Q12" s="3">
        <f>IF(ISNUMBER(p!Q12*LN(p!Q12)),p!Q12*LN(p!Q12),0)</f>
        <v>-3.1879900642894532E-2</v>
      </c>
      <c r="R12" s="3">
        <f>IF(ISNUMBER(p!R12*LN(p!R12)),p!R12*LN(p!R12),0)</f>
        <v>0</v>
      </c>
      <c r="S12" s="3">
        <f>IF(ISNUMBER(p!S12*LN(p!S12)),p!S12*LN(p!S12),0)</f>
        <v>0</v>
      </c>
      <c r="T12" s="3">
        <f>IF(ISNUMBER(p!T12*LN(p!T12)),p!T12*LN(p!T12),0)</f>
        <v>0</v>
      </c>
      <c r="U12" s="3">
        <f>IF(ISNUMBER(p!U12*LN(p!U12)),p!U12*LN(p!U12),0)</f>
        <v>0</v>
      </c>
      <c r="V12" s="3">
        <f>IF(ISNUMBER(p!V12*LN(p!V12)),p!V12*LN(p!V12),0)</f>
        <v>0</v>
      </c>
      <c r="W12" s="3">
        <f>IF(ISNUMBER(p!W12*LN(p!W12)),p!W12*LN(p!W12),0)</f>
        <v>0</v>
      </c>
      <c r="X12" s="3">
        <f>IF(ISNUMBER(p!X12*LN(p!X12)),p!X12*LN(p!X12),0)</f>
        <v>0</v>
      </c>
      <c r="Y12" s="3">
        <f>IF(ISNUMBER(p!Y12*LN(p!Y12)),p!Y12*LN(p!Y12),0)</f>
        <v>0</v>
      </c>
      <c r="Z12" s="3">
        <f>IF(ISNUMBER(p!Z12*LN(p!Z12)),p!Z12*LN(p!Z12),0)</f>
        <v>0</v>
      </c>
      <c r="AA12" s="3">
        <f>IF(ISNUMBER(p!AA12*LN(p!AA12)),p!AA12*LN(p!AA12),0)</f>
        <v>0</v>
      </c>
    </row>
    <row r="13" spans="1:27" x14ac:dyDescent="0.25">
      <c r="A13" s="13" t="s">
        <v>83</v>
      </c>
      <c r="B13" s="3">
        <f>IF(ISNUMBER(p!B13*LN(p!B13)),p!B13*LN(p!B13),0)</f>
        <v>-6.3232381751228792E-2</v>
      </c>
      <c r="C13" s="3">
        <f>IF(ISNUMBER(p!C13*LN(p!C13)),p!C13*LN(p!C13),0)</f>
        <v>-0.16155529150844025</v>
      </c>
      <c r="D13" s="3">
        <f>IF(ISNUMBER(p!D13*LN(p!D13)),p!D13*LN(p!D13),0)</f>
        <v>0</v>
      </c>
      <c r="E13" s="3">
        <f>IF(ISNUMBER(p!E13*LN(p!E13)),p!E13*LN(p!E13),0)</f>
        <v>0</v>
      </c>
      <c r="F13" s="3">
        <f>IF(ISNUMBER(p!F13*LN(p!F13)),p!F13*LN(p!F13),0)</f>
        <v>0</v>
      </c>
      <c r="G13" s="3">
        <f>IF(ISNUMBER(p!G13*LN(p!G13)),p!G13*LN(p!G13),0)</f>
        <v>0</v>
      </c>
      <c r="H13" s="3">
        <f>IF(ISNUMBER(p!H13*LN(p!H13)),p!H13*LN(p!H13),0)</f>
        <v>0</v>
      </c>
      <c r="I13" s="3">
        <f>IF(ISNUMBER(p!I13*LN(p!I13)),p!I13*LN(p!I13),0)</f>
        <v>0</v>
      </c>
      <c r="J13" s="3">
        <f>IF(ISNUMBER(p!J13*LN(p!J13)),p!J13*LN(p!J13),0)</f>
        <v>0</v>
      </c>
      <c r="K13" s="3">
        <f>IF(ISNUMBER(p!K13*LN(p!K13)),p!K13*LN(p!K13),0)</f>
        <v>0</v>
      </c>
      <c r="L13" s="3">
        <f>IF(ISNUMBER(p!L13*LN(p!L13)),p!L13*LN(p!L13),0)</f>
        <v>0</v>
      </c>
      <c r="M13" s="3">
        <f>IF(ISNUMBER(p!M13*LN(p!M13)),p!M13*LN(p!M13),0)</f>
        <v>0</v>
      </c>
      <c r="N13" s="3">
        <f>IF(ISNUMBER(p!N13*LN(p!N13)),p!N13*LN(p!N13),0)</f>
        <v>0</v>
      </c>
      <c r="O13" s="3">
        <f>IF(ISNUMBER(p!O13*LN(p!O13)),p!O13*LN(p!O13),0)</f>
        <v>0</v>
      </c>
      <c r="P13" s="3">
        <f>IF(ISNUMBER(p!P13*LN(p!P13)),p!P13*LN(p!P13),0)</f>
        <v>0</v>
      </c>
      <c r="Q13" s="3">
        <f>IF(ISNUMBER(p!Q13*LN(p!Q13)),p!Q13*LN(p!Q13),0)</f>
        <v>-4.3671297518335574E-2</v>
      </c>
      <c r="R13" s="3">
        <f>IF(ISNUMBER(p!R13*LN(p!R13)),p!R13*LN(p!R13),0)</f>
        <v>0</v>
      </c>
      <c r="S13" s="3">
        <f>IF(ISNUMBER(p!S13*LN(p!S13)),p!S13*LN(p!S13),0)</f>
        <v>0</v>
      </c>
      <c r="T13" s="3">
        <f>IF(ISNUMBER(p!T13*LN(p!T13)),p!T13*LN(p!T13),0)</f>
        <v>0</v>
      </c>
      <c r="U13" s="3">
        <f>IF(ISNUMBER(p!U13*LN(p!U13)),p!U13*LN(p!U13),0)</f>
        <v>0</v>
      </c>
      <c r="V13" s="3">
        <f>IF(ISNUMBER(p!V13*LN(p!V13)),p!V13*LN(p!V13),0)</f>
        <v>0</v>
      </c>
      <c r="W13" s="3">
        <f>IF(ISNUMBER(p!W13*LN(p!W13)),p!W13*LN(p!W13),0)</f>
        <v>0</v>
      </c>
      <c r="X13" s="3">
        <f>IF(ISNUMBER(p!X13*LN(p!X13)),p!X13*LN(p!X13),0)</f>
        <v>0</v>
      </c>
      <c r="Y13" s="3">
        <f>IF(ISNUMBER(p!Y13*LN(p!Y13)),p!Y13*LN(p!Y13),0)</f>
        <v>0</v>
      </c>
      <c r="Z13" s="3">
        <f>IF(ISNUMBER(p!Z13*LN(p!Z13)),p!Z13*LN(p!Z13),0)</f>
        <v>0</v>
      </c>
      <c r="AA13" s="3">
        <f>IF(ISNUMBER(p!AA13*LN(p!AA13)),p!AA13*LN(p!AA13),0)</f>
        <v>0</v>
      </c>
    </row>
    <row r="14" spans="1:27" x14ac:dyDescent="0.25">
      <c r="A14" s="13" t="s">
        <v>84</v>
      </c>
      <c r="B14" s="3">
        <f>IF(ISNUMBER(p!B14*LN(p!B14)),p!B14*LN(p!B14),0)</f>
        <v>-7.3285634777803366E-2</v>
      </c>
      <c r="C14" s="3">
        <f>IF(ISNUMBER(p!C14*LN(p!C14)),p!C14*LN(p!C14),0)</f>
        <v>-0.19628085105224582</v>
      </c>
      <c r="D14" s="3">
        <f>IF(ISNUMBER(p!D14*LN(p!D14)),p!D14*LN(p!D14),0)</f>
        <v>0</v>
      </c>
      <c r="E14" s="3">
        <f>IF(ISNUMBER(p!E14*LN(p!E14)),p!E14*LN(p!E14),0)</f>
        <v>0</v>
      </c>
      <c r="F14" s="3">
        <f>IF(ISNUMBER(p!F14*LN(p!F14)),p!F14*LN(p!F14),0)</f>
        <v>0</v>
      </c>
      <c r="G14" s="3">
        <f>IF(ISNUMBER(p!G14*LN(p!G14)),p!G14*LN(p!G14),0)</f>
        <v>0</v>
      </c>
      <c r="H14" s="3">
        <f>IF(ISNUMBER(p!H14*LN(p!H14)),p!H14*LN(p!H14),0)</f>
        <v>0</v>
      </c>
      <c r="I14" s="3">
        <f>IF(ISNUMBER(p!I14*LN(p!I14)),p!I14*LN(p!I14),0)</f>
        <v>0</v>
      </c>
      <c r="J14" s="3">
        <f>IF(ISNUMBER(p!J14*LN(p!J14)),p!J14*LN(p!J14),0)</f>
        <v>0</v>
      </c>
      <c r="K14" s="3">
        <f>IF(ISNUMBER(p!K14*LN(p!K14)),p!K14*LN(p!K14),0)</f>
        <v>0</v>
      </c>
      <c r="L14" s="3">
        <f>IF(ISNUMBER(p!L14*LN(p!L14)),p!L14*LN(p!L14),0)</f>
        <v>0</v>
      </c>
      <c r="M14" s="3">
        <f>IF(ISNUMBER(p!M14*LN(p!M14)),p!M14*LN(p!M14),0)</f>
        <v>0</v>
      </c>
      <c r="N14" s="3">
        <f>IF(ISNUMBER(p!N14*LN(p!N14)),p!N14*LN(p!N14),0)</f>
        <v>0</v>
      </c>
      <c r="O14" s="3">
        <f>IF(ISNUMBER(p!O14*LN(p!O14)),p!O14*LN(p!O14),0)</f>
        <v>0</v>
      </c>
      <c r="P14" s="3">
        <f>IF(ISNUMBER(p!P14*LN(p!P14)),p!P14*LN(p!P14),0)</f>
        <v>0</v>
      </c>
      <c r="Q14" s="3">
        <f>IF(ISNUMBER(p!Q14*LN(p!Q14)),p!Q14*LN(p!Q14),0)</f>
        <v>0</v>
      </c>
      <c r="R14" s="3">
        <f>IF(ISNUMBER(p!R14*LN(p!R14)),p!R14*LN(p!R14),0)</f>
        <v>0</v>
      </c>
      <c r="S14" s="3">
        <f>IF(ISNUMBER(p!S14*LN(p!S14)),p!S14*LN(p!S14),0)</f>
        <v>0</v>
      </c>
      <c r="T14" s="3">
        <f>IF(ISNUMBER(p!T14*LN(p!T14)),p!T14*LN(p!T14),0)</f>
        <v>0</v>
      </c>
      <c r="U14" s="3">
        <f>IF(ISNUMBER(p!U14*LN(p!U14)),p!U14*LN(p!U14),0)</f>
        <v>0</v>
      </c>
      <c r="V14" s="3">
        <f>IF(ISNUMBER(p!V14*LN(p!V14)),p!V14*LN(p!V14),0)</f>
        <v>0</v>
      </c>
      <c r="W14" s="3">
        <f>IF(ISNUMBER(p!W14*LN(p!W14)),p!W14*LN(p!W14),0)</f>
        <v>0</v>
      </c>
      <c r="X14" s="3">
        <f>IF(ISNUMBER(p!X14*LN(p!X14)),p!X14*LN(p!X14),0)</f>
        <v>0</v>
      </c>
      <c r="Y14" s="3">
        <f>IF(ISNUMBER(p!Y14*LN(p!Y14)),p!Y14*LN(p!Y14),0)</f>
        <v>0</v>
      </c>
      <c r="Z14" s="3">
        <f>IF(ISNUMBER(p!Z14*LN(p!Z14)),p!Z14*LN(p!Z14),0)</f>
        <v>0</v>
      </c>
      <c r="AA14" s="3">
        <f>IF(ISNUMBER(p!AA14*LN(p!AA14)),p!AA14*LN(p!AA14),0)</f>
        <v>0</v>
      </c>
    </row>
    <row r="15" spans="1:27" x14ac:dyDescent="0.25">
      <c r="A15" s="13" t="s">
        <v>85</v>
      </c>
      <c r="B15" s="3">
        <f>IF(ISNUMBER(p!B15*LN(p!B15)),p!B15*LN(p!B15),0)</f>
        <v>-0.15450000573377118</v>
      </c>
      <c r="C15" s="3">
        <f>IF(ISNUMBER(p!C15*LN(p!C15)),p!C15*LN(p!C15),0)</f>
        <v>-0.29352677123537235</v>
      </c>
      <c r="D15" s="3">
        <f>IF(ISNUMBER(p!D15*LN(p!D15)),p!D15*LN(p!D15),0)</f>
        <v>0</v>
      </c>
      <c r="E15" s="3">
        <f>IF(ISNUMBER(p!E15*LN(p!E15)),p!E15*LN(p!E15),0)</f>
        <v>0</v>
      </c>
      <c r="F15" s="3">
        <f>IF(ISNUMBER(p!F15*LN(p!F15)),p!F15*LN(p!F15),0)</f>
        <v>0</v>
      </c>
      <c r="G15" s="3">
        <f>IF(ISNUMBER(p!G15*LN(p!G15)),p!G15*LN(p!G15),0)</f>
        <v>0</v>
      </c>
      <c r="H15" s="3">
        <f>IF(ISNUMBER(p!H15*LN(p!H15)),p!H15*LN(p!H15),0)</f>
        <v>0</v>
      </c>
      <c r="I15" s="3">
        <f>IF(ISNUMBER(p!I15*LN(p!I15)),p!I15*LN(p!I15),0)</f>
        <v>0</v>
      </c>
      <c r="J15" s="3">
        <f>IF(ISNUMBER(p!J15*LN(p!J15)),p!J15*LN(p!J15),0)</f>
        <v>-4.39947084350195E-2</v>
      </c>
      <c r="K15" s="3">
        <f>IF(ISNUMBER(p!K15*LN(p!K15)),p!K15*LN(p!K15),0)</f>
        <v>0</v>
      </c>
      <c r="L15" s="3">
        <f>IF(ISNUMBER(p!L15*LN(p!L15)),p!L15*LN(p!L15),0)</f>
        <v>0</v>
      </c>
      <c r="M15" s="3">
        <f>IF(ISNUMBER(p!M15*LN(p!M15)),p!M15*LN(p!M15),0)</f>
        <v>0</v>
      </c>
      <c r="N15" s="3">
        <f>IF(ISNUMBER(p!N15*LN(p!N15)),p!N15*LN(p!N15),0)</f>
        <v>0</v>
      </c>
      <c r="O15" s="3">
        <f>IF(ISNUMBER(p!O15*LN(p!O15)),p!O15*LN(p!O15),0)</f>
        <v>0</v>
      </c>
      <c r="P15" s="3">
        <f>IF(ISNUMBER(p!P15*LN(p!P15)),p!P15*LN(p!P15),0)</f>
        <v>0</v>
      </c>
      <c r="Q15" s="3">
        <f>IF(ISNUMBER(p!Q15*LN(p!Q15)),p!Q15*LN(p!Q15),0)</f>
        <v>0</v>
      </c>
      <c r="R15" s="3">
        <f>IF(ISNUMBER(p!R15*LN(p!R15)),p!R15*LN(p!R15),0)</f>
        <v>0</v>
      </c>
      <c r="S15" s="3">
        <f>IF(ISNUMBER(p!S15*LN(p!S15)),p!S15*LN(p!S15),0)</f>
        <v>0</v>
      </c>
      <c r="T15" s="3">
        <f>IF(ISNUMBER(p!T15*LN(p!T15)),p!T15*LN(p!T15),0)</f>
        <v>0</v>
      </c>
      <c r="U15" s="3">
        <f>IF(ISNUMBER(p!U15*LN(p!U15)),p!U15*LN(p!U15),0)</f>
        <v>0</v>
      </c>
      <c r="V15" s="3">
        <f>IF(ISNUMBER(p!V15*LN(p!V15)),p!V15*LN(p!V15),0)</f>
        <v>0</v>
      </c>
      <c r="W15" s="3">
        <f>IF(ISNUMBER(p!W15*LN(p!W15)),p!W15*LN(p!W15),0)</f>
        <v>0</v>
      </c>
      <c r="X15" s="3">
        <f>IF(ISNUMBER(p!X15*LN(p!X15)),p!X15*LN(p!X15),0)</f>
        <v>0</v>
      </c>
      <c r="Y15" s="3">
        <f>IF(ISNUMBER(p!Y15*LN(p!Y15)),p!Y15*LN(p!Y15),0)</f>
        <v>0</v>
      </c>
      <c r="Z15" s="3">
        <f>IF(ISNUMBER(p!Z15*LN(p!Z15)),p!Z15*LN(p!Z15),0)</f>
        <v>0</v>
      </c>
      <c r="AA15" s="3">
        <f>IF(ISNUMBER(p!AA15*LN(p!AA15)),p!AA15*LN(p!AA15),0)</f>
        <v>0</v>
      </c>
    </row>
    <row r="16" spans="1:27" x14ac:dyDescent="0.25">
      <c r="A16" s="13" t="s">
        <v>86</v>
      </c>
      <c r="B16" s="3">
        <f>IF(ISNUMBER(p!B16*LN(p!B16)),p!B16*LN(p!B16),0)</f>
        <v>-3.506879973620073E-2</v>
      </c>
      <c r="C16" s="3">
        <f>IF(ISNUMBER(p!C16*LN(p!C16)),p!C16*LN(p!C16),0)</f>
        <v>0</v>
      </c>
      <c r="D16" s="3">
        <f>IF(ISNUMBER(p!D16*LN(p!D16)),p!D16*LN(p!D16),0)</f>
        <v>0</v>
      </c>
      <c r="E16" s="3">
        <f>IF(ISNUMBER(p!E16*LN(p!E16)),p!E16*LN(p!E16),0)</f>
        <v>0</v>
      </c>
      <c r="F16" s="3">
        <f>IF(ISNUMBER(p!F16*LN(p!F16)),p!F16*LN(p!F16),0)</f>
        <v>0</v>
      </c>
      <c r="G16" s="3">
        <f>IF(ISNUMBER(p!G16*LN(p!G16)),p!G16*LN(p!G16),0)</f>
        <v>0</v>
      </c>
      <c r="H16" s="3">
        <f>IF(ISNUMBER(p!H16*LN(p!H16)),p!H16*LN(p!H16),0)</f>
        <v>0</v>
      </c>
      <c r="I16" s="3">
        <f>IF(ISNUMBER(p!I16*LN(p!I16)),p!I16*LN(p!I16),0)</f>
        <v>0</v>
      </c>
      <c r="J16" s="3">
        <f>IF(ISNUMBER(p!J16*LN(p!J16)),p!J16*LN(p!J16),0)</f>
        <v>-5.2747819033848974E-2</v>
      </c>
      <c r="K16" s="3">
        <f>IF(ISNUMBER(p!K16*LN(p!K16)),p!K16*LN(p!K16),0)</f>
        <v>0</v>
      </c>
      <c r="L16" s="3">
        <f>IF(ISNUMBER(p!L16*LN(p!L16)),p!L16*LN(p!L16),0)</f>
        <v>0</v>
      </c>
      <c r="M16" s="3">
        <f>IF(ISNUMBER(p!M16*LN(p!M16)),p!M16*LN(p!M16),0)</f>
        <v>0</v>
      </c>
      <c r="N16" s="3">
        <f>IF(ISNUMBER(p!N16*LN(p!N16)),p!N16*LN(p!N16),0)</f>
        <v>0</v>
      </c>
      <c r="O16" s="3">
        <f>IF(ISNUMBER(p!O16*LN(p!O16)),p!O16*LN(p!O16),0)</f>
        <v>0</v>
      </c>
      <c r="P16" s="3">
        <f>IF(ISNUMBER(p!P16*LN(p!P16)),p!P16*LN(p!P16),0)</f>
        <v>0</v>
      </c>
      <c r="Q16" s="3">
        <f>IF(ISNUMBER(p!Q16*LN(p!Q16)),p!Q16*LN(p!Q16),0)</f>
        <v>-8.8992133768651643E-2</v>
      </c>
      <c r="R16" s="3">
        <f>IF(ISNUMBER(p!R16*LN(p!R16)),p!R16*LN(p!R16),0)</f>
        <v>0</v>
      </c>
      <c r="S16" s="3">
        <f>IF(ISNUMBER(p!S16*LN(p!S16)),p!S16*LN(p!S16),0)</f>
        <v>0</v>
      </c>
      <c r="T16" s="3">
        <f>IF(ISNUMBER(p!T16*LN(p!T16)),p!T16*LN(p!T16),0)</f>
        <v>0</v>
      </c>
      <c r="U16" s="3">
        <f>IF(ISNUMBER(p!U16*LN(p!U16)),p!U16*LN(p!U16),0)</f>
        <v>0</v>
      </c>
      <c r="V16" s="3">
        <f>IF(ISNUMBER(p!V16*LN(p!V16)),p!V16*LN(p!V16),0)</f>
        <v>0</v>
      </c>
      <c r="W16" s="3">
        <f>IF(ISNUMBER(p!W16*LN(p!W16)),p!W16*LN(p!W16),0)</f>
        <v>0</v>
      </c>
      <c r="X16" s="3">
        <f>IF(ISNUMBER(p!X16*LN(p!X16)),p!X16*LN(p!X16),0)</f>
        <v>0</v>
      </c>
      <c r="Y16" s="3">
        <f>IF(ISNUMBER(p!Y16*LN(p!Y16)),p!Y16*LN(p!Y16),0)</f>
        <v>0</v>
      </c>
      <c r="Z16" s="3">
        <f>IF(ISNUMBER(p!Z16*LN(p!Z16)),p!Z16*LN(p!Z16),0)</f>
        <v>0</v>
      </c>
      <c r="AA16" s="3">
        <f>IF(ISNUMBER(p!AA16*LN(p!AA16)),p!AA16*LN(p!AA16),0)</f>
        <v>0</v>
      </c>
    </row>
    <row r="17" spans="1:27" x14ac:dyDescent="0.25">
      <c r="A17" s="13" t="s">
        <v>90</v>
      </c>
      <c r="B17" s="3">
        <f>IF(ISNUMBER(p!B17*LN(p!B17)),p!B17*LN(p!B17),0)</f>
        <v>-0.28598650006070381</v>
      </c>
      <c r="C17" s="3">
        <f>IF(ISNUMBER(p!C17*LN(p!C17)),p!C17*LN(p!C17),0)</f>
        <v>-0.24843845911190141</v>
      </c>
      <c r="D17" s="3">
        <f>IF(ISNUMBER(p!D17*LN(p!D17)),p!D17*LN(p!D17),0)</f>
        <v>0</v>
      </c>
      <c r="E17" s="3">
        <f>IF(ISNUMBER(p!E17*LN(p!E17)),p!E17*LN(p!E17),0)</f>
        <v>0</v>
      </c>
      <c r="F17" s="3">
        <f>IF(ISNUMBER(p!F17*LN(p!F17)),p!F17*LN(p!F17),0)</f>
        <v>0</v>
      </c>
      <c r="G17" s="3">
        <f>IF(ISNUMBER(p!G17*LN(p!G17)),p!G17*LN(p!G17),0)</f>
        <v>0</v>
      </c>
      <c r="H17" s="3">
        <f>IF(ISNUMBER(p!H17*LN(p!H17)),p!H17*LN(p!H17),0)</f>
        <v>-6.7391374822513297E-2</v>
      </c>
      <c r="I17" s="3">
        <f>IF(ISNUMBER(p!I17*LN(p!I17)),p!I17*LN(p!I17),0)</f>
        <v>0</v>
      </c>
      <c r="J17" s="3">
        <f>IF(ISNUMBER(p!J17*LN(p!J17)),p!J17*LN(p!J17),0)</f>
        <v>-0.20503573374911563</v>
      </c>
      <c r="K17" s="3">
        <f>IF(ISNUMBER(p!K17*LN(p!K17)),p!K17*LN(p!K17),0)</f>
        <v>0</v>
      </c>
      <c r="L17" s="3">
        <f>IF(ISNUMBER(p!L17*LN(p!L17)),p!L17*LN(p!L17),0)</f>
        <v>0</v>
      </c>
      <c r="M17" s="3">
        <f>IF(ISNUMBER(p!M17*LN(p!M17)),p!M17*LN(p!M17),0)</f>
        <v>-0.11205661257748742</v>
      </c>
      <c r="N17" s="3">
        <f>IF(ISNUMBER(p!N17*LN(p!N17)),p!N17*LN(p!N17),0)</f>
        <v>0</v>
      </c>
      <c r="O17" s="3">
        <f>IF(ISNUMBER(p!O17*LN(p!O17)),p!O17*LN(p!O17),0)</f>
        <v>-0.14814401191009188</v>
      </c>
      <c r="P17" s="3">
        <f>IF(ISNUMBER(p!P17*LN(p!P17)),p!P17*LN(p!P17),0)</f>
        <v>0</v>
      </c>
      <c r="Q17" s="3">
        <f>IF(ISNUMBER(p!Q17*LN(p!Q17)),p!Q17*LN(p!Q17),0)</f>
        <v>0</v>
      </c>
      <c r="R17" s="3">
        <f>IF(ISNUMBER(p!R17*LN(p!R17)),p!R17*LN(p!R17),0)</f>
        <v>0</v>
      </c>
      <c r="S17" s="3">
        <f>IF(ISNUMBER(p!S17*LN(p!S17)),p!S17*LN(p!S17),0)</f>
        <v>0</v>
      </c>
      <c r="T17" s="3">
        <f>IF(ISNUMBER(p!T17*LN(p!T17)),p!T17*LN(p!T17),0)</f>
        <v>0</v>
      </c>
      <c r="U17" s="3">
        <f>IF(ISNUMBER(p!U17*LN(p!U17)),p!U17*LN(p!U17),0)</f>
        <v>0</v>
      </c>
      <c r="V17" s="3">
        <f>IF(ISNUMBER(p!V17*LN(p!V17)),p!V17*LN(p!V17),0)</f>
        <v>0</v>
      </c>
      <c r="W17" s="3">
        <f>IF(ISNUMBER(p!W17*LN(p!W17)),p!W17*LN(p!W17),0)</f>
        <v>0</v>
      </c>
      <c r="X17" s="3">
        <f>IF(ISNUMBER(p!X17*LN(p!X17)),p!X17*LN(p!X17),0)</f>
        <v>-6.7391374822513297E-2</v>
      </c>
      <c r="Y17" s="3">
        <f>IF(ISNUMBER(p!Y17*LN(p!Y17)),p!Y17*LN(p!Y17),0)</f>
        <v>-0.11205661257748742</v>
      </c>
      <c r="Z17" s="3">
        <f>IF(ISNUMBER(p!Z17*LN(p!Z17)),p!Z17*LN(p!Z17),0)</f>
        <v>0</v>
      </c>
      <c r="AA17" s="3">
        <f>IF(ISNUMBER(p!AA17*LN(p!AA17)),p!AA17*LN(p!AA17),0)</f>
        <v>0</v>
      </c>
    </row>
    <row r="18" spans="1:27" x14ac:dyDescent="0.25">
      <c r="A18" s="13" t="s">
        <v>91</v>
      </c>
      <c r="B18" s="3">
        <f>IF(ISNUMBER(p!B18*LN(p!B18)),p!B18*LN(p!B18),0)</f>
        <v>-0.12573650363705208</v>
      </c>
      <c r="C18" s="3">
        <f>IF(ISNUMBER(p!C18*LN(p!C18)),p!C18*LN(p!C18),0)</f>
        <v>-0.18224151096217903</v>
      </c>
      <c r="D18" s="3">
        <f>IF(ISNUMBER(p!D18*LN(p!D18)),p!D18*LN(p!D18),0)</f>
        <v>0</v>
      </c>
      <c r="E18" s="3">
        <f>IF(ISNUMBER(p!E18*LN(p!E18)),p!E18*LN(p!E18),0)</f>
        <v>0</v>
      </c>
      <c r="F18" s="3">
        <f>IF(ISNUMBER(p!F18*LN(p!F18)),p!F18*LN(p!F18),0)</f>
        <v>0</v>
      </c>
      <c r="G18" s="3">
        <f>IF(ISNUMBER(p!G18*LN(p!G18)),p!G18*LN(p!G18),0)</f>
        <v>0</v>
      </c>
      <c r="H18" s="3">
        <f>IF(ISNUMBER(p!H18*LN(p!H18)),p!H18*LN(p!H18),0)</f>
        <v>-6.3115818761831699E-2</v>
      </c>
      <c r="I18" s="3">
        <f>IF(ISNUMBER(p!I18*LN(p!I18)),p!I18*LN(p!I18),0)</f>
        <v>0</v>
      </c>
      <c r="J18" s="3">
        <f>IF(ISNUMBER(p!J18*LN(p!J18)),p!J18*LN(p!J18),0)</f>
        <v>-0.13978599965385105</v>
      </c>
      <c r="K18" s="3">
        <f>IF(ISNUMBER(p!K18*LN(p!K18)),p!K18*LN(p!K18),0)</f>
        <v>0</v>
      </c>
      <c r="L18" s="3">
        <f>IF(ISNUMBER(p!L18*LN(p!L18)),p!L18*LN(p!L18),0)</f>
        <v>0</v>
      </c>
      <c r="M18" s="3">
        <f>IF(ISNUMBER(p!M18*LN(p!M18)),p!M18*LN(p!M18),0)</f>
        <v>0</v>
      </c>
      <c r="N18" s="3">
        <f>IF(ISNUMBER(p!N18*LN(p!N18)),p!N18*LN(p!N18),0)</f>
        <v>0</v>
      </c>
      <c r="O18" s="3">
        <f>IF(ISNUMBER(p!O18*LN(p!O18)),p!O18*LN(p!O18),0)</f>
        <v>0</v>
      </c>
      <c r="P18" s="3">
        <f>IF(ISNUMBER(p!P18*LN(p!P18)),p!P18*LN(p!P18),0)</f>
        <v>0</v>
      </c>
      <c r="Q18" s="3">
        <f>IF(ISNUMBER(p!Q18*LN(p!Q18)),p!Q18*LN(p!Q18),0)</f>
        <v>-3.6769542317456792E-2</v>
      </c>
      <c r="R18" s="3">
        <f>IF(ISNUMBER(p!R18*LN(p!R18)),p!R18*LN(p!R18),0)</f>
        <v>0</v>
      </c>
      <c r="S18" s="3">
        <f>IF(ISNUMBER(p!S18*LN(p!S18)),p!S18*LN(p!S18),0)</f>
        <v>0</v>
      </c>
      <c r="T18" s="3">
        <f>IF(ISNUMBER(p!T18*LN(p!T18)),p!T18*LN(p!T18),0)</f>
        <v>0</v>
      </c>
      <c r="U18" s="3">
        <f>IF(ISNUMBER(p!U18*LN(p!U18)),p!U18*LN(p!U18),0)</f>
        <v>0</v>
      </c>
      <c r="V18" s="3">
        <f>IF(ISNUMBER(p!V18*LN(p!V18)),p!V18*LN(p!V18),0)</f>
        <v>0</v>
      </c>
      <c r="W18" s="3">
        <f>IF(ISNUMBER(p!W18*LN(p!W18)),p!W18*LN(p!W18),0)</f>
        <v>0</v>
      </c>
      <c r="X18" s="3">
        <f>IF(ISNUMBER(p!X18*LN(p!X18)),p!X18*LN(p!X18),0)</f>
        <v>0</v>
      </c>
      <c r="Y18" s="3">
        <f>IF(ISNUMBER(p!Y18*LN(p!Y18)),p!Y18*LN(p!Y18),0)</f>
        <v>0</v>
      </c>
      <c r="Z18" s="3">
        <f>IF(ISNUMBER(p!Z18*LN(p!Z18)),p!Z18*LN(p!Z18),0)</f>
        <v>0</v>
      </c>
      <c r="AA18" s="3">
        <f>IF(ISNUMBER(p!AA18*LN(p!AA18)),p!AA18*LN(p!AA18),0)</f>
        <v>0</v>
      </c>
    </row>
    <row r="19" spans="1:27" x14ac:dyDescent="0.25">
      <c r="A19" s="13" t="s">
        <v>92</v>
      </c>
      <c r="B19" s="3">
        <f>IF(ISNUMBER(p!B19*LN(p!B19)),p!B19*LN(p!B19),0)</f>
        <v>-1.6526999677774934E-2</v>
      </c>
      <c r="C19" s="3">
        <f>IF(ISNUMBER(p!C19*LN(p!C19)),p!C19*LN(p!C19),0)</f>
        <v>0</v>
      </c>
      <c r="D19" s="3">
        <f>IF(ISNUMBER(p!D19*LN(p!D19)),p!D19*LN(p!D19),0)</f>
        <v>0</v>
      </c>
      <c r="E19" s="3">
        <f>IF(ISNUMBER(p!E19*LN(p!E19)),p!E19*LN(p!E19),0)</f>
        <v>0</v>
      </c>
      <c r="F19" s="3">
        <f>IF(ISNUMBER(p!F19*LN(p!F19)),p!F19*LN(p!F19),0)</f>
        <v>0</v>
      </c>
      <c r="G19" s="3">
        <f>IF(ISNUMBER(p!G19*LN(p!G19)),p!G19*LN(p!G19),0)</f>
        <v>0</v>
      </c>
      <c r="H19" s="3">
        <f>IF(ISNUMBER(p!H19*LN(p!H19)),p!H19*LN(p!H19),0)</f>
        <v>0</v>
      </c>
      <c r="I19" s="3">
        <f>IF(ISNUMBER(p!I19*LN(p!I19)),p!I19*LN(p!I19),0)</f>
        <v>0</v>
      </c>
      <c r="J19" s="3">
        <f>IF(ISNUMBER(p!J19*LN(p!J19)),p!J19*LN(p!J19),0)</f>
        <v>-3.9895764523183712E-2</v>
      </c>
      <c r="K19" s="3">
        <f>IF(ISNUMBER(p!K19*LN(p!K19)),p!K19*LN(p!K19),0)</f>
        <v>0</v>
      </c>
      <c r="L19" s="3">
        <f>IF(ISNUMBER(p!L19*LN(p!L19)),p!L19*LN(p!L19),0)</f>
        <v>0</v>
      </c>
      <c r="M19" s="3">
        <f>IF(ISNUMBER(p!M19*LN(p!M19)),p!M19*LN(p!M19),0)</f>
        <v>0</v>
      </c>
      <c r="N19" s="3">
        <f>IF(ISNUMBER(p!N19*LN(p!N19)),p!N19*LN(p!N19),0)</f>
        <v>0</v>
      </c>
      <c r="O19" s="3">
        <f>IF(ISNUMBER(p!O19*LN(p!O19)),p!O19*LN(p!O19),0)</f>
        <v>-3.9895764523183712E-2</v>
      </c>
      <c r="P19" s="3">
        <f>IF(ISNUMBER(p!P19*LN(p!P19)),p!P19*LN(p!P19),0)</f>
        <v>0</v>
      </c>
      <c r="Q19" s="3">
        <f>IF(ISNUMBER(p!Q19*LN(p!Q19)),p!Q19*LN(p!Q19),0)</f>
        <v>0</v>
      </c>
      <c r="R19" s="3">
        <f>IF(ISNUMBER(p!R19*LN(p!R19)),p!R19*LN(p!R19),0)</f>
        <v>0</v>
      </c>
      <c r="S19" s="3">
        <f>IF(ISNUMBER(p!S19*LN(p!S19)),p!S19*LN(p!S19),0)</f>
        <v>0</v>
      </c>
      <c r="T19" s="3">
        <f>IF(ISNUMBER(p!T19*LN(p!T19)),p!T19*LN(p!T19),0)</f>
        <v>0</v>
      </c>
      <c r="U19" s="3">
        <f>IF(ISNUMBER(p!U19*LN(p!U19)),p!U19*LN(p!U19),0)</f>
        <v>0</v>
      </c>
      <c r="V19" s="3">
        <f>IF(ISNUMBER(p!V19*LN(p!V19)),p!V19*LN(p!V19),0)</f>
        <v>0</v>
      </c>
      <c r="W19" s="3">
        <f>IF(ISNUMBER(p!W19*LN(p!W19)),p!W19*LN(p!W19),0)</f>
        <v>0</v>
      </c>
      <c r="X19" s="3">
        <f>IF(ISNUMBER(p!X19*LN(p!X19)),p!X19*LN(p!X19),0)</f>
        <v>0</v>
      </c>
      <c r="Y19" s="3">
        <f>IF(ISNUMBER(p!Y19*LN(p!Y19)),p!Y19*LN(p!Y19),0)</f>
        <v>0</v>
      </c>
      <c r="Z19" s="3">
        <f>IF(ISNUMBER(p!Z19*LN(p!Z19)),p!Z19*LN(p!Z19),0)</f>
        <v>0</v>
      </c>
      <c r="AA19" s="3">
        <f>IF(ISNUMBER(p!AA19*LN(p!AA19)),p!AA19*LN(p!AA19),0)</f>
        <v>0</v>
      </c>
    </row>
    <row r="20" spans="1:27" x14ac:dyDescent="0.25">
      <c r="A20" s="13" t="s">
        <v>93</v>
      </c>
      <c r="B20" s="3">
        <f>IF(ISNUMBER(p!B20*LN(p!B20)),p!B20*LN(p!B20),0)</f>
        <v>-3.2417548345061907E-2</v>
      </c>
      <c r="C20" s="3">
        <f>IF(ISNUMBER(p!C20*LN(p!C20)),p!C20*LN(p!C20),0)</f>
        <v>0</v>
      </c>
      <c r="D20" s="3">
        <f>IF(ISNUMBER(p!D20*LN(p!D20)),p!D20*LN(p!D20),0)</f>
        <v>0</v>
      </c>
      <c r="E20" s="3">
        <f>IF(ISNUMBER(p!E20*LN(p!E20)),p!E20*LN(p!E20),0)</f>
        <v>0</v>
      </c>
      <c r="F20" s="3">
        <f>IF(ISNUMBER(p!F20*LN(p!F20)),p!F20*LN(p!F20),0)</f>
        <v>0</v>
      </c>
      <c r="G20" s="3">
        <f>IF(ISNUMBER(p!G20*LN(p!G20)),p!G20*LN(p!G20),0)</f>
        <v>0</v>
      </c>
      <c r="H20" s="3">
        <f>IF(ISNUMBER(p!H20*LN(p!H20)),p!H20*LN(p!H20),0)</f>
        <v>0</v>
      </c>
      <c r="I20" s="3">
        <f>IF(ISNUMBER(p!I20*LN(p!I20)),p!I20*LN(p!I20),0)</f>
        <v>0</v>
      </c>
      <c r="J20" s="3">
        <f>IF(ISNUMBER(p!J20*LN(p!J20)),p!J20*LN(p!J20),0)</f>
        <v>-8.390576540564626E-2</v>
      </c>
      <c r="K20" s="3">
        <f>IF(ISNUMBER(p!K20*LN(p!K20)),p!K20*LN(p!K20),0)</f>
        <v>0</v>
      </c>
      <c r="L20" s="3">
        <f>IF(ISNUMBER(p!L20*LN(p!L20)),p!L20*LN(p!L20),0)</f>
        <v>0</v>
      </c>
      <c r="M20" s="3">
        <f>IF(ISNUMBER(p!M20*LN(p!M20)),p!M20*LN(p!M20),0)</f>
        <v>0</v>
      </c>
      <c r="N20" s="3">
        <f>IF(ISNUMBER(p!N20*LN(p!N20)),p!N20*LN(p!N20),0)</f>
        <v>0</v>
      </c>
      <c r="O20" s="3">
        <f>IF(ISNUMBER(p!O20*LN(p!O20)),p!O20*LN(p!O20),0)</f>
        <v>0</v>
      </c>
      <c r="P20" s="3">
        <f>IF(ISNUMBER(p!P20*LN(p!P20)),p!P20*LN(p!P20),0)</f>
        <v>0</v>
      </c>
      <c r="Q20" s="3">
        <f>IF(ISNUMBER(p!Q20*LN(p!Q20)),p!Q20*LN(p!Q20),0)</f>
        <v>-4.9569884686998356E-2</v>
      </c>
      <c r="R20" s="3">
        <f>IF(ISNUMBER(p!R20*LN(p!R20)),p!R20*LN(p!R20),0)</f>
        <v>0</v>
      </c>
      <c r="S20" s="3">
        <f>IF(ISNUMBER(p!S20*LN(p!S20)),p!S20*LN(p!S20),0)</f>
        <v>0</v>
      </c>
      <c r="T20" s="3">
        <f>IF(ISNUMBER(p!T20*LN(p!T20)),p!T20*LN(p!T20),0)</f>
        <v>0</v>
      </c>
      <c r="U20" s="3">
        <f>IF(ISNUMBER(p!U20*LN(p!U20)),p!U20*LN(p!U20),0)</f>
        <v>0</v>
      </c>
      <c r="V20" s="3">
        <f>IF(ISNUMBER(p!V20*LN(p!V20)),p!V20*LN(p!V20),0)</f>
        <v>0</v>
      </c>
      <c r="W20" s="3">
        <f>IF(ISNUMBER(p!W20*LN(p!W20)),p!W20*LN(p!W20),0)</f>
        <v>0</v>
      </c>
      <c r="X20" s="3">
        <f>IF(ISNUMBER(p!X20*LN(p!X20)),p!X20*LN(p!X20),0)</f>
        <v>0</v>
      </c>
      <c r="Y20" s="3">
        <f>IF(ISNUMBER(p!Y20*LN(p!Y20)),p!Y20*LN(p!Y20),0)</f>
        <v>0</v>
      </c>
      <c r="Z20" s="3">
        <f>IF(ISNUMBER(p!Z20*LN(p!Z20)),p!Z20*LN(p!Z20),0)</f>
        <v>0</v>
      </c>
      <c r="AA20" s="3">
        <f>IF(ISNUMBER(p!AA20*LN(p!AA20)),p!AA20*LN(p!AA20),0)</f>
        <v>0</v>
      </c>
    </row>
    <row r="21" spans="1:27" x14ac:dyDescent="0.25">
      <c r="A21" s="13" t="s">
        <v>18</v>
      </c>
      <c r="B21" s="3">
        <f>IF(ISNUMBER(p!B21*LN(p!B21)),p!B21*LN(p!B21),0)</f>
        <v>-9.6725435408372418E-2</v>
      </c>
      <c r="C21" s="3">
        <f>IF(ISNUMBER(p!C21*LN(p!C21)),p!C21*LN(p!C21),0)</f>
        <v>-0.15189849520116552</v>
      </c>
      <c r="D21" s="3">
        <f>IF(ISNUMBER(p!D21*LN(p!D21)),p!D21*LN(p!D21),0)</f>
        <v>0</v>
      </c>
      <c r="E21" s="3">
        <f>IF(ISNUMBER(p!E21*LN(p!E21)),p!E21*LN(p!E21),0)</f>
        <v>-0.15189849520116552</v>
      </c>
      <c r="F21" s="3">
        <f>IF(ISNUMBER(p!F21*LN(p!F21)),p!F21*LN(p!F21),0)</f>
        <v>0</v>
      </c>
      <c r="G21" s="3">
        <f>IF(ISNUMBER(p!G21*LN(p!G21)),p!G21*LN(p!G21),0)</f>
        <v>0</v>
      </c>
      <c r="H21" s="3">
        <f>IF(ISNUMBER(p!H21*LN(p!H21)),p!H21*LN(p!H21),0)</f>
        <v>0</v>
      </c>
      <c r="I21" s="3">
        <f>IF(ISNUMBER(p!I21*LN(p!I21)),p!I21*LN(p!I21),0)</f>
        <v>0</v>
      </c>
      <c r="J21" s="3">
        <f>IF(ISNUMBER(p!J21*LN(p!J21)),p!J21*LN(p!J21),0)</f>
        <v>0</v>
      </c>
      <c r="K21" s="3">
        <f>IF(ISNUMBER(p!K21*LN(p!K21)),p!K21*LN(p!K21),0)</f>
        <v>0</v>
      </c>
      <c r="L21" s="3">
        <f>IF(ISNUMBER(p!L21*LN(p!L21)),p!L21*LN(p!L21),0)</f>
        <v>0</v>
      </c>
      <c r="M21" s="3">
        <f>IF(ISNUMBER(p!M21*LN(p!M21)),p!M21*LN(p!M21),0)</f>
        <v>0</v>
      </c>
      <c r="N21" s="3">
        <f>IF(ISNUMBER(p!N21*LN(p!N21)),p!N21*LN(p!N21),0)</f>
        <v>0</v>
      </c>
      <c r="O21" s="3">
        <f>IF(ISNUMBER(p!O21*LN(p!O21)),p!O21*LN(p!O21),0)</f>
        <v>0</v>
      </c>
      <c r="P21" s="3">
        <f>IF(ISNUMBER(p!P21*LN(p!P21)),p!P21*LN(p!P21),0)</f>
        <v>0</v>
      </c>
      <c r="Q21" s="3">
        <f>IF(ISNUMBER(p!Q21*LN(p!Q21)),p!Q21*LN(p!Q21),0)</f>
        <v>0</v>
      </c>
      <c r="R21" s="3">
        <f>IF(ISNUMBER(p!R21*LN(p!R21)),p!R21*LN(p!R21),0)</f>
        <v>0</v>
      </c>
      <c r="S21" s="3">
        <f>IF(ISNUMBER(p!S21*LN(p!S21)),p!S21*LN(p!S21),0)</f>
        <v>0</v>
      </c>
      <c r="T21" s="3">
        <f>IF(ISNUMBER(p!T21*LN(p!T21)),p!T21*LN(p!T21),0)</f>
        <v>0</v>
      </c>
      <c r="U21" s="3">
        <f>IF(ISNUMBER(p!U21*LN(p!U21)),p!U21*LN(p!U21),0)</f>
        <v>0</v>
      </c>
      <c r="V21" s="3">
        <f>IF(ISNUMBER(p!V21*LN(p!V21)),p!V21*LN(p!V21),0)</f>
        <v>0</v>
      </c>
      <c r="W21" s="3">
        <f>IF(ISNUMBER(p!W21*LN(p!W21)),p!W21*LN(p!W21),0)</f>
        <v>0</v>
      </c>
      <c r="X21" s="3">
        <f>IF(ISNUMBER(p!X21*LN(p!X21)),p!X21*LN(p!X21),0)</f>
        <v>0</v>
      </c>
      <c r="Y21" s="3">
        <f>IF(ISNUMBER(p!Y21*LN(p!Y21)),p!Y21*LN(p!Y21),0)</f>
        <v>0</v>
      </c>
      <c r="Z21" s="3">
        <f>IF(ISNUMBER(p!Z21*LN(p!Z21)),p!Z21*LN(p!Z21),0)</f>
        <v>0</v>
      </c>
      <c r="AA21" s="3">
        <f>IF(ISNUMBER(p!AA21*LN(p!AA21)),p!AA21*LN(p!AA21),0)</f>
        <v>0</v>
      </c>
    </row>
    <row r="22" spans="1:27" x14ac:dyDescent="0.25">
      <c r="A22" s="13" t="s">
        <v>19</v>
      </c>
      <c r="B22" s="3">
        <f>IF(ISNUMBER(p!B22*LN(p!B22)),p!B22*LN(p!B22),0)</f>
        <v>-0.27169185435412452</v>
      </c>
      <c r="C22" s="3">
        <f>IF(ISNUMBER(p!C22*LN(p!C22)),p!C22*LN(p!C22),0)</f>
        <v>-0.35216658657534139</v>
      </c>
      <c r="D22" s="3">
        <f>IF(ISNUMBER(p!D22*LN(p!D22)),p!D22*LN(p!D22),0)</f>
        <v>0</v>
      </c>
      <c r="E22" s="3">
        <f>IF(ISNUMBER(p!E22*LN(p!E22)),p!E22*LN(p!E22),0)</f>
        <v>0</v>
      </c>
      <c r="F22" s="3">
        <f>IF(ISNUMBER(p!F22*LN(p!F22)),p!F22*LN(p!F22),0)</f>
        <v>0</v>
      </c>
      <c r="G22" s="3">
        <f>IF(ISNUMBER(p!G22*LN(p!G22)),p!G22*LN(p!G22),0)</f>
        <v>0</v>
      </c>
      <c r="H22" s="3">
        <f>IF(ISNUMBER(p!H22*LN(p!H22)),p!H22*LN(p!H22),0)</f>
        <v>-0.1740600033308615</v>
      </c>
      <c r="I22" s="3">
        <f>IF(ISNUMBER(p!I22*LN(p!I22)),p!I22*LN(p!I22),0)</f>
        <v>0</v>
      </c>
      <c r="J22" s="3">
        <f>IF(ISNUMBER(p!J22*LN(p!J22)),p!J22*LN(p!J22),0)</f>
        <v>0</v>
      </c>
      <c r="K22" s="3">
        <f>IF(ISNUMBER(p!K22*LN(p!K22)),p!K22*LN(p!K22),0)</f>
        <v>0</v>
      </c>
      <c r="L22" s="3">
        <f>IF(ISNUMBER(p!L22*LN(p!L22)),p!L22*LN(p!L22),0)</f>
        <v>0</v>
      </c>
      <c r="M22" s="3">
        <f>IF(ISNUMBER(p!M22*LN(p!M22)),p!M22*LN(p!M22),0)</f>
        <v>0</v>
      </c>
      <c r="N22" s="3">
        <f>IF(ISNUMBER(p!N22*LN(p!N22)),p!N22*LN(p!N22),0)</f>
        <v>0</v>
      </c>
      <c r="O22" s="3">
        <f>IF(ISNUMBER(p!O22*LN(p!O22)),p!O22*LN(p!O22),0)</f>
        <v>0</v>
      </c>
      <c r="P22" s="3">
        <f>IF(ISNUMBER(p!P22*LN(p!P22)),p!P22*LN(p!P22),0)</f>
        <v>0</v>
      </c>
      <c r="Q22" s="3">
        <f>IF(ISNUMBER(p!Q22*LN(p!Q22)),p!Q22*LN(p!Q22),0)</f>
        <v>-3.4705207204614737E-2</v>
      </c>
      <c r="R22" s="3">
        <f>IF(ISNUMBER(p!R22*LN(p!R22)),p!R22*LN(p!R22),0)</f>
        <v>0</v>
      </c>
      <c r="S22" s="3">
        <f>IF(ISNUMBER(p!S22*LN(p!S22)),p!S22*LN(p!S22),0)</f>
        <v>0</v>
      </c>
      <c r="T22" s="3">
        <f>IF(ISNUMBER(p!T22*LN(p!T22)),p!T22*LN(p!T22),0)</f>
        <v>0</v>
      </c>
      <c r="U22" s="3">
        <f>IF(ISNUMBER(p!U22*LN(p!U22)),p!U22*LN(p!U22),0)</f>
        <v>0</v>
      </c>
      <c r="V22" s="3">
        <f>IF(ISNUMBER(p!V22*LN(p!V22)),p!V22*LN(p!V22),0)</f>
        <v>0</v>
      </c>
      <c r="W22" s="3">
        <f>IF(ISNUMBER(p!W22*LN(p!W22)),p!W22*LN(p!W22),0)</f>
        <v>0</v>
      </c>
      <c r="X22" s="3">
        <f>IF(ISNUMBER(p!X22*LN(p!X22)),p!X22*LN(p!X22),0)</f>
        <v>0</v>
      </c>
      <c r="Y22" s="3">
        <f>IF(ISNUMBER(p!Y22*LN(p!Y22)),p!Y22*LN(p!Y22),0)</f>
        <v>0</v>
      </c>
      <c r="Z22" s="3">
        <f>IF(ISNUMBER(p!Z22*LN(p!Z22)),p!Z22*LN(p!Z22),0)</f>
        <v>0</v>
      </c>
      <c r="AA22" s="3">
        <f>IF(ISNUMBER(p!AA22*LN(p!AA22)),p!AA22*LN(p!AA22),0)</f>
        <v>0</v>
      </c>
    </row>
    <row r="23" spans="1:27" x14ac:dyDescent="0.25">
      <c r="A23" s="13" t="s">
        <v>20</v>
      </c>
      <c r="B23" s="3">
        <f>IF(ISNUMBER(p!B23*LN(p!B23)),p!B23*LN(p!B23),0)</f>
        <v>-0.33795731851255628</v>
      </c>
      <c r="C23" s="3">
        <f>IF(ISNUMBER(p!C23*LN(p!C23)),p!C23*LN(p!C23),0)</f>
        <v>-0.36706734695536519</v>
      </c>
      <c r="D23" s="3">
        <f>IF(ISNUMBER(p!D23*LN(p!D23)),p!D23*LN(p!D23),0)</f>
        <v>0</v>
      </c>
      <c r="E23" s="3">
        <f>IF(ISNUMBER(p!E23*LN(p!E23)),p!E23*LN(p!E23),0)</f>
        <v>-3.6335368729173562E-2</v>
      </c>
      <c r="F23" s="3">
        <f>IF(ISNUMBER(p!F23*LN(p!F23)),p!F23*LN(p!F23),0)</f>
        <v>0</v>
      </c>
      <c r="G23" s="3">
        <f>IF(ISNUMBER(p!G23*LN(p!G23)),p!G23*LN(p!G23),0)</f>
        <v>0</v>
      </c>
      <c r="H23" s="3">
        <f>IF(ISNUMBER(p!H23*LN(p!H23)),p!H23*LN(p!H23),0)</f>
        <v>-0.16745678440050926</v>
      </c>
      <c r="I23" s="3">
        <f>IF(ISNUMBER(p!I23*LN(p!I23)),p!I23*LN(p!I23),0)</f>
        <v>0</v>
      </c>
      <c r="J23" s="3">
        <f>IF(ISNUMBER(p!J23*LN(p!J23)),p!J23*LN(p!J23),0)</f>
        <v>-3.6335368729173562E-2</v>
      </c>
      <c r="K23" s="3">
        <f>IF(ISNUMBER(p!K23*LN(p!K23)),p!K23*LN(p!K23),0)</f>
        <v>0</v>
      </c>
      <c r="L23" s="3">
        <f>IF(ISNUMBER(p!L23*LN(p!L23)),p!L23*LN(p!L23),0)</f>
        <v>0</v>
      </c>
      <c r="M23" s="3">
        <f>IF(ISNUMBER(p!M23*LN(p!M23)),p!M23*LN(p!M23),0)</f>
        <v>0</v>
      </c>
      <c r="N23" s="3">
        <f>IF(ISNUMBER(p!N23*LN(p!N23)),p!N23*LN(p!N23),0)</f>
        <v>0</v>
      </c>
      <c r="O23" s="3">
        <f>IF(ISNUMBER(p!O23*LN(p!O23)),p!O23*LN(p!O23),0)</f>
        <v>-3.6335368729173562E-2</v>
      </c>
      <c r="P23" s="3">
        <f>IF(ISNUMBER(p!P23*LN(p!P23)),p!P23*LN(p!P23),0)</f>
        <v>0</v>
      </c>
      <c r="Q23" s="3">
        <f>IF(ISNUMBER(p!Q23*LN(p!Q23)),p!Q23*LN(p!Q23),0)</f>
        <v>0</v>
      </c>
      <c r="R23" s="3">
        <f>IF(ISNUMBER(p!R23*LN(p!R23)),p!R23*LN(p!R23),0)</f>
        <v>0</v>
      </c>
      <c r="S23" s="3">
        <f>IF(ISNUMBER(p!S23*LN(p!S23)),p!S23*LN(p!S23),0)</f>
        <v>0</v>
      </c>
      <c r="T23" s="3">
        <f>IF(ISNUMBER(p!T23*LN(p!T23)),p!T23*LN(p!T23),0)</f>
        <v>0</v>
      </c>
      <c r="U23" s="3">
        <f>IF(ISNUMBER(p!U23*LN(p!U23)),p!U23*LN(p!U23),0)</f>
        <v>0</v>
      </c>
      <c r="V23" s="3">
        <f>IF(ISNUMBER(p!V23*LN(p!V23)),p!V23*LN(p!V23),0)</f>
        <v>0</v>
      </c>
      <c r="W23" s="3">
        <f>IF(ISNUMBER(p!W23*LN(p!W23)),p!W23*LN(p!W23),0)</f>
        <v>0</v>
      </c>
      <c r="X23" s="3">
        <f>IF(ISNUMBER(p!X23*LN(p!X23)),p!X23*LN(p!X23),0)</f>
        <v>0</v>
      </c>
      <c r="Y23" s="3">
        <f>IF(ISNUMBER(p!Y23*LN(p!Y23)),p!Y23*LN(p!Y23),0)</f>
        <v>0</v>
      </c>
      <c r="Z23" s="3">
        <f>IF(ISNUMBER(p!Z23*LN(p!Z23)),p!Z23*LN(p!Z23),0)</f>
        <v>0</v>
      </c>
      <c r="AA23" s="3">
        <f>IF(ISNUMBER(p!AA23*LN(p!AA23)),p!AA23*LN(p!AA23),0)</f>
        <v>0</v>
      </c>
    </row>
    <row r="24" spans="1:27" x14ac:dyDescent="0.25">
      <c r="A24" s="13" t="s">
        <v>21</v>
      </c>
      <c r="B24" s="3">
        <f>IF(ISNUMBER(p!B24*LN(p!B24)),p!B24*LN(p!B24),0)</f>
        <v>-0.36084953136127629</v>
      </c>
      <c r="C24" s="3">
        <f>IF(ISNUMBER(p!C24*LN(p!C24)),p!C24*LN(p!C24),0)</f>
        <v>-0.36653170149080055</v>
      </c>
      <c r="D24" s="3">
        <f>IF(ISNUMBER(p!D24*LN(p!D24)),p!D24*LN(p!D24),0)</f>
        <v>-4.7935546227374115E-2</v>
      </c>
      <c r="E24" s="3">
        <f>IF(ISNUMBER(p!E24*LN(p!E24)),p!E24*LN(p!E24),0)</f>
        <v>0</v>
      </c>
      <c r="F24" s="3">
        <f>IF(ISNUMBER(p!F24*LN(p!F24)),p!F24*LN(p!F24),0)</f>
        <v>0</v>
      </c>
      <c r="G24" s="3">
        <f>IF(ISNUMBER(p!G24*LN(p!G24)),p!G24*LN(p!G24),0)</f>
        <v>0</v>
      </c>
      <c r="H24" s="3">
        <f>IF(ISNUMBER(p!H24*LN(p!H24)),p!H24*LN(p!H24),0)</f>
        <v>-0.31519044638609228</v>
      </c>
      <c r="I24" s="3">
        <f>IF(ISNUMBER(p!I24*LN(p!I24)),p!I24*LN(p!I24),0)</f>
        <v>0</v>
      </c>
      <c r="J24" s="3">
        <f>IF(ISNUMBER(p!J24*LN(p!J24)),p!J24*LN(p!J24),0)</f>
        <v>0</v>
      </c>
      <c r="K24" s="3">
        <f>IF(ISNUMBER(p!K24*LN(p!K24)),p!K24*LN(p!K24),0)</f>
        <v>0</v>
      </c>
      <c r="L24" s="3">
        <f>IF(ISNUMBER(p!L24*LN(p!L24)),p!L24*LN(p!L24),0)</f>
        <v>0</v>
      </c>
      <c r="M24" s="3">
        <f>IF(ISNUMBER(p!M24*LN(p!M24)),p!M24*LN(p!M24),0)</f>
        <v>0</v>
      </c>
      <c r="N24" s="3">
        <f>IF(ISNUMBER(p!N24*LN(p!N24)),p!N24*LN(p!N24),0)</f>
        <v>-4.7935546227374115E-2</v>
      </c>
      <c r="O24" s="3">
        <f>IF(ISNUMBER(p!O24*LN(p!O24)),p!O24*LN(p!O24),0)</f>
        <v>0</v>
      </c>
      <c r="P24" s="3">
        <f>IF(ISNUMBER(p!P24*LN(p!P24)),p!P24*LN(p!P24),0)</f>
        <v>-4.7935546227374115E-2</v>
      </c>
      <c r="Q24" s="3">
        <f>IF(ISNUMBER(p!Q24*LN(p!Q24)),p!Q24*LN(p!Q24),0)</f>
        <v>0</v>
      </c>
      <c r="R24" s="3">
        <f>IF(ISNUMBER(p!R24*LN(p!R24)),p!R24*LN(p!R24),0)</f>
        <v>0</v>
      </c>
      <c r="S24" s="3">
        <f>IF(ISNUMBER(p!S24*LN(p!S24)),p!S24*LN(p!S24),0)</f>
        <v>0</v>
      </c>
      <c r="T24" s="3">
        <f>IF(ISNUMBER(p!T24*LN(p!T24)),p!T24*LN(p!T24),0)</f>
        <v>0</v>
      </c>
      <c r="U24" s="3">
        <f>IF(ISNUMBER(p!U24*LN(p!U24)),p!U24*LN(p!U24),0)</f>
        <v>0</v>
      </c>
      <c r="V24" s="3">
        <f>IF(ISNUMBER(p!V24*LN(p!V24)),p!V24*LN(p!V24),0)</f>
        <v>0</v>
      </c>
      <c r="W24" s="3">
        <f>IF(ISNUMBER(p!W24*LN(p!W24)),p!W24*LN(p!W24),0)</f>
        <v>0</v>
      </c>
      <c r="X24" s="3">
        <f>IF(ISNUMBER(p!X24*LN(p!X24)),p!X24*LN(p!X24),0)</f>
        <v>0</v>
      </c>
      <c r="Y24" s="3">
        <f>IF(ISNUMBER(p!Y24*LN(p!Y24)),p!Y24*LN(p!Y24),0)</f>
        <v>0</v>
      </c>
      <c r="Z24" s="3">
        <f>IF(ISNUMBER(p!Z24*LN(p!Z24)),p!Z24*LN(p!Z24),0)</f>
        <v>0</v>
      </c>
      <c r="AA24" s="3">
        <f>IF(ISNUMBER(p!AA24*LN(p!AA24)),p!AA24*LN(p!AA24),0)</f>
        <v>0</v>
      </c>
    </row>
    <row r="25" spans="1:27" x14ac:dyDescent="0.25">
      <c r="A25" s="13" t="s">
        <v>22</v>
      </c>
      <c r="B25" s="3">
        <f>IF(ISNUMBER(p!B25*LN(p!B25)),p!B25*LN(p!B25),0)</f>
        <v>-0.35669170758557162</v>
      </c>
      <c r="C25" s="3">
        <f>IF(ISNUMBER(p!C25*LN(p!C25)),p!C25*LN(p!C25),0)</f>
        <v>-4.39947084350195E-2</v>
      </c>
      <c r="D25" s="3">
        <f>IF(ISNUMBER(p!D25*LN(p!D25)),p!D25*LN(p!D25),0)</f>
        <v>0</v>
      </c>
      <c r="E25" s="3">
        <f>IF(ISNUMBER(p!E25*LN(p!E25)),p!E25*LN(p!E25),0)</f>
        <v>0</v>
      </c>
      <c r="F25" s="3">
        <f>IF(ISNUMBER(p!F25*LN(p!F25)),p!F25*LN(p!F25),0)</f>
        <v>0</v>
      </c>
      <c r="G25" s="3">
        <f>IF(ISNUMBER(p!G25*LN(p!G25)),p!G25*LN(p!G25),0)</f>
        <v>0</v>
      </c>
      <c r="H25" s="3">
        <f>IF(ISNUMBER(p!H25*LN(p!H25)),p!H25*LN(p!H25),0)</f>
        <v>-0.36061037870655094</v>
      </c>
      <c r="I25" s="3">
        <f>IF(ISNUMBER(p!I25*LN(p!I25)),p!I25*LN(p!I25),0)</f>
        <v>0</v>
      </c>
      <c r="J25" s="3">
        <f>IF(ISNUMBER(p!J25*LN(p!J25)),p!J25*LN(p!J25),0)</f>
        <v>-0.19501868320243254</v>
      </c>
      <c r="K25" s="3">
        <f>IF(ISNUMBER(p!K25*LN(p!K25)),p!K25*LN(p!K25),0)</f>
        <v>0</v>
      </c>
      <c r="L25" s="3">
        <f>IF(ISNUMBER(p!L25*LN(p!L25)),p!L25*LN(p!L25),0)</f>
        <v>0</v>
      </c>
      <c r="M25" s="3">
        <f>IF(ISNUMBER(p!M25*LN(p!M25)),p!M25*LN(p!M25),0)</f>
        <v>0</v>
      </c>
      <c r="N25" s="3">
        <f>IF(ISNUMBER(p!N25*LN(p!N25)),p!N25*LN(p!N25),0)</f>
        <v>0</v>
      </c>
      <c r="O25" s="3">
        <f>IF(ISNUMBER(p!O25*LN(p!O25)),p!O25*LN(p!O25),0)</f>
        <v>0</v>
      </c>
      <c r="P25" s="3">
        <f>IF(ISNUMBER(p!P25*LN(p!P25)),p!P25*LN(p!P25),0)</f>
        <v>0</v>
      </c>
      <c r="Q25" s="3">
        <f>IF(ISNUMBER(p!Q25*LN(p!Q25)),p!Q25*LN(p!Q25),0)</f>
        <v>-4.39947084350195E-2</v>
      </c>
      <c r="R25" s="3">
        <f>IF(ISNUMBER(p!R25*LN(p!R25)),p!R25*LN(p!R25),0)</f>
        <v>0</v>
      </c>
      <c r="S25" s="3">
        <f>IF(ISNUMBER(p!S25*LN(p!S25)),p!S25*LN(p!S25),0)</f>
        <v>0</v>
      </c>
      <c r="T25" s="3">
        <f>IF(ISNUMBER(p!T25*LN(p!T25)),p!T25*LN(p!T25),0)</f>
        <v>0</v>
      </c>
      <c r="U25" s="3">
        <f>IF(ISNUMBER(p!U25*LN(p!U25)),p!U25*LN(p!U25),0)</f>
        <v>0</v>
      </c>
      <c r="V25" s="3">
        <f>IF(ISNUMBER(p!V25*LN(p!V25)),p!V25*LN(p!V25),0)</f>
        <v>0</v>
      </c>
      <c r="W25" s="3">
        <f>IF(ISNUMBER(p!W25*LN(p!W25)),p!W25*LN(p!W25),0)</f>
        <v>0</v>
      </c>
      <c r="X25" s="3">
        <f>IF(ISNUMBER(p!X25*LN(p!X25)),p!X25*LN(p!X25),0)</f>
        <v>0</v>
      </c>
      <c r="Y25" s="3">
        <f>IF(ISNUMBER(p!Y25*LN(p!Y25)),p!Y25*LN(p!Y25),0)</f>
        <v>0</v>
      </c>
      <c r="Z25" s="3">
        <f>IF(ISNUMBER(p!Z25*LN(p!Z25)),p!Z25*LN(p!Z25),0)</f>
        <v>0</v>
      </c>
      <c r="AA25" s="3">
        <f>IF(ISNUMBER(p!AA25*LN(p!AA25)),p!AA25*LN(p!AA25),0)</f>
        <v>0</v>
      </c>
    </row>
    <row r="26" spans="1:27" x14ac:dyDescent="0.25">
      <c r="A26" s="13" t="s">
        <v>23</v>
      </c>
      <c r="B26" s="3">
        <f>IF(ISNUMBER(p!B26*LN(p!B26)),p!B26*LN(p!B26),0)</f>
        <v>-0.22361844680125162</v>
      </c>
      <c r="C26" s="3">
        <f>IF(ISNUMBER(p!C26*LN(p!C26)),p!C26*LN(p!C26),0)</f>
        <v>-0.14978661367769955</v>
      </c>
      <c r="D26" s="3">
        <f>IF(ISNUMBER(p!D26*LN(p!D26)),p!D26*LN(p!D26),0)</f>
        <v>0</v>
      </c>
      <c r="E26" s="3">
        <f>IF(ISNUMBER(p!E26*LN(p!E26)),p!E26*LN(p!E26),0)</f>
        <v>0</v>
      </c>
      <c r="F26" s="3">
        <f>IF(ISNUMBER(p!F26*LN(p!F26)),p!F26*LN(p!F26),0)</f>
        <v>0</v>
      </c>
      <c r="G26" s="3">
        <f>IF(ISNUMBER(p!G26*LN(p!G26)),p!G26*LN(p!G26),0)</f>
        <v>0</v>
      </c>
      <c r="H26" s="3">
        <f>IF(ISNUMBER(p!H26*LN(p!H26)),p!H26*LN(p!H26),0)</f>
        <v>-0.28283570061020513</v>
      </c>
      <c r="I26" s="3">
        <f>IF(ISNUMBER(p!I26*LN(p!I26)),p!I26*LN(p!I26),0)</f>
        <v>0</v>
      </c>
      <c r="J26" s="3">
        <f>IF(ISNUMBER(p!J26*LN(p!J26)),p!J26*LN(p!J26),0)</f>
        <v>-0.31877736548158608</v>
      </c>
      <c r="K26" s="3">
        <f>IF(ISNUMBER(p!K26*LN(p!K26)),p!K26*LN(p!K26),0)</f>
        <v>0</v>
      </c>
      <c r="L26" s="3">
        <f>IF(ISNUMBER(p!L26*LN(p!L26)),p!L26*LN(p!L26),0)</f>
        <v>0</v>
      </c>
      <c r="M26" s="3">
        <f>IF(ISNUMBER(p!M26*LN(p!M26)),p!M26*LN(p!M26),0)</f>
        <v>0</v>
      </c>
      <c r="N26" s="3">
        <f>IF(ISNUMBER(p!N26*LN(p!N26)),p!N26*LN(p!N26),0)</f>
        <v>-2.6491586832740183E-2</v>
      </c>
      <c r="O26" s="3">
        <f>IF(ISNUMBER(p!O26*LN(p!O26)),p!O26*LN(p!O26),0)</f>
        <v>-4.605170185988091E-2</v>
      </c>
      <c r="P26" s="3">
        <f>IF(ISNUMBER(p!P26*LN(p!P26)),p!P26*LN(p!P26),0)</f>
        <v>0</v>
      </c>
      <c r="Q26" s="3">
        <f>IF(ISNUMBER(p!Q26*LN(p!Q26)),p!Q26*LN(p!Q26),0)</f>
        <v>0</v>
      </c>
      <c r="R26" s="3">
        <f>IF(ISNUMBER(p!R26*LN(p!R26)),p!R26*LN(p!R26),0)</f>
        <v>0</v>
      </c>
      <c r="S26" s="3">
        <f>IF(ISNUMBER(p!S26*LN(p!S26)),p!S26*LN(p!S26),0)</f>
        <v>0</v>
      </c>
      <c r="T26" s="3">
        <f>IF(ISNUMBER(p!T26*LN(p!T26)),p!T26*LN(p!T26),0)</f>
        <v>0</v>
      </c>
      <c r="U26" s="3">
        <f>IF(ISNUMBER(p!U26*LN(p!U26)),p!U26*LN(p!U26),0)</f>
        <v>0</v>
      </c>
      <c r="V26" s="3">
        <f>IF(ISNUMBER(p!V26*LN(p!V26)),p!V26*LN(p!V26),0)</f>
        <v>0</v>
      </c>
      <c r="W26" s="3">
        <f>IF(ISNUMBER(p!W26*LN(p!W26)),p!W26*LN(p!W26),0)</f>
        <v>0</v>
      </c>
      <c r="X26" s="3">
        <f>IF(ISNUMBER(p!X26*LN(p!X26)),p!X26*LN(p!X26),0)</f>
        <v>0</v>
      </c>
      <c r="Y26" s="3">
        <f>IF(ISNUMBER(p!Y26*LN(p!Y26)),p!Y26*LN(p!Y26),0)</f>
        <v>0</v>
      </c>
      <c r="Z26" s="3">
        <f>IF(ISNUMBER(p!Z26*LN(p!Z26)),p!Z26*LN(p!Z26),0)</f>
        <v>0</v>
      </c>
      <c r="AA26" s="3">
        <f>IF(ISNUMBER(p!AA26*LN(p!AA26)),p!AA26*LN(p!AA26),0)</f>
        <v>0</v>
      </c>
    </row>
    <row r="27" spans="1:27" x14ac:dyDescent="0.25">
      <c r="A27" s="13" t="s">
        <v>24</v>
      </c>
      <c r="B27" s="3">
        <f>IF(ISNUMBER(p!B27*LN(p!B27)),p!B27*LN(p!B27),0)</f>
        <v>-0.2680978219244125</v>
      </c>
      <c r="C27" s="3">
        <f>IF(ISNUMBER(p!C27*LN(p!C27)),p!C27*LN(p!C27),0)</f>
        <v>-0.15344853633838379</v>
      </c>
      <c r="D27" s="3">
        <f>IF(ISNUMBER(p!D27*LN(p!D27)),p!D27*LN(p!D27),0)</f>
        <v>0</v>
      </c>
      <c r="E27" s="3">
        <f>IF(ISNUMBER(p!E27*LN(p!E27)),p!E27*LN(p!E27),0)</f>
        <v>0</v>
      </c>
      <c r="F27" s="3">
        <f>IF(ISNUMBER(p!F27*LN(p!F27)),p!F27*LN(p!F27),0)</f>
        <v>0</v>
      </c>
      <c r="G27" s="3">
        <f>IF(ISNUMBER(p!G27*LN(p!G27)),p!G27*LN(p!G27),0)</f>
        <v>0</v>
      </c>
      <c r="H27" s="3">
        <f>IF(ISNUMBER(p!H27*LN(p!H27)),p!H27*LN(p!H27),0)</f>
        <v>-0.32835603480125186</v>
      </c>
      <c r="I27" s="3">
        <f>IF(ISNUMBER(p!I27*LN(p!I27)),p!I27*LN(p!I27),0)</f>
        <v>0</v>
      </c>
      <c r="J27" s="3">
        <f>IF(ISNUMBER(p!J27*LN(p!J27)),p!J27*LN(p!J27),0)</f>
        <v>-0.15344853633838379</v>
      </c>
      <c r="K27" s="3">
        <f>IF(ISNUMBER(p!K27*LN(p!K27)),p!K27*LN(p!K27),0)</f>
        <v>0</v>
      </c>
      <c r="L27" s="3">
        <f>IF(ISNUMBER(p!L27*LN(p!L27)),p!L27*LN(p!L27),0)</f>
        <v>0</v>
      </c>
      <c r="M27" s="3">
        <f>IF(ISNUMBER(p!M27*LN(p!M27)),p!M27*LN(p!M27),0)</f>
        <v>0</v>
      </c>
      <c r="N27" s="3">
        <f>IF(ISNUMBER(p!N27*LN(p!N27)),p!N27*LN(p!N27),0)</f>
        <v>0</v>
      </c>
      <c r="O27" s="3">
        <f>IF(ISNUMBER(p!O27*LN(p!O27)),p!O27*LN(p!O27),0)</f>
        <v>-4.9997885225891825E-2</v>
      </c>
      <c r="P27" s="3">
        <f>IF(ISNUMBER(p!P27*LN(p!P27)),p!P27*LN(p!P27),0)</f>
        <v>0</v>
      </c>
      <c r="Q27" s="3">
        <f>IF(ISNUMBER(p!Q27*LN(p!Q27)),p!Q27*LN(p!Q27),0)</f>
        <v>-2.0734896144438426E-2</v>
      </c>
      <c r="R27" s="3">
        <f>IF(ISNUMBER(p!R27*LN(p!R27)),p!R27*LN(p!R27),0)</f>
        <v>0</v>
      </c>
      <c r="S27" s="3">
        <f>IF(ISNUMBER(p!S27*LN(p!S27)),p!S27*LN(p!S27),0)</f>
        <v>0</v>
      </c>
      <c r="T27" s="3">
        <f>IF(ISNUMBER(p!T27*LN(p!T27)),p!T27*LN(p!T27),0)</f>
        <v>0</v>
      </c>
      <c r="U27" s="3">
        <f>IF(ISNUMBER(p!U27*LN(p!U27)),p!U27*LN(p!U27),0)</f>
        <v>0</v>
      </c>
      <c r="V27" s="3">
        <f>IF(ISNUMBER(p!V27*LN(p!V27)),p!V27*LN(p!V27),0)</f>
        <v>0</v>
      </c>
      <c r="W27" s="3">
        <f>IF(ISNUMBER(p!W27*LN(p!W27)),p!W27*LN(p!W27),0)</f>
        <v>0</v>
      </c>
      <c r="X27" s="3">
        <f>IF(ISNUMBER(p!X27*LN(p!X27)),p!X27*LN(p!X27),0)</f>
        <v>0</v>
      </c>
      <c r="Y27" s="3">
        <f>IF(ISNUMBER(p!Y27*LN(p!Y27)),p!Y27*LN(p!Y27),0)</f>
        <v>0</v>
      </c>
      <c r="Z27" s="3">
        <f>IF(ISNUMBER(p!Z27*LN(p!Z27)),p!Z27*LN(p!Z27),0)</f>
        <v>0</v>
      </c>
      <c r="AA27" s="3">
        <f>IF(ISNUMBER(p!AA27*LN(p!AA27)),p!AA27*LN(p!AA27),0)</f>
        <v>0</v>
      </c>
    </row>
    <row r="28" spans="1:27" x14ac:dyDescent="0.25">
      <c r="A28" s="13" t="s">
        <v>63</v>
      </c>
      <c r="B28" s="3">
        <f>IF(ISNUMBER(p!B28*LN(p!B28)),p!B28*LN(p!B28),0)</f>
        <v>-0.27590395565388776</v>
      </c>
      <c r="C28" s="3">
        <f>IF(ISNUMBER(p!C28*LN(p!C28)),p!C28*LN(p!C28),0)</f>
        <v>0</v>
      </c>
      <c r="D28" s="3">
        <f>IF(ISNUMBER(p!D28*LN(p!D28)),p!D28*LN(p!D28),0)</f>
        <v>0</v>
      </c>
      <c r="E28" s="3">
        <f>IF(ISNUMBER(p!E28*LN(p!E28)),p!E28*LN(p!E28),0)</f>
        <v>0</v>
      </c>
      <c r="F28" s="3">
        <f>IF(ISNUMBER(p!F28*LN(p!F28)),p!F28*LN(p!F28),0)</f>
        <v>0</v>
      </c>
      <c r="G28" s="3">
        <f>IF(ISNUMBER(p!G28*LN(p!G28)),p!G28*LN(p!G28),0)</f>
        <v>0</v>
      </c>
      <c r="H28" s="3">
        <f>IF(ISNUMBER(p!H28*LN(p!H28)),p!H28*LN(p!H28),0)</f>
        <v>-0.30232947295909007</v>
      </c>
      <c r="I28" s="3">
        <f>IF(ISNUMBER(p!I28*LN(p!I28)),p!I28*LN(p!I28),0)</f>
        <v>0</v>
      </c>
      <c r="J28" s="3">
        <f>IF(ISNUMBER(p!J28*LN(p!J28)),p!J28*LN(p!J28),0)</f>
        <v>0</v>
      </c>
      <c r="K28" s="3">
        <f>IF(ISNUMBER(p!K28*LN(p!K28)),p!K28*LN(p!K28),0)</f>
        <v>0</v>
      </c>
      <c r="L28" s="3">
        <f>IF(ISNUMBER(p!L28*LN(p!L28)),p!L28*LN(p!L28),0)</f>
        <v>0</v>
      </c>
      <c r="M28" s="3">
        <f>IF(ISNUMBER(p!M28*LN(p!M28)),p!M28*LN(p!M28),0)</f>
        <v>0</v>
      </c>
      <c r="N28" s="3">
        <f>IF(ISNUMBER(p!N28*LN(p!N28)),p!N28*LN(p!N28),0)</f>
        <v>0</v>
      </c>
      <c r="O28" s="3">
        <f>IF(ISNUMBER(p!O28*LN(p!O28)),p!O28*LN(p!O28),0)</f>
        <v>-0.30232947295909007</v>
      </c>
      <c r="P28" s="3">
        <f>IF(ISNUMBER(p!P28*LN(p!P28)),p!P28*LN(p!P28),0)</f>
        <v>0</v>
      </c>
      <c r="Q28" s="3">
        <f>IF(ISNUMBER(p!Q28*LN(p!Q28)),p!Q28*LN(p!Q28),0)</f>
        <v>0</v>
      </c>
      <c r="R28" s="3">
        <f>IF(ISNUMBER(p!R28*LN(p!R28)),p!R28*LN(p!R28),0)</f>
        <v>0</v>
      </c>
      <c r="S28" s="3">
        <f>IF(ISNUMBER(p!S28*LN(p!S28)),p!S28*LN(p!S28),0)</f>
        <v>0</v>
      </c>
      <c r="T28" s="3">
        <f>IF(ISNUMBER(p!T28*LN(p!T28)),p!T28*LN(p!T28),0)</f>
        <v>0</v>
      </c>
      <c r="U28" s="3">
        <f>IF(ISNUMBER(p!U28*LN(p!U28)),p!U28*LN(p!U28),0)</f>
        <v>0</v>
      </c>
      <c r="V28" s="3">
        <f>IF(ISNUMBER(p!V28*LN(p!V28)),p!V28*LN(p!V28),0)</f>
        <v>0</v>
      </c>
      <c r="W28" s="3">
        <f>IF(ISNUMBER(p!W28*LN(p!W28)),p!W28*LN(p!W28),0)</f>
        <v>0</v>
      </c>
      <c r="X28" s="3">
        <f>IF(ISNUMBER(p!X28*LN(p!X28)),p!X28*LN(p!X28),0)</f>
        <v>0</v>
      </c>
      <c r="Y28" s="3">
        <f>IF(ISNUMBER(p!Y28*LN(p!Y28)),p!Y28*LN(p!Y28),0)</f>
        <v>0</v>
      </c>
      <c r="Z28" s="3">
        <f>IF(ISNUMBER(p!Z28*LN(p!Z28)),p!Z28*LN(p!Z28),0)</f>
        <v>0</v>
      </c>
      <c r="AA28" s="3">
        <f>IF(ISNUMBER(p!AA28*LN(p!AA28)),p!AA28*LN(p!AA28),0)</f>
        <v>0</v>
      </c>
    </row>
    <row r="29" spans="1:27" x14ac:dyDescent="0.25">
      <c r="A29" s="13" t="s">
        <v>64</v>
      </c>
      <c r="B29" s="3">
        <f>IF(ISNUMBER(p!B29*LN(p!B29)),p!B29*LN(p!B29),0)</f>
        <v>-0.30649537425959444</v>
      </c>
      <c r="C29" s="3">
        <f>IF(ISNUMBER(p!C29*LN(p!C29)),p!C29*LN(p!C29),0)</f>
        <v>0</v>
      </c>
      <c r="D29" s="3">
        <f>IF(ISNUMBER(p!D29*LN(p!D29)),p!D29*LN(p!D29),0)</f>
        <v>0</v>
      </c>
      <c r="E29" s="3">
        <f>IF(ISNUMBER(p!E29*LN(p!E29)),p!E29*LN(p!E29),0)</f>
        <v>0</v>
      </c>
      <c r="F29" s="3">
        <f>IF(ISNUMBER(p!F29*LN(p!F29)),p!F29*LN(p!F29),0)</f>
        <v>0</v>
      </c>
      <c r="G29" s="3">
        <f>IF(ISNUMBER(p!G29*LN(p!G29)),p!G29*LN(p!G29),0)</f>
        <v>0</v>
      </c>
      <c r="H29" s="3">
        <f>IF(ISNUMBER(p!H29*LN(p!H29)),p!H29*LN(p!H29),0)</f>
        <v>-0.35246822399528521</v>
      </c>
      <c r="I29" s="3">
        <f>IF(ISNUMBER(p!I29*LN(p!I29)),p!I29*LN(p!I29),0)</f>
        <v>0</v>
      </c>
      <c r="J29" s="3">
        <f>IF(ISNUMBER(p!J29*LN(p!J29)),p!J29*LN(p!J29),0)</f>
        <v>-0.26865373607230197</v>
      </c>
      <c r="K29" s="3">
        <f>IF(ISNUMBER(p!K29*LN(p!K29)),p!K29*LN(p!K29),0)</f>
        <v>0</v>
      </c>
      <c r="L29" s="3">
        <f>IF(ISNUMBER(p!L29*LN(p!L29)),p!L29*LN(p!L29),0)</f>
        <v>0</v>
      </c>
      <c r="M29" s="3">
        <f>IF(ISNUMBER(p!M29*LN(p!M29)),p!M29*LN(p!M29),0)</f>
        <v>0</v>
      </c>
      <c r="N29" s="3">
        <f>IF(ISNUMBER(p!N29*LN(p!N29)),p!N29*LN(p!N29),0)</f>
        <v>0</v>
      </c>
      <c r="O29" s="3">
        <f>IF(ISNUMBER(p!O29*LN(p!O29)),p!O29*LN(p!O29),0)</f>
        <v>0</v>
      </c>
      <c r="P29" s="3">
        <f>IF(ISNUMBER(p!P29*LN(p!P29)),p!P29*LN(p!P29),0)</f>
        <v>0</v>
      </c>
      <c r="Q29" s="3">
        <f>IF(ISNUMBER(p!Q29*LN(p!Q29)),p!Q29*LN(p!Q29),0)</f>
        <v>0</v>
      </c>
      <c r="R29" s="3">
        <f>IF(ISNUMBER(p!R29*LN(p!R29)),p!R29*LN(p!R29),0)</f>
        <v>0</v>
      </c>
      <c r="S29" s="3">
        <f>IF(ISNUMBER(p!S29*LN(p!S29)),p!S29*LN(p!S29),0)</f>
        <v>0</v>
      </c>
      <c r="T29" s="3">
        <f>IF(ISNUMBER(p!T29*LN(p!T29)),p!T29*LN(p!T29),0)</f>
        <v>0</v>
      </c>
      <c r="U29" s="3">
        <f>IF(ISNUMBER(p!U29*LN(p!U29)),p!U29*LN(p!U29),0)</f>
        <v>0</v>
      </c>
      <c r="V29" s="3">
        <f>IF(ISNUMBER(p!V29*LN(p!V29)),p!V29*LN(p!V29),0)</f>
        <v>0</v>
      </c>
      <c r="W29" s="3">
        <f>IF(ISNUMBER(p!W29*LN(p!W29)),p!W29*LN(p!W29),0)</f>
        <v>0</v>
      </c>
      <c r="X29" s="3">
        <f>IF(ISNUMBER(p!X29*LN(p!X29)),p!X29*LN(p!X29),0)</f>
        <v>0</v>
      </c>
      <c r="Y29" s="3">
        <f>IF(ISNUMBER(p!Y29*LN(p!Y29)),p!Y29*LN(p!Y29),0)</f>
        <v>0</v>
      </c>
      <c r="Z29" s="3">
        <f>IF(ISNUMBER(p!Z29*LN(p!Z29)),p!Z29*LN(p!Z29),0)</f>
        <v>0</v>
      </c>
      <c r="AA29" s="3">
        <f>IF(ISNUMBER(p!AA29*LN(p!AA29)),p!AA29*LN(p!AA29),0)</f>
        <v>0</v>
      </c>
    </row>
    <row r="30" spans="1:27" x14ac:dyDescent="0.25">
      <c r="A30" s="13" t="s">
        <v>65</v>
      </c>
      <c r="B30" s="3">
        <f>IF(ISNUMBER(p!B30*LN(p!B30)),p!B30*LN(p!B30),0)</f>
        <v>-0.34968842176931203</v>
      </c>
      <c r="C30" s="3">
        <f>IF(ISNUMBER(p!C30*LN(p!C30)),p!C30*LN(p!C30),0)</f>
        <v>-0.30850294786379484</v>
      </c>
      <c r="D30" s="3">
        <f>IF(ISNUMBER(p!D30*LN(p!D30)),p!D30*LN(p!D30),0)</f>
        <v>0</v>
      </c>
      <c r="E30" s="3">
        <f>IF(ISNUMBER(p!E30*LN(p!E30)),p!E30*LN(p!E30),0)</f>
        <v>0</v>
      </c>
      <c r="F30" s="3">
        <f>IF(ISNUMBER(p!F30*LN(p!F30)),p!F30*LN(p!F30),0)</f>
        <v>0</v>
      </c>
      <c r="G30" s="3">
        <f>IF(ISNUMBER(p!G30*LN(p!G30)),p!G30*LN(p!G30),0)</f>
        <v>0</v>
      </c>
      <c r="H30" s="3">
        <f>IF(ISNUMBER(p!H30*LN(p!H30)),p!H30*LN(p!H30),0)</f>
        <v>-0.33548406655688734</v>
      </c>
      <c r="I30" s="3">
        <f>IF(ISNUMBER(p!I30*LN(p!I30)),p!I30*LN(p!I30),0)</f>
        <v>0</v>
      </c>
      <c r="J30" s="3">
        <f>IF(ISNUMBER(p!J30*LN(p!J30)),p!J30*LN(p!J30),0)</f>
        <v>-0.3638212591864517</v>
      </c>
      <c r="K30" s="3">
        <f>IF(ISNUMBER(p!K30*LN(p!K30)),p!K30*LN(p!K30),0)</f>
        <v>0</v>
      </c>
      <c r="L30" s="3">
        <f>IF(ISNUMBER(p!L30*LN(p!L30)),p!L30*LN(p!L30),0)</f>
        <v>0</v>
      </c>
      <c r="M30" s="3">
        <f>IF(ISNUMBER(p!M30*LN(p!M30)),p!M30*LN(p!M30),0)</f>
        <v>0</v>
      </c>
      <c r="N30" s="3">
        <f>IF(ISNUMBER(p!N30*LN(p!N30)),p!N30*LN(p!N30),0)</f>
        <v>-8.5291891891509999E-2</v>
      </c>
      <c r="O30" s="3">
        <f>IF(ISNUMBER(p!O30*LN(p!O30)),p!O30*LN(p!O30),0)</f>
        <v>0</v>
      </c>
      <c r="P30" s="3">
        <f>IF(ISNUMBER(p!P30*LN(p!P30)),p!P30*LN(p!P30),0)</f>
        <v>0</v>
      </c>
      <c r="Q30" s="3">
        <f>IF(ISNUMBER(p!Q30*LN(p!Q30)),p!Q30*LN(p!Q30),0)</f>
        <v>0</v>
      </c>
      <c r="R30" s="3">
        <f>IF(ISNUMBER(p!R30*LN(p!R30)),p!R30*LN(p!R30),0)</f>
        <v>0</v>
      </c>
      <c r="S30" s="3">
        <f>IF(ISNUMBER(p!S30*LN(p!S30)),p!S30*LN(p!S30),0)</f>
        <v>0</v>
      </c>
      <c r="T30" s="3">
        <f>IF(ISNUMBER(p!T30*LN(p!T30)),p!T30*LN(p!T30),0)</f>
        <v>0</v>
      </c>
      <c r="U30" s="3">
        <f>IF(ISNUMBER(p!U30*LN(p!U30)),p!U30*LN(p!U30),0)</f>
        <v>0</v>
      </c>
      <c r="V30" s="3">
        <f>IF(ISNUMBER(p!V30*LN(p!V30)),p!V30*LN(p!V30),0)</f>
        <v>0</v>
      </c>
      <c r="W30" s="3">
        <f>IF(ISNUMBER(p!W30*LN(p!W30)),p!W30*LN(p!W30),0)</f>
        <v>0</v>
      </c>
      <c r="X30" s="3">
        <f>IF(ISNUMBER(p!X30*LN(p!X30)),p!X30*LN(p!X30),0)</f>
        <v>0</v>
      </c>
      <c r="Y30" s="3">
        <f>IF(ISNUMBER(p!Y30*LN(p!Y30)),p!Y30*LN(p!Y30),0)</f>
        <v>0</v>
      </c>
      <c r="Z30" s="3">
        <f>IF(ISNUMBER(p!Z30*LN(p!Z30)),p!Z30*LN(p!Z30),0)</f>
        <v>0</v>
      </c>
      <c r="AA30" s="3">
        <f>IF(ISNUMBER(p!AA30*LN(p!AA30)),p!AA30*LN(p!AA30),0)</f>
        <v>0</v>
      </c>
    </row>
    <row r="31" spans="1:27" x14ac:dyDescent="0.25">
      <c r="A31" s="13" t="s">
        <v>66</v>
      </c>
      <c r="B31" s="3">
        <f>IF(ISNUMBER(p!B31*LN(p!B31)),p!B31*LN(p!B31),0)</f>
        <v>-0.35289123165975794</v>
      </c>
      <c r="C31" s="3">
        <f>IF(ISNUMBER(p!C31*LN(p!C31)),p!C31*LN(p!C31),0)</f>
        <v>-4.9997885225891839E-2</v>
      </c>
      <c r="D31" s="3">
        <f>IF(ISNUMBER(p!D31*LN(p!D31)),p!D31*LN(p!D31),0)</f>
        <v>0</v>
      </c>
      <c r="E31" s="3">
        <f>IF(ISNUMBER(p!E31*LN(p!E31)),p!E31*LN(p!E31),0)</f>
        <v>0</v>
      </c>
      <c r="F31" s="3">
        <f>IF(ISNUMBER(p!F31*LN(p!F31)),p!F31*LN(p!F31),0)</f>
        <v>0</v>
      </c>
      <c r="G31" s="3">
        <f>IF(ISNUMBER(p!G31*LN(p!G31)),p!G31*LN(p!G31),0)</f>
        <v>0</v>
      </c>
      <c r="H31" s="3">
        <f>IF(ISNUMBER(p!H31*LN(p!H31)),p!H31*LN(p!H31),0)</f>
        <v>-0.36767067289974703</v>
      </c>
      <c r="I31" s="3">
        <f>IF(ISNUMBER(p!I31*LN(p!I31)),p!I31*LN(p!I31),0)</f>
        <v>0</v>
      </c>
      <c r="J31" s="3">
        <f>IF(ISNUMBER(p!J31*LN(p!J31)),p!J31*LN(p!J31),0)</f>
        <v>-0.25690064858723155</v>
      </c>
      <c r="K31" s="3">
        <f>IF(ISNUMBER(p!K31*LN(p!K31)),p!K31*LN(p!K31),0)</f>
        <v>0</v>
      </c>
      <c r="L31" s="3">
        <f>IF(ISNUMBER(p!L31*LN(p!L31)),p!L31*LN(p!L31),0)</f>
        <v>0</v>
      </c>
      <c r="M31" s="3">
        <f>IF(ISNUMBER(p!M31*LN(p!M31)),p!M31*LN(p!M31),0)</f>
        <v>0</v>
      </c>
      <c r="N31" s="3">
        <f>IF(ISNUMBER(p!N31*LN(p!N31)),p!N31*LN(p!N31),0)</f>
        <v>0</v>
      </c>
      <c r="O31" s="3">
        <f>IF(ISNUMBER(p!O31*LN(p!O31)),p!O31*LN(p!O31),0)</f>
        <v>-0.11337324605540518</v>
      </c>
      <c r="P31" s="3">
        <f>IF(ISNUMBER(p!P31*LN(p!P31)),p!P31*LN(p!P31),0)</f>
        <v>0</v>
      </c>
      <c r="Q31" s="3">
        <f>IF(ISNUMBER(p!Q31*LN(p!Q31)),p!Q31*LN(p!Q31),0)</f>
        <v>0</v>
      </c>
      <c r="R31" s="3">
        <f>IF(ISNUMBER(p!R31*LN(p!R31)),p!R31*LN(p!R31),0)</f>
        <v>0</v>
      </c>
      <c r="S31" s="3">
        <f>IF(ISNUMBER(p!S31*LN(p!S31)),p!S31*LN(p!S31),0)</f>
        <v>0</v>
      </c>
      <c r="T31" s="3">
        <f>IF(ISNUMBER(p!T31*LN(p!T31)),p!T31*LN(p!T31),0)</f>
        <v>0</v>
      </c>
      <c r="U31" s="3">
        <f>IF(ISNUMBER(p!U31*LN(p!U31)),p!U31*LN(p!U31),0)</f>
        <v>0</v>
      </c>
      <c r="V31" s="3">
        <f>IF(ISNUMBER(p!V31*LN(p!V31)),p!V31*LN(p!V31),0)</f>
        <v>0</v>
      </c>
      <c r="W31" s="3">
        <f>IF(ISNUMBER(p!W31*LN(p!W31)),p!W31*LN(p!W31),0)</f>
        <v>0</v>
      </c>
      <c r="X31" s="3">
        <f>IF(ISNUMBER(p!X31*LN(p!X31)),p!X31*LN(p!X31),0)</f>
        <v>0</v>
      </c>
      <c r="Y31" s="3">
        <f>IF(ISNUMBER(p!Y31*LN(p!Y31)),p!Y31*LN(p!Y31),0)</f>
        <v>0</v>
      </c>
      <c r="Z31" s="3">
        <f>IF(ISNUMBER(p!Z31*LN(p!Z31)),p!Z31*LN(p!Z31),0)</f>
        <v>0</v>
      </c>
      <c r="AA31" s="3">
        <f>IF(ISNUMBER(p!AA31*LN(p!AA31)),p!AA31*LN(p!AA31),0)</f>
        <v>0</v>
      </c>
    </row>
    <row r="32" spans="1:27" x14ac:dyDescent="0.25">
      <c r="A32" s="13" t="s">
        <v>88</v>
      </c>
      <c r="B32" s="3">
        <f>IF(ISNUMBER(p!B32*LN(p!B32)),p!B32*LN(p!B32),0)</f>
        <v>-0.36712276035879066</v>
      </c>
      <c r="C32" s="3">
        <f>IF(ISNUMBER(p!C32*LN(p!C32)),p!C32*LN(p!C32),0)</f>
        <v>-0.23134959764607016</v>
      </c>
      <c r="D32" s="3">
        <f>IF(ISNUMBER(p!D32*LN(p!D32)),p!D32*LN(p!D32),0)</f>
        <v>0</v>
      </c>
      <c r="E32" s="3">
        <f>IF(ISNUMBER(p!E32*LN(p!E32)),p!E32*LN(p!E32),0)</f>
        <v>0</v>
      </c>
      <c r="F32" s="3">
        <f>IF(ISNUMBER(p!F32*LN(p!F32)),p!F32*LN(p!F32),0)</f>
        <v>0</v>
      </c>
      <c r="G32" s="3">
        <f>IF(ISNUMBER(p!G32*LN(p!G32)),p!G32*LN(p!G32),0)</f>
        <v>0</v>
      </c>
      <c r="H32" s="3">
        <f>IF(ISNUMBER(p!H32*LN(p!H32)),p!H32*LN(p!H32),0)</f>
        <v>-0.29293282155425793</v>
      </c>
      <c r="I32" s="3">
        <f>IF(ISNUMBER(p!I32*LN(p!I32)),p!I32*LN(p!I32),0)</f>
        <v>0</v>
      </c>
      <c r="J32" s="3">
        <f>IF(ISNUMBER(p!J32*LN(p!J32)),p!J32*LN(p!J32),0)</f>
        <v>-0.36757195582170388</v>
      </c>
      <c r="K32" s="3">
        <f>IF(ISNUMBER(p!K32*LN(p!K32)),p!K32*LN(p!K32),0)</f>
        <v>0</v>
      </c>
      <c r="L32" s="3">
        <f>IF(ISNUMBER(p!L32*LN(p!L32)),p!L32*LN(p!L32),0)</f>
        <v>0</v>
      </c>
      <c r="M32" s="3">
        <f>IF(ISNUMBER(p!M32*LN(p!M32)),p!M32*LN(p!M32),0)</f>
        <v>0</v>
      </c>
      <c r="N32" s="3">
        <f>IF(ISNUMBER(p!N32*LN(p!N32)),p!N32*LN(p!N32),0)</f>
        <v>-4.0160701622785969E-2</v>
      </c>
      <c r="O32" s="3">
        <f>IF(ISNUMBER(p!O32*LN(p!O32)),p!O32*LN(p!O32),0)</f>
        <v>-0.11404467670560132</v>
      </c>
      <c r="P32" s="3">
        <f>IF(ISNUMBER(p!P32*LN(p!P32)),p!P32*LN(p!P32),0)</f>
        <v>0</v>
      </c>
      <c r="Q32" s="3">
        <f>IF(ISNUMBER(p!Q32*LN(p!Q32)),p!Q32*LN(p!Q32),0)</f>
        <v>0</v>
      </c>
      <c r="R32" s="3">
        <f>IF(ISNUMBER(p!R32*LN(p!R32)),p!R32*LN(p!R32),0)</f>
        <v>0</v>
      </c>
      <c r="S32" s="3">
        <f>IF(ISNUMBER(p!S32*LN(p!S32)),p!S32*LN(p!S32),0)</f>
        <v>0</v>
      </c>
      <c r="T32" s="3">
        <f>IF(ISNUMBER(p!T32*LN(p!T32)),p!T32*LN(p!T32),0)</f>
        <v>0</v>
      </c>
      <c r="U32" s="3">
        <f>IF(ISNUMBER(p!U32*LN(p!U32)),p!U32*LN(p!U32),0)</f>
        <v>0</v>
      </c>
      <c r="V32" s="3">
        <f>IF(ISNUMBER(p!V32*LN(p!V32)),p!V32*LN(p!V32),0)</f>
        <v>0</v>
      </c>
      <c r="W32" s="3">
        <f>IF(ISNUMBER(p!W32*LN(p!W32)),p!W32*LN(p!W32),0)</f>
        <v>0</v>
      </c>
      <c r="X32" s="3">
        <f>IF(ISNUMBER(p!X32*LN(p!X32)),p!X32*LN(p!X32),0)</f>
        <v>0</v>
      </c>
      <c r="Y32" s="3">
        <f>IF(ISNUMBER(p!Y32*LN(p!Y32)),p!Y32*LN(p!Y32),0)</f>
        <v>0</v>
      </c>
      <c r="Z32" s="3">
        <f>IF(ISNUMBER(p!Z32*LN(p!Z32)),p!Z32*LN(p!Z32),0)</f>
        <v>0</v>
      </c>
      <c r="AA32" s="3">
        <f>IF(ISNUMBER(p!AA32*LN(p!AA32)),p!AA32*LN(p!AA32),0)</f>
        <v>0</v>
      </c>
    </row>
    <row r="33" spans="1:27" x14ac:dyDescent="0.25">
      <c r="A33" s="13" t="s">
        <v>89</v>
      </c>
      <c r="B33" s="3">
        <f>IF(ISNUMBER(p!B33*LN(p!B33)),p!B33*LN(p!B33),0)</f>
        <v>-0.19279182855143581</v>
      </c>
      <c r="C33" s="3">
        <f>IF(ISNUMBER(p!C33*LN(p!C33)),p!C33*LN(p!C33),0)</f>
        <v>0</v>
      </c>
      <c r="D33" s="3">
        <f>IF(ISNUMBER(p!D33*LN(p!D33)),p!D33*LN(p!D33),0)</f>
        <v>0</v>
      </c>
      <c r="E33" s="3">
        <f>IF(ISNUMBER(p!E33*LN(p!E33)),p!E33*LN(p!E33),0)</f>
        <v>0</v>
      </c>
      <c r="F33" s="3">
        <f>IF(ISNUMBER(p!F33*LN(p!F33)),p!F33*LN(p!F33),0)</f>
        <v>0</v>
      </c>
      <c r="G33" s="3">
        <f>IF(ISNUMBER(p!G33*LN(p!G33)),p!G33*LN(p!G33),0)</f>
        <v>0</v>
      </c>
      <c r="H33" s="3">
        <f>IF(ISNUMBER(p!H33*LN(p!H33)),p!H33*LN(p!H33),0)</f>
        <v>-0.35190880040949263</v>
      </c>
      <c r="I33" s="3">
        <f>IF(ISNUMBER(p!I33*LN(p!I33)),p!I33*LN(p!I33),0)</f>
        <v>0</v>
      </c>
      <c r="J33" s="3">
        <f>IF(ISNUMBER(p!J33*LN(p!J33)),p!J33*LN(p!J33),0)</f>
        <v>-0.3635234463816272</v>
      </c>
      <c r="K33" s="3">
        <f>IF(ISNUMBER(p!K33*LN(p!K33)),p!K33*LN(p!K33),0)</f>
        <v>0</v>
      </c>
      <c r="L33" s="3">
        <f>IF(ISNUMBER(p!L33*LN(p!L33)),p!L33*LN(p!L33),0)</f>
        <v>0</v>
      </c>
      <c r="M33" s="3">
        <f>IF(ISNUMBER(p!M33*LN(p!M33)),p!M33*LN(p!M33),0)</f>
        <v>0</v>
      </c>
      <c r="N33" s="3">
        <f>IF(ISNUMBER(p!N33*LN(p!N33)),p!N33*LN(p!N33),0)</f>
        <v>0</v>
      </c>
      <c r="O33" s="3">
        <f>IF(ISNUMBER(p!O33*LN(p!O33)),p!O33*LN(p!O33),0)</f>
        <v>-7.3870074936375443E-2</v>
      </c>
      <c r="P33" s="3">
        <f>IF(ISNUMBER(p!P33*LN(p!P33)),p!P33*LN(p!P33),0)</f>
        <v>0</v>
      </c>
      <c r="Q33" s="3">
        <f>IF(ISNUMBER(p!Q33*LN(p!Q33)),p!Q33*LN(p!Q33),0)</f>
        <v>0</v>
      </c>
      <c r="R33" s="3">
        <f>IF(ISNUMBER(p!R33*LN(p!R33)),p!R33*LN(p!R33),0)</f>
        <v>0</v>
      </c>
      <c r="S33" s="3">
        <f>IF(ISNUMBER(p!S33*LN(p!S33)),p!S33*LN(p!S33),0)</f>
        <v>0</v>
      </c>
      <c r="T33" s="3">
        <f>IF(ISNUMBER(p!T33*LN(p!T33)),p!T33*LN(p!T33),0)</f>
        <v>0</v>
      </c>
      <c r="U33" s="3">
        <f>IF(ISNUMBER(p!U33*LN(p!U33)),p!U33*LN(p!U33),0)</f>
        <v>0</v>
      </c>
      <c r="V33" s="3">
        <f>IF(ISNUMBER(p!V33*LN(p!V33)),p!V33*LN(p!V33),0)</f>
        <v>0</v>
      </c>
      <c r="W33" s="3">
        <f>IF(ISNUMBER(p!W33*LN(p!W33)),p!W33*LN(p!W33),0)</f>
        <v>0</v>
      </c>
      <c r="X33" s="3">
        <f>IF(ISNUMBER(p!X33*LN(p!X33)),p!X33*LN(p!X33),0)</f>
        <v>0</v>
      </c>
      <c r="Y33" s="3">
        <f>IF(ISNUMBER(p!Y33*LN(p!Y33)),p!Y33*LN(p!Y33),0)</f>
        <v>0</v>
      </c>
      <c r="Z33" s="3">
        <f>IF(ISNUMBER(p!Z33*LN(p!Z33)),p!Z33*LN(p!Z33),0)</f>
        <v>0</v>
      </c>
      <c r="AA33" s="3">
        <f>IF(ISNUMBER(p!AA33*LN(p!AA33)),p!AA33*LN(p!AA33),0)</f>
        <v>0</v>
      </c>
    </row>
    <row r="34" spans="1:27" x14ac:dyDescent="0.25">
      <c r="A34" s="13" t="s">
        <v>115</v>
      </c>
      <c r="B34" s="3">
        <f>IF(ISNUMBER(p!B34*LN(p!B34)),p!B34*LN(p!B34),0)</f>
        <v>0</v>
      </c>
      <c r="C34" s="3">
        <f>IF(ISNUMBER(p!C34*LN(p!C34)),p!C34*LN(p!C34),0)</f>
        <v>0</v>
      </c>
      <c r="D34" s="3">
        <f>IF(ISNUMBER(p!D34*LN(p!D34)),p!D34*LN(p!D34),0)</f>
        <v>0</v>
      </c>
      <c r="E34" s="3">
        <f>IF(ISNUMBER(p!E34*LN(p!E34)),p!E34*LN(p!E34),0)</f>
        <v>0</v>
      </c>
      <c r="F34" s="3">
        <f>IF(ISNUMBER(p!F34*LN(p!F34)),p!F34*LN(p!F34),0)</f>
        <v>0</v>
      </c>
      <c r="G34" s="3">
        <f>IF(ISNUMBER(p!G34*LN(p!G34)),p!G34*LN(p!G34),0)</f>
        <v>0</v>
      </c>
      <c r="H34" s="3">
        <f>IF(ISNUMBER(p!H34*LN(p!H34)),p!H34*LN(p!H34),0)</f>
        <v>-0.10790246148996709</v>
      </c>
      <c r="I34" s="3">
        <f>IF(ISNUMBER(p!I34*LN(p!I34)),p!I34*LN(p!I34),0)</f>
        <v>0</v>
      </c>
      <c r="J34" s="3">
        <f>IF(ISNUMBER(p!J34*LN(p!J34)),p!J34*LN(p!J34),0)</f>
        <v>-0.24843845911190141</v>
      </c>
      <c r="K34" s="3">
        <f>IF(ISNUMBER(p!K34*LN(p!K34)),p!K34*LN(p!K34),0)</f>
        <v>0</v>
      </c>
      <c r="L34" s="3">
        <f>IF(ISNUMBER(p!L34*LN(p!L34)),p!L34*LN(p!L34),0)</f>
        <v>0</v>
      </c>
      <c r="M34" s="3">
        <f>IF(ISNUMBER(p!M34*LN(p!M34)),p!M34*LN(p!M34),0)</f>
        <v>0</v>
      </c>
      <c r="N34" s="3">
        <f>IF(ISNUMBER(p!N34*LN(p!N34)),p!N34*LN(p!N34),0)</f>
        <v>0</v>
      </c>
      <c r="O34" s="3">
        <f>IF(ISNUMBER(p!O34*LN(p!O34)),p!O34*LN(p!O34),0)</f>
        <v>0</v>
      </c>
      <c r="P34" s="3">
        <f>IF(ISNUMBER(p!P34*LN(p!P34)),p!P34*LN(p!P34),0)</f>
        <v>0</v>
      </c>
      <c r="Q34" s="3">
        <f>IF(ISNUMBER(p!Q34*LN(p!Q34)),p!Q34*LN(p!Q34),0)</f>
        <v>0</v>
      </c>
      <c r="R34" s="3">
        <f>IF(ISNUMBER(p!R34*LN(p!R34)),p!R34*LN(p!R34),0)</f>
        <v>0</v>
      </c>
      <c r="S34" s="3">
        <f>IF(ISNUMBER(p!S34*LN(p!S34)),p!S34*LN(p!S34),0)</f>
        <v>0</v>
      </c>
      <c r="T34" s="3">
        <f>IF(ISNUMBER(p!T34*LN(p!T34)),p!T34*LN(p!T34),0)</f>
        <v>0</v>
      </c>
      <c r="U34" s="3">
        <f>IF(ISNUMBER(p!U34*LN(p!U34)),p!U34*LN(p!U34),0)</f>
        <v>0</v>
      </c>
      <c r="V34" s="3">
        <f>IF(ISNUMBER(p!V34*LN(p!V34)),p!V34*LN(p!V34),0)</f>
        <v>0</v>
      </c>
      <c r="W34" s="3">
        <f>IF(ISNUMBER(p!W34*LN(p!W34)),p!W34*LN(p!W34),0)</f>
        <v>0</v>
      </c>
      <c r="X34" s="3">
        <f>IF(ISNUMBER(p!X34*LN(p!X34)),p!X34*LN(p!X34),0)</f>
        <v>0</v>
      </c>
      <c r="Y34" s="3">
        <f>IF(ISNUMBER(p!Y34*LN(p!Y34)),p!Y34*LN(p!Y34),0)</f>
        <v>0</v>
      </c>
      <c r="Z34" s="3">
        <f>IF(ISNUMBER(p!Z34*LN(p!Z34)),p!Z34*LN(p!Z34),0)</f>
        <v>0</v>
      </c>
      <c r="AA34" s="3">
        <f>IF(ISNUMBER(p!AA34*LN(p!AA34)),p!AA34*LN(p!AA34),0)</f>
        <v>0</v>
      </c>
    </row>
    <row r="35" spans="1:27" x14ac:dyDescent="0.25">
      <c r="A35" s="13" t="s">
        <v>116</v>
      </c>
      <c r="B35" s="3">
        <f>IF(ISNUMBER(p!B35*LN(p!B35)),p!B35*LN(p!B35),0)</f>
        <v>-0.18181192587667985</v>
      </c>
      <c r="C35" s="3">
        <f>IF(ISNUMBER(p!C35*LN(p!C35)),p!C35*LN(p!C35),0)</f>
        <v>-0.31620439816281687</v>
      </c>
      <c r="D35" s="3">
        <f>IF(ISNUMBER(p!D35*LN(p!D35)),p!D35*LN(p!D35),0)</f>
        <v>0</v>
      </c>
      <c r="E35" s="3">
        <f>IF(ISNUMBER(p!E35*LN(p!E35)),p!E35*LN(p!E35),0)</f>
        <v>0</v>
      </c>
      <c r="F35" s="3">
        <f>IF(ISNUMBER(p!F35*LN(p!F35)),p!F35*LN(p!F35),0)</f>
        <v>0</v>
      </c>
      <c r="G35" s="3">
        <f>IF(ISNUMBER(p!G35*LN(p!G35)),p!G35*LN(p!G35),0)</f>
        <v>0</v>
      </c>
      <c r="H35" s="3">
        <f>IF(ISNUMBER(p!H35*LN(p!H35)),p!H35*LN(p!H35),0)</f>
        <v>-0.36655246788875878</v>
      </c>
      <c r="I35" s="3">
        <f>IF(ISNUMBER(p!I35*LN(p!I35)),p!I35*LN(p!I35),0)</f>
        <v>0</v>
      </c>
      <c r="J35" s="3">
        <f>IF(ISNUMBER(p!J35*LN(p!J35)),p!J35*LN(p!J35),0)</f>
        <v>-0.36655246788875878</v>
      </c>
      <c r="K35" s="3">
        <f>IF(ISNUMBER(p!K35*LN(p!K35)),p!K35*LN(p!K35),0)</f>
        <v>0</v>
      </c>
      <c r="L35" s="3">
        <f>IF(ISNUMBER(p!L35*LN(p!L35)),p!L35*LN(p!L35),0)</f>
        <v>0</v>
      </c>
      <c r="M35" s="3">
        <f>IF(ISNUMBER(p!M35*LN(p!M35)),p!M35*LN(p!M35),0)</f>
        <v>0</v>
      </c>
      <c r="N35" s="3">
        <f>IF(ISNUMBER(p!N35*LN(p!N35)),p!N35*LN(p!N35),0)</f>
        <v>-5.0434116513844267E-2</v>
      </c>
      <c r="O35" s="3">
        <f>IF(ISNUMBER(p!O35*LN(p!O35)),p!O35*LN(p!O35),0)</f>
        <v>-8.5291891891509986E-2</v>
      </c>
      <c r="P35" s="3">
        <f>IF(ISNUMBER(p!P35*LN(p!P35)),p!P35*LN(p!P35),0)</f>
        <v>0</v>
      </c>
      <c r="Q35" s="3">
        <f>IF(ISNUMBER(p!Q35*LN(p!Q35)),p!Q35*LN(p!Q35),0)</f>
        <v>0</v>
      </c>
      <c r="R35" s="3">
        <f>IF(ISNUMBER(p!R35*LN(p!R35)),p!R35*LN(p!R35),0)</f>
        <v>0</v>
      </c>
      <c r="S35" s="3">
        <f>IF(ISNUMBER(p!S35*LN(p!S35)),p!S35*LN(p!S35),0)</f>
        <v>0</v>
      </c>
      <c r="T35" s="3">
        <f>IF(ISNUMBER(p!T35*LN(p!T35)),p!T35*LN(p!T35),0)</f>
        <v>0</v>
      </c>
      <c r="U35" s="3">
        <f>IF(ISNUMBER(p!U35*LN(p!U35)),p!U35*LN(p!U35),0)</f>
        <v>0</v>
      </c>
      <c r="V35" s="3">
        <f>IF(ISNUMBER(p!V35*LN(p!V35)),p!V35*LN(p!V35),0)</f>
        <v>0</v>
      </c>
      <c r="W35" s="3">
        <f>IF(ISNUMBER(p!W35*LN(p!W35)),p!W35*LN(p!W35),0)</f>
        <v>0</v>
      </c>
      <c r="X35" s="3">
        <f>IF(ISNUMBER(p!X35*LN(p!X35)),p!X35*LN(p!X35),0)</f>
        <v>0</v>
      </c>
      <c r="Y35" s="3">
        <f>IF(ISNUMBER(p!Y35*LN(p!Y35)),p!Y35*LN(p!Y35),0)</f>
        <v>0</v>
      </c>
      <c r="Z35" s="3">
        <f>IF(ISNUMBER(p!Z35*LN(p!Z35)),p!Z35*LN(p!Z35),0)</f>
        <v>0</v>
      </c>
      <c r="AA35" s="3">
        <f>IF(ISNUMBER(p!AA35*LN(p!AA35)),p!AA35*LN(p!AA35),0)</f>
        <v>0</v>
      </c>
    </row>
    <row r="36" spans="1:27" x14ac:dyDescent="0.25">
      <c r="A36" s="13" t="s">
        <v>117</v>
      </c>
      <c r="B36" s="3">
        <f>IF(ISNUMBER(p!B36*LN(p!B36)),p!B36*LN(p!B36),0)</f>
        <v>-0.36785487697399272</v>
      </c>
      <c r="C36" s="3">
        <f>IF(ISNUMBER(p!C36*LN(p!C36)),p!C36*LN(p!C36),0)</f>
        <v>-0.30995419858880463</v>
      </c>
      <c r="D36" s="3">
        <f>IF(ISNUMBER(p!D36*LN(p!D36)),p!D36*LN(p!D36),0)</f>
        <v>0</v>
      </c>
      <c r="E36" s="3">
        <f>IF(ISNUMBER(p!E36*LN(p!E36)),p!E36*LN(p!E36),0)</f>
        <v>0</v>
      </c>
      <c r="F36" s="3">
        <f>IF(ISNUMBER(p!F36*LN(p!F36)),p!F36*LN(p!F36),0)</f>
        <v>0</v>
      </c>
      <c r="G36" s="3">
        <f>IF(ISNUMBER(p!G36*LN(p!G36)),p!G36*LN(p!G36),0)</f>
        <v>0</v>
      </c>
      <c r="H36" s="3">
        <f>IF(ISNUMBER(p!H36*LN(p!H36)),p!H36*LN(p!H36),0)</f>
        <v>-0.36651629274966202</v>
      </c>
      <c r="I36" s="3">
        <f>IF(ISNUMBER(p!I36*LN(p!I36)),p!I36*LN(p!I36),0)</f>
        <v>0</v>
      </c>
      <c r="J36" s="3">
        <f>IF(ISNUMBER(p!J36*LN(p!J36)),p!J36*LN(p!J36),0)</f>
        <v>-0.12051585471536456</v>
      </c>
      <c r="K36" s="3">
        <f>IF(ISNUMBER(p!K36*LN(p!K36)),p!K36*LN(p!K36),0)</f>
        <v>0</v>
      </c>
      <c r="L36" s="3">
        <f>IF(ISNUMBER(p!L36*LN(p!L36)),p!L36*LN(p!L36),0)</f>
        <v>0</v>
      </c>
      <c r="M36" s="3">
        <f>IF(ISNUMBER(p!M36*LN(p!M36)),p!M36*LN(p!M36),0)</f>
        <v>0</v>
      </c>
      <c r="N36" s="3">
        <f>IF(ISNUMBER(p!N36*LN(p!N36)),p!N36*LN(p!N36),0)</f>
        <v>0</v>
      </c>
      <c r="O36" s="3">
        <f>IF(ISNUMBER(p!O36*LN(p!O36)),p!O36*LN(p!O36),0)</f>
        <v>0</v>
      </c>
      <c r="P36" s="3">
        <f>IF(ISNUMBER(p!P36*LN(p!P36)),p!P36*LN(p!P36),0)</f>
        <v>0</v>
      </c>
      <c r="Q36" s="3">
        <f>IF(ISNUMBER(p!Q36*LN(p!Q36)),p!Q36*LN(p!Q36),0)</f>
        <v>0</v>
      </c>
      <c r="R36" s="3">
        <f>IF(ISNUMBER(p!R36*LN(p!R36)),p!R36*LN(p!R36),0)</f>
        <v>0</v>
      </c>
      <c r="S36" s="3">
        <f>IF(ISNUMBER(p!S36*LN(p!S36)),p!S36*LN(p!S36),0)</f>
        <v>0</v>
      </c>
      <c r="T36" s="3">
        <f>IF(ISNUMBER(p!T36*LN(p!T36)),p!T36*LN(p!T36),0)</f>
        <v>0</v>
      </c>
      <c r="U36" s="3">
        <f>IF(ISNUMBER(p!U36*LN(p!U36)),p!U36*LN(p!U36),0)</f>
        <v>0</v>
      </c>
      <c r="V36" s="3">
        <f>IF(ISNUMBER(p!V36*LN(p!V36)),p!V36*LN(p!V36),0)</f>
        <v>0</v>
      </c>
      <c r="W36" s="3">
        <f>IF(ISNUMBER(p!W36*LN(p!W36)),p!W36*LN(p!W36),0)</f>
        <v>0</v>
      </c>
      <c r="X36" s="3">
        <f>IF(ISNUMBER(p!X36*LN(p!X36)),p!X36*LN(p!X36),0)</f>
        <v>0</v>
      </c>
      <c r="Y36" s="3">
        <f>IF(ISNUMBER(p!Y36*LN(p!Y36)),p!Y36*LN(p!Y36),0)</f>
        <v>0</v>
      </c>
      <c r="Z36" s="3">
        <f>IF(ISNUMBER(p!Z36*LN(p!Z36)),p!Z36*LN(p!Z36),0)</f>
        <v>0</v>
      </c>
      <c r="AA36" s="3">
        <f>IF(ISNUMBER(p!AA36*LN(p!AA36)),p!AA36*LN(p!AA36),0)</f>
        <v>0</v>
      </c>
    </row>
    <row r="37" spans="1:27" x14ac:dyDescent="0.25">
      <c r="A37" s="13" t="s">
        <v>118</v>
      </c>
      <c r="B37" s="3">
        <f>IF(ISNUMBER(p!B37*LN(p!B37)),p!B37*LN(p!B37),0)</f>
        <v>-0.24843845911190141</v>
      </c>
      <c r="C37" s="3">
        <f>IF(ISNUMBER(p!C37*LN(p!C37)),p!C37*LN(p!C37),0)</f>
        <v>-0.22441822701860026</v>
      </c>
      <c r="D37" s="3">
        <f>IF(ISNUMBER(p!D37*LN(p!D37)),p!D37*LN(p!D37),0)</f>
        <v>0</v>
      </c>
      <c r="E37" s="3">
        <f>IF(ISNUMBER(p!E37*LN(p!E37)),p!E37*LN(p!E37),0)</f>
        <v>0</v>
      </c>
      <c r="F37" s="3">
        <f>IF(ISNUMBER(p!F37*LN(p!F37)),p!F37*LN(p!F37),0)</f>
        <v>0</v>
      </c>
      <c r="G37" s="3">
        <f>IF(ISNUMBER(p!G37*LN(p!G37)),p!G37*LN(p!G37),0)</f>
        <v>0</v>
      </c>
      <c r="H37" s="3">
        <f>IF(ISNUMBER(p!H37*LN(p!H37)),p!H37*LN(p!H37),0)</f>
        <v>-0.24843845911190141</v>
      </c>
      <c r="I37" s="3">
        <f>IF(ISNUMBER(p!I37*LN(p!I37)),p!I37*LN(p!I37),0)</f>
        <v>0</v>
      </c>
      <c r="J37" s="3">
        <f>IF(ISNUMBER(p!J37*LN(p!J37)),p!J37*LN(p!J37),0)</f>
        <v>0</v>
      </c>
      <c r="K37" s="3">
        <f>IF(ISNUMBER(p!K37*LN(p!K37)),p!K37*LN(p!K37),0)</f>
        <v>0</v>
      </c>
      <c r="L37" s="3">
        <f>IF(ISNUMBER(p!L37*LN(p!L37)),p!L37*LN(p!L37),0)</f>
        <v>0</v>
      </c>
      <c r="M37" s="3">
        <f>IF(ISNUMBER(p!M37*LN(p!M37)),p!M37*LN(p!M37),0)</f>
        <v>0</v>
      </c>
      <c r="N37" s="3">
        <f>IF(ISNUMBER(p!N37*LN(p!N37)),p!N37*LN(p!N37),0)</f>
        <v>0</v>
      </c>
      <c r="O37" s="3">
        <f>IF(ISNUMBER(p!O37*LN(p!O37)),p!O37*LN(p!O37),0)</f>
        <v>-0.11205661257748742</v>
      </c>
      <c r="P37" s="3">
        <f>IF(ISNUMBER(p!P37*LN(p!P37)),p!P37*LN(p!P37),0)</f>
        <v>0</v>
      </c>
      <c r="Q37" s="3">
        <f>IF(ISNUMBER(p!Q37*LN(p!Q37)),p!Q37*LN(p!Q37),0)</f>
        <v>0</v>
      </c>
      <c r="R37" s="3">
        <f>IF(ISNUMBER(p!R37*LN(p!R37)),p!R37*LN(p!R37),0)</f>
        <v>0</v>
      </c>
      <c r="S37" s="3">
        <f>IF(ISNUMBER(p!S37*LN(p!S37)),p!S37*LN(p!S37),0)</f>
        <v>0</v>
      </c>
      <c r="T37" s="3">
        <f>IF(ISNUMBER(p!T37*LN(p!T37)),p!T37*LN(p!T37),0)</f>
        <v>0</v>
      </c>
      <c r="U37" s="3">
        <f>IF(ISNUMBER(p!U37*LN(p!U37)),p!U37*LN(p!U37),0)</f>
        <v>0</v>
      </c>
      <c r="V37" s="3">
        <f>IF(ISNUMBER(p!V37*LN(p!V37)),p!V37*LN(p!V37),0)</f>
        <v>0</v>
      </c>
      <c r="W37" s="3">
        <f>IF(ISNUMBER(p!W37*LN(p!W37)),p!W37*LN(p!W37),0)</f>
        <v>0</v>
      </c>
      <c r="X37" s="3">
        <f>IF(ISNUMBER(p!X37*LN(p!X37)),p!X37*LN(p!X37),0)</f>
        <v>0</v>
      </c>
      <c r="Y37" s="3">
        <f>IF(ISNUMBER(p!Y37*LN(p!Y37)),p!Y37*LN(p!Y37),0)</f>
        <v>0</v>
      </c>
      <c r="Z37" s="3">
        <f>IF(ISNUMBER(p!Z37*LN(p!Z37)),p!Z37*LN(p!Z37),0)</f>
        <v>0</v>
      </c>
      <c r="AA37" s="3">
        <f>IF(ISNUMBER(p!AA37*LN(p!AA37)),p!AA37*LN(p!AA37),0)</f>
        <v>0</v>
      </c>
    </row>
    <row r="38" spans="1:27" x14ac:dyDescent="0.25">
      <c r="A38" s="13" t="s">
        <v>120</v>
      </c>
      <c r="B38" s="3">
        <f>IF(ISNUMBER(p!B38*LN(p!B38)),p!B38*LN(p!B38),0)</f>
        <v>-4.6785382435413997E-2</v>
      </c>
      <c r="C38" s="3">
        <f>IF(ISNUMBER(p!C38*LN(p!C38)),p!C38*LN(p!C38),0)</f>
        <v>0</v>
      </c>
      <c r="D38" s="3">
        <f>IF(ISNUMBER(p!D38*LN(p!D38)),p!D38*LN(p!D38),0)</f>
        <v>0</v>
      </c>
      <c r="E38" s="3">
        <f>IF(ISNUMBER(p!E38*LN(p!E38)),p!E38*LN(p!E38),0)</f>
        <v>0</v>
      </c>
      <c r="F38" s="3">
        <f>IF(ISNUMBER(p!F38*LN(p!F38)),p!F38*LN(p!F38),0)</f>
        <v>0</v>
      </c>
      <c r="G38" s="3">
        <f>IF(ISNUMBER(p!G38*LN(p!G38)),p!G38*LN(p!G38),0)</f>
        <v>0</v>
      </c>
      <c r="H38" s="3">
        <f>IF(ISNUMBER(p!H38*LN(p!H38)),p!H38*LN(p!H38),0)</f>
        <v>-0.2334940787314001</v>
      </c>
      <c r="I38" s="3">
        <f>IF(ISNUMBER(p!I38*LN(p!I38)),p!I38*LN(p!I38),0)</f>
        <v>0</v>
      </c>
      <c r="J38" s="3">
        <f>IF(ISNUMBER(p!J38*LN(p!J38)),p!J38*LN(p!J38),0)</f>
        <v>-0.35202698425384016</v>
      </c>
      <c r="K38" s="3">
        <f>IF(ISNUMBER(p!K38*LN(p!K38)),p!K38*LN(p!K38),0)</f>
        <v>0</v>
      </c>
      <c r="L38" s="3">
        <f>IF(ISNUMBER(p!L38*LN(p!L38)),p!L38*LN(p!L38),0)</f>
        <v>0</v>
      </c>
      <c r="M38" s="3">
        <f>IF(ISNUMBER(p!M38*LN(p!M38)),p!M38*LN(p!M38),0)</f>
        <v>0</v>
      </c>
      <c r="N38" s="3">
        <f>IF(ISNUMBER(p!N38*LN(p!N38)),p!N38*LN(p!N38),0)</f>
        <v>0</v>
      </c>
      <c r="O38" s="3">
        <f>IF(ISNUMBER(p!O38*LN(p!O38)),p!O38*LN(p!O38),0)</f>
        <v>0</v>
      </c>
      <c r="P38" s="3">
        <f>IF(ISNUMBER(p!P38*LN(p!P38)),p!P38*LN(p!P38),0)</f>
        <v>0</v>
      </c>
      <c r="Q38" s="3">
        <f>IF(ISNUMBER(p!Q38*LN(p!Q38)),p!Q38*LN(p!Q38),0)</f>
        <v>0</v>
      </c>
      <c r="R38" s="3">
        <f>IF(ISNUMBER(p!R38*LN(p!R38)),p!R38*LN(p!R38),0)</f>
        <v>0</v>
      </c>
      <c r="S38" s="3">
        <f>IF(ISNUMBER(p!S38*LN(p!S38)),p!S38*LN(p!S38),0)</f>
        <v>0</v>
      </c>
      <c r="T38" s="3">
        <f>IF(ISNUMBER(p!T38*LN(p!T38)),p!T38*LN(p!T38),0)</f>
        <v>0</v>
      </c>
      <c r="U38" s="3">
        <f>IF(ISNUMBER(p!U38*LN(p!U38)),p!U38*LN(p!U38),0)</f>
        <v>0</v>
      </c>
      <c r="V38" s="3">
        <f>IF(ISNUMBER(p!V38*LN(p!V38)),p!V38*LN(p!V38),0)</f>
        <v>0</v>
      </c>
      <c r="W38" s="3">
        <f>IF(ISNUMBER(p!W38*LN(p!W38)),p!W38*LN(p!W38),0)</f>
        <v>0</v>
      </c>
      <c r="X38" s="3">
        <f>IF(ISNUMBER(p!X38*LN(p!X38)),p!X38*LN(p!X38),0)</f>
        <v>0</v>
      </c>
      <c r="Y38" s="3">
        <f>IF(ISNUMBER(p!Y38*LN(p!Y38)),p!Y38*LN(p!Y38),0)</f>
        <v>0</v>
      </c>
      <c r="Z38" s="3">
        <f>IF(ISNUMBER(p!Z38*LN(p!Z38)),p!Z38*LN(p!Z38),0)</f>
        <v>0</v>
      </c>
      <c r="AA38" s="3">
        <f>IF(ISNUMBER(p!AA38*LN(p!AA38)),p!AA38*LN(p!AA38),0)</f>
        <v>0</v>
      </c>
    </row>
    <row r="39" spans="1:27" x14ac:dyDescent="0.25">
      <c r="A39" s="13" t="s">
        <v>121</v>
      </c>
      <c r="B39" s="3">
        <f>IF(ISNUMBER(p!B39*LN(p!B39)),p!B39*LN(p!B39),0)</f>
        <v>-0.18053668007348067</v>
      </c>
      <c r="C39" s="3">
        <f>IF(ISNUMBER(p!C39*LN(p!C39)),p!C39*LN(p!C39),0)</f>
        <v>-0.35566535762188517</v>
      </c>
      <c r="D39" s="3">
        <f>IF(ISNUMBER(p!D39*LN(p!D39)),p!D39*LN(p!D39),0)</f>
        <v>0</v>
      </c>
      <c r="E39" s="3">
        <f>IF(ISNUMBER(p!E39*LN(p!E39)),p!E39*LN(p!E39),0)</f>
        <v>0</v>
      </c>
      <c r="F39" s="3">
        <f>IF(ISNUMBER(p!F39*LN(p!F39)),p!F39*LN(p!F39),0)</f>
        <v>0</v>
      </c>
      <c r="G39" s="3">
        <f>IF(ISNUMBER(p!G39*LN(p!G39)),p!G39*LN(p!G39),0)</f>
        <v>0</v>
      </c>
      <c r="H39" s="3">
        <f>IF(ISNUMBER(p!H39*LN(p!H39)),p!H39*LN(p!H39),0)</f>
        <v>-0.36620409622270322</v>
      </c>
      <c r="I39" s="3">
        <f>IF(ISNUMBER(p!I39*LN(p!I39)),p!I39*LN(p!I39),0)</f>
        <v>0</v>
      </c>
      <c r="J39" s="3">
        <f>IF(ISNUMBER(p!J39*LN(p!J39)),p!J39*LN(p!J39),0)</f>
        <v>-0.15633033346220904</v>
      </c>
      <c r="K39" s="3">
        <f>IF(ISNUMBER(p!K39*LN(p!K39)),p!K39*LN(p!K39),0)</f>
        <v>0</v>
      </c>
      <c r="L39" s="3">
        <f>IF(ISNUMBER(p!L39*LN(p!L39)),p!L39*LN(p!L39),0)</f>
        <v>0</v>
      </c>
      <c r="M39" s="3">
        <f>IF(ISNUMBER(p!M39*LN(p!M39)),p!M39*LN(p!M39),0)</f>
        <v>0</v>
      </c>
      <c r="N39" s="3">
        <f>IF(ISNUMBER(p!N39*LN(p!N39)),p!N39*LN(p!N39),0)</f>
        <v>0</v>
      </c>
      <c r="O39" s="3">
        <f>IF(ISNUMBER(p!O39*LN(p!O39)),p!O39*LN(p!O39),0)</f>
        <v>-0.18053668007348067</v>
      </c>
      <c r="P39" s="3">
        <f>IF(ISNUMBER(p!P39*LN(p!P39)),p!P39*LN(p!P39),0)</f>
        <v>0</v>
      </c>
      <c r="Q39" s="3">
        <f>IF(ISNUMBER(p!Q39*LN(p!Q39)),p!Q39*LN(p!Q39),0)</f>
        <v>0</v>
      </c>
      <c r="R39" s="3">
        <f>IF(ISNUMBER(p!R39*LN(p!R39)),p!R39*LN(p!R39),0)</f>
        <v>0</v>
      </c>
      <c r="S39" s="3">
        <f>IF(ISNUMBER(p!S39*LN(p!S39)),p!S39*LN(p!S39),0)</f>
        <v>0</v>
      </c>
      <c r="T39" s="3">
        <f>IF(ISNUMBER(p!T39*LN(p!T39)),p!T39*LN(p!T39),0)</f>
        <v>0</v>
      </c>
      <c r="U39" s="3">
        <f>IF(ISNUMBER(p!U39*LN(p!U39)),p!U39*LN(p!U39),0)</f>
        <v>0</v>
      </c>
      <c r="V39" s="3">
        <f>IF(ISNUMBER(p!V39*LN(p!V39)),p!V39*LN(p!V39),0)</f>
        <v>0</v>
      </c>
      <c r="W39" s="3">
        <f>IF(ISNUMBER(p!W39*LN(p!W39)),p!W39*LN(p!W39),0)</f>
        <v>0</v>
      </c>
      <c r="X39" s="3">
        <f>IF(ISNUMBER(p!X39*LN(p!X39)),p!X39*LN(p!X39),0)</f>
        <v>0</v>
      </c>
      <c r="Y39" s="3">
        <f>IF(ISNUMBER(p!Y39*LN(p!Y39)),p!Y39*LN(p!Y39),0)</f>
        <v>0</v>
      </c>
      <c r="Z39" s="3">
        <f>IF(ISNUMBER(p!Z39*LN(p!Z39)),p!Z39*LN(p!Z39),0)</f>
        <v>0</v>
      </c>
      <c r="AA39" s="3">
        <f>IF(ISNUMBER(p!AA39*LN(p!AA39)),p!AA39*LN(p!AA39),0)</f>
        <v>0</v>
      </c>
    </row>
    <row r="40" spans="1:27" x14ac:dyDescent="0.25">
      <c r="A40" s="13" t="s">
        <v>122</v>
      </c>
      <c r="B40" s="3">
        <f>IF(ISNUMBER(p!B40*LN(p!B40)),p!B40*LN(p!B40),0)</f>
        <v>0</v>
      </c>
      <c r="C40" s="3">
        <f>IF(ISNUMBER(p!C40*LN(p!C40)),p!C40*LN(p!C40),0)</f>
        <v>-0.36707021656296612</v>
      </c>
      <c r="D40" s="3">
        <f>IF(ISNUMBER(p!D40*LN(p!D40)),p!D40*LN(p!D40),0)</f>
        <v>0</v>
      </c>
      <c r="E40" s="3">
        <f>IF(ISNUMBER(p!E40*LN(p!E40)),p!E40*LN(p!E40),0)</f>
        <v>0</v>
      </c>
      <c r="F40" s="3">
        <f>IF(ISNUMBER(p!F40*LN(p!F40)),p!F40*LN(p!F40),0)</f>
        <v>0</v>
      </c>
      <c r="G40" s="3">
        <f>IF(ISNUMBER(p!G40*LN(p!G40)),p!G40*LN(p!G40),0)</f>
        <v>0</v>
      </c>
      <c r="H40" s="3">
        <f>IF(ISNUMBER(p!H40*LN(p!H40)),p!H40*LN(p!H40),0)</f>
        <v>-0.36594453404363958</v>
      </c>
      <c r="I40" s="3">
        <f>IF(ISNUMBER(p!I40*LN(p!I40)),p!I40*LN(p!I40),0)</f>
        <v>0</v>
      </c>
      <c r="J40" s="3">
        <f>IF(ISNUMBER(p!J40*LN(p!J40)),p!J40*LN(p!J40),0)</f>
        <v>-0.2420439146895392</v>
      </c>
      <c r="K40" s="3">
        <f>IF(ISNUMBER(p!K40*LN(p!K40)),p!K40*LN(p!K40),0)</f>
        <v>0</v>
      </c>
      <c r="L40" s="3">
        <f>IF(ISNUMBER(p!L40*LN(p!L40)),p!L40*LN(p!L40),0)</f>
        <v>0</v>
      </c>
      <c r="M40" s="3">
        <f>IF(ISNUMBER(p!M40*LN(p!M40)),p!M40*LN(p!M40),0)</f>
        <v>0</v>
      </c>
      <c r="N40" s="3">
        <f>IF(ISNUMBER(p!N40*LN(p!N40)),p!N40*LN(p!N40),0)</f>
        <v>0</v>
      </c>
      <c r="O40" s="3">
        <f>IF(ISNUMBER(p!O40*LN(p!O40)),p!O40*LN(p!O40),0)</f>
        <v>-0.143450193501167</v>
      </c>
      <c r="P40" s="3">
        <f>IF(ISNUMBER(p!P40*LN(p!P40)),p!P40*LN(p!P40),0)</f>
        <v>0</v>
      </c>
      <c r="Q40" s="3">
        <f>IF(ISNUMBER(p!Q40*LN(p!Q40)),p!Q40*LN(p!Q40),0)</f>
        <v>0</v>
      </c>
      <c r="R40" s="3">
        <f>IF(ISNUMBER(p!R40*LN(p!R40)),p!R40*LN(p!R40),0)</f>
        <v>0</v>
      </c>
      <c r="S40" s="3">
        <f>IF(ISNUMBER(p!S40*LN(p!S40)),p!S40*LN(p!S40),0)</f>
        <v>0</v>
      </c>
      <c r="T40" s="3">
        <f>IF(ISNUMBER(p!T40*LN(p!T40)),p!T40*LN(p!T40),0)</f>
        <v>0</v>
      </c>
      <c r="U40" s="3">
        <f>IF(ISNUMBER(p!U40*LN(p!U40)),p!U40*LN(p!U40),0)</f>
        <v>0</v>
      </c>
      <c r="V40" s="3">
        <f>IF(ISNUMBER(p!V40*LN(p!V40)),p!V40*LN(p!V40),0)</f>
        <v>0</v>
      </c>
      <c r="W40" s="3">
        <f>IF(ISNUMBER(p!W40*LN(p!W40)),p!W40*LN(p!W40),0)</f>
        <v>0</v>
      </c>
      <c r="X40" s="3">
        <f>IF(ISNUMBER(p!X40*LN(p!X40)),p!X40*LN(p!X40),0)</f>
        <v>0</v>
      </c>
      <c r="Y40" s="3">
        <f>IF(ISNUMBER(p!Y40*LN(p!Y40)),p!Y40*LN(p!Y40),0)</f>
        <v>0</v>
      </c>
      <c r="Z40" s="3">
        <f>IF(ISNUMBER(p!Z40*LN(p!Z40)),p!Z40*LN(p!Z40),0)</f>
        <v>0</v>
      </c>
      <c r="AA40" s="3">
        <f>IF(ISNUMBER(p!AA40*LN(p!AA40)),p!AA40*LN(p!AA40),0)</f>
        <v>0</v>
      </c>
    </row>
    <row r="41" spans="1:27" x14ac:dyDescent="0.25">
      <c r="A41" s="13" t="s">
        <v>123</v>
      </c>
      <c r="B41" s="3">
        <f>IF(ISNUMBER(p!B41*LN(p!B41)),p!B41*LN(p!B41),0)</f>
        <v>0</v>
      </c>
      <c r="C41" s="3">
        <f>IF(ISNUMBER(p!C41*LN(p!C41)),p!C41*LN(p!C41),0)</f>
        <v>-0.32803044590453678</v>
      </c>
      <c r="D41" s="3">
        <f>IF(ISNUMBER(p!D41*LN(p!D41)),p!D41*LN(p!D41),0)</f>
        <v>0</v>
      </c>
      <c r="E41" s="3">
        <f>IF(ISNUMBER(p!E41*LN(p!E41)),p!E41*LN(p!E41),0)</f>
        <v>0</v>
      </c>
      <c r="F41" s="3">
        <f>IF(ISNUMBER(p!F41*LN(p!F41)),p!F41*LN(p!F41),0)</f>
        <v>0</v>
      </c>
      <c r="G41" s="3">
        <f>IF(ISNUMBER(p!G41*LN(p!G41)),p!G41*LN(p!G41),0)</f>
        <v>0</v>
      </c>
      <c r="H41" s="3">
        <f>IF(ISNUMBER(p!H41*LN(p!H41)),p!H41*LN(p!H41),0)</f>
        <v>-0.34113826951346049</v>
      </c>
      <c r="I41" s="3">
        <f>IF(ISNUMBER(p!I41*LN(p!I41)),p!I41*LN(p!I41),0)</f>
        <v>0</v>
      </c>
      <c r="J41" s="3">
        <f>IF(ISNUMBER(p!J41*LN(p!J41)),p!J41*LN(p!J41),0)</f>
        <v>0</v>
      </c>
      <c r="K41" s="3">
        <f>IF(ISNUMBER(p!K41*LN(p!K41)),p!K41*LN(p!K41),0)</f>
        <v>0</v>
      </c>
      <c r="L41" s="3">
        <f>IF(ISNUMBER(p!L41*LN(p!L41)),p!L41*LN(p!L41),0)</f>
        <v>0</v>
      </c>
      <c r="M41" s="3">
        <f>IF(ISNUMBER(p!M41*LN(p!M41)),p!M41*LN(p!M41),0)</f>
        <v>0</v>
      </c>
      <c r="N41" s="3">
        <f>IF(ISNUMBER(p!N41*LN(p!N41)),p!N41*LN(p!N41),0)</f>
        <v>0</v>
      </c>
      <c r="O41" s="3">
        <f>IF(ISNUMBER(p!O41*LN(p!O41)),p!O41*LN(p!O41),0)</f>
        <v>-0.2369780840638416</v>
      </c>
      <c r="P41" s="3">
        <f>IF(ISNUMBER(p!P41*LN(p!P41)),p!P41*LN(p!P41),0)</f>
        <v>0</v>
      </c>
      <c r="Q41" s="3">
        <f>IF(ISNUMBER(p!Q41*LN(p!Q41)),p!Q41*LN(p!Q41),0)</f>
        <v>0</v>
      </c>
      <c r="R41" s="3">
        <f>IF(ISNUMBER(p!R41*LN(p!R41)),p!R41*LN(p!R41),0)</f>
        <v>0</v>
      </c>
      <c r="S41" s="3">
        <f>IF(ISNUMBER(p!S41*LN(p!S41)),p!S41*LN(p!S41),0)</f>
        <v>0</v>
      </c>
      <c r="T41" s="3">
        <f>IF(ISNUMBER(p!T41*LN(p!T41)),p!T41*LN(p!T41),0)</f>
        <v>0</v>
      </c>
      <c r="U41" s="3">
        <f>IF(ISNUMBER(p!U41*LN(p!U41)),p!U41*LN(p!U41),0)</f>
        <v>0</v>
      </c>
      <c r="V41" s="3">
        <f>IF(ISNUMBER(p!V41*LN(p!V41)),p!V41*LN(p!V41),0)</f>
        <v>0</v>
      </c>
      <c r="W41" s="3">
        <f>IF(ISNUMBER(p!W41*LN(p!W41)),p!W41*LN(p!W41),0)</f>
        <v>0</v>
      </c>
      <c r="X41" s="3">
        <f>IF(ISNUMBER(p!X41*LN(p!X41)),p!X41*LN(p!X41),0)</f>
        <v>0</v>
      </c>
      <c r="Y41" s="3">
        <f>IF(ISNUMBER(p!Y41*LN(p!Y41)),p!Y41*LN(p!Y41),0)</f>
        <v>0</v>
      </c>
      <c r="Z41" s="3">
        <f>IF(ISNUMBER(p!Z41*LN(p!Z41)),p!Z41*LN(p!Z41),0)</f>
        <v>0</v>
      </c>
      <c r="AA41" s="3">
        <f>IF(ISNUMBER(p!AA41*LN(p!AA41)),p!AA41*LN(p!AA41),0)</f>
        <v>0</v>
      </c>
    </row>
    <row r="42" spans="1:27" x14ac:dyDescent="0.25">
      <c r="A42" s="13" t="s">
        <v>124</v>
      </c>
      <c r="B42" s="3">
        <f>IF(ISNUMBER(p!B42*LN(p!B42)),p!B42*LN(p!B42),0)</f>
        <v>0</v>
      </c>
      <c r="C42" s="3">
        <f>IF(ISNUMBER(p!C42*LN(p!C42)),p!C42*LN(p!C42),0)</f>
        <v>-0.28846162800195002</v>
      </c>
      <c r="D42" s="3">
        <f>IF(ISNUMBER(p!D42*LN(p!D42)),p!D42*LN(p!D42),0)</f>
        <v>0</v>
      </c>
      <c r="E42" s="3">
        <f>IF(ISNUMBER(p!E42*LN(p!E42)),p!E42*LN(p!E42),0)</f>
        <v>0</v>
      </c>
      <c r="F42" s="3">
        <f>IF(ISNUMBER(p!F42*LN(p!F42)),p!F42*LN(p!F42),0)</f>
        <v>0</v>
      </c>
      <c r="G42" s="3">
        <f>IF(ISNUMBER(p!G42*LN(p!G42)),p!G42*LN(p!G42),0)</f>
        <v>0</v>
      </c>
      <c r="H42" s="3">
        <f>IF(ISNUMBER(p!H42*LN(p!H42)),p!H42*LN(p!H42),0)</f>
        <v>-0.28190038414442076</v>
      </c>
      <c r="I42" s="3">
        <f>IF(ISNUMBER(p!I42*LN(p!I42)),p!I42*LN(p!I42),0)</f>
        <v>0</v>
      </c>
      <c r="J42" s="3">
        <f>IF(ISNUMBER(p!J42*LN(p!J42)),p!J42*LN(p!J42),0)</f>
        <v>-0.12144180048904232</v>
      </c>
      <c r="K42" s="3">
        <f>IF(ISNUMBER(p!K42*LN(p!K42)),p!K42*LN(p!K42),0)</f>
        <v>0</v>
      </c>
      <c r="L42" s="3">
        <f>IF(ISNUMBER(p!L42*LN(p!L42)),p!L42*LN(p!L42),0)</f>
        <v>0</v>
      </c>
      <c r="M42" s="3">
        <f>IF(ISNUMBER(p!M42*LN(p!M42)),p!M42*LN(p!M42),0)</f>
        <v>0</v>
      </c>
      <c r="N42" s="3">
        <f>IF(ISNUMBER(p!N42*LN(p!N42)),p!N42*LN(p!N42),0)</f>
        <v>0</v>
      </c>
      <c r="O42" s="3">
        <f>IF(ISNUMBER(p!O42*LN(p!O42)),p!O42*LN(p!O42),0)</f>
        <v>-8.4133292582381072E-2</v>
      </c>
      <c r="P42" s="3">
        <f>IF(ISNUMBER(p!P42*LN(p!P42)),p!P42*LN(p!P42),0)</f>
        <v>0</v>
      </c>
      <c r="Q42" s="3">
        <f>IF(ISNUMBER(p!Q42*LN(p!Q42)),p!Q42*LN(p!Q42),0)</f>
        <v>-0.10371648601812239</v>
      </c>
      <c r="R42" s="3">
        <f>IF(ISNUMBER(p!R42*LN(p!R42)),p!R42*LN(p!R42),0)</f>
        <v>0</v>
      </c>
      <c r="S42" s="3">
        <f>IF(ISNUMBER(p!S42*LN(p!S42)),p!S42*LN(p!S42),0)</f>
        <v>0</v>
      </c>
      <c r="T42" s="3">
        <f>IF(ISNUMBER(p!T42*LN(p!T42)),p!T42*LN(p!T42),0)</f>
        <v>0</v>
      </c>
      <c r="U42" s="3">
        <f>IF(ISNUMBER(p!U42*LN(p!U42)),p!U42*LN(p!U42),0)</f>
        <v>0</v>
      </c>
      <c r="V42" s="3">
        <f>IF(ISNUMBER(p!V42*LN(p!V42)),p!V42*LN(p!V42),0)</f>
        <v>0</v>
      </c>
      <c r="W42" s="3">
        <f>IF(ISNUMBER(p!W42*LN(p!W42)),p!W42*LN(p!W42),0)</f>
        <v>0</v>
      </c>
      <c r="X42" s="3">
        <f>IF(ISNUMBER(p!X42*LN(p!X42)),p!X42*LN(p!X42),0)</f>
        <v>0</v>
      </c>
      <c r="Y42" s="3">
        <f>IF(ISNUMBER(p!Y42*LN(p!Y42)),p!Y42*LN(p!Y42),0)</f>
        <v>0</v>
      </c>
      <c r="Z42" s="3">
        <f>IF(ISNUMBER(p!Z42*LN(p!Z42)),p!Z42*LN(p!Z42),0)</f>
        <v>0</v>
      </c>
      <c r="AA42" s="3">
        <f>IF(ISNUMBER(p!AA42*LN(p!AA42)),p!AA42*LN(p!AA42),0)</f>
        <v>0</v>
      </c>
    </row>
    <row r="43" spans="1:27" x14ac:dyDescent="0.25">
      <c r="A43" s="13" t="s">
        <v>136</v>
      </c>
      <c r="B43" s="3">
        <f>IF(ISNUMBER(p!B43*LN(p!B43)),p!B43*LN(p!B43),0)</f>
        <v>-0.31761476133152089</v>
      </c>
      <c r="C43" s="3">
        <f>IF(ISNUMBER(p!C43*LN(p!C43)),p!C43*LN(p!C43),0)</f>
        <v>-0.36670007221145168</v>
      </c>
      <c r="D43" s="3">
        <f>IF(ISNUMBER(p!D43*LN(p!D43)),p!D43*LN(p!D43),0)</f>
        <v>0</v>
      </c>
      <c r="E43" s="3">
        <f>IF(ISNUMBER(p!E43*LN(p!E43)),p!E43*LN(p!E43),0)</f>
        <v>0</v>
      </c>
      <c r="F43" s="3">
        <f>IF(ISNUMBER(p!F43*LN(p!F43)),p!F43*LN(p!F43),0)</f>
        <v>0</v>
      </c>
      <c r="G43" s="3">
        <f>IF(ISNUMBER(p!G43*LN(p!G43)),p!G43*LN(p!G43),0)</f>
        <v>0</v>
      </c>
      <c r="H43" s="3">
        <f>IF(ISNUMBER(p!H43*LN(p!H43)),p!H43*LN(p!H43),0)</f>
        <v>-0.33096657807867674</v>
      </c>
      <c r="I43" s="3">
        <f>IF(ISNUMBER(p!I43*LN(p!I43)),p!I43*LN(p!I43),0)</f>
        <v>0</v>
      </c>
      <c r="J43" s="3">
        <f>IF(ISNUMBER(p!J43*LN(p!J43)),p!J43*LN(p!J43),0)</f>
        <v>0</v>
      </c>
      <c r="K43" s="3">
        <f>IF(ISNUMBER(p!K43*LN(p!K43)),p!K43*LN(p!K43),0)</f>
        <v>0</v>
      </c>
      <c r="L43" s="3">
        <f>IF(ISNUMBER(p!L43*LN(p!L43)),p!L43*LN(p!L43),0)</f>
        <v>0</v>
      </c>
      <c r="M43" s="3">
        <f>IF(ISNUMBER(p!M43*LN(p!M43)),p!M43*LN(p!M43),0)</f>
        <v>0</v>
      </c>
      <c r="N43" s="3">
        <f>IF(ISNUMBER(p!N43*LN(p!N43)),p!N43*LN(p!N43),0)</f>
        <v>-5.0878827437252347E-2</v>
      </c>
      <c r="O43" s="3">
        <f>IF(ISNUMBER(p!O43*LN(p!O43)),p!O43*LN(p!O43),0)</f>
        <v>-0.25993019270997947</v>
      </c>
      <c r="P43" s="3">
        <f>IF(ISNUMBER(p!P43*LN(p!P43)),p!P43*LN(p!P43),0)</f>
        <v>0</v>
      </c>
      <c r="Q43" s="3">
        <f>IF(ISNUMBER(p!Q43*LN(p!Q43)),p!Q43*LN(p!Q43),0)</f>
        <v>-5.0878827437252347E-2</v>
      </c>
      <c r="R43" s="3">
        <f>IF(ISNUMBER(p!R43*LN(p!R43)),p!R43*LN(p!R43),0)</f>
        <v>0</v>
      </c>
      <c r="S43" s="3">
        <f>IF(ISNUMBER(p!S43*LN(p!S43)),p!S43*LN(p!S43),0)</f>
        <v>0</v>
      </c>
      <c r="T43" s="3">
        <f>IF(ISNUMBER(p!T43*LN(p!T43)),p!T43*LN(p!T43),0)</f>
        <v>0</v>
      </c>
      <c r="U43" s="3">
        <f>IF(ISNUMBER(p!U43*LN(p!U43)),p!U43*LN(p!U43),0)</f>
        <v>0</v>
      </c>
      <c r="V43" s="3">
        <f>IF(ISNUMBER(p!V43*LN(p!V43)),p!V43*LN(p!V43),0)</f>
        <v>0</v>
      </c>
      <c r="W43" s="3">
        <f>IF(ISNUMBER(p!W43*LN(p!W43)),p!W43*LN(p!W43),0)</f>
        <v>0</v>
      </c>
      <c r="X43" s="3">
        <f>IF(ISNUMBER(p!X43*LN(p!X43)),p!X43*LN(p!X43),0)</f>
        <v>-8.6004309861778663E-2</v>
      </c>
      <c r="Y43" s="3">
        <f>IF(ISNUMBER(p!Y43*LN(p!Y43)),p!Y43*LN(p!Y43),0)</f>
        <v>0</v>
      </c>
      <c r="Z43" s="3">
        <f>IF(ISNUMBER(p!Z43*LN(p!Z43)),p!Z43*LN(p!Z43),0)</f>
        <v>0</v>
      </c>
      <c r="AA43" s="3">
        <f>IF(ISNUMBER(p!AA43*LN(p!AA43)),p!AA43*LN(p!AA43),0)</f>
        <v>0</v>
      </c>
    </row>
    <row r="44" spans="1:27" x14ac:dyDescent="0.25">
      <c r="A44" s="13" t="s">
        <v>94</v>
      </c>
      <c r="B44" s="3">
        <f>IF(ISNUMBER(p!B44*LN(p!B44)),p!B44*LN(p!B44),0)</f>
        <v>-2.5966451106314944E-2</v>
      </c>
      <c r="C44" s="3">
        <f>IF(ISNUMBER(p!C44*LN(p!C44)),p!C44*LN(p!C44),0)</f>
        <v>0</v>
      </c>
      <c r="D44" s="3">
        <f>IF(ISNUMBER(p!D44*LN(p!D44)),p!D44*LN(p!D44),0)</f>
        <v>0</v>
      </c>
      <c r="E44" s="3">
        <f>IF(ISNUMBER(p!E44*LN(p!E44)),p!E44*LN(p!E44),0)</f>
        <v>0</v>
      </c>
      <c r="F44" s="3">
        <f>IF(ISNUMBER(p!F44*LN(p!F44)),p!F44*LN(p!F44),0)</f>
        <v>0</v>
      </c>
      <c r="G44" s="3">
        <f>IF(ISNUMBER(p!G44*LN(p!G44)),p!G44*LN(p!G44),0)</f>
        <v>0</v>
      </c>
      <c r="H44" s="3">
        <f>IF(ISNUMBER(p!H44*LN(p!H44)),p!H44*LN(p!H44),0)</f>
        <v>0</v>
      </c>
      <c r="I44" s="3">
        <f>IF(ISNUMBER(p!I44*LN(p!I44)),p!I44*LN(p!I44),0)</f>
        <v>0</v>
      </c>
      <c r="J44" s="3">
        <f>IF(ISNUMBER(p!J44*LN(p!J44)),p!J44*LN(p!J44),0)</f>
        <v>0</v>
      </c>
      <c r="K44" s="3">
        <f>IF(ISNUMBER(p!K44*LN(p!K44)),p!K44*LN(p!K44),0)</f>
        <v>0</v>
      </c>
      <c r="L44" s="3">
        <f>IF(ISNUMBER(p!L44*LN(p!L44)),p!L44*LN(p!L44),0)</f>
        <v>0</v>
      </c>
      <c r="M44" s="3">
        <f>IF(ISNUMBER(p!M44*LN(p!M44)),p!M44*LN(p!M44),0)</f>
        <v>0</v>
      </c>
      <c r="N44" s="3">
        <f>IF(ISNUMBER(p!N44*LN(p!N44)),p!N44*LN(p!N44),0)</f>
        <v>-5.6983333424820148E-2</v>
      </c>
      <c r="O44" s="3">
        <f>IF(ISNUMBER(p!O44*LN(p!O44)),p!O44*LN(p!O44),0)</f>
        <v>0</v>
      </c>
      <c r="P44" s="3">
        <f>IF(ISNUMBER(p!P44*LN(p!P44)),p!P44*LN(p!P44),0)</f>
        <v>0</v>
      </c>
      <c r="Q44" s="3">
        <f>IF(ISNUMBER(p!Q44*LN(p!Q44)),p!Q44*LN(p!Q44),0)</f>
        <v>-5.6983333424820148E-2</v>
      </c>
      <c r="R44" s="3">
        <f>IF(ISNUMBER(p!R44*LN(p!R44)),p!R44*LN(p!R44),0)</f>
        <v>0</v>
      </c>
      <c r="S44" s="3">
        <f>IF(ISNUMBER(p!S44*LN(p!S44)),p!S44*LN(p!S44),0)</f>
        <v>0</v>
      </c>
      <c r="T44" s="3">
        <f>IF(ISNUMBER(p!T44*LN(p!T44)),p!T44*LN(p!T44),0)</f>
        <v>0</v>
      </c>
      <c r="U44" s="3">
        <f>IF(ISNUMBER(p!U44*LN(p!U44)),p!U44*LN(p!U44),0)</f>
        <v>0</v>
      </c>
      <c r="V44" s="3">
        <f>IF(ISNUMBER(p!V44*LN(p!V44)),p!V44*LN(p!V44),0)</f>
        <v>0</v>
      </c>
      <c r="W44" s="3">
        <f>IF(ISNUMBER(p!W44*LN(p!W44)),p!W44*LN(p!W44),0)</f>
        <v>0</v>
      </c>
      <c r="X44" s="3">
        <f>IF(ISNUMBER(p!X44*LN(p!X44)),p!X44*LN(p!X44),0)</f>
        <v>0</v>
      </c>
      <c r="Y44" s="3">
        <f>IF(ISNUMBER(p!Y44*LN(p!Y44)),p!Y44*LN(p!Y44),0)</f>
        <v>0</v>
      </c>
      <c r="Z44" s="3">
        <f>IF(ISNUMBER(p!Z44*LN(p!Z44)),p!Z44*LN(p!Z44),0)</f>
        <v>0</v>
      </c>
      <c r="AA44" s="3">
        <f>IF(ISNUMBER(p!AA44*LN(p!AA44)),p!AA44*LN(p!AA44),0)</f>
        <v>0</v>
      </c>
    </row>
    <row r="45" spans="1:27" x14ac:dyDescent="0.25">
      <c r="A45" s="13" t="s">
        <v>95</v>
      </c>
      <c r="B45" s="3">
        <f>IF(ISNUMBER(p!B45*LN(p!B45)),p!B45*LN(p!B45),0)</f>
        <v>-0.13658818339737502</v>
      </c>
      <c r="C45" s="3">
        <f>IF(ISNUMBER(p!C45*LN(p!C45)),p!C45*LN(p!C45),0)</f>
        <v>-0.24413606414846883</v>
      </c>
      <c r="D45" s="3">
        <f>IF(ISNUMBER(p!D45*LN(p!D45)),p!D45*LN(p!D45),0)</f>
        <v>0</v>
      </c>
      <c r="E45" s="3">
        <f>IF(ISNUMBER(p!E45*LN(p!E45)),p!E45*LN(p!E45),0)</f>
        <v>0</v>
      </c>
      <c r="F45" s="3">
        <f>IF(ISNUMBER(p!F45*LN(p!F45)),p!F45*LN(p!F45),0)</f>
        <v>0</v>
      </c>
      <c r="G45" s="3">
        <f>IF(ISNUMBER(p!G45*LN(p!G45)),p!G45*LN(p!G45),0)</f>
        <v>0</v>
      </c>
      <c r="H45" s="3">
        <f>IF(ISNUMBER(p!H45*LN(p!H45)),p!H45*LN(p!H45),0)</f>
        <v>0</v>
      </c>
      <c r="I45" s="3">
        <f>IF(ISNUMBER(p!I45*LN(p!I45)),p!I45*LN(p!I45),0)</f>
        <v>0</v>
      </c>
      <c r="J45" s="3">
        <f>IF(ISNUMBER(p!J45*LN(p!J45)),p!J45*LN(p!J45),0)</f>
        <v>0</v>
      </c>
      <c r="K45" s="3">
        <f>IF(ISNUMBER(p!K45*LN(p!K45)),p!K45*LN(p!K45),0)</f>
        <v>0</v>
      </c>
      <c r="L45" s="3">
        <f>IF(ISNUMBER(p!L45*LN(p!L45)),p!L45*LN(p!L45),0)</f>
        <v>0</v>
      </c>
      <c r="M45" s="3">
        <f>IF(ISNUMBER(p!M45*LN(p!M45)),p!M45*LN(p!M45),0)</f>
        <v>0</v>
      </c>
      <c r="N45" s="3">
        <f>IF(ISNUMBER(p!N45*LN(p!N45)),p!N45*LN(p!N45),0)</f>
        <v>0</v>
      </c>
      <c r="O45" s="3">
        <f>IF(ISNUMBER(p!O45*LN(p!O45)),p!O45*LN(p!O45),0)</f>
        <v>0</v>
      </c>
      <c r="P45" s="3">
        <f>IF(ISNUMBER(p!P45*LN(p!P45)),p!P45*LN(p!P45),0)</f>
        <v>0</v>
      </c>
      <c r="Q45" s="3">
        <f>IF(ISNUMBER(p!Q45*LN(p!Q45)),p!Q45*LN(p!Q45),0)</f>
        <v>-0.1220680320742344</v>
      </c>
      <c r="R45" s="3">
        <f>IF(ISNUMBER(p!R45*LN(p!R45)),p!R45*LN(p!R45),0)</f>
        <v>0</v>
      </c>
      <c r="S45" s="3">
        <f>IF(ISNUMBER(p!S45*LN(p!S45)),p!S45*LN(p!S45),0)</f>
        <v>0</v>
      </c>
      <c r="T45" s="3">
        <f>IF(ISNUMBER(p!T45*LN(p!T45)),p!T45*LN(p!T45),0)</f>
        <v>0</v>
      </c>
      <c r="U45" s="3">
        <f>IF(ISNUMBER(p!U45*LN(p!U45)),p!U45*LN(p!U45),0)</f>
        <v>0</v>
      </c>
      <c r="V45" s="3">
        <f>IF(ISNUMBER(p!V45*LN(p!V45)),p!V45*LN(p!V45),0)</f>
        <v>0</v>
      </c>
      <c r="W45" s="3">
        <f>IF(ISNUMBER(p!W45*LN(p!W45)),p!W45*LN(p!W45),0)</f>
        <v>0</v>
      </c>
      <c r="X45" s="3">
        <f>IF(ISNUMBER(p!X45*LN(p!X45)),p!X45*LN(p!X45),0)</f>
        <v>0</v>
      </c>
      <c r="Y45" s="3">
        <f>IF(ISNUMBER(p!Y45*LN(p!Y45)),p!Y45*LN(p!Y45),0)</f>
        <v>0</v>
      </c>
      <c r="Z45" s="3">
        <f>IF(ISNUMBER(p!Z45*LN(p!Z45)),p!Z45*LN(p!Z45),0)</f>
        <v>0</v>
      </c>
      <c r="AA45" s="3">
        <f>IF(ISNUMBER(p!AA45*LN(p!AA45)),p!AA45*LN(p!AA45),0)</f>
        <v>0</v>
      </c>
    </row>
    <row r="46" spans="1:27" x14ac:dyDescent="0.25">
      <c r="A46" s="13" t="s">
        <v>96</v>
      </c>
      <c r="B46" s="3">
        <f>IF(ISNUMBER(p!B46*LN(p!B46)),p!B46*LN(p!B46),0)</f>
        <v>0</v>
      </c>
      <c r="C46" s="3">
        <f>IF(ISNUMBER(p!C46*LN(p!C46)),p!C46*LN(p!C46),0)</f>
        <v>0</v>
      </c>
      <c r="D46" s="3">
        <f>IF(ISNUMBER(p!D46*LN(p!D46)),p!D46*LN(p!D46),0)</f>
        <v>0</v>
      </c>
      <c r="E46" s="3">
        <f>IF(ISNUMBER(p!E46*LN(p!E46)),p!E46*LN(p!E46),0)</f>
        <v>0</v>
      </c>
      <c r="F46" s="3">
        <f>IF(ISNUMBER(p!F46*LN(p!F46)),p!F46*LN(p!F46),0)</f>
        <v>0</v>
      </c>
      <c r="G46" s="3">
        <f>IF(ISNUMBER(p!G46*LN(p!G46)),p!G46*LN(p!G46),0)</f>
        <v>0</v>
      </c>
      <c r="H46" s="3">
        <f>IF(ISNUMBER(p!H46*LN(p!H46)),p!H46*LN(p!H46),0)</f>
        <v>0</v>
      </c>
      <c r="I46" s="3">
        <f>IF(ISNUMBER(p!I46*LN(p!I46)),p!I46*LN(p!I46),0)</f>
        <v>0</v>
      </c>
      <c r="J46" s="3">
        <f>IF(ISNUMBER(p!J46*LN(p!J46)),p!J46*LN(p!J46),0)</f>
        <v>0</v>
      </c>
      <c r="K46" s="3">
        <f>IF(ISNUMBER(p!K46*LN(p!K46)),p!K46*LN(p!K46),0)</f>
        <v>0</v>
      </c>
      <c r="L46" s="3">
        <f>IF(ISNUMBER(p!L46*LN(p!L46)),p!L46*LN(p!L46),0)</f>
        <v>0</v>
      </c>
      <c r="M46" s="3">
        <f>IF(ISNUMBER(p!M46*LN(p!M46)),p!M46*LN(p!M46),0)</f>
        <v>0</v>
      </c>
      <c r="N46" s="3">
        <f>IF(ISNUMBER(p!N46*LN(p!N46)),p!N46*LN(p!N46),0)</f>
        <v>0</v>
      </c>
      <c r="O46" s="3">
        <f>IF(ISNUMBER(p!O46*LN(p!O46)),p!O46*LN(p!O46),0)</f>
        <v>0</v>
      </c>
      <c r="P46" s="3">
        <f>IF(ISNUMBER(p!P46*LN(p!P46)),p!P46*LN(p!P46),0)</f>
        <v>0</v>
      </c>
      <c r="Q46" s="3">
        <f>IF(ISNUMBER(p!Q46*LN(p!Q46)),p!Q46*LN(p!Q46),0)</f>
        <v>0</v>
      </c>
      <c r="R46" s="3">
        <f>IF(ISNUMBER(p!R46*LN(p!R46)),p!R46*LN(p!R46),0)</f>
        <v>0</v>
      </c>
      <c r="S46" s="3">
        <f>IF(ISNUMBER(p!S46*LN(p!S46)),p!S46*LN(p!S46),0)</f>
        <v>0</v>
      </c>
      <c r="T46" s="3">
        <f>IF(ISNUMBER(p!T46*LN(p!T46)),p!T46*LN(p!T46),0)</f>
        <v>0</v>
      </c>
      <c r="U46" s="3">
        <f>IF(ISNUMBER(p!U46*LN(p!U46)),p!U46*LN(p!U46),0)</f>
        <v>0</v>
      </c>
      <c r="V46" s="3">
        <f>IF(ISNUMBER(p!V46*LN(p!V46)),p!V46*LN(p!V46),0)</f>
        <v>0</v>
      </c>
      <c r="W46" s="3">
        <f>IF(ISNUMBER(p!W46*LN(p!W46)),p!W46*LN(p!W46),0)</f>
        <v>0</v>
      </c>
      <c r="X46" s="3">
        <f>IF(ISNUMBER(p!X46*LN(p!X46)),p!X46*LN(p!X46),0)</f>
        <v>0</v>
      </c>
      <c r="Y46" s="3">
        <f>IF(ISNUMBER(p!Y46*LN(p!Y46)),p!Y46*LN(p!Y46),0)</f>
        <v>0</v>
      </c>
      <c r="Z46" s="3">
        <f>IF(ISNUMBER(p!Z46*LN(p!Z46)),p!Z46*LN(p!Z46),0)</f>
        <v>0</v>
      </c>
      <c r="AA46" s="3">
        <f>IF(ISNUMBER(p!AA46*LN(p!AA46)),p!AA46*LN(p!AA46),0)</f>
        <v>0</v>
      </c>
    </row>
    <row r="47" spans="1:27" x14ac:dyDescent="0.25">
      <c r="A47" s="13" t="s">
        <v>128</v>
      </c>
      <c r="B47" s="3">
        <f>IF(ISNUMBER(p!B47*LN(p!B47)),p!B47*LN(p!B47),0)</f>
        <v>-0.22609169099114756</v>
      </c>
      <c r="C47" s="3">
        <f>IF(ISNUMBER(p!C47*LN(p!C47)),p!C47*LN(p!C47),0)</f>
        <v>0</v>
      </c>
      <c r="D47" s="3">
        <f>IF(ISNUMBER(p!D47*LN(p!D47)),p!D47*LN(p!D47),0)</f>
        <v>0</v>
      </c>
      <c r="E47" s="3">
        <f>IF(ISNUMBER(p!E47*LN(p!E47)),p!E47*LN(p!E47),0)</f>
        <v>0</v>
      </c>
      <c r="F47" s="3">
        <f>IF(ISNUMBER(p!F47*LN(p!F47)),p!F47*LN(p!F47),0)</f>
        <v>0</v>
      </c>
      <c r="G47" s="3">
        <f>IF(ISNUMBER(p!G47*LN(p!G47)),p!G47*LN(p!G47),0)</f>
        <v>0</v>
      </c>
      <c r="H47" s="3">
        <f>IF(ISNUMBER(p!H47*LN(p!H47)),p!H47*LN(p!H47),0)</f>
        <v>0</v>
      </c>
      <c r="I47" s="3">
        <f>IF(ISNUMBER(p!I47*LN(p!I47)),p!I47*LN(p!I47),0)</f>
        <v>0</v>
      </c>
      <c r="J47" s="3">
        <f>IF(ISNUMBER(p!J47*LN(p!J47)),p!J47*LN(p!J47),0)</f>
        <v>-0.16665960847389508</v>
      </c>
      <c r="K47" s="3">
        <f>IF(ISNUMBER(p!K47*LN(p!K47)),p!K47*LN(p!K47),0)</f>
        <v>0</v>
      </c>
      <c r="L47" s="3">
        <f>IF(ISNUMBER(p!L47*LN(p!L47)),p!L47*LN(p!L47),0)</f>
        <v>0</v>
      </c>
      <c r="M47" s="3">
        <f>IF(ISNUMBER(p!M47*LN(p!M47)),p!M47*LN(p!M47),0)</f>
        <v>0</v>
      </c>
      <c r="N47" s="3">
        <f>IF(ISNUMBER(p!N47*LN(p!N47)),p!N47*LN(p!N47),0)</f>
        <v>0</v>
      </c>
      <c r="O47" s="3">
        <f>IF(ISNUMBER(p!O47*LN(p!O47)),p!O47*LN(p!O47),0)</f>
        <v>0</v>
      </c>
      <c r="P47" s="3">
        <f>IF(ISNUMBER(p!P47*LN(p!P47)),p!P47*LN(p!P47),0)</f>
        <v>0</v>
      </c>
      <c r="Q47" s="3">
        <f>IF(ISNUMBER(p!Q47*LN(p!Q47)),p!Q47*LN(p!Q47),0)</f>
        <v>-0.21421307964247516</v>
      </c>
      <c r="R47" s="3">
        <f>IF(ISNUMBER(p!R47*LN(p!R47)),p!R47*LN(p!R47),0)</f>
        <v>0</v>
      </c>
      <c r="S47" s="3">
        <f>IF(ISNUMBER(p!S47*LN(p!S47)),p!S47*LN(p!S47),0)</f>
        <v>0</v>
      </c>
      <c r="T47" s="3">
        <f>IF(ISNUMBER(p!T47*LN(p!T47)),p!T47*LN(p!T47),0)</f>
        <v>0</v>
      </c>
      <c r="U47" s="3">
        <f>IF(ISNUMBER(p!U47*LN(p!U47)),p!U47*LN(p!U47),0)</f>
        <v>0</v>
      </c>
      <c r="V47" s="3">
        <f>IF(ISNUMBER(p!V47*LN(p!V47)),p!V47*LN(p!V47),0)</f>
        <v>0</v>
      </c>
      <c r="W47" s="3">
        <f>IF(ISNUMBER(p!W47*LN(p!W47)),p!W47*LN(p!W47),0)</f>
        <v>0</v>
      </c>
      <c r="X47" s="3">
        <f>IF(ISNUMBER(p!X47*LN(p!X47)),p!X47*LN(p!X47),0)</f>
        <v>0</v>
      </c>
      <c r="Y47" s="3">
        <f>IF(ISNUMBER(p!Y47*LN(p!Y47)),p!Y47*LN(p!Y47),0)</f>
        <v>0</v>
      </c>
      <c r="Z47" s="3">
        <f>IF(ISNUMBER(p!Z47*LN(p!Z47)),p!Z47*LN(p!Z47),0)</f>
        <v>0</v>
      </c>
      <c r="AA47" s="3">
        <f>IF(ISNUMBER(p!AA47*LN(p!AA47)),p!AA47*LN(p!AA47),0)</f>
        <v>-0.25177248982309069</v>
      </c>
    </row>
    <row r="48" spans="1:27" x14ac:dyDescent="0.25">
      <c r="A48" s="13" t="s">
        <v>129</v>
      </c>
      <c r="B48" s="3">
        <f>IF(ISNUMBER(p!B48*LN(p!B48)),p!B48*LN(p!B48),0)</f>
        <v>-0.31978045024881302</v>
      </c>
      <c r="C48" s="3">
        <f>IF(ISNUMBER(p!C48*LN(p!C48)),p!C48*LN(p!C48),0)</f>
        <v>0</v>
      </c>
      <c r="D48" s="3">
        <f>IF(ISNUMBER(p!D48*LN(p!D48)),p!D48*LN(p!D48),0)</f>
        <v>0</v>
      </c>
      <c r="E48" s="3">
        <f>IF(ISNUMBER(p!E48*LN(p!E48)),p!E48*LN(p!E48),0)</f>
        <v>0</v>
      </c>
      <c r="F48" s="3">
        <f>IF(ISNUMBER(p!F48*LN(p!F48)),p!F48*LN(p!F48),0)</f>
        <v>0</v>
      </c>
      <c r="G48" s="3">
        <f>IF(ISNUMBER(p!G48*LN(p!G48)),p!G48*LN(p!G48),0)</f>
        <v>0</v>
      </c>
      <c r="H48" s="3">
        <f>IF(ISNUMBER(p!H48*LN(p!H48)),p!H48*LN(p!H48),0)</f>
        <v>0</v>
      </c>
      <c r="I48" s="3">
        <f>IF(ISNUMBER(p!I48*LN(p!I48)),p!I48*LN(p!I48),0)</f>
        <v>0</v>
      </c>
      <c r="J48" s="3">
        <f>IF(ISNUMBER(p!J48*LN(p!J48)),p!J48*LN(p!J48),0)</f>
        <v>-0.18850409497251847</v>
      </c>
      <c r="K48" s="3">
        <f>IF(ISNUMBER(p!K48*LN(p!K48)),p!K48*LN(p!K48),0)</f>
        <v>0</v>
      </c>
      <c r="L48" s="3">
        <f>IF(ISNUMBER(p!L48*LN(p!L48)),p!L48*LN(p!L48),0)</f>
        <v>0</v>
      </c>
      <c r="M48" s="3">
        <f>IF(ISNUMBER(p!M48*LN(p!M48)),p!M48*LN(p!M48),0)</f>
        <v>0</v>
      </c>
      <c r="N48" s="3">
        <f>IF(ISNUMBER(p!N48*LN(p!N48)),p!N48*LN(p!N48),0)</f>
        <v>0</v>
      </c>
      <c r="O48" s="3">
        <f>IF(ISNUMBER(p!O48*LN(p!O48)),p!O48*LN(p!O48),0)</f>
        <v>0</v>
      </c>
      <c r="P48" s="3">
        <f>IF(ISNUMBER(p!P48*LN(p!P48)),p!P48*LN(p!P48),0)</f>
        <v>0</v>
      </c>
      <c r="Q48" s="3">
        <f>IF(ISNUMBER(p!Q48*LN(p!Q48)),p!Q48*LN(p!Q48),0)</f>
        <v>-0.18850409497251847</v>
      </c>
      <c r="R48" s="3">
        <f>IF(ISNUMBER(p!R48*LN(p!R48)),p!R48*LN(p!R48),0)</f>
        <v>0</v>
      </c>
      <c r="S48" s="3">
        <f>IF(ISNUMBER(p!S48*LN(p!S48)),p!S48*LN(p!S48),0)</f>
        <v>0</v>
      </c>
      <c r="T48" s="3">
        <f>IF(ISNUMBER(p!T48*LN(p!T48)),p!T48*LN(p!T48),0)</f>
        <v>0</v>
      </c>
      <c r="U48" s="3">
        <f>IF(ISNUMBER(p!U48*LN(p!U48)),p!U48*LN(p!U48),0)</f>
        <v>0</v>
      </c>
      <c r="V48" s="3">
        <f>IF(ISNUMBER(p!V48*LN(p!V48)),p!V48*LN(p!V48),0)</f>
        <v>0</v>
      </c>
      <c r="W48" s="3">
        <f>IF(ISNUMBER(p!W48*LN(p!W48)),p!W48*LN(p!W48),0)</f>
        <v>0</v>
      </c>
      <c r="X48" s="3">
        <f>IF(ISNUMBER(p!X48*LN(p!X48)),p!X48*LN(p!X48),0)</f>
        <v>0</v>
      </c>
      <c r="Y48" s="3">
        <f>IF(ISNUMBER(p!Y48*LN(p!Y48)),p!Y48*LN(p!Y48),0)</f>
        <v>0</v>
      </c>
      <c r="Z48" s="3">
        <f>IF(ISNUMBER(p!Z48*LN(p!Z48)),p!Z48*LN(p!Z48),0)</f>
        <v>0</v>
      </c>
      <c r="AA48" s="3">
        <f>IF(ISNUMBER(p!AA48*LN(p!AA48)),p!AA48*LN(p!AA48),0)</f>
        <v>-0.35793227671296229</v>
      </c>
    </row>
    <row r="49" spans="1:27" x14ac:dyDescent="0.25">
      <c r="A49" s="13" t="s">
        <v>130</v>
      </c>
      <c r="B49" s="3">
        <f>IF(ISNUMBER(p!B49*LN(p!B49)),p!B49*LN(p!B49),0)</f>
        <v>-0.13369299669182561</v>
      </c>
      <c r="C49" s="3">
        <f>IF(ISNUMBER(p!C49*LN(p!C49)),p!C49*LN(p!C49),0)</f>
        <v>-0.17632155950402278</v>
      </c>
      <c r="D49" s="3">
        <f>IF(ISNUMBER(p!D49*LN(p!D49)),p!D49*LN(p!D49),0)</f>
        <v>0</v>
      </c>
      <c r="E49" s="3">
        <f>IF(ISNUMBER(p!E49*LN(p!E49)),p!E49*LN(p!E49),0)</f>
        <v>0</v>
      </c>
      <c r="F49" s="3">
        <f>IF(ISNUMBER(p!F49*LN(p!F49)),p!F49*LN(p!F49),0)</f>
        <v>0</v>
      </c>
      <c r="G49" s="3">
        <f>IF(ISNUMBER(p!G49*LN(p!G49)),p!G49*LN(p!G49),0)</f>
        <v>0</v>
      </c>
      <c r="H49" s="3">
        <f>IF(ISNUMBER(p!H49*LN(p!H49)),p!H49*LN(p!H49),0)</f>
        <v>0</v>
      </c>
      <c r="I49" s="3">
        <f>IF(ISNUMBER(p!I49*LN(p!I49)),p!I49*LN(p!I49),0)</f>
        <v>0</v>
      </c>
      <c r="J49" s="3">
        <f>IF(ISNUMBER(p!J49*LN(p!J49)),p!J49*LN(p!J49),0)</f>
        <v>-0.2188831697311015</v>
      </c>
      <c r="K49" s="3">
        <f>IF(ISNUMBER(p!K49*LN(p!K49)),p!K49*LN(p!K49),0)</f>
        <v>0</v>
      </c>
      <c r="L49" s="3">
        <f>IF(ISNUMBER(p!L49*LN(p!L49)),p!L49*LN(p!L49),0)</f>
        <v>0</v>
      </c>
      <c r="M49" s="3">
        <f>IF(ISNUMBER(p!M49*LN(p!M49)),p!M49*LN(p!M49),0)</f>
        <v>0</v>
      </c>
      <c r="N49" s="3">
        <f>IF(ISNUMBER(p!N49*LN(p!N49)),p!N49*LN(p!N49),0)</f>
        <v>0</v>
      </c>
      <c r="O49" s="3">
        <f>IF(ISNUMBER(p!O49*LN(p!O49)),p!O49*LN(p!O49),0)</f>
        <v>-0.1483761856325467</v>
      </c>
      <c r="P49" s="3">
        <f>IF(ISNUMBER(p!P49*LN(p!P49)),p!P49*LN(p!P49),0)</f>
        <v>0</v>
      </c>
      <c r="Q49" s="3">
        <f>IF(ISNUMBER(p!Q49*LN(p!Q49)),p!Q49*LN(p!Q49),0)</f>
        <v>-6.0037744747060785E-2</v>
      </c>
      <c r="R49" s="3">
        <f>IF(ISNUMBER(p!R49*LN(p!R49)),p!R49*LN(p!R49),0)</f>
        <v>0</v>
      </c>
      <c r="S49" s="3">
        <f>IF(ISNUMBER(p!S49*LN(p!S49)),p!S49*LN(p!S49),0)</f>
        <v>0</v>
      </c>
      <c r="T49" s="3">
        <f>IF(ISNUMBER(p!T49*LN(p!T49)),p!T49*LN(p!T49),0)</f>
        <v>0</v>
      </c>
      <c r="U49" s="3">
        <f>IF(ISNUMBER(p!U49*LN(p!U49)),p!U49*LN(p!U49),0)</f>
        <v>0</v>
      </c>
      <c r="V49" s="3">
        <f>IF(ISNUMBER(p!V49*LN(p!V49)),p!V49*LN(p!V49),0)</f>
        <v>0</v>
      </c>
      <c r="W49" s="3">
        <f>IF(ISNUMBER(p!W49*LN(p!W49)),p!W49*LN(p!W49),0)</f>
        <v>0</v>
      </c>
      <c r="X49" s="3">
        <f>IF(ISNUMBER(p!X49*LN(p!X49)),p!X49*LN(p!X49),0)</f>
        <v>0</v>
      </c>
      <c r="Y49" s="3">
        <f>IF(ISNUMBER(p!Y49*LN(p!Y49)),p!Y49*LN(p!Y49),0)</f>
        <v>0</v>
      </c>
      <c r="Z49" s="3">
        <f>IF(ISNUMBER(p!Z49*LN(p!Z49)),p!Z49*LN(p!Z49),0)</f>
        <v>0</v>
      </c>
      <c r="AA49" s="3">
        <f>IF(ISNUMBER(p!AA49*LN(p!AA49)),p!AA49*LN(p!AA49),0)</f>
        <v>0</v>
      </c>
    </row>
    <row r="50" spans="1:27" x14ac:dyDescent="0.25">
      <c r="A50" s="13" t="s">
        <v>131</v>
      </c>
      <c r="B50" s="3">
        <f>IF(ISNUMBER(p!B50*LN(p!B50)),p!B50*LN(p!B50),0)</f>
        <v>0</v>
      </c>
      <c r="C50" s="3">
        <f>IF(ISNUMBER(p!C50*LN(p!C50)),p!C50*LN(p!C50),0)</f>
        <v>-0.19357206241472505</v>
      </c>
      <c r="D50" s="3">
        <f>IF(ISNUMBER(p!D50*LN(p!D50)),p!D50*LN(p!D50),0)</f>
        <v>0</v>
      </c>
      <c r="E50" s="3">
        <f>IF(ISNUMBER(p!E50*LN(p!E50)),p!E50*LN(p!E50),0)</f>
        <v>0</v>
      </c>
      <c r="F50" s="3">
        <f>IF(ISNUMBER(p!F50*LN(p!F50)),p!F50*LN(p!F50),0)</f>
        <v>0</v>
      </c>
      <c r="G50" s="3">
        <f>IF(ISNUMBER(p!G50*LN(p!G50)),p!G50*LN(p!G50),0)</f>
        <v>0</v>
      </c>
      <c r="H50" s="3">
        <f>IF(ISNUMBER(p!H50*LN(p!H50)),p!H50*LN(p!H50),0)</f>
        <v>0</v>
      </c>
      <c r="I50" s="3">
        <f>IF(ISNUMBER(p!I50*LN(p!I50)),p!I50*LN(p!I50),0)</f>
        <v>0</v>
      </c>
      <c r="J50" s="3">
        <f>IF(ISNUMBER(p!J50*LN(p!J50)),p!J50*LN(p!J50),0)</f>
        <v>-0.29862657820467581</v>
      </c>
      <c r="K50" s="3">
        <f>IF(ISNUMBER(p!K50*LN(p!K50)),p!K50*LN(p!K50),0)</f>
        <v>0</v>
      </c>
      <c r="L50" s="3">
        <f>IF(ISNUMBER(p!L50*LN(p!L50)),p!L50*LN(p!L50),0)</f>
        <v>0</v>
      </c>
      <c r="M50" s="3">
        <f>IF(ISNUMBER(p!M50*LN(p!M50)),p!M50*LN(p!M50),0)</f>
        <v>0</v>
      </c>
      <c r="N50" s="3">
        <f>IF(ISNUMBER(p!N50*LN(p!N50)),p!N50*LN(p!N50),0)</f>
        <v>0</v>
      </c>
      <c r="O50" s="3">
        <f>IF(ISNUMBER(p!O50*LN(p!O50)),p!O50*LN(p!O50),0)</f>
        <v>-3.6990923655957353E-2</v>
      </c>
      <c r="P50" s="3">
        <f>IF(ISNUMBER(p!P50*LN(p!P50)),p!P50*LN(p!P50),0)</f>
        <v>0</v>
      </c>
      <c r="Q50" s="3">
        <f>IF(ISNUMBER(p!Q50*LN(p!Q50)),p!Q50*LN(p!Q50),0)</f>
        <v>-3.6990923655957353E-2</v>
      </c>
      <c r="R50" s="3">
        <f>IF(ISNUMBER(p!R50*LN(p!R50)),p!R50*LN(p!R50),0)</f>
        <v>0</v>
      </c>
      <c r="S50" s="3">
        <f>IF(ISNUMBER(p!S50*LN(p!S50)),p!S50*LN(p!S50),0)</f>
        <v>0</v>
      </c>
      <c r="T50" s="3">
        <f>IF(ISNUMBER(p!T50*LN(p!T50)),p!T50*LN(p!T50),0)</f>
        <v>0</v>
      </c>
      <c r="U50" s="3">
        <f>IF(ISNUMBER(p!U50*LN(p!U50)),p!U50*LN(p!U50),0)</f>
        <v>0</v>
      </c>
      <c r="V50" s="3">
        <f>IF(ISNUMBER(p!V50*LN(p!V50)),p!V50*LN(p!V50),0)</f>
        <v>0</v>
      </c>
      <c r="W50" s="3">
        <f>IF(ISNUMBER(p!W50*LN(p!W50)),p!W50*LN(p!W50),0)</f>
        <v>0</v>
      </c>
      <c r="X50" s="3">
        <f>IF(ISNUMBER(p!X50*LN(p!X50)),p!X50*LN(p!X50),0)</f>
        <v>0</v>
      </c>
      <c r="Y50" s="3">
        <f>IF(ISNUMBER(p!Y50*LN(p!Y50)),p!Y50*LN(p!Y50),0)</f>
        <v>0</v>
      </c>
      <c r="Z50" s="3">
        <f>IF(ISNUMBER(p!Z50*LN(p!Z50)),p!Z50*LN(p!Z50),0)</f>
        <v>0</v>
      </c>
      <c r="AA50" s="3">
        <f>IF(ISNUMBER(p!AA50*LN(p!AA50)),p!AA50*LN(p!AA50),0)</f>
        <v>0</v>
      </c>
    </row>
    <row r="51" spans="1:27" x14ac:dyDescent="0.25">
      <c r="A51" s="13" t="s">
        <v>132</v>
      </c>
      <c r="B51" s="3">
        <f>IF(ISNUMBER(p!B51*LN(p!B51)),p!B51*LN(p!B51),0)</f>
        <v>-0.22272207557717183</v>
      </c>
      <c r="C51" s="3">
        <f>IF(ISNUMBER(p!C51*LN(p!C51)),p!C51*LN(p!C51),0)</f>
        <v>-0.17704685092310202</v>
      </c>
      <c r="D51" s="3">
        <f>IF(ISNUMBER(p!D51*LN(p!D51)),p!D51*LN(p!D51),0)</f>
        <v>0</v>
      </c>
      <c r="E51" s="3">
        <f>IF(ISNUMBER(p!E51*LN(p!E51)),p!E51*LN(p!E51),0)</f>
        <v>0</v>
      </c>
      <c r="F51" s="3">
        <f>IF(ISNUMBER(p!F51*LN(p!F51)),p!F51*LN(p!F51),0)</f>
        <v>0</v>
      </c>
      <c r="G51" s="3">
        <f>IF(ISNUMBER(p!G51*LN(p!G51)),p!G51*LN(p!G51),0)</f>
        <v>0</v>
      </c>
      <c r="H51" s="3">
        <f>IF(ISNUMBER(p!H51*LN(p!H51)),p!H51*LN(p!H51),0)</f>
        <v>0</v>
      </c>
      <c r="I51" s="3">
        <f>IF(ISNUMBER(p!I51*LN(p!I51)),p!I51*LN(p!I51),0)</f>
        <v>0</v>
      </c>
      <c r="J51" s="3">
        <f>IF(ISNUMBER(p!J51*LN(p!J51)),p!J51*LN(p!J51),0)</f>
        <v>0</v>
      </c>
      <c r="K51" s="3">
        <f>IF(ISNUMBER(p!K51*LN(p!K51)),p!K51*LN(p!K51),0)</f>
        <v>0</v>
      </c>
      <c r="L51" s="3">
        <f>IF(ISNUMBER(p!L51*LN(p!L51)),p!L51*LN(p!L51),0)</f>
        <v>0</v>
      </c>
      <c r="M51" s="3">
        <f>IF(ISNUMBER(p!M51*LN(p!M51)),p!M51*LN(p!M51),0)</f>
        <v>0</v>
      </c>
      <c r="N51" s="3">
        <f>IF(ISNUMBER(p!N51*LN(p!N51)),p!N51*LN(p!N51),0)</f>
        <v>0</v>
      </c>
      <c r="O51" s="3">
        <f>IF(ISNUMBER(p!O51*LN(p!O51)),p!O51*LN(p!O51),0)</f>
        <v>0</v>
      </c>
      <c r="P51" s="3">
        <f>IF(ISNUMBER(p!P51*LN(p!P51)),p!P51*LN(p!P51),0)</f>
        <v>0</v>
      </c>
      <c r="Q51" s="3">
        <f>IF(ISNUMBER(p!Q51*LN(p!Q51)),p!Q51*LN(p!Q51),0)</f>
        <v>0</v>
      </c>
      <c r="R51" s="3">
        <f>IF(ISNUMBER(p!R51*LN(p!R51)),p!R51*LN(p!R51),0)</f>
        <v>0</v>
      </c>
      <c r="S51" s="3">
        <f>IF(ISNUMBER(p!S51*LN(p!S51)),p!S51*LN(p!S51),0)</f>
        <v>0</v>
      </c>
      <c r="T51" s="3">
        <f>IF(ISNUMBER(p!T51*LN(p!T51)),p!T51*LN(p!T51),0)</f>
        <v>0</v>
      </c>
      <c r="U51" s="3">
        <f>IF(ISNUMBER(p!U51*LN(p!U51)),p!U51*LN(p!U51),0)</f>
        <v>0</v>
      </c>
      <c r="V51" s="3">
        <f>IF(ISNUMBER(p!V51*LN(p!V51)),p!V51*LN(p!V51),0)</f>
        <v>0</v>
      </c>
      <c r="W51" s="3">
        <f>IF(ISNUMBER(p!W51*LN(p!W51)),p!W51*LN(p!W51),0)</f>
        <v>0</v>
      </c>
      <c r="X51" s="3">
        <f>IF(ISNUMBER(p!X51*LN(p!X51)),p!X51*LN(p!X51),0)</f>
        <v>-4.39947084350195E-2</v>
      </c>
      <c r="Y51" s="3">
        <f>IF(ISNUMBER(p!Y51*LN(p!Y51)),p!Y51*LN(p!Y51),0)</f>
        <v>0</v>
      </c>
      <c r="Z51" s="3">
        <f>IF(ISNUMBER(p!Z51*LN(p!Z51)),p!Z51*LN(p!Z51),0)</f>
        <v>0</v>
      </c>
      <c r="AA51" s="3">
        <f>IF(ISNUMBER(p!AA51*LN(p!AA51)),p!AA51*LN(p!AA51),0)</f>
        <v>0</v>
      </c>
    </row>
    <row r="52" spans="1:27" x14ac:dyDescent="0.25">
      <c r="A52" s="13" t="s">
        <v>25</v>
      </c>
      <c r="B52" s="3">
        <f>IF(ISNUMBER(p!B52*LN(p!B52)),p!B52*LN(p!B52),0)</f>
        <v>-8.3912778068603464E-2</v>
      </c>
      <c r="C52" s="3">
        <f>IF(ISNUMBER(p!C52*LN(p!C52)),p!C52*LN(p!C52),0)</f>
        <v>0</v>
      </c>
      <c r="D52" s="3">
        <f>IF(ISNUMBER(p!D52*LN(p!D52)),p!D52*LN(p!D52),0)</f>
        <v>0</v>
      </c>
      <c r="E52" s="3">
        <f>IF(ISNUMBER(p!E52*LN(p!E52)),p!E52*LN(p!E52),0)</f>
        <v>0</v>
      </c>
      <c r="F52" s="3">
        <f>IF(ISNUMBER(p!F52*LN(p!F52)),p!F52*LN(p!F52),0)</f>
        <v>0</v>
      </c>
      <c r="G52" s="3">
        <f>IF(ISNUMBER(p!G52*LN(p!G52)),p!G52*LN(p!G52),0)</f>
        <v>-0.14594364782003422</v>
      </c>
      <c r="H52" s="3">
        <f>IF(ISNUMBER(p!H52*LN(p!H52)),p!H52*LN(p!H52),0)</f>
        <v>0</v>
      </c>
      <c r="I52" s="3">
        <f>IF(ISNUMBER(p!I52*LN(p!I52)),p!I52*LN(p!I52),0)</f>
        <v>0</v>
      </c>
      <c r="J52" s="3">
        <f>IF(ISNUMBER(p!J52*LN(p!J52)),p!J52*LN(p!J52),0)</f>
        <v>0</v>
      </c>
      <c r="K52" s="3">
        <f>IF(ISNUMBER(p!K52*LN(p!K52)),p!K52*LN(p!K52),0)</f>
        <v>0</v>
      </c>
      <c r="L52" s="3">
        <f>IF(ISNUMBER(p!L52*LN(p!L52)),p!L52*LN(p!L52),0)</f>
        <v>0</v>
      </c>
      <c r="M52" s="3">
        <f>IF(ISNUMBER(p!M52*LN(p!M52)),p!M52*LN(p!M52),0)</f>
        <v>0</v>
      </c>
      <c r="N52" s="3">
        <f>IF(ISNUMBER(p!N52*LN(p!N52)),p!N52*LN(p!N52),0)</f>
        <v>0</v>
      </c>
      <c r="O52" s="3">
        <f>IF(ISNUMBER(p!O52*LN(p!O52)),p!O52*LN(p!O52),0)</f>
        <v>0</v>
      </c>
      <c r="P52" s="3">
        <f>IF(ISNUMBER(p!P52*LN(p!P52)),p!P52*LN(p!P52),0)</f>
        <v>-1.0616778104025185E-2</v>
      </c>
      <c r="Q52" s="3">
        <f>IF(ISNUMBER(p!Q52*LN(p!Q52)),p!Q52*LN(p!Q52),0)</f>
        <v>-0.12458993127422026</v>
      </c>
      <c r="R52" s="3">
        <f>IF(ISNUMBER(p!R52*LN(p!R52)),p!R52*LN(p!R52),0)</f>
        <v>0</v>
      </c>
      <c r="S52" s="3">
        <f>IF(ISNUMBER(p!S52*LN(p!S52)),p!S52*LN(p!S52),0)</f>
        <v>0</v>
      </c>
      <c r="T52" s="3">
        <f>IF(ISNUMBER(p!T52*LN(p!T52)),p!T52*LN(p!T52),0)</f>
        <v>0</v>
      </c>
      <c r="U52" s="3">
        <f>IF(ISNUMBER(p!U52*LN(p!U52)),p!U52*LN(p!U52),0)</f>
        <v>0</v>
      </c>
      <c r="V52" s="3">
        <f>IF(ISNUMBER(p!V52*LN(p!V52)),p!V52*LN(p!V52),0)</f>
        <v>0</v>
      </c>
      <c r="W52" s="3">
        <f>IF(ISNUMBER(p!W52*LN(p!W52)),p!W52*LN(p!W52),0)</f>
        <v>0</v>
      </c>
      <c r="X52" s="3">
        <f>IF(ISNUMBER(p!X52*LN(p!X52)),p!X52*LN(p!X52),0)</f>
        <v>0</v>
      </c>
      <c r="Y52" s="3">
        <f>IF(ISNUMBER(p!Y52*LN(p!Y52)),p!Y52*LN(p!Y52),0)</f>
        <v>0</v>
      </c>
      <c r="Z52" s="3">
        <f>IF(ISNUMBER(p!Z52*LN(p!Z52)),p!Z52*LN(p!Z52),0)</f>
        <v>0</v>
      </c>
      <c r="AA52" s="3">
        <f>IF(ISNUMBER(p!AA52*LN(p!AA52)),p!AA52*LN(p!AA52),0)</f>
        <v>0</v>
      </c>
    </row>
    <row r="53" spans="1:27" x14ac:dyDescent="0.25">
      <c r="A53" s="13" t="s">
        <v>37</v>
      </c>
      <c r="B53" s="3">
        <f>IF(ISNUMBER(p!B53*LN(p!B53)),p!B53*LN(p!B53),0)</f>
        <v>-3.1945397043126891E-2</v>
      </c>
      <c r="C53" s="3">
        <f>IF(ISNUMBER(p!C53*LN(p!C53)),p!C53*LN(p!C53),0)</f>
        <v>0</v>
      </c>
      <c r="D53" s="3">
        <f>IF(ISNUMBER(p!D53*LN(p!D53)),p!D53*LN(p!D53),0)</f>
        <v>0</v>
      </c>
      <c r="E53" s="3">
        <f>IF(ISNUMBER(p!E53*LN(p!E53)),p!E53*LN(p!E53),0)</f>
        <v>0</v>
      </c>
      <c r="F53" s="3">
        <f>IF(ISNUMBER(p!F53*LN(p!F53)),p!F53*LN(p!F53),0)</f>
        <v>0</v>
      </c>
      <c r="G53" s="3">
        <f>IF(ISNUMBER(p!G53*LN(p!G53)),p!G53*LN(p!G53),0)</f>
        <v>0</v>
      </c>
      <c r="H53" s="3">
        <f>IF(ISNUMBER(p!H53*LN(p!H53)),p!H53*LN(p!H53),0)</f>
        <v>0</v>
      </c>
      <c r="I53" s="3">
        <f>IF(ISNUMBER(p!I53*LN(p!I53)),p!I53*LN(p!I53),0)</f>
        <v>0</v>
      </c>
      <c r="J53" s="3">
        <f>IF(ISNUMBER(p!J53*LN(p!J53)),p!J53*LN(p!J53),0)</f>
        <v>-1.941355441597235E-2</v>
      </c>
      <c r="K53" s="3">
        <f>IF(ISNUMBER(p!K53*LN(p!K53)),p!K53*LN(p!K53),0)</f>
        <v>0</v>
      </c>
      <c r="L53" s="3">
        <f>IF(ISNUMBER(p!L53*LN(p!L53)),p!L53*LN(p!L53),0)</f>
        <v>0</v>
      </c>
      <c r="M53" s="3">
        <f>IF(ISNUMBER(p!M53*LN(p!M53)),p!M53*LN(p!M53),0)</f>
        <v>0</v>
      </c>
      <c r="N53" s="3">
        <f>IF(ISNUMBER(p!N53*LN(p!N53)),p!N53*LN(p!N53),0)</f>
        <v>0</v>
      </c>
      <c r="O53" s="3">
        <f>IF(ISNUMBER(p!O53*LN(p!O53)),p!O53*LN(p!O53),0)</f>
        <v>0</v>
      </c>
      <c r="P53" s="3">
        <f>IF(ISNUMBER(p!P53*LN(p!P53)),p!P53*LN(p!P53),0)</f>
        <v>0</v>
      </c>
      <c r="Q53" s="3">
        <f>IF(ISNUMBER(p!Q53*LN(p!Q53)),p!Q53*LN(p!Q53),0)</f>
        <v>-0.10282525564783913</v>
      </c>
      <c r="R53" s="3">
        <f>IF(ISNUMBER(p!R53*LN(p!R53)),p!R53*LN(p!R53),0)</f>
        <v>0</v>
      </c>
      <c r="S53" s="3">
        <f>IF(ISNUMBER(p!S53*LN(p!S53)),p!S53*LN(p!S53),0)</f>
        <v>0</v>
      </c>
      <c r="T53" s="3">
        <f>IF(ISNUMBER(p!T53*LN(p!T53)),p!T53*LN(p!T53),0)</f>
        <v>0</v>
      </c>
      <c r="U53" s="3">
        <f>IF(ISNUMBER(p!U53*LN(p!U53)),p!U53*LN(p!U53),0)</f>
        <v>0</v>
      </c>
      <c r="V53" s="3">
        <f>IF(ISNUMBER(p!V53*LN(p!V53)),p!V53*LN(p!V53),0)</f>
        <v>0</v>
      </c>
      <c r="W53" s="3">
        <f>IF(ISNUMBER(p!W53*LN(p!W53)),p!W53*LN(p!W53),0)</f>
        <v>0</v>
      </c>
      <c r="X53" s="3">
        <f>IF(ISNUMBER(p!X53*LN(p!X53)),p!X53*LN(p!X53),0)</f>
        <v>0</v>
      </c>
      <c r="Y53" s="3">
        <f>IF(ISNUMBER(p!Y53*LN(p!Y53)),p!Y53*LN(p!Y53),0)</f>
        <v>0</v>
      </c>
      <c r="Z53" s="3">
        <f>IF(ISNUMBER(p!Z53*LN(p!Z53)),p!Z53*LN(p!Z53),0)</f>
        <v>0</v>
      </c>
      <c r="AA53" s="3">
        <f>IF(ISNUMBER(p!AA53*LN(p!AA53)),p!AA53*LN(p!AA53),0)</f>
        <v>0</v>
      </c>
    </row>
    <row r="54" spans="1:27" x14ac:dyDescent="0.25">
      <c r="A54" s="13" t="s">
        <v>147</v>
      </c>
      <c r="B54" s="3">
        <f>IF(ISNUMBER(p!B54*LN(p!B54)),p!B54*LN(p!B54),0)</f>
        <v>-8.3905765405646246E-2</v>
      </c>
      <c r="C54" s="3">
        <f>IF(ISNUMBER(p!C54*LN(p!C54)),p!C54*LN(p!C54),0)</f>
        <v>0</v>
      </c>
      <c r="D54" s="3">
        <f>IF(ISNUMBER(p!D54*LN(p!D54)),p!D54*LN(p!D54),0)</f>
        <v>0</v>
      </c>
      <c r="E54" s="3">
        <f>IF(ISNUMBER(p!E54*LN(p!E54)),p!E54*LN(p!E54),0)</f>
        <v>0</v>
      </c>
      <c r="F54" s="3">
        <f>IF(ISNUMBER(p!F54*LN(p!F54)),p!F54*LN(p!F54),0)</f>
        <v>0</v>
      </c>
      <c r="G54" s="3">
        <f>IF(ISNUMBER(p!G54*LN(p!G54)),p!G54*LN(p!G54),0)</f>
        <v>0</v>
      </c>
      <c r="H54" s="3">
        <f>IF(ISNUMBER(p!H54*LN(p!H54)),p!H54*LN(p!H54),0)</f>
        <v>0</v>
      </c>
      <c r="I54" s="3">
        <f>IF(ISNUMBER(p!I54*LN(p!I54)),p!I54*LN(p!I54),0)</f>
        <v>0</v>
      </c>
      <c r="J54" s="3">
        <f>IF(ISNUMBER(p!J54*LN(p!J54)),p!J54*LN(p!J54),0)</f>
        <v>-0.1810691042590771</v>
      </c>
      <c r="K54" s="3">
        <f>IF(ISNUMBER(p!K54*LN(p!K54)),p!K54*LN(p!K54),0)</f>
        <v>0</v>
      </c>
      <c r="L54" s="3">
        <f>IF(ISNUMBER(p!L54*LN(p!L54)),p!L54*LN(p!L54),0)</f>
        <v>0</v>
      </c>
      <c r="M54" s="3">
        <f>IF(ISNUMBER(p!M54*LN(p!M54)),p!M54*LN(p!M54),0)</f>
        <v>0</v>
      </c>
      <c r="N54" s="3">
        <f>IF(ISNUMBER(p!N54*LN(p!N54)),p!N54*LN(p!N54),0)</f>
        <v>0</v>
      </c>
      <c r="O54" s="3">
        <f>IF(ISNUMBER(p!O54*LN(p!O54)),p!O54*LN(p!O54),0)</f>
        <v>-4.9569884686998342E-2</v>
      </c>
      <c r="P54" s="3">
        <f>IF(ISNUMBER(p!P54*LN(p!P54)),p!P54*LN(p!P54),0)</f>
        <v>0</v>
      </c>
      <c r="Q54" s="3">
        <f>IF(ISNUMBER(p!Q54*LN(p!Q54)),p!Q54*LN(p!Q54),0)</f>
        <v>-0.18850409497251849</v>
      </c>
      <c r="R54" s="3">
        <f>IF(ISNUMBER(p!R54*LN(p!R54)),p!R54*LN(p!R54),0)</f>
        <v>0</v>
      </c>
      <c r="S54" s="3">
        <f>IF(ISNUMBER(p!S54*LN(p!S54)),p!S54*LN(p!S54),0)</f>
        <v>0</v>
      </c>
      <c r="T54" s="3">
        <f>IF(ISNUMBER(p!T54*LN(p!T54)),p!T54*LN(p!T54),0)</f>
        <v>0</v>
      </c>
      <c r="U54" s="3">
        <f>IF(ISNUMBER(p!U54*LN(p!U54)),p!U54*LN(p!U54),0)</f>
        <v>-0.22882103695193048</v>
      </c>
      <c r="V54" s="3">
        <f>IF(ISNUMBER(p!V54*LN(p!V54)),p!V54*LN(p!V54),0)</f>
        <v>0</v>
      </c>
      <c r="W54" s="3">
        <f>IF(ISNUMBER(p!W54*LN(p!W54)),p!W54*LN(p!W54),0)</f>
        <v>0</v>
      </c>
      <c r="X54" s="3">
        <f>IF(ISNUMBER(p!X54*LN(p!X54)),p!X54*LN(p!X54),0)</f>
        <v>0</v>
      </c>
      <c r="Y54" s="3">
        <f>IF(ISNUMBER(p!Y54*LN(p!Y54)),p!Y54*LN(p!Y54),0)</f>
        <v>0</v>
      </c>
      <c r="Z54" s="3">
        <f>IF(ISNUMBER(p!Z54*LN(p!Z54)),p!Z54*LN(p!Z54),0)</f>
        <v>0</v>
      </c>
      <c r="AA54" s="3">
        <f>IF(ISNUMBER(p!AA54*LN(p!AA54)),p!AA54*LN(p!AA54),0)</f>
        <v>0</v>
      </c>
    </row>
    <row r="55" spans="1:27" x14ac:dyDescent="0.25">
      <c r="A55" s="13" t="s">
        <v>148</v>
      </c>
      <c r="B55" s="3">
        <f>IF(ISNUMBER(p!B55*LN(p!B55)),p!B55*LN(p!B55),0)</f>
        <v>-0.34846768829748181</v>
      </c>
      <c r="C55" s="3">
        <f>IF(ISNUMBER(p!C55*LN(p!C55)),p!C55*LN(p!C55),0)</f>
        <v>0</v>
      </c>
      <c r="D55" s="3">
        <f>IF(ISNUMBER(p!D55*LN(p!D55)),p!D55*LN(p!D55),0)</f>
        <v>0</v>
      </c>
      <c r="E55" s="3">
        <f>IF(ISNUMBER(p!E55*LN(p!E55)),p!E55*LN(p!E55),0)</f>
        <v>0</v>
      </c>
      <c r="F55" s="3">
        <f>IF(ISNUMBER(p!F55*LN(p!F55)),p!F55*LN(p!F55),0)</f>
        <v>0</v>
      </c>
      <c r="G55" s="3">
        <f>IF(ISNUMBER(p!G55*LN(p!G55)),p!G55*LN(p!G55),0)</f>
        <v>0</v>
      </c>
      <c r="H55" s="3">
        <f>IF(ISNUMBER(p!H55*LN(p!H55)),p!H55*LN(p!H55),0)</f>
        <v>0</v>
      </c>
      <c r="I55" s="3">
        <f>IF(ISNUMBER(p!I55*LN(p!I55)),p!I55*LN(p!I55),0)</f>
        <v>0</v>
      </c>
      <c r="J55" s="3">
        <f>IF(ISNUMBER(p!J55*LN(p!J55)),p!J55*LN(p!J55),0)</f>
        <v>-0.23778234529355813</v>
      </c>
      <c r="K55" s="3">
        <f>IF(ISNUMBER(p!K55*LN(p!K55)),p!K55*LN(p!K55),0)</f>
        <v>0</v>
      </c>
      <c r="L55" s="3">
        <f>IF(ISNUMBER(p!L55*LN(p!L55)),p!L55*LN(p!L55),0)</f>
        <v>0</v>
      </c>
      <c r="M55" s="3">
        <f>IF(ISNUMBER(p!M55*LN(p!M55)),p!M55*LN(p!M55),0)</f>
        <v>0</v>
      </c>
      <c r="N55" s="3">
        <f>IF(ISNUMBER(p!N55*LN(p!N55)),p!N55*LN(p!N55),0)</f>
        <v>0</v>
      </c>
      <c r="O55" s="3">
        <f>IF(ISNUMBER(p!O55*LN(p!O55)),p!O55*LN(p!O55),0)</f>
        <v>-3.3583532254667509E-2</v>
      </c>
      <c r="P55" s="3">
        <f>IF(ISNUMBER(p!P55*LN(p!P55)),p!P55*LN(p!P55),0)</f>
        <v>-3.3583532254667509E-2</v>
      </c>
      <c r="Q55" s="3">
        <f>IF(ISNUMBER(p!Q55*LN(p!Q55)),p!Q55*LN(p!Q55),0)</f>
        <v>0</v>
      </c>
      <c r="R55" s="3">
        <f>IF(ISNUMBER(p!R55*LN(p!R55)),p!R55*LN(p!R55),0)</f>
        <v>0</v>
      </c>
      <c r="S55" s="3">
        <f>IF(ISNUMBER(p!S55*LN(p!S55)),p!S55*LN(p!S55),0)</f>
        <v>0</v>
      </c>
      <c r="T55" s="3">
        <f>IF(ISNUMBER(p!T55*LN(p!T55)),p!T55*LN(p!T55),0)</f>
        <v>0</v>
      </c>
      <c r="U55" s="3">
        <f>IF(ISNUMBER(p!U55*LN(p!U55)),p!U55*LN(p!U55),0)</f>
        <v>-5.7863075508530384E-2</v>
      </c>
      <c r="V55" s="3">
        <f>IF(ISNUMBER(p!V55*LN(p!V55)),p!V55*LN(p!V55),0)</f>
        <v>0</v>
      </c>
      <c r="W55" s="3">
        <f>IF(ISNUMBER(p!W55*LN(p!W55)),p!W55*LN(p!W55),0)</f>
        <v>0</v>
      </c>
      <c r="X55" s="3">
        <f>IF(ISNUMBER(p!X55*LN(p!X55)),p!X55*LN(p!X55),0)</f>
        <v>0</v>
      </c>
      <c r="Y55" s="3">
        <f>IF(ISNUMBER(p!Y55*LN(p!Y55)),p!Y55*LN(p!Y55),0)</f>
        <v>0</v>
      </c>
      <c r="Z55" s="3">
        <f>IF(ISNUMBER(p!Z55*LN(p!Z55)),p!Z55*LN(p!Z55),0)</f>
        <v>0</v>
      </c>
      <c r="AA55" s="3">
        <f>IF(ISNUMBER(p!AA55*LN(p!AA55)),p!AA55*LN(p!AA55),0)</f>
        <v>0</v>
      </c>
    </row>
    <row r="56" spans="1:27" x14ac:dyDescent="0.25">
      <c r="A56" s="13" t="s">
        <v>149</v>
      </c>
      <c r="B56" s="3">
        <f>IF(ISNUMBER(p!B56*LN(p!B56)),p!B56*LN(p!B56),0)</f>
        <v>-0.32652825052230816</v>
      </c>
      <c r="C56" s="3">
        <f>IF(ISNUMBER(p!C56*LN(p!C56)),p!C56*LN(p!C56),0)</f>
        <v>0</v>
      </c>
      <c r="D56" s="3">
        <f>IF(ISNUMBER(p!D56*LN(p!D56)),p!D56*LN(p!D56),0)</f>
        <v>0</v>
      </c>
      <c r="E56" s="3">
        <f>IF(ISNUMBER(p!E56*LN(p!E56)),p!E56*LN(p!E56),0)</f>
        <v>0</v>
      </c>
      <c r="F56" s="3">
        <f>IF(ISNUMBER(p!F56*LN(p!F56)),p!F56*LN(p!F56),0)</f>
        <v>0</v>
      </c>
      <c r="G56" s="3">
        <f>IF(ISNUMBER(p!G56*LN(p!G56)),p!G56*LN(p!G56),0)</f>
        <v>0</v>
      </c>
      <c r="H56" s="3">
        <f>IF(ISNUMBER(p!H56*LN(p!H56)),p!H56*LN(p!H56),0)</f>
        <v>0</v>
      </c>
      <c r="I56" s="3">
        <f>IF(ISNUMBER(p!I56*LN(p!I56)),p!I56*LN(p!I56),0)</f>
        <v>0</v>
      </c>
      <c r="J56" s="3">
        <f>IF(ISNUMBER(p!J56*LN(p!J56)),p!J56*LN(p!J56),0)</f>
        <v>-0.23333863946642286</v>
      </c>
      <c r="K56" s="3">
        <f>IF(ISNUMBER(p!K56*LN(p!K56)),p!K56*LN(p!K56),0)</f>
        <v>0</v>
      </c>
      <c r="L56" s="3">
        <f>IF(ISNUMBER(p!L56*LN(p!L56)),p!L56*LN(p!L56),0)</f>
        <v>0</v>
      </c>
      <c r="M56" s="3">
        <f>IF(ISNUMBER(p!M56*LN(p!M56)),p!M56*LN(p!M56),0)</f>
        <v>0</v>
      </c>
      <c r="N56" s="3">
        <f>IF(ISNUMBER(p!N56*LN(p!N56)),p!N56*LN(p!N56),0)</f>
        <v>0</v>
      </c>
      <c r="O56" s="3">
        <f>IF(ISNUMBER(p!O56*LN(p!O56)),p!O56*LN(p!O56),0)</f>
        <v>-0.1509046671719258</v>
      </c>
      <c r="P56" s="3">
        <f>IF(ISNUMBER(p!P56*LN(p!P56)),p!P56*LN(p!P56),0)</f>
        <v>0</v>
      </c>
      <c r="Q56" s="3">
        <f>IF(ISNUMBER(p!Q56*LN(p!Q56)),p!Q56*LN(p!Q56),0)</f>
        <v>0</v>
      </c>
      <c r="R56" s="3">
        <f>IF(ISNUMBER(p!R56*LN(p!R56)),p!R56*LN(p!R56),0)</f>
        <v>0</v>
      </c>
      <c r="S56" s="3">
        <f>IF(ISNUMBER(p!S56*LN(p!S56)),p!S56*LN(p!S56),0)</f>
        <v>0</v>
      </c>
      <c r="T56" s="3">
        <f>IF(ISNUMBER(p!T56*LN(p!T56)),p!T56*LN(p!T56),0)</f>
        <v>0</v>
      </c>
      <c r="U56" s="3">
        <f>IF(ISNUMBER(p!U56*LN(p!U56)),p!U56*LN(p!U56),0)</f>
        <v>-6.8817493173437799E-2</v>
      </c>
      <c r="V56" s="3">
        <f>IF(ISNUMBER(p!V56*LN(p!V56)),p!V56*LN(p!V56),0)</f>
        <v>0</v>
      </c>
      <c r="W56" s="3">
        <f>IF(ISNUMBER(p!W56*LN(p!W56)),p!W56*LN(p!W56),0)</f>
        <v>0</v>
      </c>
      <c r="X56" s="3">
        <f>IF(ISNUMBER(p!X56*LN(p!X56)),p!X56*LN(p!X56),0)</f>
        <v>0</v>
      </c>
      <c r="Y56" s="3">
        <f>IF(ISNUMBER(p!Y56*LN(p!Y56)),p!Y56*LN(p!Y56),0)</f>
        <v>0</v>
      </c>
      <c r="Z56" s="3">
        <f>IF(ISNUMBER(p!Z56*LN(p!Z56)),p!Z56*LN(p!Z56),0)</f>
        <v>0</v>
      </c>
      <c r="AA56" s="3">
        <f>IF(ISNUMBER(p!AA56*LN(p!AA56)),p!AA56*LN(p!AA56),0)</f>
        <v>0</v>
      </c>
    </row>
    <row r="57" spans="1:27" x14ac:dyDescent="0.25">
      <c r="A57" s="13" t="s">
        <v>38</v>
      </c>
      <c r="B57" s="3">
        <f>IF(ISNUMBER(p!B57*LN(p!B57)),p!B57*LN(p!B57),0)</f>
        <v>-0.28422785241932769</v>
      </c>
      <c r="C57" s="3">
        <f>IF(ISNUMBER(p!C57*LN(p!C57)),p!C57*LN(p!C57),0)</f>
        <v>0</v>
      </c>
      <c r="D57" s="3">
        <f>IF(ISNUMBER(p!D57*LN(p!D57)),p!D57*LN(p!D57),0)</f>
        <v>0</v>
      </c>
      <c r="E57" s="3">
        <f>IF(ISNUMBER(p!E57*LN(p!E57)),p!E57*LN(p!E57),0)</f>
        <v>0</v>
      </c>
      <c r="F57" s="3">
        <f>IF(ISNUMBER(p!F57*LN(p!F57)),p!F57*LN(p!F57),0)</f>
        <v>0</v>
      </c>
      <c r="G57" s="3">
        <f>IF(ISNUMBER(p!G57*LN(p!G57)),p!G57*LN(p!G57),0)</f>
        <v>-0.14638327054450836</v>
      </c>
      <c r="H57" s="3">
        <f>IF(ISNUMBER(p!H57*LN(p!H57)),p!H57*LN(p!H57),0)</f>
        <v>0</v>
      </c>
      <c r="I57" s="3">
        <f>IF(ISNUMBER(p!I57*LN(p!I57)),p!I57*LN(p!I57),0)</f>
        <v>0</v>
      </c>
      <c r="J57" s="3">
        <f>IF(ISNUMBER(p!J57*LN(p!J57)),p!J57*LN(p!J57),0)</f>
        <v>-0.19019337624370719</v>
      </c>
      <c r="K57" s="3">
        <f>IF(ISNUMBER(p!K57*LN(p!K57)),p!K57*LN(p!K57),0)</f>
        <v>0</v>
      </c>
      <c r="L57" s="3">
        <f>IF(ISNUMBER(p!L57*LN(p!L57)),p!L57*LN(p!L57),0)</f>
        <v>0</v>
      </c>
      <c r="M57" s="3">
        <f>IF(ISNUMBER(p!M57*LN(p!M57)),p!M57*LN(p!M57),0)</f>
        <v>0</v>
      </c>
      <c r="N57" s="3">
        <f>IF(ISNUMBER(p!N57*LN(p!N57)),p!N57*LN(p!N57),0)</f>
        <v>0</v>
      </c>
      <c r="O57" s="3">
        <f>IF(ISNUMBER(p!O57*LN(p!O57)),p!O57*LN(p!O57),0)</f>
        <v>0</v>
      </c>
      <c r="P57" s="3">
        <f>IF(ISNUMBER(p!P57*LN(p!P57)),p!P57*LN(p!P57),0)</f>
        <v>-2.5761926537513857E-2</v>
      </c>
      <c r="Q57" s="3">
        <f>IF(ISNUMBER(p!Q57*LN(p!Q57)),p!Q57*LN(p!Q57),0)</f>
        <v>-0.33890267416984998</v>
      </c>
      <c r="R57" s="3">
        <f>IF(ISNUMBER(p!R57*LN(p!R57)),p!R57*LN(p!R57),0)</f>
        <v>0</v>
      </c>
      <c r="S57" s="3">
        <f>IF(ISNUMBER(p!S57*LN(p!S57)),p!S57*LN(p!S57),0)</f>
        <v>0</v>
      </c>
      <c r="T57" s="3">
        <f>IF(ISNUMBER(p!T57*LN(p!T57)),p!T57*LN(p!T57),0)</f>
        <v>0</v>
      </c>
      <c r="U57" s="3">
        <f>IF(ISNUMBER(p!U57*LN(p!U57)),p!U57*LN(p!U57),0)</f>
        <v>0</v>
      </c>
      <c r="V57" s="3">
        <f>IF(ISNUMBER(p!V57*LN(p!V57)),p!V57*LN(p!V57),0)</f>
        <v>0</v>
      </c>
      <c r="W57" s="3">
        <f>IF(ISNUMBER(p!W57*LN(p!W57)),p!W57*LN(p!W57),0)</f>
        <v>0</v>
      </c>
      <c r="X57" s="3">
        <f>IF(ISNUMBER(p!X57*LN(p!X57)),p!X57*LN(p!X57),0)</f>
        <v>0</v>
      </c>
      <c r="Y57" s="3">
        <f>IF(ISNUMBER(p!Y57*LN(p!Y57)),p!Y57*LN(p!Y57),0)</f>
        <v>0</v>
      </c>
      <c r="Z57" s="3">
        <f>IF(ISNUMBER(p!Z57*LN(p!Z57)),p!Z57*LN(p!Z57),0)</f>
        <v>0</v>
      </c>
      <c r="AA57" s="3">
        <f>IF(ISNUMBER(p!AA57*LN(p!AA57)),p!AA57*LN(p!AA57),0)</f>
        <v>0</v>
      </c>
    </row>
    <row r="58" spans="1:27" x14ac:dyDescent="0.25">
      <c r="A58" s="13" t="s">
        <v>50</v>
      </c>
      <c r="B58" s="3">
        <f>IF(ISNUMBER(p!B58*LN(p!B58)),p!B58*LN(p!B58),0)</f>
        <v>-0.32428757482508869</v>
      </c>
      <c r="C58" s="3">
        <f>IF(ISNUMBER(p!C58*LN(p!C58)),p!C58*LN(p!C58),0)</f>
        <v>0</v>
      </c>
      <c r="D58" s="3">
        <f>IF(ISNUMBER(p!D58*LN(p!D58)),p!D58*LN(p!D58),0)</f>
        <v>0</v>
      </c>
      <c r="E58" s="3">
        <f>IF(ISNUMBER(p!E58*LN(p!E58)),p!E58*LN(p!E58),0)</f>
        <v>0</v>
      </c>
      <c r="F58" s="3">
        <f>IF(ISNUMBER(p!F58*LN(p!F58)),p!F58*LN(p!F58),0)</f>
        <v>0</v>
      </c>
      <c r="G58" s="3">
        <f>IF(ISNUMBER(p!G58*LN(p!G58)),p!G58*LN(p!G58),0)</f>
        <v>-0.27351631863719855</v>
      </c>
      <c r="H58" s="3">
        <f>IF(ISNUMBER(p!H58*LN(p!H58)),p!H58*LN(p!H58),0)</f>
        <v>0</v>
      </c>
      <c r="I58" s="3">
        <f>IF(ISNUMBER(p!I58*LN(p!I58)),p!I58*LN(p!I58),0)</f>
        <v>0</v>
      </c>
      <c r="J58" s="3">
        <f>IF(ISNUMBER(p!J58*LN(p!J58)),p!J58*LN(p!J58),0)</f>
        <v>-0.11141105672365942</v>
      </c>
      <c r="K58" s="3">
        <f>IF(ISNUMBER(p!K58*LN(p!K58)),p!K58*LN(p!K58),0)</f>
        <v>0</v>
      </c>
      <c r="L58" s="3">
        <f>IF(ISNUMBER(p!L58*LN(p!L58)),p!L58*LN(p!L58),0)</f>
        <v>0</v>
      </c>
      <c r="M58" s="3">
        <f>IF(ISNUMBER(p!M58*LN(p!M58)),p!M58*LN(p!M58),0)</f>
        <v>0</v>
      </c>
      <c r="N58" s="3">
        <f>IF(ISNUMBER(p!N58*LN(p!N58)),p!N58*LN(p!N58),0)</f>
        <v>0</v>
      </c>
      <c r="O58" s="3">
        <f>IF(ISNUMBER(p!O58*LN(p!O58)),p!O58*LN(p!O58),0)</f>
        <v>0</v>
      </c>
      <c r="P58" s="3">
        <f>IF(ISNUMBER(p!P58*LN(p!P58)),p!P58*LN(p!P58),0)</f>
        <v>-3.912345004367819E-2</v>
      </c>
      <c r="Q58" s="3">
        <f>IF(ISNUMBER(p!Q58*LN(p!Q58)),p!Q58*LN(p!Q58),0)</f>
        <v>-0.35029553237663502</v>
      </c>
      <c r="R58" s="3">
        <f>IF(ISNUMBER(p!R58*LN(p!R58)),p!R58*LN(p!R58),0)</f>
        <v>0</v>
      </c>
      <c r="S58" s="3">
        <f>IF(ISNUMBER(p!S58*LN(p!S58)),p!S58*LN(p!S58),0)</f>
        <v>0</v>
      </c>
      <c r="T58" s="3">
        <f>IF(ISNUMBER(p!T58*LN(p!T58)),p!T58*LN(p!T58),0)</f>
        <v>0</v>
      </c>
      <c r="U58" s="3">
        <f>IF(ISNUMBER(p!U58*LN(p!U58)),p!U58*LN(p!U58),0)</f>
        <v>0</v>
      </c>
      <c r="V58" s="3">
        <f>IF(ISNUMBER(p!V58*LN(p!V58)),p!V58*LN(p!V58),0)</f>
        <v>0</v>
      </c>
      <c r="W58" s="3">
        <f>IF(ISNUMBER(p!W58*LN(p!W58)),p!W58*LN(p!W58),0)</f>
        <v>0</v>
      </c>
      <c r="X58" s="3">
        <f>IF(ISNUMBER(p!X58*LN(p!X58)),p!X58*LN(p!X58),0)</f>
        <v>0</v>
      </c>
      <c r="Y58" s="3">
        <f>IF(ISNUMBER(p!Y58*LN(p!Y58)),p!Y58*LN(p!Y58),0)</f>
        <v>0</v>
      </c>
      <c r="Z58" s="3">
        <f>IF(ISNUMBER(p!Z58*LN(p!Z58)),p!Z58*LN(p!Z58),0)</f>
        <v>0</v>
      </c>
      <c r="AA58" s="3">
        <f>IF(ISNUMBER(p!AA58*LN(p!AA58)),p!AA58*LN(p!AA58),0)</f>
        <v>0</v>
      </c>
    </row>
    <row r="59" spans="1:27" x14ac:dyDescent="0.25">
      <c r="A59" s="13" t="s">
        <v>52</v>
      </c>
      <c r="B59" s="3">
        <f>IF(ISNUMBER(p!B59*LN(p!B59)),p!B59*LN(p!B59),0)</f>
        <v>-0.21800903930527624</v>
      </c>
      <c r="C59" s="3">
        <f>IF(ISNUMBER(p!C59*LN(p!C59)),p!C59*LN(p!C59),0)</f>
        <v>0</v>
      </c>
      <c r="D59" s="3">
        <f>IF(ISNUMBER(p!D59*LN(p!D59)),p!D59*LN(p!D59),0)</f>
        <v>0</v>
      </c>
      <c r="E59" s="3">
        <f>IF(ISNUMBER(p!E59*LN(p!E59)),p!E59*LN(p!E59),0)</f>
        <v>0</v>
      </c>
      <c r="F59" s="3">
        <f>IF(ISNUMBER(p!F59*LN(p!F59)),p!F59*LN(p!F59),0)</f>
        <v>0</v>
      </c>
      <c r="G59" s="3">
        <f>IF(ISNUMBER(p!G59*LN(p!G59)),p!G59*LN(p!G59),0)</f>
        <v>-0.23189937324427198</v>
      </c>
      <c r="H59" s="3">
        <f>IF(ISNUMBER(p!H59*LN(p!H59)),p!H59*LN(p!H59),0)</f>
        <v>0</v>
      </c>
      <c r="I59" s="3">
        <f>IF(ISNUMBER(p!I59*LN(p!I59)),p!I59*LN(p!I59),0)</f>
        <v>0</v>
      </c>
      <c r="J59" s="3">
        <f>IF(ISNUMBER(p!J59*LN(p!J59)),p!J59*LN(p!J59),0)</f>
        <v>-5.5309466486924322E-2</v>
      </c>
      <c r="K59" s="3">
        <f>IF(ISNUMBER(p!K59*LN(p!K59)),p!K59*LN(p!K59),0)</f>
        <v>0</v>
      </c>
      <c r="L59" s="3">
        <f>IF(ISNUMBER(p!L59*LN(p!L59)),p!L59*LN(p!L59),0)</f>
        <v>0</v>
      </c>
      <c r="M59" s="3">
        <f>IF(ISNUMBER(p!M59*LN(p!M59)),p!M59*LN(p!M59),0)</f>
        <v>0</v>
      </c>
      <c r="N59" s="3">
        <f>IF(ISNUMBER(p!N59*LN(p!N59)),p!N59*LN(p!N59),0)</f>
        <v>0</v>
      </c>
      <c r="O59" s="3">
        <f>IF(ISNUMBER(p!O59*LN(p!O59)),p!O59*LN(p!O59),0)</f>
        <v>0</v>
      </c>
      <c r="P59" s="3">
        <f>IF(ISNUMBER(p!P59*LN(p!P59)),p!P59*LN(p!P59),0)</f>
        <v>-5.5309466486924322E-2</v>
      </c>
      <c r="Q59" s="3">
        <f>IF(ISNUMBER(p!Q59*LN(p!Q59)),p!Q59*LN(p!Q59),0)</f>
        <v>-0.2616281974016425</v>
      </c>
      <c r="R59" s="3">
        <f>IF(ISNUMBER(p!R59*LN(p!R59)),p!R59*LN(p!R59),0)</f>
        <v>0</v>
      </c>
      <c r="S59" s="3">
        <f>IF(ISNUMBER(p!S59*LN(p!S59)),p!S59*LN(p!S59),0)</f>
        <v>0</v>
      </c>
      <c r="T59" s="3">
        <f>IF(ISNUMBER(p!T59*LN(p!T59)),p!T59*LN(p!T59),0)</f>
        <v>0</v>
      </c>
      <c r="U59" s="3">
        <f>IF(ISNUMBER(p!U59*LN(p!U59)),p!U59*LN(p!U59),0)</f>
        <v>0</v>
      </c>
      <c r="V59" s="3">
        <f>IF(ISNUMBER(p!V59*LN(p!V59)),p!V59*LN(p!V59),0)</f>
        <v>0</v>
      </c>
      <c r="W59" s="3">
        <f>IF(ISNUMBER(p!W59*LN(p!W59)),p!W59*LN(p!W59),0)</f>
        <v>0</v>
      </c>
      <c r="X59" s="3">
        <f>IF(ISNUMBER(p!X59*LN(p!X59)),p!X59*LN(p!X59),0)</f>
        <v>0</v>
      </c>
      <c r="Y59" s="3">
        <f>IF(ISNUMBER(p!Y59*LN(p!Y59)),p!Y59*LN(p!Y59),0)</f>
        <v>0</v>
      </c>
      <c r="Z59" s="3">
        <f>IF(ISNUMBER(p!Z59*LN(p!Z59)),p!Z59*LN(p!Z59),0)</f>
        <v>0</v>
      </c>
      <c r="AA59" s="3">
        <f>IF(ISNUMBER(p!AA59*LN(p!AA59)),p!AA59*LN(p!AA59),0)</f>
        <v>0</v>
      </c>
    </row>
    <row r="60" spans="1:27" x14ac:dyDescent="0.25">
      <c r="A60" s="13" t="s">
        <v>53</v>
      </c>
      <c r="B60" s="3">
        <f>IF(ISNUMBER(p!B60*LN(p!B60)),p!B60*LN(p!B60),0)</f>
        <v>-1.4923958328563089E-2</v>
      </c>
      <c r="C60" s="3">
        <f>IF(ISNUMBER(p!C60*LN(p!C60)),p!C60*LN(p!C60),0)</f>
        <v>0</v>
      </c>
      <c r="D60" s="3">
        <f>IF(ISNUMBER(p!D60*LN(p!D60)),p!D60*LN(p!D60),0)</f>
        <v>0</v>
      </c>
      <c r="E60" s="3">
        <f>IF(ISNUMBER(p!E60*LN(p!E60)),p!E60*LN(p!E60),0)</f>
        <v>0</v>
      </c>
      <c r="F60" s="3">
        <f>IF(ISNUMBER(p!F60*LN(p!F60)),p!F60*LN(p!F60),0)</f>
        <v>0</v>
      </c>
      <c r="G60" s="3">
        <f>IF(ISNUMBER(p!G60*LN(p!G60)),p!G60*LN(p!G60),0)</f>
        <v>0</v>
      </c>
      <c r="H60" s="3">
        <f>IF(ISNUMBER(p!H60*LN(p!H60)),p!H60*LN(p!H60),0)</f>
        <v>0</v>
      </c>
      <c r="I60" s="3">
        <f>IF(ISNUMBER(p!I60*LN(p!I60)),p!I60*LN(p!I60),0)</f>
        <v>0</v>
      </c>
      <c r="J60" s="3">
        <f>IF(ISNUMBER(p!J60*LN(p!J60)),p!J60*LN(p!J60),0)</f>
        <v>-6.3115818761831699E-2</v>
      </c>
      <c r="K60" s="3">
        <f>IF(ISNUMBER(p!K60*LN(p!K60)),p!K60*LN(p!K60),0)</f>
        <v>0</v>
      </c>
      <c r="L60" s="3">
        <f>IF(ISNUMBER(p!L60*LN(p!L60)),p!L60*LN(p!L60),0)</f>
        <v>0</v>
      </c>
      <c r="M60" s="3">
        <f>IF(ISNUMBER(p!M60*LN(p!M60)),p!M60*LN(p!M60),0)</f>
        <v>0</v>
      </c>
      <c r="N60" s="3">
        <f>IF(ISNUMBER(p!N60*LN(p!N60)),p!N60*LN(p!N60),0)</f>
        <v>0</v>
      </c>
      <c r="O60" s="3">
        <f>IF(ISNUMBER(p!O60*LN(p!O60)),p!O60*LN(p!O60),0)</f>
        <v>0</v>
      </c>
      <c r="P60" s="3">
        <f>IF(ISNUMBER(p!P60*LN(p!P60)),p!P60*LN(p!P60),0)</f>
        <v>0</v>
      </c>
      <c r="Q60" s="3">
        <f>IF(ISNUMBER(p!Q60*LN(p!Q60)),p!Q60*LN(p!Q60),0)</f>
        <v>0</v>
      </c>
      <c r="R60" s="3">
        <f>IF(ISNUMBER(p!R60*LN(p!R60)),p!R60*LN(p!R60),0)</f>
        <v>0</v>
      </c>
      <c r="S60" s="3">
        <f>IF(ISNUMBER(p!S60*LN(p!S60)),p!S60*LN(p!S60),0)</f>
        <v>0</v>
      </c>
      <c r="T60" s="3">
        <f>IF(ISNUMBER(p!T60*LN(p!T60)),p!T60*LN(p!T60),0)</f>
        <v>0</v>
      </c>
      <c r="U60" s="3">
        <f>IF(ISNUMBER(p!U60*LN(p!U60)),p!U60*LN(p!U60),0)</f>
        <v>0</v>
      </c>
      <c r="V60" s="3">
        <f>IF(ISNUMBER(p!V60*LN(p!V60)),p!V60*LN(p!V60),0)</f>
        <v>0</v>
      </c>
      <c r="W60" s="3">
        <f>IF(ISNUMBER(p!W60*LN(p!W60)),p!W60*LN(p!W60),0)</f>
        <v>0</v>
      </c>
      <c r="X60" s="3">
        <f>IF(ISNUMBER(p!X60*LN(p!X60)),p!X60*LN(p!X60),0)</f>
        <v>0</v>
      </c>
      <c r="Y60" s="3">
        <f>IF(ISNUMBER(p!Y60*LN(p!Y60)),p!Y60*LN(p!Y60),0)</f>
        <v>0</v>
      </c>
      <c r="Z60" s="3">
        <f>IF(ISNUMBER(p!Z60*LN(p!Z60)),p!Z60*LN(p!Z60),0)</f>
        <v>0</v>
      </c>
      <c r="AA60" s="3">
        <f>IF(ISNUMBER(p!AA60*LN(p!AA60)),p!AA60*LN(p!AA60),0)</f>
        <v>0</v>
      </c>
    </row>
    <row r="61" spans="1:27" x14ac:dyDescent="0.25">
      <c r="A61" s="13" t="s">
        <v>54</v>
      </c>
      <c r="B61" s="3">
        <f>IF(ISNUMBER(p!B61*LN(p!B61)),p!B61*LN(p!B61),0)</f>
        <v>-5.2492831161024978E-3</v>
      </c>
      <c r="C61" s="3">
        <f>IF(ISNUMBER(p!C61*LN(p!C61)),p!C61*LN(p!C61),0)</f>
        <v>0</v>
      </c>
      <c r="D61" s="3">
        <f>IF(ISNUMBER(p!D61*LN(p!D61)),p!D61*LN(p!D61),0)</f>
        <v>0</v>
      </c>
      <c r="E61" s="3">
        <f>IF(ISNUMBER(p!E61*LN(p!E61)),p!E61*LN(p!E61),0)</f>
        <v>0</v>
      </c>
      <c r="F61" s="3">
        <f>IF(ISNUMBER(p!F61*LN(p!F61)),p!F61*LN(p!F61),0)</f>
        <v>0</v>
      </c>
      <c r="G61" s="3">
        <f>IF(ISNUMBER(p!G61*LN(p!G61)),p!G61*LN(p!G61),0)</f>
        <v>0</v>
      </c>
      <c r="H61" s="3">
        <f>IF(ISNUMBER(p!H61*LN(p!H61)),p!H61*LN(p!H61),0)</f>
        <v>0</v>
      </c>
      <c r="I61" s="3">
        <f>IF(ISNUMBER(p!I61*LN(p!I61)),p!I61*LN(p!I61),0)</f>
        <v>0</v>
      </c>
      <c r="J61" s="3">
        <f>IF(ISNUMBER(p!J61*LN(p!J61)),p!J61*LN(p!J61),0)</f>
        <v>-2.7615916169265717E-2</v>
      </c>
      <c r="K61" s="3">
        <f>IF(ISNUMBER(p!K61*LN(p!K61)),p!K61*LN(p!K61),0)</f>
        <v>0</v>
      </c>
      <c r="L61" s="3">
        <f>IF(ISNUMBER(p!L61*LN(p!L61)),p!L61*LN(p!L61),0)</f>
        <v>0</v>
      </c>
      <c r="M61" s="3">
        <f>IF(ISNUMBER(p!M61*LN(p!M61)),p!M61*LN(p!M61),0)</f>
        <v>0</v>
      </c>
      <c r="N61" s="3">
        <f>IF(ISNUMBER(p!N61*LN(p!N61)),p!N61*LN(p!N61),0)</f>
        <v>0</v>
      </c>
      <c r="O61" s="3">
        <f>IF(ISNUMBER(p!O61*LN(p!O61)),p!O61*LN(p!O61),0)</f>
        <v>0</v>
      </c>
      <c r="P61" s="3">
        <f>IF(ISNUMBER(p!P61*LN(p!P61)),p!P61*LN(p!P61),0)</f>
        <v>0</v>
      </c>
      <c r="Q61" s="3">
        <f>IF(ISNUMBER(p!Q61*LN(p!Q61)),p!Q61*LN(p!Q61),0)</f>
        <v>0</v>
      </c>
      <c r="R61" s="3">
        <f>IF(ISNUMBER(p!R61*LN(p!R61)),p!R61*LN(p!R61),0)</f>
        <v>0</v>
      </c>
      <c r="S61" s="3">
        <f>IF(ISNUMBER(p!S61*LN(p!S61)),p!S61*LN(p!S61),0)</f>
        <v>0</v>
      </c>
      <c r="T61" s="3">
        <f>IF(ISNUMBER(p!T61*LN(p!T61)),p!T61*LN(p!T61),0)</f>
        <v>0</v>
      </c>
      <c r="U61" s="3">
        <f>IF(ISNUMBER(p!U61*LN(p!U61)),p!U61*LN(p!U61),0)</f>
        <v>0</v>
      </c>
      <c r="V61" s="3">
        <f>IF(ISNUMBER(p!V61*LN(p!V61)),p!V61*LN(p!V61),0)</f>
        <v>0</v>
      </c>
      <c r="W61" s="3">
        <f>IF(ISNUMBER(p!W61*LN(p!W61)),p!W61*LN(p!W61),0)</f>
        <v>0</v>
      </c>
      <c r="X61" s="3">
        <f>IF(ISNUMBER(p!X61*LN(p!X61)),p!X61*LN(p!X61),0)</f>
        <v>0</v>
      </c>
      <c r="Y61" s="3">
        <f>IF(ISNUMBER(p!Y61*LN(p!Y61)),p!Y61*LN(p!Y61),0)</f>
        <v>0</v>
      </c>
      <c r="Z61" s="3">
        <f>IF(ISNUMBER(p!Z61*LN(p!Z61)),p!Z61*LN(p!Z61),0)</f>
        <v>0</v>
      </c>
      <c r="AA61" s="3">
        <f>IF(ISNUMBER(p!AA61*LN(p!AA61)),p!AA61*LN(p!AA61),0)</f>
        <v>0</v>
      </c>
    </row>
    <row r="62" spans="1:27" x14ac:dyDescent="0.25">
      <c r="A62" s="13" t="s">
        <v>55</v>
      </c>
      <c r="B62" s="3">
        <f>IF(ISNUMBER(p!B62*LN(p!B62)),p!B62*LN(p!B62),0)</f>
        <v>-5.24850393378671E-2</v>
      </c>
      <c r="C62" s="3">
        <f>IF(ISNUMBER(p!C62*LN(p!C62)),p!C62*LN(p!C62),0)</f>
        <v>0</v>
      </c>
      <c r="D62" s="3">
        <f>IF(ISNUMBER(p!D62*LN(p!D62)),p!D62*LN(p!D62),0)</f>
        <v>0</v>
      </c>
      <c r="E62" s="3">
        <f>IF(ISNUMBER(p!E62*LN(p!E62)),p!E62*LN(p!E62),0)</f>
        <v>0</v>
      </c>
      <c r="F62" s="3">
        <f>IF(ISNUMBER(p!F62*LN(p!F62)),p!F62*LN(p!F62),0)</f>
        <v>0</v>
      </c>
      <c r="G62" s="3">
        <f>IF(ISNUMBER(p!G62*LN(p!G62)),p!G62*LN(p!G62),0)</f>
        <v>0</v>
      </c>
      <c r="H62" s="3">
        <f>IF(ISNUMBER(p!H62*LN(p!H62)),p!H62*LN(p!H62),0)</f>
        <v>0</v>
      </c>
      <c r="I62" s="3">
        <f>IF(ISNUMBER(p!I62*LN(p!I62)),p!I62*LN(p!I62),0)</f>
        <v>0</v>
      </c>
      <c r="J62" s="3">
        <f>IF(ISNUMBER(p!J62*LN(p!J62)),p!J62*LN(p!J62),0)</f>
        <v>0</v>
      </c>
      <c r="K62" s="3">
        <f>IF(ISNUMBER(p!K62*LN(p!K62)),p!K62*LN(p!K62),0)</f>
        <v>0</v>
      </c>
      <c r="L62" s="3">
        <f>IF(ISNUMBER(p!L62*LN(p!L62)),p!L62*LN(p!L62),0)</f>
        <v>0</v>
      </c>
      <c r="M62" s="3">
        <f>IF(ISNUMBER(p!M62*LN(p!M62)),p!M62*LN(p!M62),0)</f>
        <v>0</v>
      </c>
      <c r="N62" s="3">
        <f>IF(ISNUMBER(p!N62*LN(p!N62)),p!N62*LN(p!N62),0)</f>
        <v>0</v>
      </c>
      <c r="O62" s="3">
        <f>IF(ISNUMBER(p!O62*LN(p!O62)),p!O62*LN(p!O62),0)</f>
        <v>0</v>
      </c>
      <c r="P62" s="3">
        <f>IF(ISNUMBER(p!P62*LN(p!P62)),p!P62*LN(p!P62),0)</f>
        <v>-3.2123336242956754E-2</v>
      </c>
      <c r="Q62" s="3">
        <f>IF(ISNUMBER(p!Q62*LN(p!Q62)),p!Q62*LN(p!Q62),0)</f>
        <v>-0.14497725893921062</v>
      </c>
      <c r="R62" s="3">
        <f>IF(ISNUMBER(p!R62*LN(p!R62)),p!R62*LN(p!R62),0)</f>
        <v>0</v>
      </c>
      <c r="S62" s="3">
        <f>IF(ISNUMBER(p!S62*LN(p!S62)),p!S62*LN(p!S62),0)</f>
        <v>0</v>
      </c>
      <c r="T62" s="3">
        <f>IF(ISNUMBER(p!T62*LN(p!T62)),p!T62*LN(p!T62),0)</f>
        <v>0</v>
      </c>
      <c r="U62" s="3">
        <f>IF(ISNUMBER(p!U62*LN(p!U62)),p!U62*LN(p!U62),0)</f>
        <v>0</v>
      </c>
      <c r="V62" s="3">
        <f>IF(ISNUMBER(p!V62*LN(p!V62)),p!V62*LN(p!V62),0)</f>
        <v>0</v>
      </c>
      <c r="W62" s="3">
        <f>IF(ISNUMBER(p!W62*LN(p!W62)),p!W62*LN(p!W62),0)</f>
        <v>0</v>
      </c>
      <c r="X62" s="3">
        <f>IF(ISNUMBER(p!X62*LN(p!X62)),p!X62*LN(p!X62),0)</f>
        <v>0</v>
      </c>
      <c r="Y62" s="3">
        <f>IF(ISNUMBER(p!Y62*LN(p!Y62)),p!Y62*LN(p!Y62),0)</f>
        <v>0</v>
      </c>
      <c r="Z62" s="3">
        <f>IF(ISNUMBER(p!Z62*LN(p!Z62)),p!Z62*LN(p!Z62),0)</f>
        <v>0</v>
      </c>
      <c r="AA62" s="3">
        <f>IF(ISNUMBER(p!AA62*LN(p!AA62)),p!AA62*LN(p!AA62),0)</f>
        <v>0</v>
      </c>
    </row>
    <row r="63" spans="1:27" x14ac:dyDescent="0.25">
      <c r="A63" s="13" t="s">
        <v>56</v>
      </c>
      <c r="B63" s="3">
        <f>IF(ISNUMBER(p!B63*LN(p!B63)),p!B63*LN(p!B63),0)</f>
        <v>-3.4009237164691154E-2</v>
      </c>
      <c r="C63" s="3">
        <f>IF(ISNUMBER(p!C63*LN(p!C63)),p!C63*LN(p!C63),0)</f>
        <v>0</v>
      </c>
      <c r="D63" s="3">
        <f>IF(ISNUMBER(p!D63*LN(p!D63)),p!D63*LN(p!D63),0)</f>
        <v>0</v>
      </c>
      <c r="E63" s="3">
        <f>IF(ISNUMBER(p!E63*LN(p!E63)),p!E63*LN(p!E63),0)</f>
        <v>0</v>
      </c>
      <c r="F63" s="3">
        <f>IF(ISNUMBER(p!F63*LN(p!F63)),p!F63*LN(p!F63),0)</f>
        <v>0</v>
      </c>
      <c r="G63" s="3">
        <f>IF(ISNUMBER(p!G63*LN(p!G63)),p!G63*LN(p!G63),0)</f>
        <v>0</v>
      </c>
      <c r="H63" s="3">
        <f>IF(ISNUMBER(p!H63*LN(p!H63)),p!H63*LN(p!H63),0)</f>
        <v>0</v>
      </c>
      <c r="I63" s="3">
        <f>IF(ISNUMBER(p!I63*LN(p!I63)),p!I63*LN(p!I63),0)</f>
        <v>0</v>
      </c>
      <c r="J63" s="3">
        <f>IF(ISNUMBER(p!J63*LN(p!J63)),p!J63*LN(p!J63),0)</f>
        <v>-3.7442572695812165E-2</v>
      </c>
      <c r="K63" s="3">
        <f>IF(ISNUMBER(p!K63*LN(p!K63)),p!K63*LN(p!K63),0)</f>
        <v>0</v>
      </c>
      <c r="L63" s="3">
        <f>IF(ISNUMBER(p!L63*LN(p!L63)),p!L63*LN(p!L63),0)</f>
        <v>0</v>
      </c>
      <c r="M63" s="3">
        <f>IF(ISNUMBER(p!M63*LN(p!M63)),p!M63*LN(p!M63),0)</f>
        <v>0</v>
      </c>
      <c r="N63" s="3">
        <f>IF(ISNUMBER(p!N63*LN(p!N63)),p!N63*LN(p!N63),0)</f>
        <v>0</v>
      </c>
      <c r="O63" s="3">
        <f>IF(ISNUMBER(p!O63*LN(p!O63)),p!O63*LN(p!O63),0)</f>
        <v>0</v>
      </c>
      <c r="P63" s="3">
        <f>IF(ISNUMBER(p!P63*LN(p!P63)),p!P63*LN(p!P63),0)</f>
        <v>0</v>
      </c>
      <c r="Q63" s="3">
        <f>IF(ISNUMBER(p!Q63*LN(p!Q63)),p!Q63*LN(p!Q63),0)</f>
        <v>-8.6975126810480127E-2</v>
      </c>
      <c r="R63" s="3">
        <f>IF(ISNUMBER(p!R63*LN(p!R63)),p!R63*LN(p!R63),0)</f>
        <v>0</v>
      </c>
      <c r="S63" s="3">
        <f>IF(ISNUMBER(p!S63*LN(p!S63)),p!S63*LN(p!S63),0)</f>
        <v>0</v>
      </c>
      <c r="T63" s="3">
        <f>IF(ISNUMBER(p!T63*LN(p!T63)),p!T63*LN(p!T63),0)</f>
        <v>-2.1387237042367412E-2</v>
      </c>
      <c r="U63" s="3">
        <f>IF(ISNUMBER(p!U63*LN(p!U63)),p!U63*LN(p!U63),0)</f>
        <v>0</v>
      </c>
      <c r="V63" s="3">
        <f>IF(ISNUMBER(p!V63*LN(p!V63)),p!V63*LN(p!V63),0)</f>
        <v>0</v>
      </c>
      <c r="W63" s="3">
        <f>IF(ISNUMBER(p!W63*LN(p!W63)),p!W63*LN(p!W63),0)</f>
        <v>0</v>
      </c>
      <c r="X63" s="3">
        <f>IF(ISNUMBER(p!X63*LN(p!X63)),p!X63*LN(p!X63),0)</f>
        <v>0</v>
      </c>
      <c r="Y63" s="3">
        <f>IF(ISNUMBER(p!Y63*LN(p!Y63)),p!Y63*LN(p!Y63),0)</f>
        <v>0</v>
      </c>
      <c r="Z63" s="3">
        <f>IF(ISNUMBER(p!Z63*LN(p!Z63)),p!Z63*LN(p!Z63),0)</f>
        <v>0</v>
      </c>
      <c r="AA63" s="3">
        <f>IF(ISNUMBER(p!AA63*LN(p!AA63)),p!AA63*LN(p!AA63),0)</f>
        <v>0</v>
      </c>
    </row>
    <row r="64" spans="1:27" x14ac:dyDescent="0.25">
      <c r="A64" s="13" t="s">
        <v>57</v>
      </c>
      <c r="B64" s="3">
        <f>IF(ISNUMBER(p!B64*LN(p!B64)),p!B64*LN(p!B64),0)</f>
        <v>-3.0018255311163054E-2</v>
      </c>
      <c r="C64" s="3">
        <f>IF(ISNUMBER(p!C64*LN(p!C64)),p!C64*LN(p!C64),0)</f>
        <v>0</v>
      </c>
      <c r="D64" s="3">
        <f>IF(ISNUMBER(p!D64*LN(p!D64)),p!D64*LN(p!D64),0)</f>
        <v>0</v>
      </c>
      <c r="E64" s="3">
        <f>IF(ISNUMBER(p!E64*LN(p!E64)),p!E64*LN(p!E64),0)</f>
        <v>0</v>
      </c>
      <c r="F64" s="3">
        <f>IF(ISNUMBER(p!F64*LN(p!F64)),p!F64*LN(p!F64),0)</f>
        <v>0</v>
      </c>
      <c r="G64" s="3">
        <f>IF(ISNUMBER(p!G64*LN(p!G64)),p!G64*LN(p!G64),0)</f>
        <v>0</v>
      </c>
      <c r="H64" s="3">
        <f>IF(ISNUMBER(p!H64*LN(p!H64)),p!H64*LN(p!H64),0)</f>
        <v>0</v>
      </c>
      <c r="I64" s="3">
        <f>IF(ISNUMBER(p!I64*LN(p!I64)),p!I64*LN(p!I64),0)</f>
        <v>0</v>
      </c>
      <c r="J64" s="3">
        <f>IF(ISNUMBER(p!J64*LN(p!J64)),p!J64*LN(p!J64),0)</f>
        <v>0</v>
      </c>
      <c r="K64" s="3">
        <f>IF(ISNUMBER(p!K64*LN(p!K64)),p!K64*LN(p!K64),0)</f>
        <v>0</v>
      </c>
      <c r="L64" s="3">
        <f>IF(ISNUMBER(p!L64*LN(p!L64)),p!L64*LN(p!L64),0)</f>
        <v>0</v>
      </c>
      <c r="M64" s="3">
        <f>IF(ISNUMBER(p!M64*LN(p!M64)),p!M64*LN(p!M64),0)</f>
        <v>0</v>
      </c>
      <c r="N64" s="3">
        <f>IF(ISNUMBER(p!N64*LN(p!N64)),p!N64*LN(p!N64),0)</f>
        <v>0</v>
      </c>
      <c r="O64" s="3">
        <f>IF(ISNUMBER(p!O64*LN(p!O64)),p!O64*LN(p!O64),0)</f>
        <v>0</v>
      </c>
      <c r="P64" s="3">
        <f>IF(ISNUMBER(p!P64*LN(p!P64)),p!P64*LN(p!P64),0)</f>
        <v>0</v>
      </c>
      <c r="Q64" s="3">
        <f>IF(ISNUMBER(p!Q64*LN(p!Q64)),p!Q64*LN(p!Q64),0)</f>
        <v>-0.1064155035179908</v>
      </c>
      <c r="R64" s="3">
        <f>IF(ISNUMBER(p!R64*LN(p!R64)),p!R64*LN(p!R64),0)</f>
        <v>0</v>
      </c>
      <c r="S64" s="3">
        <f>IF(ISNUMBER(p!S64*LN(p!S64)),p!S64*LN(p!S64),0)</f>
        <v>0</v>
      </c>
      <c r="T64" s="3">
        <f>IF(ISNUMBER(p!T64*LN(p!T64)),p!T64*LN(p!T64),0)</f>
        <v>0</v>
      </c>
      <c r="U64" s="3">
        <f>IF(ISNUMBER(p!U64*LN(p!U64)),p!U64*LN(p!U64),0)</f>
        <v>0</v>
      </c>
      <c r="V64" s="3">
        <f>IF(ISNUMBER(p!V64*LN(p!V64)),p!V64*LN(p!V64),0)</f>
        <v>0</v>
      </c>
      <c r="W64" s="3">
        <f>IF(ISNUMBER(p!W64*LN(p!W64)),p!W64*LN(p!W64),0)</f>
        <v>0</v>
      </c>
      <c r="X64" s="3">
        <f>IF(ISNUMBER(p!X64*LN(p!X64)),p!X64*LN(p!X64),0)</f>
        <v>0</v>
      </c>
      <c r="Y64" s="3">
        <f>IF(ISNUMBER(p!Y64*LN(p!Y64)),p!Y64*LN(p!Y64),0)</f>
        <v>0</v>
      </c>
      <c r="Z64" s="3">
        <f>IF(ISNUMBER(p!Z64*LN(p!Z64)),p!Z64*LN(p!Z64),0)</f>
        <v>0</v>
      </c>
      <c r="AA64" s="3">
        <f>IF(ISNUMBER(p!AA64*LN(p!AA64)),p!AA64*LN(p!AA64),0)</f>
        <v>0</v>
      </c>
    </row>
    <row r="65" spans="1:27" x14ac:dyDescent="0.25">
      <c r="A65" s="13" t="s">
        <v>59</v>
      </c>
      <c r="B65" s="3">
        <f>IF(ISNUMBER(p!B65*LN(p!B65)),p!B65*LN(p!B65),0)</f>
        <v>-7.3799045727957341E-3</v>
      </c>
      <c r="C65" s="3">
        <f>IF(ISNUMBER(p!C65*LN(p!C65)),p!C65*LN(p!C65),0)</f>
        <v>0</v>
      </c>
      <c r="D65" s="3">
        <f>IF(ISNUMBER(p!D65*LN(p!D65)),p!D65*LN(p!D65),0)</f>
        <v>0</v>
      </c>
      <c r="E65" s="3">
        <f>IF(ISNUMBER(p!E65*LN(p!E65)),p!E65*LN(p!E65),0)</f>
        <v>0</v>
      </c>
      <c r="F65" s="3">
        <f>IF(ISNUMBER(p!F65*LN(p!F65)),p!F65*LN(p!F65),0)</f>
        <v>0</v>
      </c>
      <c r="G65" s="3">
        <f>IF(ISNUMBER(p!G65*LN(p!G65)),p!G65*LN(p!G65),0)</f>
        <v>0</v>
      </c>
      <c r="H65" s="3">
        <f>IF(ISNUMBER(p!H65*LN(p!H65)),p!H65*LN(p!H65),0)</f>
        <v>0</v>
      </c>
      <c r="I65" s="3">
        <f>IF(ISNUMBER(p!I65*LN(p!I65)),p!I65*LN(p!I65),0)</f>
        <v>0</v>
      </c>
      <c r="J65" s="3">
        <f>IF(ISNUMBER(p!J65*LN(p!J65)),p!J65*LN(p!J65),0)</f>
        <v>0</v>
      </c>
      <c r="K65" s="3">
        <f>IF(ISNUMBER(p!K65*LN(p!K65)),p!K65*LN(p!K65),0)</f>
        <v>0</v>
      </c>
      <c r="L65" s="3">
        <f>IF(ISNUMBER(p!L65*LN(p!L65)),p!L65*LN(p!L65),0)</f>
        <v>0</v>
      </c>
      <c r="M65" s="3">
        <f>IF(ISNUMBER(p!M65*LN(p!M65)),p!M65*LN(p!M65),0)</f>
        <v>0</v>
      </c>
      <c r="N65" s="3">
        <f>IF(ISNUMBER(p!N65*LN(p!N65)),p!N65*LN(p!N65),0)</f>
        <v>0</v>
      </c>
      <c r="O65" s="3">
        <f>IF(ISNUMBER(p!O65*LN(p!O65)),p!O65*LN(p!O65),0)</f>
        <v>0</v>
      </c>
      <c r="P65" s="3">
        <f>IF(ISNUMBER(p!P65*LN(p!P65)),p!P65*LN(p!P65),0)</f>
        <v>0</v>
      </c>
      <c r="Q65" s="3">
        <f>IF(ISNUMBER(p!Q65*LN(p!Q65)),p!Q65*LN(p!Q65),0)</f>
        <v>-3.6335368729173555E-2</v>
      </c>
      <c r="R65" s="3">
        <f>IF(ISNUMBER(p!R65*LN(p!R65)),p!R65*LN(p!R65),0)</f>
        <v>0</v>
      </c>
      <c r="S65" s="3">
        <f>IF(ISNUMBER(p!S65*LN(p!S65)),p!S65*LN(p!S65),0)</f>
        <v>0</v>
      </c>
      <c r="T65" s="3">
        <f>IF(ISNUMBER(p!T65*LN(p!T65)),p!T65*LN(p!T65),0)</f>
        <v>0</v>
      </c>
      <c r="U65" s="3">
        <f>IF(ISNUMBER(p!U65*LN(p!U65)),p!U65*LN(p!U65),0)</f>
        <v>0</v>
      </c>
      <c r="V65" s="3">
        <f>IF(ISNUMBER(p!V65*LN(p!V65)),p!V65*LN(p!V65),0)</f>
        <v>0</v>
      </c>
      <c r="W65" s="3">
        <f>IF(ISNUMBER(p!W65*LN(p!W65)),p!W65*LN(p!W65),0)</f>
        <v>0</v>
      </c>
      <c r="X65" s="3">
        <f>IF(ISNUMBER(p!X65*LN(p!X65)),p!X65*LN(p!X65),0)</f>
        <v>0</v>
      </c>
      <c r="Y65" s="3">
        <f>IF(ISNUMBER(p!Y65*LN(p!Y65)),p!Y65*LN(p!Y65),0)</f>
        <v>0</v>
      </c>
      <c r="Z65" s="3">
        <f>IF(ISNUMBER(p!Z65*LN(p!Z65)),p!Z65*LN(p!Z65),0)</f>
        <v>0</v>
      </c>
      <c r="AA65" s="3">
        <f>IF(ISNUMBER(p!AA65*LN(p!AA65)),p!AA65*LN(p!AA65),0)</f>
        <v>0</v>
      </c>
    </row>
    <row r="66" spans="1:27" x14ac:dyDescent="0.25">
      <c r="A66" s="13" t="s">
        <v>60</v>
      </c>
      <c r="B66" s="3">
        <f>IF(ISNUMBER(p!B66*LN(p!B66)),p!B66*LN(p!B66),0)</f>
        <v>-0.18847960651742388</v>
      </c>
      <c r="C66" s="3">
        <f>IF(ISNUMBER(p!C66*LN(p!C66)),p!C66*LN(p!C66),0)</f>
        <v>0</v>
      </c>
      <c r="D66" s="3">
        <f>IF(ISNUMBER(p!D66*LN(p!D66)),p!D66*LN(p!D66),0)</f>
        <v>0</v>
      </c>
      <c r="E66" s="3">
        <f>IF(ISNUMBER(p!E66*LN(p!E66)),p!E66*LN(p!E66),0)</f>
        <v>0</v>
      </c>
      <c r="F66" s="3">
        <f>IF(ISNUMBER(p!F66*LN(p!F66)),p!F66*LN(p!F66),0)</f>
        <v>0</v>
      </c>
      <c r="G66" s="3">
        <f>IF(ISNUMBER(p!G66*LN(p!G66)),p!G66*LN(p!G66),0)</f>
        <v>-0.20707555414900003</v>
      </c>
      <c r="H66" s="3">
        <f>IF(ISNUMBER(p!H66*LN(p!H66)),p!H66*LN(p!H66),0)</f>
        <v>0</v>
      </c>
      <c r="I66" s="3">
        <f>IF(ISNUMBER(p!I66*LN(p!I66)),p!I66*LN(p!I66),0)</f>
        <v>0</v>
      </c>
      <c r="J66" s="3">
        <f>IF(ISNUMBER(p!J66*LN(p!J66)),p!J66*LN(p!J66),0)</f>
        <v>-4.3353066917816846E-2</v>
      </c>
      <c r="K66" s="3">
        <f>IF(ISNUMBER(p!K66*LN(p!K66)),p!K66*LN(p!K66),0)</f>
        <v>0</v>
      </c>
      <c r="L66" s="3">
        <f>IF(ISNUMBER(p!L66*LN(p!L66)),p!L66*LN(p!L66),0)</f>
        <v>0</v>
      </c>
      <c r="M66" s="3">
        <f>IF(ISNUMBER(p!M66*LN(p!M66)),p!M66*LN(p!M66),0)</f>
        <v>0</v>
      </c>
      <c r="N66" s="3">
        <f>IF(ISNUMBER(p!N66*LN(p!N66)),p!N66*LN(p!N66),0)</f>
        <v>0</v>
      </c>
      <c r="O66" s="3">
        <f>IF(ISNUMBER(p!O66*LN(p!O66)),p!O66*LN(p!O66),0)</f>
        <v>0</v>
      </c>
      <c r="P66" s="3">
        <f>IF(ISNUMBER(p!P66*LN(p!P66)),p!P66*LN(p!P66),0)</f>
        <v>0</v>
      </c>
      <c r="Q66" s="3">
        <f>IF(ISNUMBER(p!Q66*LN(p!Q66)),p!Q66*LN(p!Q66),0)</f>
        <v>-0.25484596579273039</v>
      </c>
      <c r="R66" s="3">
        <f>IF(ISNUMBER(p!R66*LN(p!R66)),p!R66*LN(p!R66),0)</f>
        <v>0</v>
      </c>
      <c r="S66" s="3">
        <f>IF(ISNUMBER(p!S66*LN(p!S66)),p!S66*LN(p!S66),0)</f>
        <v>0</v>
      </c>
      <c r="T66" s="3">
        <f>IF(ISNUMBER(p!T66*LN(p!T66)),p!T66*LN(p!T66),0)</f>
        <v>0</v>
      </c>
      <c r="U66" s="3">
        <f>IF(ISNUMBER(p!U66*LN(p!U66)),p!U66*LN(p!U66),0)</f>
        <v>0</v>
      </c>
      <c r="V66" s="3">
        <f>IF(ISNUMBER(p!V66*LN(p!V66)),p!V66*LN(p!V66),0)</f>
        <v>0</v>
      </c>
      <c r="W66" s="3">
        <f>IF(ISNUMBER(p!W66*LN(p!W66)),p!W66*LN(p!W66),0)</f>
        <v>0</v>
      </c>
      <c r="X66" s="3">
        <f>IF(ISNUMBER(p!X66*LN(p!X66)),p!X66*LN(p!X66),0)</f>
        <v>0</v>
      </c>
      <c r="Y66" s="3">
        <f>IF(ISNUMBER(p!Y66*LN(p!Y66)),p!Y66*LN(p!Y66),0)</f>
        <v>0</v>
      </c>
      <c r="Z66" s="3">
        <f>IF(ISNUMBER(p!Z66*LN(p!Z66)),p!Z66*LN(p!Z66),0)</f>
        <v>0</v>
      </c>
      <c r="AA66" s="3">
        <f>IF(ISNUMBER(p!AA66*LN(p!AA66)),p!AA66*LN(p!AA66),0)</f>
        <v>0</v>
      </c>
    </row>
    <row r="67" spans="1:27" x14ac:dyDescent="0.25">
      <c r="A67" s="13" t="s">
        <v>61</v>
      </c>
      <c r="B67" s="3">
        <f>IF(ISNUMBER(p!B67*LN(p!B67)),p!B67*LN(p!B67),0)</f>
        <v>-8.9653702638488E-2</v>
      </c>
      <c r="C67" s="3">
        <f>IF(ISNUMBER(p!C67*LN(p!C67)),p!C67*LN(p!C67),0)</f>
        <v>0</v>
      </c>
      <c r="D67" s="3">
        <f>IF(ISNUMBER(p!D67*LN(p!D67)),p!D67*LN(p!D67),0)</f>
        <v>0</v>
      </c>
      <c r="E67" s="3">
        <f>IF(ISNUMBER(p!E67*LN(p!E67)),p!E67*LN(p!E67),0)</f>
        <v>0</v>
      </c>
      <c r="F67" s="3">
        <f>IF(ISNUMBER(p!F67*LN(p!F67)),p!F67*LN(p!F67),0)</f>
        <v>0</v>
      </c>
      <c r="G67" s="3">
        <f>IF(ISNUMBER(p!G67*LN(p!G67)),p!G67*LN(p!G67),0)</f>
        <v>0</v>
      </c>
      <c r="H67" s="3">
        <f>IF(ISNUMBER(p!H67*LN(p!H67)),p!H67*LN(p!H67),0)</f>
        <v>0</v>
      </c>
      <c r="I67" s="3">
        <f>IF(ISNUMBER(p!I67*LN(p!I67)),p!I67*LN(p!I67),0)</f>
        <v>0</v>
      </c>
      <c r="J67" s="3">
        <f>IF(ISNUMBER(p!J67*LN(p!J67)),p!J67*LN(p!J67),0)</f>
        <v>-0.22258759195135272</v>
      </c>
      <c r="K67" s="3">
        <f>IF(ISNUMBER(p!K67*LN(p!K67)),p!K67*LN(p!K67),0)</f>
        <v>0</v>
      </c>
      <c r="L67" s="3">
        <f>IF(ISNUMBER(p!L67*LN(p!L67)),p!L67*LN(p!L67),0)</f>
        <v>0</v>
      </c>
      <c r="M67" s="3">
        <f>IF(ISNUMBER(p!M67*LN(p!M67)),p!M67*LN(p!M67),0)</f>
        <v>0</v>
      </c>
      <c r="N67" s="3">
        <f>IF(ISNUMBER(p!N67*LN(p!N67)),p!N67*LN(p!N67),0)</f>
        <v>0</v>
      </c>
      <c r="O67" s="3">
        <f>IF(ISNUMBER(p!O67*LN(p!O67)),p!O67*LN(p!O67),0)</f>
        <v>0</v>
      </c>
      <c r="P67" s="3">
        <f>IF(ISNUMBER(p!P67*LN(p!P67)),p!P67*LN(p!P67),0)</f>
        <v>0</v>
      </c>
      <c r="Q67" s="3">
        <f>IF(ISNUMBER(p!Q67*LN(p!Q67)),p!Q67*LN(p!Q67),0)</f>
        <v>0</v>
      </c>
      <c r="R67" s="3">
        <f>IF(ISNUMBER(p!R67*LN(p!R67)),p!R67*LN(p!R67),0)</f>
        <v>0</v>
      </c>
      <c r="S67" s="3">
        <f>IF(ISNUMBER(p!S67*LN(p!S67)),p!S67*LN(p!S67),0)</f>
        <v>0</v>
      </c>
      <c r="T67" s="3">
        <f>IF(ISNUMBER(p!T67*LN(p!T67)),p!T67*LN(p!T67),0)</f>
        <v>0</v>
      </c>
      <c r="U67" s="3">
        <f>IF(ISNUMBER(p!U67*LN(p!U67)),p!U67*LN(p!U67),0)</f>
        <v>0</v>
      </c>
      <c r="V67" s="3">
        <f>IF(ISNUMBER(p!V67*LN(p!V67)),p!V67*LN(p!V67),0)</f>
        <v>0</v>
      </c>
      <c r="W67" s="3">
        <f>IF(ISNUMBER(p!W67*LN(p!W67)),p!W67*LN(p!W67),0)</f>
        <v>0</v>
      </c>
      <c r="X67" s="3">
        <f>IF(ISNUMBER(p!X67*LN(p!X67)),p!X67*LN(p!X67),0)</f>
        <v>0</v>
      </c>
      <c r="Y67" s="3">
        <f>IF(ISNUMBER(p!Y67*LN(p!Y67)),p!Y67*LN(p!Y67),0)</f>
        <v>0</v>
      </c>
      <c r="Z67" s="3">
        <f>IF(ISNUMBER(p!Z67*LN(p!Z67)),p!Z67*LN(p!Z67),0)</f>
        <v>0</v>
      </c>
      <c r="AA67" s="3">
        <f>IF(ISNUMBER(p!AA67*LN(p!AA67)),p!AA67*LN(p!AA67),0)</f>
        <v>0</v>
      </c>
    </row>
    <row r="68" spans="1:27" x14ac:dyDescent="0.25">
      <c r="A68" s="13" t="s">
        <v>62</v>
      </c>
      <c r="B68" s="3">
        <f>IF(ISNUMBER(p!B68*LN(p!B68)),p!B68*LN(p!B68),0)</f>
        <v>-5.6099694633732392E-2</v>
      </c>
      <c r="C68" s="3">
        <f>IF(ISNUMBER(p!C68*LN(p!C68)),p!C68*LN(p!C68),0)</f>
        <v>0</v>
      </c>
      <c r="D68" s="3">
        <f>IF(ISNUMBER(p!D68*LN(p!D68)),p!D68*LN(p!D68),0)</f>
        <v>0</v>
      </c>
      <c r="E68" s="3">
        <f>IF(ISNUMBER(p!E68*LN(p!E68)),p!E68*LN(p!E68),0)</f>
        <v>0</v>
      </c>
      <c r="F68" s="3">
        <f>IF(ISNUMBER(p!F68*LN(p!F68)),p!F68*LN(p!F68),0)</f>
        <v>0</v>
      </c>
      <c r="G68" s="3">
        <f>IF(ISNUMBER(p!G68*LN(p!G68)),p!G68*LN(p!G68),0)</f>
        <v>-0.10242351682264968</v>
      </c>
      <c r="H68" s="3">
        <f>IF(ISNUMBER(p!H68*LN(p!H68)),p!H68*LN(p!H68),0)</f>
        <v>0</v>
      </c>
      <c r="I68" s="3">
        <f>IF(ISNUMBER(p!I68*LN(p!I68)),p!I68*LN(p!I68),0)</f>
        <v>0</v>
      </c>
      <c r="J68" s="3">
        <f>IF(ISNUMBER(p!J68*LN(p!J68)),p!J68*LN(p!J68),0)</f>
        <v>-2.9787812684958261E-2</v>
      </c>
      <c r="K68" s="3">
        <f>IF(ISNUMBER(p!K68*LN(p!K68)),p!K68*LN(p!K68),0)</f>
        <v>0</v>
      </c>
      <c r="L68" s="3">
        <f>IF(ISNUMBER(p!L68*LN(p!L68)),p!L68*LN(p!L68),0)</f>
        <v>0</v>
      </c>
      <c r="M68" s="3">
        <f>IF(ISNUMBER(p!M68*LN(p!M68)),p!M68*LN(p!M68),0)</f>
        <v>0</v>
      </c>
      <c r="N68" s="3">
        <f>IF(ISNUMBER(p!N68*LN(p!N68)),p!N68*LN(p!N68),0)</f>
        <v>0</v>
      </c>
      <c r="O68" s="3">
        <f>IF(ISNUMBER(p!O68*LN(p!O68)),p!O68*LN(p!O68),0)</f>
        <v>0</v>
      </c>
      <c r="P68" s="3">
        <f>IF(ISNUMBER(p!P68*LN(p!P68)),p!P68*LN(p!P68),0)</f>
        <v>0</v>
      </c>
      <c r="Q68" s="3">
        <f>IF(ISNUMBER(p!Q68*LN(p!Q68)),p!Q68*LN(p!Q68),0)</f>
        <v>-7.0312357904560752E-2</v>
      </c>
      <c r="R68" s="3">
        <f>IF(ISNUMBER(p!R68*LN(p!R68)),p!R68*LN(p!R68),0)</f>
        <v>0</v>
      </c>
      <c r="S68" s="3">
        <f>IF(ISNUMBER(p!S68*LN(p!S68)),p!S68*LN(p!S68),0)</f>
        <v>0</v>
      </c>
      <c r="T68" s="3">
        <f>IF(ISNUMBER(p!T68*LN(p!T68)),p!T68*LN(p!T68),0)</f>
        <v>0</v>
      </c>
      <c r="U68" s="3">
        <f>IF(ISNUMBER(p!U68*LN(p!U68)),p!U68*LN(p!U68),0)</f>
        <v>-2.9787812684958261E-2</v>
      </c>
      <c r="V68" s="3">
        <f>IF(ISNUMBER(p!V68*LN(p!V68)),p!V68*LN(p!V68),0)</f>
        <v>0</v>
      </c>
      <c r="W68" s="3">
        <f>IF(ISNUMBER(p!W68*LN(p!W68)),p!W68*LN(p!W68),0)</f>
        <v>0</v>
      </c>
      <c r="X68" s="3">
        <f>IF(ISNUMBER(p!X68*LN(p!X68)),p!X68*LN(p!X68),0)</f>
        <v>0</v>
      </c>
      <c r="Y68" s="3">
        <f>IF(ISNUMBER(p!Y68*LN(p!Y68)),p!Y68*LN(p!Y68),0)</f>
        <v>0</v>
      </c>
      <c r="Z68" s="3">
        <f>IF(ISNUMBER(p!Z68*LN(p!Z68)),p!Z68*LN(p!Z68),0)</f>
        <v>0</v>
      </c>
      <c r="AA68" s="3">
        <f>IF(ISNUMBER(p!AA68*LN(p!AA68)),p!AA68*LN(p!AA68),0)</f>
        <v>0</v>
      </c>
    </row>
    <row r="69" spans="1:27" x14ac:dyDescent="0.25">
      <c r="A69" s="13" t="s">
        <v>70</v>
      </c>
      <c r="B69" s="3">
        <f>IF(ISNUMBER(p!B69*LN(p!B69)),p!B69*LN(p!B69),0)</f>
        <v>-0.24033731187229493</v>
      </c>
      <c r="C69" s="3">
        <f>IF(ISNUMBER(p!C69*LN(p!C69)),p!C69*LN(p!C69),0)</f>
        <v>0</v>
      </c>
      <c r="D69" s="3">
        <f>IF(ISNUMBER(p!D69*LN(p!D69)),p!D69*LN(p!D69),0)</f>
        <v>0</v>
      </c>
      <c r="E69" s="3">
        <f>IF(ISNUMBER(p!E69*LN(p!E69)),p!E69*LN(p!E69),0)</f>
        <v>0</v>
      </c>
      <c r="F69" s="3">
        <f>IF(ISNUMBER(p!F69*LN(p!F69)),p!F69*LN(p!F69),0)</f>
        <v>0</v>
      </c>
      <c r="G69" s="3">
        <f>IF(ISNUMBER(p!G69*LN(p!G69)),p!G69*LN(p!G69),0)</f>
        <v>-0.14497725893921062</v>
      </c>
      <c r="H69" s="3">
        <f>IF(ISNUMBER(p!H69*LN(p!H69)),p!H69*LN(p!H69),0)</f>
        <v>0</v>
      </c>
      <c r="I69" s="3">
        <f>IF(ISNUMBER(p!I69*LN(p!I69)),p!I69*LN(p!I69),0)</f>
        <v>0</v>
      </c>
      <c r="J69" s="3">
        <f>IF(ISNUMBER(p!J69*LN(p!J69)),p!J69*LN(p!J69),0)</f>
        <v>-0.14497725893921062</v>
      </c>
      <c r="K69" s="3">
        <f>IF(ISNUMBER(p!K69*LN(p!K69)),p!K69*LN(p!K69),0)</f>
        <v>0</v>
      </c>
      <c r="L69" s="3">
        <f>IF(ISNUMBER(p!L69*LN(p!L69)),p!L69*LN(p!L69),0)</f>
        <v>0</v>
      </c>
      <c r="M69" s="3">
        <f>IF(ISNUMBER(p!M69*LN(p!M69)),p!M69*LN(p!M69),0)</f>
        <v>0</v>
      </c>
      <c r="N69" s="3">
        <f>IF(ISNUMBER(p!N69*LN(p!N69)),p!N69*LN(p!N69),0)</f>
        <v>0</v>
      </c>
      <c r="O69" s="3">
        <f>IF(ISNUMBER(p!O69*LN(p!O69)),p!O69*LN(p!O69),0)</f>
        <v>-8.8992133768651643E-2</v>
      </c>
      <c r="P69" s="3">
        <f>IF(ISNUMBER(p!P69*LN(p!P69)),p!P69*LN(p!P69),0)</f>
        <v>0</v>
      </c>
      <c r="Q69" s="3">
        <f>IF(ISNUMBER(p!Q69*LN(p!Q69)),p!Q69*LN(p!Q69),0)</f>
        <v>-0.29862657820467586</v>
      </c>
      <c r="R69" s="3">
        <f>IF(ISNUMBER(p!R69*LN(p!R69)),p!R69*LN(p!R69),0)</f>
        <v>0</v>
      </c>
      <c r="S69" s="3">
        <f>IF(ISNUMBER(p!S69*LN(p!S69)),p!S69*LN(p!S69),0)</f>
        <v>0</v>
      </c>
      <c r="T69" s="3">
        <f>IF(ISNUMBER(p!T69*LN(p!T69)),p!T69*LN(p!T69),0)</f>
        <v>0</v>
      </c>
      <c r="U69" s="3">
        <f>IF(ISNUMBER(p!U69*LN(p!U69)),p!U69*LN(p!U69),0)</f>
        <v>0</v>
      </c>
      <c r="V69" s="3">
        <f>IF(ISNUMBER(p!V69*LN(p!V69)),p!V69*LN(p!V69),0)</f>
        <v>0</v>
      </c>
      <c r="W69" s="3">
        <f>IF(ISNUMBER(p!W69*LN(p!W69)),p!W69*LN(p!W69),0)</f>
        <v>0</v>
      </c>
      <c r="X69" s="3">
        <f>IF(ISNUMBER(p!X69*LN(p!X69)),p!X69*LN(p!X69),0)</f>
        <v>0</v>
      </c>
      <c r="Y69" s="3">
        <f>IF(ISNUMBER(p!Y69*LN(p!Y69)),p!Y69*LN(p!Y69),0)</f>
        <v>0</v>
      </c>
      <c r="Z69" s="3">
        <f>IF(ISNUMBER(p!Z69*LN(p!Z69)),p!Z69*LN(p!Z69),0)</f>
        <v>0</v>
      </c>
      <c r="AA69" s="3">
        <f>IF(ISNUMBER(p!AA69*LN(p!AA69)),p!AA69*LN(p!AA69),0)</f>
        <v>0</v>
      </c>
    </row>
    <row r="70" spans="1:27" x14ac:dyDescent="0.25">
      <c r="A70" s="13" t="s">
        <v>71</v>
      </c>
      <c r="B70" s="3">
        <f>IF(ISNUMBER(p!B70*LN(p!B70)),p!B70*LN(p!B70),0)</f>
        <v>-0.33781783482757621</v>
      </c>
      <c r="C70" s="3">
        <f>IF(ISNUMBER(p!C70*LN(p!C70)),p!C70*LN(p!C70),0)</f>
        <v>0</v>
      </c>
      <c r="D70" s="3">
        <f>IF(ISNUMBER(p!D70*LN(p!D70)),p!D70*LN(p!D70),0)</f>
        <v>0</v>
      </c>
      <c r="E70" s="3">
        <f>IF(ISNUMBER(p!E70*LN(p!E70)),p!E70*LN(p!E70),0)</f>
        <v>0</v>
      </c>
      <c r="F70" s="3">
        <f>IF(ISNUMBER(p!F70*LN(p!F70)),p!F70*LN(p!F70),0)</f>
        <v>0</v>
      </c>
      <c r="G70" s="3">
        <f>IF(ISNUMBER(p!G70*LN(p!G70)),p!G70*LN(p!G70),0)</f>
        <v>-0.15497047258770738</v>
      </c>
      <c r="H70" s="3">
        <f>IF(ISNUMBER(p!H70*LN(p!H70)),p!H70*LN(p!H70),0)</f>
        <v>0</v>
      </c>
      <c r="I70" s="3">
        <f>IF(ISNUMBER(p!I70*LN(p!I70)),p!I70*LN(p!I70),0)</f>
        <v>0</v>
      </c>
      <c r="J70" s="3">
        <f>IF(ISNUMBER(p!J70*LN(p!J70)),p!J70*LN(p!J70),0)</f>
        <v>0</v>
      </c>
      <c r="K70" s="3">
        <f>IF(ISNUMBER(p!K70*LN(p!K70)),p!K70*LN(p!K70),0)</f>
        <v>0</v>
      </c>
      <c r="L70" s="3">
        <f>IF(ISNUMBER(p!L70*LN(p!L70)),p!L70*LN(p!L70),0)</f>
        <v>0</v>
      </c>
      <c r="M70" s="3">
        <f>IF(ISNUMBER(p!M70*LN(p!M70)),p!M70*LN(p!M70),0)</f>
        <v>0</v>
      </c>
      <c r="N70" s="3">
        <f>IF(ISNUMBER(p!N70*LN(p!N70)),p!N70*LN(p!N70),0)</f>
        <v>0</v>
      </c>
      <c r="O70" s="3">
        <f>IF(ISNUMBER(p!O70*LN(p!O70)),p!O70*LN(p!O70),0)</f>
        <v>-0.15497047258770738</v>
      </c>
      <c r="P70" s="3">
        <f>IF(ISNUMBER(p!P70*LN(p!P70)),p!P70*LN(p!P70),0)</f>
        <v>-0.15497047258770738</v>
      </c>
      <c r="Q70" s="3">
        <f>IF(ISNUMBER(p!Q70*LN(p!Q70)),p!Q70*LN(p!Q70),0)</f>
        <v>-0.36400405577001643</v>
      </c>
      <c r="R70" s="3">
        <f>IF(ISNUMBER(p!R70*LN(p!R70)),p!R70*LN(p!R70),0)</f>
        <v>0</v>
      </c>
      <c r="S70" s="3">
        <f>IF(ISNUMBER(p!S70*LN(p!S70)),p!S70*LN(p!S70),0)</f>
        <v>0</v>
      </c>
      <c r="T70" s="3">
        <f>IF(ISNUMBER(p!T70*LN(p!T70)),p!T70*LN(p!T70),0)</f>
        <v>0</v>
      </c>
      <c r="U70" s="3">
        <f>IF(ISNUMBER(p!U70*LN(p!U70)),p!U70*LN(p!U70),0)</f>
        <v>0</v>
      </c>
      <c r="V70" s="3">
        <f>IF(ISNUMBER(p!V70*LN(p!V70)),p!V70*LN(p!V70),0)</f>
        <v>0</v>
      </c>
      <c r="W70" s="3">
        <f>IF(ISNUMBER(p!W70*LN(p!W70)),p!W70*LN(p!W70),0)</f>
        <v>0</v>
      </c>
      <c r="X70" s="3">
        <f>IF(ISNUMBER(p!X70*LN(p!X70)),p!X70*LN(p!X70),0)</f>
        <v>0</v>
      </c>
      <c r="Y70" s="3">
        <f>IF(ISNUMBER(p!Y70*LN(p!Y70)),p!Y70*LN(p!Y70),0)</f>
        <v>0</v>
      </c>
      <c r="Z70" s="3">
        <f>IF(ISNUMBER(p!Z70*LN(p!Z70)),p!Z70*LN(p!Z70),0)</f>
        <v>0</v>
      </c>
      <c r="AA70" s="3">
        <f>IF(ISNUMBER(p!AA70*LN(p!AA70)),p!AA70*LN(p!AA70),0)</f>
        <v>0</v>
      </c>
    </row>
    <row r="71" spans="1:27" x14ac:dyDescent="0.25">
      <c r="A71" s="13" t="s">
        <v>72</v>
      </c>
      <c r="B71" s="3">
        <f>IF(ISNUMBER(p!B71*LN(p!B71)),p!B71*LN(p!B71),0)</f>
        <v>-0.12083912792866931</v>
      </c>
      <c r="C71" s="3">
        <f>IF(ISNUMBER(p!C71*LN(p!C71)),p!C71*LN(p!C71),0)</f>
        <v>0</v>
      </c>
      <c r="D71" s="3">
        <f>IF(ISNUMBER(p!D71*LN(p!D71)),p!D71*LN(p!D71),0)</f>
        <v>0</v>
      </c>
      <c r="E71" s="3">
        <f>IF(ISNUMBER(p!E71*LN(p!E71)),p!E71*LN(p!E71),0)</f>
        <v>0</v>
      </c>
      <c r="F71" s="3">
        <f>IF(ISNUMBER(p!F71*LN(p!F71)),p!F71*LN(p!F71),0)</f>
        <v>0</v>
      </c>
      <c r="G71" s="3">
        <f>IF(ISNUMBER(p!G71*LN(p!G71)),p!G71*LN(p!G71),0)</f>
        <v>-7.3870074936375443E-2</v>
      </c>
      <c r="H71" s="3">
        <f>IF(ISNUMBER(p!H71*LN(p!H71)),p!H71*LN(p!H71),0)</f>
        <v>0</v>
      </c>
      <c r="I71" s="3">
        <f>IF(ISNUMBER(p!I71*LN(p!I71)),p!I71*LN(p!I71),0)</f>
        <v>0</v>
      </c>
      <c r="J71" s="3">
        <f>IF(ISNUMBER(p!J71*LN(p!J71)),p!J71*LN(p!J71),0)</f>
        <v>0</v>
      </c>
      <c r="K71" s="3">
        <f>IF(ISNUMBER(p!K71*LN(p!K71)),p!K71*LN(p!K71),0)</f>
        <v>0</v>
      </c>
      <c r="L71" s="3">
        <f>IF(ISNUMBER(p!L71*LN(p!L71)),p!L71*LN(p!L71),0)</f>
        <v>0</v>
      </c>
      <c r="M71" s="3">
        <f>IF(ISNUMBER(p!M71*LN(p!M71)),p!M71*LN(p!M71),0)</f>
        <v>0</v>
      </c>
      <c r="N71" s="3">
        <f>IF(ISNUMBER(p!N71*LN(p!N71)),p!N71*LN(p!N71),0)</f>
        <v>0</v>
      </c>
      <c r="O71" s="3">
        <f>IF(ISNUMBER(p!O71*LN(p!O71)),p!O71*LN(p!O71),0)</f>
        <v>0</v>
      </c>
      <c r="P71" s="3">
        <f>IF(ISNUMBER(p!P71*LN(p!P71)),p!P71*LN(p!P71),0)</f>
        <v>-0.19279182855143581</v>
      </c>
      <c r="Q71" s="3">
        <f>IF(ISNUMBER(p!Q71*LN(p!Q71)),p!Q71*LN(p!Q71),0)</f>
        <v>-0.1220680320742344</v>
      </c>
      <c r="R71" s="3">
        <f>IF(ISNUMBER(p!R71*LN(p!R71)),p!R71*LN(p!R71),0)</f>
        <v>0</v>
      </c>
      <c r="S71" s="3">
        <f>IF(ISNUMBER(p!S71*LN(p!S71)),p!S71*LN(p!S71),0)</f>
        <v>0</v>
      </c>
      <c r="T71" s="3">
        <f>IF(ISNUMBER(p!T71*LN(p!T71)),p!T71*LN(p!T71),0)</f>
        <v>0</v>
      </c>
      <c r="U71" s="3">
        <f>IF(ISNUMBER(p!U71*LN(p!U71)),p!U71*LN(p!U71),0)</f>
        <v>0</v>
      </c>
      <c r="V71" s="3">
        <f>IF(ISNUMBER(p!V71*LN(p!V71)),p!V71*LN(p!V71),0)</f>
        <v>0</v>
      </c>
      <c r="W71" s="3">
        <f>IF(ISNUMBER(p!W71*LN(p!W71)),p!W71*LN(p!W71),0)</f>
        <v>0</v>
      </c>
      <c r="X71" s="3">
        <f>IF(ISNUMBER(p!X71*LN(p!X71)),p!X71*LN(p!X71),0)</f>
        <v>0</v>
      </c>
      <c r="Y71" s="3">
        <f>IF(ISNUMBER(p!Y71*LN(p!Y71)),p!Y71*LN(p!Y71),0)</f>
        <v>0</v>
      </c>
      <c r="Z71" s="3">
        <f>IF(ISNUMBER(p!Z71*LN(p!Z71)),p!Z71*LN(p!Z71),0)</f>
        <v>0</v>
      </c>
      <c r="AA71" s="3">
        <f>IF(ISNUMBER(p!AA71*LN(p!AA71)),p!AA71*LN(p!AA71),0)</f>
        <v>0</v>
      </c>
    </row>
    <row r="72" spans="1:27" x14ac:dyDescent="0.25">
      <c r="A72" s="13" t="s">
        <v>77</v>
      </c>
      <c r="B72" s="3">
        <f>IF(ISNUMBER(p!B72*LN(p!B72)),p!B72*LN(p!B72),0)</f>
        <v>-0.2767176459405738</v>
      </c>
      <c r="C72" s="3">
        <f>IF(ISNUMBER(p!C72*LN(p!C72)),p!C72*LN(p!C72),0)</f>
        <v>0</v>
      </c>
      <c r="D72" s="3">
        <f>IF(ISNUMBER(p!D72*LN(p!D72)),p!D72*LN(p!D72),0)</f>
        <v>0</v>
      </c>
      <c r="E72" s="3">
        <f>IF(ISNUMBER(p!E72*LN(p!E72)),p!E72*LN(p!E72),0)</f>
        <v>0</v>
      </c>
      <c r="F72" s="3">
        <f>IF(ISNUMBER(p!F72*LN(p!F72)),p!F72*LN(p!F72),0)</f>
        <v>0</v>
      </c>
      <c r="G72" s="3">
        <f>IF(ISNUMBER(p!G72*LN(p!G72)),p!G72*LN(p!G72),0)</f>
        <v>-6.7391374822513297E-2</v>
      </c>
      <c r="H72" s="3">
        <f>IF(ISNUMBER(p!H72*LN(p!H72)),p!H72*LN(p!H72),0)</f>
        <v>0</v>
      </c>
      <c r="I72" s="3">
        <f>IF(ISNUMBER(p!I72*LN(p!I72)),p!I72*LN(p!I72),0)</f>
        <v>0</v>
      </c>
      <c r="J72" s="3">
        <f>IF(ISNUMBER(p!J72*LN(p!J72)),p!J72*LN(p!J72),0)</f>
        <v>-0.31986240282989725</v>
      </c>
      <c r="K72" s="3">
        <f>IF(ISNUMBER(p!K72*LN(p!K72)),p!K72*LN(p!K72),0)</f>
        <v>0</v>
      </c>
      <c r="L72" s="3">
        <f>IF(ISNUMBER(p!L72*LN(p!L72)),p!L72*LN(p!L72),0)</f>
        <v>0</v>
      </c>
      <c r="M72" s="3">
        <f>IF(ISNUMBER(p!M72*LN(p!M72)),p!M72*LN(p!M72),0)</f>
        <v>0</v>
      </c>
      <c r="N72" s="3">
        <f>IF(ISNUMBER(p!N72*LN(p!N72)),p!N72*LN(p!N72),0)</f>
        <v>0</v>
      </c>
      <c r="O72" s="3">
        <f>IF(ISNUMBER(p!O72*LN(p!O72)),p!O72*LN(p!O72),0)</f>
        <v>0</v>
      </c>
      <c r="P72" s="3">
        <f>IF(ISNUMBER(p!P72*LN(p!P72)),p!P72*LN(p!P72),0)</f>
        <v>-0.11205661257748742</v>
      </c>
      <c r="Q72" s="3">
        <f>IF(ISNUMBER(p!Q72*LN(p!Q72)),p!Q72*LN(p!Q72),0)</f>
        <v>-0.20503573374911563</v>
      </c>
      <c r="R72" s="3">
        <f>IF(ISNUMBER(p!R72*LN(p!R72)),p!R72*LN(p!R72),0)</f>
        <v>0</v>
      </c>
      <c r="S72" s="3">
        <f>IF(ISNUMBER(p!S72*LN(p!S72)),p!S72*LN(p!S72),0)</f>
        <v>0</v>
      </c>
      <c r="T72" s="3">
        <f>IF(ISNUMBER(p!T72*LN(p!T72)),p!T72*LN(p!T72),0)</f>
        <v>0</v>
      </c>
      <c r="U72" s="3">
        <f>IF(ISNUMBER(p!U72*LN(p!U72)),p!U72*LN(p!U72),0)</f>
        <v>-6.7391374822513297E-2</v>
      </c>
      <c r="V72" s="3">
        <f>IF(ISNUMBER(p!V72*LN(p!V72)),p!V72*LN(p!V72),0)</f>
        <v>0</v>
      </c>
      <c r="W72" s="3">
        <f>IF(ISNUMBER(p!W72*LN(p!W72)),p!W72*LN(p!W72),0)</f>
        <v>0</v>
      </c>
      <c r="X72" s="3">
        <f>IF(ISNUMBER(p!X72*LN(p!X72)),p!X72*LN(p!X72),0)</f>
        <v>0</v>
      </c>
      <c r="Y72" s="3">
        <f>IF(ISNUMBER(p!Y72*LN(p!Y72)),p!Y72*LN(p!Y72),0)</f>
        <v>0</v>
      </c>
      <c r="Z72" s="3">
        <f>IF(ISNUMBER(p!Z72*LN(p!Z72)),p!Z72*LN(p!Z72),0)</f>
        <v>0</v>
      </c>
      <c r="AA72" s="3">
        <f>IF(ISNUMBER(p!AA72*LN(p!AA72)),p!AA72*LN(p!AA72),0)</f>
        <v>0</v>
      </c>
    </row>
    <row r="73" spans="1:27" x14ac:dyDescent="0.25">
      <c r="A73" s="13" t="s">
        <v>78</v>
      </c>
      <c r="B73" s="3">
        <f>IF(ISNUMBER(p!B73*LN(p!B73)),p!B73*LN(p!B73),0)</f>
        <v>-7.281262953090871E-2</v>
      </c>
      <c r="C73" s="3">
        <f>IF(ISNUMBER(p!C73*LN(p!C73)),p!C73*LN(p!C73),0)</f>
        <v>0</v>
      </c>
      <c r="D73" s="3">
        <f>IF(ISNUMBER(p!D73*LN(p!D73)),p!D73*LN(p!D73),0)</f>
        <v>0</v>
      </c>
      <c r="E73" s="3">
        <f>IF(ISNUMBER(p!E73*LN(p!E73)),p!E73*LN(p!E73),0)</f>
        <v>0</v>
      </c>
      <c r="F73" s="3">
        <f>IF(ISNUMBER(p!F73*LN(p!F73)),p!F73*LN(p!F73),0)</f>
        <v>0</v>
      </c>
      <c r="G73" s="3">
        <f>IF(ISNUMBER(p!G73*LN(p!G73)),p!G73*LN(p!G73),0)</f>
        <v>0</v>
      </c>
      <c r="H73" s="3">
        <f>IF(ISNUMBER(p!H73*LN(p!H73)),p!H73*LN(p!H73),0)</f>
        <v>0</v>
      </c>
      <c r="I73" s="3">
        <f>IF(ISNUMBER(p!I73*LN(p!I73)),p!I73*LN(p!I73),0)</f>
        <v>0</v>
      </c>
      <c r="J73" s="3">
        <f>IF(ISNUMBER(p!J73*LN(p!J73)),p!J73*LN(p!J73),0)</f>
        <v>-8.6004309861778663E-2</v>
      </c>
      <c r="K73" s="3">
        <f>IF(ISNUMBER(p!K73*LN(p!K73)),p!K73*LN(p!K73),0)</f>
        <v>0</v>
      </c>
      <c r="L73" s="3">
        <f>IF(ISNUMBER(p!L73*LN(p!L73)),p!L73*LN(p!L73),0)</f>
        <v>0</v>
      </c>
      <c r="M73" s="3">
        <f>IF(ISNUMBER(p!M73*LN(p!M73)),p!M73*LN(p!M73),0)</f>
        <v>0</v>
      </c>
      <c r="N73" s="3">
        <f>IF(ISNUMBER(p!N73*LN(p!N73)),p!N73*LN(p!N73),0)</f>
        <v>0</v>
      </c>
      <c r="O73" s="3">
        <f>IF(ISNUMBER(p!O73*LN(p!O73)),p!O73*LN(p!O73),0)</f>
        <v>0</v>
      </c>
      <c r="P73" s="3">
        <f>IF(ISNUMBER(p!P73*LN(p!P73)),p!P73*LN(p!P73),0)</f>
        <v>-0.10595477458989334</v>
      </c>
      <c r="Q73" s="3">
        <f>IF(ISNUMBER(p!Q73*LN(p!Q73)),p!Q73*LN(p!Q73),0)</f>
        <v>-8.6004309861778663E-2</v>
      </c>
      <c r="R73" s="3">
        <f>IF(ISNUMBER(p!R73*LN(p!R73)),p!R73*LN(p!R73),0)</f>
        <v>0</v>
      </c>
      <c r="S73" s="3">
        <f>IF(ISNUMBER(p!S73*LN(p!S73)),p!S73*LN(p!S73),0)</f>
        <v>0</v>
      </c>
      <c r="T73" s="3">
        <f>IF(ISNUMBER(p!T73*LN(p!T73)),p!T73*LN(p!T73),0)</f>
        <v>0</v>
      </c>
      <c r="U73" s="3">
        <f>IF(ISNUMBER(p!U73*LN(p!U73)),p!U73*LN(p!U73),0)</f>
        <v>0</v>
      </c>
      <c r="V73" s="3">
        <f>IF(ISNUMBER(p!V73*LN(p!V73)),p!V73*LN(p!V73),0)</f>
        <v>0</v>
      </c>
      <c r="W73" s="3">
        <f>IF(ISNUMBER(p!W73*LN(p!W73)),p!W73*LN(p!W73),0)</f>
        <v>0</v>
      </c>
      <c r="X73" s="3">
        <f>IF(ISNUMBER(p!X73*LN(p!X73)),p!X73*LN(p!X73),0)</f>
        <v>0</v>
      </c>
      <c r="Y73" s="3">
        <f>IF(ISNUMBER(p!Y73*LN(p!Y73)),p!Y73*LN(p!Y73),0)</f>
        <v>0</v>
      </c>
      <c r="Z73" s="3">
        <f>IF(ISNUMBER(p!Z73*LN(p!Z73)),p!Z73*LN(p!Z73),0)</f>
        <v>0</v>
      </c>
      <c r="AA73" s="3">
        <f>IF(ISNUMBER(p!AA73*LN(p!AA73)),p!AA73*LN(p!AA73),0)</f>
        <v>0</v>
      </c>
    </row>
    <row r="74" spans="1:27" x14ac:dyDescent="0.25">
      <c r="A74" s="13" t="s">
        <v>79</v>
      </c>
      <c r="B74" s="3">
        <f>IF(ISNUMBER(p!B74*LN(p!B74)),p!B74*LN(p!B74),0)</f>
        <v>-6.653075956958325E-2</v>
      </c>
      <c r="C74" s="3">
        <f>IF(ISNUMBER(p!C74*LN(p!C74)),p!C74*LN(p!C74),0)</f>
        <v>0</v>
      </c>
      <c r="D74" s="3">
        <f>IF(ISNUMBER(p!D74*LN(p!D74)),p!D74*LN(p!D74),0)</f>
        <v>0</v>
      </c>
      <c r="E74" s="3">
        <f>IF(ISNUMBER(p!E74*LN(p!E74)),p!E74*LN(p!E74),0)</f>
        <v>0</v>
      </c>
      <c r="F74" s="3">
        <f>IF(ISNUMBER(p!F74*LN(p!F74)),p!F74*LN(p!F74),0)</f>
        <v>-7.0007638112869294E-2</v>
      </c>
      <c r="G74" s="3">
        <f>IF(ISNUMBER(p!G74*LN(p!G74)),p!G74*LN(p!G74),0)</f>
        <v>0</v>
      </c>
      <c r="H74" s="3">
        <f>IF(ISNUMBER(p!H74*LN(p!H74)),p!H74*LN(p!H74),0)</f>
        <v>0</v>
      </c>
      <c r="I74" s="3">
        <f>IF(ISNUMBER(p!I74*LN(p!I74)),p!I74*LN(p!I74),0)</f>
        <v>0</v>
      </c>
      <c r="J74" s="3">
        <f>IF(ISNUMBER(p!J74*LN(p!J74)),p!J74*LN(p!J74),0)</f>
        <v>0</v>
      </c>
      <c r="K74" s="3">
        <f>IF(ISNUMBER(p!K74*LN(p!K74)),p!K74*LN(p!K74),0)</f>
        <v>0</v>
      </c>
      <c r="L74" s="3">
        <f>IF(ISNUMBER(p!L74*LN(p!L74)),p!L74*LN(p!L74),0)</f>
        <v>0</v>
      </c>
      <c r="M74" s="3">
        <f>IF(ISNUMBER(p!M74*LN(p!M74)),p!M74*LN(p!M74),0)</f>
        <v>0</v>
      </c>
      <c r="N74" s="3">
        <f>IF(ISNUMBER(p!N74*LN(p!N74)),p!N74*LN(p!N74),0)</f>
        <v>0</v>
      </c>
      <c r="O74" s="3">
        <f>IF(ISNUMBER(p!O74*LN(p!O74)),p!O74*LN(p!O74),0)</f>
        <v>0</v>
      </c>
      <c r="P74" s="3">
        <f>IF(ISNUMBER(p!P74*LN(p!P74)),p!P74*LN(p!P74),0)</f>
        <v>-0.1531981407868091</v>
      </c>
      <c r="Q74" s="3">
        <f>IF(ISNUMBER(p!Q74*LN(p!Q74)),p!Q74*LN(p!Q74),0)</f>
        <v>0</v>
      </c>
      <c r="R74" s="3">
        <f>IF(ISNUMBER(p!R74*LN(p!R74)),p!R74*LN(p!R74),0)</f>
        <v>0</v>
      </c>
      <c r="S74" s="3">
        <f>IF(ISNUMBER(p!S74*LN(p!S74)),p!S74*LN(p!S74),0)</f>
        <v>0</v>
      </c>
      <c r="T74" s="3">
        <f>IF(ISNUMBER(p!T74*LN(p!T74)),p!T74*LN(p!T74),0)</f>
        <v>0</v>
      </c>
      <c r="U74" s="3">
        <f>IF(ISNUMBER(p!U74*LN(p!U74)),p!U74*LN(p!U74),0)</f>
        <v>0</v>
      </c>
      <c r="V74" s="3">
        <f>IF(ISNUMBER(p!V74*LN(p!V74)),p!V74*LN(p!V74),0)</f>
        <v>0</v>
      </c>
      <c r="W74" s="3">
        <f>IF(ISNUMBER(p!W74*LN(p!W74)),p!W74*LN(p!W74),0)</f>
        <v>0</v>
      </c>
      <c r="X74" s="3">
        <f>IF(ISNUMBER(p!X74*LN(p!X74)),p!X74*LN(p!X74),0)</f>
        <v>0</v>
      </c>
      <c r="Y74" s="3">
        <f>IF(ISNUMBER(p!Y74*LN(p!Y74)),p!Y74*LN(p!Y74),0)</f>
        <v>0</v>
      </c>
      <c r="Z74" s="3">
        <f>IF(ISNUMBER(p!Z74*LN(p!Z74)),p!Z74*LN(p!Z74),0)</f>
        <v>0</v>
      </c>
      <c r="AA74" s="3">
        <f>IF(ISNUMBER(p!AA74*LN(p!AA74)),p!AA74*LN(p!AA74),0)</f>
        <v>0</v>
      </c>
    </row>
    <row r="75" spans="1:27" x14ac:dyDescent="0.25">
      <c r="A75" s="13" t="s">
        <v>80</v>
      </c>
      <c r="B75" s="3">
        <f>IF(ISNUMBER(p!B75*LN(p!B75)),p!B75*LN(p!B75),0)</f>
        <v>-0.30649537425959444</v>
      </c>
      <c r="C75" s="3">
        <f>IF(ISNUMBER(p!C75*LN(p!C75)),p!C75*LN(p!C75),0)</f>
        <v>0</v>
      </c>
      <c r="D75" s="3">
        <f>IF(ISNUMBER(p!D75*LN(p!D75)),p!D75*LN(p!D75),0)</f>
        <v>0</v>
      </c>
      <c r="E75" s="3">
        <f>IF(ISNUMBER(p!E75*LN(p!E75)),p!E75*LN(p!E75),0)</f>
        <v>0</v>
      </c>
      <c r="F75" s="3">
        <f>IF(ISNUMBER(p!F75*LN(p!F75)),p!F75*LN(p!F75),0)</f>
        <v>0</v>
      </c>
      <c r="G75" s="3">
        <f>IF(ISNUMBER(p!G75*LN(p!G75)),p!G75*LN(p!G75),0)</f>
        <v>0</v>
      </c>
      <c r="H75" s="3">
        <f>IF(ISNUMBER(p!H75*LN(p!H75)),p!H75*LN(p!H75),0)</f>
        <v>0</v>
      </c>
      <c r="I75" s="3">
        <f>IF(ISNUMBER(p!I75*LN(p!I75)),p!I75*LN(p!I75),0)</f>
        <v>0</v>
      </c>
      <c r="J75" s="3">
        <f>IF(ISNUMBER(p!J75*LN(p!J75)),p!J75*LN(p!J75),0)</f>
        <v>-0.26865373607230197</v>
      </c>
      <c r="K75" s="3">
        <f>IF(ISNUMBER(p!K75*LN(p!K75)),p!K75*LN(p!K75),0)</f>
        <v>0</v>
      </c>
      <c r="L75" s="3">
        <f>IF(ISNUMBER(p!L75*LN(p!L75)),p!L75*LN(p!L75),0)</f>
        <v>0</v>
      </c>
      <c r="M75" s="3">
        <f>IF(ISNUMBER(p!M75*LN(p!M75)),p!M75*LN(p!M75),0)</f>
        <v>0</v>
      </c>
      <c r="N75" s="3">
        <f>IF(ISNUMBER(p!N75*LN(p!N75)),p!N75*LN(p!N75),0)</f>
        <v>0</v>
      </c>
      <c r="O75" s="3">
        <f>IF(ISNUMBER(p!O75*LN(p!O75)),p!O75*LN(p!O75),0)</f>
        <v>0</v>
      </c>
      <c r="P75" s="3">
        <f>IF(ISNUMBER(p!P75*LN(p!P75)),p!P75*LN(p!P75),0)</f>
        <v>0</v>
      </c>
      <c r="Q75" s="3">
        <f>IF(ISNUMBER(p!Q75*LN(p!Q75)),p!Q75*LN(p!Q75),0)</f>
        <v>-0.35246822399528521</v>
      </c>
      <c r="R75" s="3">
        <f>IF(ISNUMBER(p!R75*LN(p!R75)),p!R75*LN(p!R75),0)</f>
        <v>0</v>
      </c>
      <c r="S75" s="3">
        <f>IF(ISNUMBER(p!S75*LN(p!S75)),p!S75*LN(p!S75),0)</f>
        <v>0</v>
      </c>
      <c r="T75" s="3">
        <f>IF(ISNUMBER(p!T75*LN(p!T75)),p!T75*LN(p!T75),0)</f>
        <v>0</v>
      </c>
      <c r="U75" s="3">
        <f>IF(ISNUMBER(p!U75*LN(p!U75)),p!U75*LN(p!U75),0)</f>
        <v>0</v>
      </c>
      <c r="V75" s="3">
        <f>IF(ISNUMBER(p!V75*LN(p!V75)),p!V75*LN(p!V75),0)</f>
        <v>0</v>
      </c>
      <c r="W75" s="3">
        <f>IF(ISNUMBER(p!W75*LN(p!W75)),p!W75*LN(p!W75),0)</f>
        <v>0</v>
      </c>
      <c r="X75" s="3">
        <f>IF(ISNUMBER(p!X75*LN(p!X75)),p!X75*LN(p!X75),0)</f>
        <v>0</v>
      </c>
      <c r="Y75" s="3">
        <f>IF(ISNUMBER(p!Y75*LN(p!Y75)),p!Y75*LN(p!Y75),0)</f>
        <v>0</v>
      </c>
      <c r="Z75" s="3">
        <f>IF(ISNUMBER(p!Z75*LN(p!Z75)),p!Z75*LN(p!Z75),0)</f>
        <v>0</v>
      </c>
      <c r="AA75" s="3">
        <f>IF(ISNUMBER(p!AA75*LN(p!AA75)),p!AA75*LN(p!AA75),0)</f>
        <v>0</v>
      </c>
    </row>
    <row r="76" spans="1:27" x14ac:dyDescent="0.25">
      <c r="A76" s="13" t="s">
        <v>97</v>
      </c>
      <c r="B76" s="3">
        <f>IF(ISNUMBER(p!B76*LN(p!B76)),p!B76*LN(p!B76),0)</f>
        <v>-0.16231855862967787</v>
      </c>
      <c r="C76" s="3">
        <f>IF(ISNUMBER(p!C76*LN(p!C76)),p!C76*LN(p!C76),0)</f>
        <v>0</v>
      </c>
      <c r="D76" s="3">
        <f>IF(ISNUMBER(p!D76*LN(p!D76)),p!D76*LN(p!D76),0)</f>
        <v>0</v>
      </c>
      <c r="E76" s="3">
        <f>IF(ISNUMBER(p!E76*LN(p!E76)),p!E76*LN(p!E76),0)</f>
        <v>0</v>
      </c>
      <c r="F76" s="3">
        <f>IF(ISNUMBER(p!F76*LN(p!F76)),p!F76*LN(p!F76),0)</f>
        <v>0</v>
      </c>
      <c r="G76" s="3">
        <f>IF(ISNUMBER(p!G76*LN(p!G76)),p!G76*LN(p!G76),0)</f>
        <v>-9.3937478105888358E-2</v>
      </c>
      <c r="H76" s="3">
        <f>IF(ISNUMBER(p!H76*LN(p!H76)),p!H76*LN(p!H76),0)</f>
        <v>0</v>
      </c>
      <c r="I76" s="3">
        <f>IF(ISNUMBER(p!I76*LN(p!I76)),p!I76*LN(p!I76),0)</f>
        <v>0</v>
      </c>
      <c r="J76" s="3">
        <f>IF(ISNUMBER(p!J76*LN(p!J76)),p!J76*LN(p!J76),0)</f>
        <v>-9.3937478105888358E-2</v>
      </c>
      <c r="K76" s="3">
        <f>IF(ISNUMBER(p!K76*LN(p!K76)),p!K76*LN(p!K76),0)</f>
        <v>0</v>
      </c>
      <c r="L76" s="3">
        <f>IF(ISNUMBER(p!L76*LN(p!L76)),p!L76*LN(p!L76),0)</f>
        <v>0</v>
      </c>
      <c r="M76" s="3">
        <f>IF(ISNUMBER(p!M76*LN(p!M76)),p!M76*LN(p!M76),0)</f>
        <v>0</v>
      </c>
      <c r="N76" s="3">
        <f>IF(ISNUMBER(p!N76*LN(p!N76)),p!N76*LN(p!N76),0)</f>
        <v>0</v>
      </c>
      <c r="O76" s="3">
        <f>IF(ISNUMBER(p!O76*LN(p!O76)),p!O76*LN(p!O76),0)</f>
        <v>0</v>
      </c>
      <c r="P76" s="3">
        <f>IF(ISNUMBER(p!P76*LN(p!P76)),p!P76*LN(p!P76),0)</f>
        <v>-9.3937478105888358E-2</v>
      </c>
      <c r="Q76" s="3">
        <f>IF(ISNUMBER(p!Q76*LN(p!Q76)),p!Q76*LN(p!Q76),0)</f>
        <v>-0.23356587538561599</v>
      </c>
      <c r="R76" s="3">
        <f>IF(ISNUMBER(p!R76*LN(p!R76)),p!R76*LN(p!R76),0)</f>
        <v>0</v>
      </c>
      <c r="S76" s="3">
        <f>IF(ISNUMBER(p!S76*LN(p!S76)),p!S76*LN(p!S76),0)</f>
        <v>0</v>
      </c>
      <c r="T76" s="3">
        <f>IF(ISNUMBER(p!T76*LN(p!T76)),p!T76*LN(p!T76),0)</f>
        <v>0</v>
      </c>
      <c r="U76" s="3">
        <f>IF(ISNUMBER(p!U76*LN(p!U76)),p!U76*LN(p!U76),0)</f>
        <v>0</v>
      </c>
      <c r="V76" s="3">
        <f>IF(ISNUMBER(p!V76*LN(p!V76)),p!V76*LN(p!V76),0)</f>
        <v>0</v>
      </c>
      <c r="W76" s="3">
        <f>IF(ISNUMBER(p!W76*LN(p!W76)),p!W76*LN(p!W76),0)</f>
        <v>0</v>
      </c>
      <c r="X76" s="3">
        <f>IF(ISNUMBER(p!X76*LN(p!X76)),p!X76*LN(p!X76),0)</f>
        <v>0</v>
      </c>
      <c r="Y76" s="3">
        <f>IF(ISNUMBER(p!Y76*LN(p!Y76)),p!Y76*LN(p!Y76),0)</f>
        <v>0</v>
      </c>
      <c r="Z76" s="3">
        <f>IF(ISNUMBER(p!Z76*LN(p!Z76)),p!Z76*LN(p!Z76),0)</f>
        <v>0</v>
      </c>
      <c r="AA76" s="3">
        <f>IF(ISNUMBER(p!AA76*LN(p!AA76)),p!AA76*LN(p!AA76),0)</f>
        <v>0</v>
      </c>
    </row>
    <row r="77" spans="1:27" x14ac:dyDescent="0.25">
      <c r="A77" s="13" t="s">
        <v>99</v>
      </c>
      <c r="B77" s="3">
        <f>IF(ISNUMBER(p!B77*LN(p!B77)),p!B77*LN(p!B77),0)</f>
        <v>-0.34004176305146527</v>
      </c>
      <c r="C77" s="3">
        <f>IF(ISNUMBER(p!C77*LN(p!C77)),p!C77*LN(p!C77),0)</f>
        <v>0</v>
      </c>
      <c r="D77" s="3">
        <f>IF(ISNUMBER(p!D77*LN(p!D77)),p!D77*LN(p!D77),0)</f>
        <v>0</v>
      </c>
      <c r="E77" s="3">
        <f>IF(ISNUMBER(p!E77*LN(p!E77)),p!E77*LN(p!E77),0)</f>
        <v>0</v>
      </c>
      <c r="F77" s="3">
        <f>IF(ISNUMBER(p!F77*LN(p!F77)),p!F77*LN(p!F77),0)</f>
        <v>0</v>
      </c>
      <c r="G77" s="3">
        <f>IF(ISNUMBER(p!G77*LN(p!G77)),p!G77*LN(p!G77),0)</f>
        <v>0</v>
      </c>
      <c r="H77" s="3">
        <f>IF(ISNUMBER(p!H77*LN(p!H77)),p!H77*LN(p!H77),0)</f>
        <v>0</v>
      </c>
      <c r="I77" s="3">
        <f>IF(ISNUMBER(p!I77*LN(p!I77)),p!I77*LN(p!I77),0)</f>
        <v>0</v>
      </c>
      <c r="J77" s="3">
        <f>IF(ISNUMBER(p!J77*LN(p!J77)),p!J77*LN(p!J77),0)</f>
        <v>-0.29321303419972966</v>
      </c>
      <c r="K77" s="3">
        <f>IF(ISNUMBER(p!K77*LN(p!K77)),p!K77*LN(p!K77),0)</f>
        <v>0</v>
      </c>
      <c r="L77" s="3">
        <f>IF(ISNUMBER(p!L77*LN(p!L77)),p!L77*LN(p!L77),0)</f>
        <v>0</v>
      </c>
      <c r="M77" s="3">
        <f>IF(ISNUMBER(p!M77*LN(p!M77)),p!M77*LN(p!M77),0)</f>
        <v>0</v>
      </c>
      <c r="N77" s="3">
        <f>IF(ISNUMBER(p!N77*LN(p!N77)),p!N77*LN(p!N77),0)</f>
        <v>0</v>
      </c>
      <c r="O77" s="3">
        <f>IF(ISNUMBER(p!O77*LN(p!O77)),p!O77*LN(p!O77),0)</f>
        <v>0</v>
      </c>
      <c r="P77" s="3">
        <f>IF(ISNUMBER(p!P77*LN(p!P77)),p!P77*LN(p!P77),0)</f>
        <v>-0.20205829154466046</v>
      </c>
      <c r="Q77" s="3">
        <f>IF(ISNUMBER(p!Q77*LN(p!Q77)),p!Q77*LN(p!Q77),0)</f>
        <v>-0.342507925353635</v>
      </c>
      <c r="R77" s="3">
        <f>IF(ISNUMBER(p!R77*LN(p!R77)),p!R77*LN(p!R77),0)</f>
        <v>0</v>
      </c>
      <c r="S77" s="3">
        <f>IF(ISNUMBER(p!S77*LN(p!S77)),p!S77*LN(p!S77),0)</f>
        <v>0</v>
      </c>
      <c r="T77" s="3">
        <f>IF(ISNUMBER(p!T77*LN(p!T77)),p!T77*LN(p!T77),0)</f>
        <v>0</v>
      </c>
      <c r="U77" s="3">
        <f>IF(ISNUMBER(p!U77*LN(p!U77)),p!U77*LN(p!U77),0)</f>
        <v>0</v>
      </c>
      <c r="V77" s="3">
        <f>IF(ISNUMBER(p!V77*LN(p!V77)),p!V77*LN(p!V77),0)</f>
        <v>0</v>
      </c>
      <c r="W77" s="3">
        <f>IF(ISNUMBER(p!W77*LN(p!W77)),p!W77*LN(p!W77),0)</f>
        <v>0</v>
      </c>
      <c r="X77" s="3">
        <f>IF(ISNUMBER(p!X77*LN(p!X77)),p!X77*LN(p!X77),0)</f>
        <v>0</v>
      </c>
      <c r="Y77" s="3">
        <f>IF(ISNUMBER(p!Y77*LN(p!Y77)),p!Y77*LN(p!Y77),0)</f>
        <v>0</v>
      </c>
      <c r="Z77" s="3">
        <f>IF(ISNUMBER(p!Z77*LN(p!Z77)),p!Z77*LN(p!Z77),0)</f>
        <v>0</v>
      </c>
      <c r="AA77" s="3">
        <f>IF(ISNUMBER(p!AA77*LN(p!AA77)),p!AA77*LN(p!AA77),0)</f>
        <v>0</v>
      </c>
    </row>
    <row r="78" spans="1:27" x14ac:dyDescent="0.25">
      <c r="A78" s="13" t="s">
        <v>100</v>
      </c>
      <c r="B78" s="3">
        <f>IF(ISNUMBER(p!B78*LN(p!B78)),p!B78*LN(p!B78),0)</f>
        <v>-0.3500053776133239</v>
      </c>
      <c r="C78" s="3">
        <f>IF(ISNUMBER(p!C78*LN(p!C78)),p!C78*LN(p!C78),0)</f>
        <v>0</v>
      </c>
      <c r="D78" s="3">
        <f>IF(ISNUMBER(p!D78*LN(p!D78)),p!D78*LN(p!D78),0)</f>
        <v>0</v>
      </c>
      <c r="E78" s="3">
        <f>IF(ISNUMBER(p!E78*LN(p!E78)),p!E78*LN(p!E78),0)</f>
        <v>0</v>
      </c>
      <c r="F78" s="3">
        <f>IF(ISNUMBER(p!F78*LN(p!F78)),p!F78*LN(p!F78),0)</f>
        <v>0</v>
      </c>
      <c r="G78" s="3">
        <f>IF(ISNUMBER(p!G78*LN(p!G78)),p!G78*LN(p!G78),0)</f>
        <v>-0.22092146554173692</v>
      </c>
      <c r="H78" s="3">
        <f>IF(ISNUMBER(p!H78*LN(p!H78)),p!H78*LN(p!H78),0)</f>
        <v>0</v>
      </c>
      <c r="I78" s="3">
        <f>IF(ISNUMBER(p!I78*LN(p!I78)),p!I78*LN(p!I78),0)</f>
        <v>0</v>
      </c>
      <c r="J78" s="3">
        <f>IF(ISNUMBER(p!J78*LN(p!J78)),p!J78*LN(p!J78),0)</f>
        <v>-0.29551232015041268</v>
      </c>
      <c r="K78" s="3">
        <f>IF(ISNUMBER(p!K78*LN(p!K78)),p!K78*LN(p!K78),0)</f>
        <v>0</v>
      </c>
      <c r="L78" s="3">
        <f>IF(ISNUMBER(p!L78*LN(p!L78)),p!L78*LN(p!L78),0)</f>
        <v>0</v>
      </c>
      <c r="M78" s="3">
        <f>IF(ISNUMBER(p!M78*LN(p!M78)),p!M78*LN(p!M78),0)</f>
        <v>0</v>
      </c>
      <c r="N78" s="3">
        <f>IF(ISNUMBER(p!N78*LN(p!N78)),p!N78*LN(p!N78),0)</f>
        <v>0</v>
      </c>
      <c r="O78" s="3">
        <f>IF(ISNUMBER(p!O78*LN(p!O78)),p!O78*LN(p!O78),0)</f>
        <v>0</v>
      </c>
      <c r="P78" s="3">
        <f>IF(ISNUMBER(p!P78*LN(p!P78)),p!P78*LN(p!P78),0)</f>
        <v>0</v>
      </c>
      <c r="Q78" s="3">
        <f>IF(ISNUMBER(p!Q78*LN(p!Q78)),p!Q78*LN(p!Q78),0)</f>
        <v>-0.34875240167086308</v>
      </c>
      <c r="R78" s="3">
        <f>IF(ISNUMBER(p!R78*LN(p!R78)),p!R78*LN(p!R78),0)</f>
        <v>0</v>
      </c>
      <c r="S78" s="3">
        <f>IF(ISNUMBER(p!S78*LN(p!S78)),p!S78*LN(p!S78),0)</f>
        <v>0</v>
      </c>
      <c r="T78" s="3">
        <f>IF(ISNUMBER(p!T78*LN(p!T78)),p!T78*LN(p!T78),0)</f>
        <v>0</v>
      </c>
      <c r="U78" s="3">
        <f>IF(ISNUMBER(p!U78*LN(p!U78)),p!U78*LN(p!U78),0)</f>
        <v>0</v>
      </c>
      <c r="V78" s="3">
        <f>IF(ISNUMBER(p!V78*LN(p!V78)),p!V78*LN(p!V78),0)</f>
        <v>0</v>
      </c>
      <c r="W78" s="3">
        <f>IF(ISNUMBER(p!W78*LN(p!W78)),p!W78*LN(p!W78),0)</f>
        <v>0</v>
      </c>
      <c r="X78" s="3">
        <f>IF(ISNUMBER(p!X78*LN(p!X78)),p!X78*LN(p!X78),0)</f>
        <v>0</v>
      </c>
      <c r="Y78" s="3">
        <f>IF(ISNUMBER(p!Y78*LN(p!Y78)),p!Y78*LN(p!Y78),0)</f>
        <v>0</v>
      </c>
      <c r="Z78" s="3">
        <f>IF(ISNUMBER(p!Z78*LN(p!Z78)),p!Z78*LN(p!Z78),0)</f>
        <v>0</v>
      </c>
      <c r="AA78" s="3">
        <f>IF(ISNUMBER(p!AA78*LN(p!AA78)),p!AA78*LN(p!AA78),0)</f>
        <v>0</v>
      </c>
    </row>
    <row r="79" spans="1:27" x14ac:dyDescent="0.25">
      <c r="A79" s="13" t="s">
        <v>101</v>
      </c>
      <c r="B79" s="3">
        <f>IF(ISNUMBER(p!B79*LN(p!B79)),p!B79*LN(p!B79),0)</f>
        <v>-0.36785487697399272</v>
      </c>
      <c r="C79" s="3">
        <f>IF(ISNUMBER(p!C79*LN(p!C79)),p!C79*LN(p!C79),0)</f>
        <v>0</v>
      </c>
      <c r="D79" s="3">
        <f>IF(ISNUMBER(p!D79*LN(p!D79)),p!D79*LN(p!D79),0)</f>
        <v>0</v>
      </c>
      <c r="E79" s="3">
        <f>IF(ISNUMBER(p!E79*LN(p!E79)),p!E79*LN(p!E79),0)</f>
        <v>0</v>
      </c>
      <c r="F79" s="3">
        <f>IF(ISNUMBER(p!F79*LN(p!F79)),p!F79*LN(p!F79),0)</f>
        <v>0</v>
      </c>
      <c r="G79" s="3">
        <f>IF(ISNUMBER(p!G79*LN(p!G79)),p!G79*LN(p!G79),0)</f>
        <v>-0.35434990476279837</v>
      </c>
      <c r="H79" s="3">
        <f>IF(ISNUMBER(p!H79*LN(p!H79)),p!H79*LN(p!H79),0)</f>
        <v>0</v>
      </c>
      <c r="I79" s="3">
        <f>IF(ISNUMBER(p!I79*LN(p!I79)),p!I79*LN(p!I79),0)</f>
        <v>0</v>
      </c>
      <c r="J79" s="3">
        <f>IF(ISNUMBER(p!J79*LN(p!J79)),p!J79*LN(p!J79),0)</f>
        <v>-0.30995419858880463</v>
      </c>
      <c r="K79" s="3">
        <f>IF(ISNUMBER(p!K79*LN(p!K79)),p!K79*LN(p!K79),0)</f>
        <v>0</v>
      </c>
      <c r="L79" s="3">
        <f>IF(ISNUMBER(p!L79*LN(p!L79)),p!L79*LN(p!L79),0)</f>
        <v>0</v>
      </c>
      <c r="M79" s="3">
        <f>IF(ISNUMBER(p!M79*LN(p!M79)),p!M79*LN(p!M79),0)</f>
        <v>0</v>
      </c>
      <c r="N79" s="3">
        <f>IF(ISNUMBER(p!N79*LN(p!N79)),p!N79*LN(p!N79),0)</f>
        <v>0</v>
      </c>
      <c r="O79" s="3">
        <f>IF(ISNUMBER(p!O79*LN(p!O79)),p!O79*LN(p!O79),0)</f>
        <v>0</v>
      </c>
      <c r="P79" s="3">
        <f>IF(ISNUMBER(p!P79*LN(p!P79)),p!P79*LN(p!P79),0)</f>
        <v>-0.14050192969810527</v>
      </c>
      <c r="Q79" s="3">
        <f>IF(ISNUMBER(p!Q79*LN(p!Q79)),p!Q79*LN(p!Q79),0)</f>
        <v>-0.2716950224577554</v>
      </c>
      <c r="R79" s="3">
        <f>IF(ISNUMBER(p!R79*LN(p!R79)),p!R79*LN(p!R79),0)</f>
        <v>0</v>
      </c>
      <c r="S79" s="3">
        <f>IF(ISNUMBER(p!S79*LN(p!S79)),p!S79*LN(p!S79),0)</f>
        <v>0</v>
      </c>
      <c r="T79" s="3">
        <f>IF(ISNUMBER(p!T79*LN(p!T79)),p!T79*LN(p!T79),0)</f>
        <v>0</v>
      </c>
      <c r="U79" s="3">
        <f>IF(ISNUMBER(p!U79*LN(p!U79)),p!U79*LN(p!U79),0)</f>
        <v>0</v>
      </c>
      <c r="V79" s="3">
        <f>IF(ISNUMBER(p!V79*LN(p!V79)),p!V79*LN(p!V79),0)</f>
        <v>0</v>
      </c>
      <c r="W79" s="3">
        <f>IF(ISNUMBER(p!W79*LN(p!W79)),p!W79*LN(p!W79),0)</f>
        <v>0</v>
      </c>
      <c r="X79" s="3">
        <f>IF(ISNUMBER(p!X79*LN(p!X79)),p!X79*LN(p!X79),0)</f>
        <v>0</v>
      </c>
      <c r="Y79" s="3">
        <f>IF(ISNUMBER(p!Y79*LN(p!Y79)),p!Y79*LN(p!Y79),0)</f>
        <v>0</v>
      </c>
      <c r="Z79" s="3">
        <f>IF(ISNUMBER(p!Z79*LN(p!Z79)),p!Z79*LN(p!Z79),0)</f>
        <v>0</v>
      </c>
      <c r="AA79" s="3">
        <f>IF(ISNUMBER(p!AA79*LN(p!AA79)),p!AA79*LN(p!AA79),0)</f>
        <v>0</v>
      </c>
    </row>
    <row r="80" spans="1:27" x14ac:dyDescent="0.25">
      <c r="A80" s="13" t="s">
        <v>103</v>
      </c>
      <c r="B80" s="3">
        <f>IF(ISNUMBER(p!B80*LN(p!B80)),p!B80*LN(p!B80),0)</f>
        <v>-0.22241973786451583</v>
      </c>
      <c r="C80" s="3">
        <f>IF(ISNUMBER(p!C80*LN(p!C80)),p!C80*LN(p!C80),0)</f>
        <v>0</v>
      </c>
      <c r="D80" s="3">
        <f>IF(ISNUMBER(p!D80*LN(p!D80)),p!D80*LN(p!D80),0)</f>
        <v>0</v>
      </c>
      <c r="E80" s="3">
        <f>IF(ISNUMBER(p!E80*LN(p!E80)),p!E80*LN(p!E80),0)</f>
        <v>0</v>
      </c>
      <c r="F80" s="3">
        <f>IF(ISNUMBER(p!F80*LN(p!F80)),p!F80*LN(p!F80),0)</f>
        <v>0</v>
      </c>
      <c r="G80" s="3">
        <f>IF(ISNUMBER(p!G80*LN(p!G80)),p!G80*LN(p!G80),0)</f>
        <v>-0.16665960847389508</v>
      </c>
      <c r="H80" s="3">
        <f>IF(ISNUMBER(p!H80*LN(p!H80)),p!H80*LN(p!H80),0)</f>
        <v>0</v>
      </c>
      <c r="I80" s="3">
        <f>IF(ISNUMBER(p!I80*LN(p!I80)),p!I80*LN(p!I80),0)</f>
        <v>0</v>
      </c>
      <c r="J80" s="3">
        <f>IF(ISNUMBER(p!J80*LN(p!J80)),p!J80*LN(p!J80),0)</f>
        <v>-0.23809906978043904</v>
      </c>
      <c r="K80" s="3">
        <f>IF(ISNUMBER(p!K80*LN(p!K80)),p!K80*LN(p!K80),0)</f>
        <v>0</v>
      </c>
      <c r="L80" s="3">
        <f>IF(ISNUMBER(p!L80*LN(p!L80)),p!L80*LN(p!L80),0)</f>
        <v>0</v>
      </c>
      <c r="M80" s="3">
        <f>IF(ISNUMBER(p!M80*LN(p!M80)),p!M80*LN(p!M80),0)</f>
        <v>0</v>
      </c>
      <c r="N80" s="3">
        <f>IF(ISNUMBER(p!N80*LN(p!N80)),p!N80*LN(p!N80),0)</f>
        <v>0</v>
      </c>
      <c r="O80" s="3">
        <f>IF(ISNUMBER(p!O80*LN(p!O80)),p!O80*LN(p!O80),0)</f>
        <v>-5.2266485370474319E-2</v>
      </c>
      <c r="P80" s="3">
        <f>IF(ISNUMBER(p!P80*LN(p!P80)),p!P80*LN(p!P80),0)</f>
        <v>0</v>
      </c>
      <c r="Q80" s="3">
        <f>IF(ISNUMBER(p!Q80*LN(p!Q80)),p!Q80*LN(p!Q80),0)</f>
        <v>-0.25177248982309069</v>
      </c>
      <c r="R80" s="3">
        <f>IF(ISNUMBER(p!R80*LN(p!R80)),p!R80*LN(p!R80),0)</f>
        <v>0</v>
      </c>
      <c r="S80" s="3">
        <f>IF(ISNUMBER(p!S80*LN(p!S80)),p!S80*LN(p!S80),0)</f>
        <v>0</v>
      </c>
      <c r="T80" s="3">
        <f>IF(ISNUMBER(p!T80*LN(p!T80)),p!T80*LN(p!T80),0)</f>
        <v>0</v>
      </c>
      <c r="U80" s="3">
        <f>IF(ISNUMBER(p!U80*LN(p!U80)),p!U80*LN(p!U80),0)</f>
        <v>0</v>
      </c>
      <c r="V80" s="3">
        <f>IF(ISNUMBER(p!V80*LN(p!V80)),p!V80*LN(p!V80),0)</f>
        <v>0</v>
      </c>
      <c r="W80" s="3">
        <f>IF(ISNUMBER(p!W80*LN(p!W80)),p!W80*LN(p!W80),0)</f>
        <v>0</v>
      </c>
      <c r="X80" s="3">
        <f>IF(ISNUMBER(p!X80*LN(p!X80)),p!X80*LN(p!X80),0)</f>
        <v>0</v>
      </c>
      <c r="Y80" s="3">
        <f>IF(ISNUMBER(p!Y80*LN(p!Y80)),p!Y80*LN(p!Y80),0)</f>
        <v>0</v>
      </c>
      <c r="Z80" s="3">
        <f>IF(ISNUMBER(p!Z80*LN(p!Z80)),p!Z80*LN(p!Z80),0)</f>
        <v>0</v>
      </c>
      <c r="AA80" s="3">
        <f>IF(ISNUMBER(p!AA80*LN(p!AA80)),p!AA80*LN(p!AA80),0)</f>
        <v>0</v>
      </c>
    </row>
    <row r="81" spans="1:27" x14ac:dyDescent="0.25">
      <c r="A81" s="13" t="s">
        <v>104</v>
      </c>
      <c r="B81" s="3">
        <f>IF(ISNUMBER(p!B81*LN(p!B81)),p!B81*LN(p!B81),0)</f>
        <v>-0.35156341397231089</v>
      </c>
      <c r="C81" s="3">
        <f>IF(ISNUMBER(p!C81*LN(p!C81)),p!C81*LN(p!C81),0)</f>
        <v>0</v>
      </c>
      <c r="D81" s="3">
        <f>IF(ISNUMBER(p!D81*LN(p!D81)),p!D81*LN(p!D81),0)</f>
        <v>0</v>
      </c>
      <c r="E81" s="3">
        <f>IF(ISNUMBER(p!E81*LN(p!E81)),p!E81*LN(p!E81),0)</f>
        <v>0</v>
      </c>
      <c r="F81" s="3">
        <f>IF(ISNUMBER(p!F81*LN(p!F81)),p!F81*LN(p!F81),0)</f>
        <v>0</v>
      </c>
      <c r="G81" s="3">
        <f>IF(ISNUMBER(p!G81*LN(p!G81)),p!G81*LN(p!G81),0)</f>
        <v>-0.2732415819126322</v>
      </c>
      <c r="H81" s="3">
        <f>IF(ISNUMBER(p!H81*LN(p!H81)),p!H81*LN(p!H81),0)</f>
        <v>0</v>
      </c>
      <c r="I81" s="3">
        <f>IF(ISNUMBER(p!I81*LN(p!I81)),p!I81*LN(p!I81),0)</f>
        <v>0</v>
      </c>
      <c r="J81" s="3">
        <f>IF(ISNUMBER(p!J81*LN(p!J81)),p!J81*LN(p!J81),0)</f>
        <v>-0.11611364930987841</v>
      </c>
      <c r="K81" s="3">
        <f>IF(ISNUMBER(p!K81*LN(p!K81)),p!K81*LN(p!K81),0)</f>
        <v>0</v>
      </c>
      <c r="L81" s="3">
        <f>IF(ISNUMBER(p!L81*LN(p!L81)),p!L81*LN(p!L81),0)</f>
        <v>0</v>
      </c>
      <c r="M81" s="3">
        <f>IF(ISNUMBER(p!M81*LN(p!M81)),p!M81*LN(p!M81),0)</f>
        <v>0</v>
      </c>
      <c r="N81" s="3">
        <f>IF(ISNUMBER(p!N81*LN(p!N81)),p!N81*LN(p!N81),0)</f>
        <v>0</v>
      </c>
      <c r="O81" s="3">
        <f>IF(ISNUMBER(p!O81*LN(p!O81)),p!O81*LN(p!O81),0)</f>
        <v>-0.11611364930987841</v>
      </c>
      <c r="P81" s="3">
        <f>IF(ISNUMBER(p!P81*LN(p!P81)),p!P81*LN(p!P81),0)</f>
        <v>0</v>
      </c>
      <c r="Q81" s="3">
        <f>IF(ISNUMBER(p!Q81*LN(p!Q81)),p!Q81*LN(p!Q81),0)</f>
        <v>-0.36312556116732042</v>
      </c>
      <c r="R81" s="3">
        <f>IF(ISNUMBER(p!R81*LN(p!R81)),p!R81*LN(p!R81),0)</f>
        <v>0</v>
      </c>
      <c r="S81" s="3">
        <f>IF(ISNUMBER(p!S81*LN(p!S81)),p!S81*LN(p!S81),0)</f>
        <v>0</v>
      </c>
      <c r="T81" s="3">
        <f>IF(ISNUMBER(p!T81*LN(p!T81)),p!T81*LN(p!T81),0)</f>
        <v>0</v>
      </c>
      <c r="U81" s="3">
        <f>IF(ISNUMBER(p!U81*LN(p!U81)),p!U81*LN(p!U81),0)</f>
        <v>0</v>
      </c>
      <c r="V81" s="3">
        <f>IF(ISNUMBER(p!V81*LN(p!V81)),p!V81*LN(p!V81),0)</f>
        <v>0</v>
      </c>
      <c r="W81" s="3">
        <f>IF(ISNUMBER(p!W81*LN(p!W81)),p!W81*LN(p!W81),0)</f>
        <v>0</v>
      </c>
      <c r="X81" s="3">
        <f>IF(ISNUMBER(p!X81*LN(p!X81)),p!X81*LN(p!X81),0)</f>
        <v>0</v>
      </c>
      <c r="Y81" s="3">
        <f>IF(ISNUMBER(p!Y81*LN(p!Y81)),p!Y81*LN(p!Y81),0)</f>
        <v>0</v>
      </c>
      <c r="Z81" s="3">
        <f>IF(ISNUMBER(p!Z81*LN(p!Z81)),p!Z81*LN(p!Z81),0)</f>
        <v>0</v>
      </c>
      <c r="AA81" s="3">
        <f>IF(ISNUMBER(p!AA81*LN(p!AA81)),p!AA81*LN(p!AA81),0)</f>
        <v>0</v>
      </c>
    </row>
    <row r="82" spans="1:27" x14ac:dyDescent="0.25">
      <c r="A82" s="13" t="s">
        <v>105</v>
      </c>
      <c r="B82" s="3">
        <f>IF(ISNUMBER(p!B82*LN(p!B82)),p!B82*LN(p!B82),0)</f>
        <v>-0.30389775545622183</v>
      </c>
      <c r="C82" s="3">
        <f>IF(ISNUMBER(p!C82*LN(p!C82)),p!C82*LN(p!C82),0)</f>
        <v>0</v>
      </c>
      <c r="D82" s="3">
        <f>IF(ISNUMBER(p!D82*LN(p!D82)),p!D82*LN(p!D82),0)</f>
        <v>0</v>
      </c>
      <c r="E82" s="3">
        <f>IF(ISNUMBER(p!E82*LN(p!E82)),p!E82*LN(p!E82),0)</f>
        <v>0</v>
      </c>
      <c r="F82" s="3">
        <f>IF(ISNUMBER(p!F82*LN(p!F82)),p!F82*LN(p!F82),0)</f>
        <v>0</v>
      </c>
      <c r="G82" s="3">
        <f>IF(ISNUMBER(p!G82*LN(p!G82)),p!G82*LN(p!G82),0)</f>
        <v>-0.15497047258770738</v>
      </c>
      <c r="H82" s="3">
        <f>IF(ISNUMBER(p!H82*LN(p!H82)),p!H82*LN(p!H82),0)</f>
        <v>0</v>
      </c>
      <c r="I82" s="3">
        <f>IF(ISNUMBER(p!I82*LN(p!I82)),p!I82*LN(p!I82),0)</f>
        <v>0</v>
      </c>
      <c r="J82" s="3">
        <f>IF(ISNUMBER(p!J82*LN(p!J82)),p!J82*LN(p!J82),0)</f>
        <v>-0.35885788832126758</v>
      </c>
      <c r="K82" s="3">
        <f>IF(ISNUMBER(p!K82*LN(p!K82)),p!K82*LN(p!K82),0)</f>
        <v>0</v>
      </c>
      <c r="L82" s="3">
        <f>IF(ISNUMBER(p!L82*LN(p!L82)),p!L82*LN(p!L82),0)</f>
        <v>0</v>
      </c>
      <c r="M82" s="3">
        <f>IF(ISNUMBER(p!M82*LN(p!M82)),p!M82*LN(p!M82),0)</f>
        <v>0</v>
      </c>
      <c r="N82" s="3">
        <f>IF(ISNUMBER(p!N82*LN(p!N82)),p!N82*LN(p!N82),0)</f>
        <v>0</v>
      </c>
      <c r="O82" s="3">
        <f>IF(ISNUMBER(p!O82*LN(p!O82)),p!O82*LN(p!O82),0)</f>
        <v>0</v>
      </c>
      <c r="P82" s="3">
        <f>IF(ISNUMBER(p!P82*LN(p!P82)),p!P82*LN(p!P82),0)</f>
        <v>0</v>
      </c>
      <c r="Q82" s="3">
        <f>IF(ISNUMBER(p!Q82*LN(p!Q82)),p!Q82*LN(p!Q82),0)</f>
        <v>-9.5725951571747001E-2</v>
      </c>
      <c r="R82" s="3">
        <f>IF(ISNUMBER(p!R82*LN(p!R82)),p!R82*LN(p!R82),0)</f>
        <v>0</v>
      </c>
      <c r="S82" s="3">
        <f>IF(ISNUMBER(p!S82*LN(p!S82)),p!S82*LN(p!S82),0)</f>
        <v>0</v>
      </c>
      <c r="T82" s="3">
        <f>IF(ISNUMBER(p!T82*LN(p!T82)),p!T82*LN(p!T82),0)</f>
        <v>0</v>
      </c>
      <c r="U82" s="3">
        <f>IF(ISNUMBER(p!U82*LN(p!U82)),p!U82*LN(p!U82),0)</f>
        <v>0</v>
      </c>
      <c r="V82" s="3">
        <f>IF(ISNUMBER(p!V82*LN(p!V82)),p!V82*LN(p!V82),0)</f>
        <v>0</v>
      </c>
      <c r="W82" s="3">
        <f>IF(ISNUMBER(p!W82*LN(p!W82)),p!W82*LN(p!W82),0)</f>
        <v>0</v>
      </c>
      <c r="X82" s="3">
        <f>IF(ISNUMBER(p!X82*LN(p!X82)),p!X82*LN(p!X82),0)</f>
        <v>0</v>
      </c>
      <c r="Y82" s="3">
        <f>IF(ISNUMBER(p!Y82*LN(p!Y82)),p!Y82*LN(p!Y82),0)</f>
        <v>0</v>
      </c>
      <c r="Z82" s="3">
        <f>IF(ISNUMBER(p!Z82*LN(p!Z82)),p!Z82*LN(p!Z82),0)</f>
        <v>-9.5725951571747001E-2</v>
      </c>
      <c r="AA82" s="3">
        <f>IF(ISNUMBER(p!AA82*LN(p!AA82)),p!AA82*LN(p!AA82),0)</f>
        <v>0</v>
      </c>
    </row>
    <row r="83" spans="1:27" x14ac:dyDescent="0.25">
      <c r="A83" s="13" t="s">
        <v>107</v>
      </c>
      <c r="B83" s="3">
        <f>IF(ISNUMBER(p!B83*LN(p!B83)),p!B83*LN(p!B83),0)</f>
        <v>-0.2732415819126322</v>
      </c>
      <c r="C83" s="3">
        <f>IF(ISNUMBER(p!C83*LN(p!C83)),p!C83*LN(p!C83),0)</f>
        <v>0</v>
      </c>
      <c r="D83" s="3">
        <f>IF(ISNUMBER(p!D83*LN(p!D83)),p!D83*LN(p!D83),0)</f>
        <v>0</v>
      </c>
      <c r="E83" s="3">
        <f>IF(ISNUMBER(p!E83*LN(p!E83)),p!E83*LN(p!E83),0)</f>
        <v>0</v>
      </c>
      <c r="F83" s="3">
        <f>IF(ISNUMBER(p!F83*LN(p!F83)),p!F83*LN(p!F83),0)</f>
        <v>0</v>
      </c>
      <c r="G83" s="3">
        <f>IF(ISNUMBER(p!G83*LN(p!G83)),p!G83*LN(p!G83),0)</f>
        <v>-5.1332277225914755E-2</v>
      </c>
      <c r="H83" s="3">
        <f>IF(ISNUMBER(p!H83*LN(p!H83)),p!H83*LN(p!H83),0)</f>
        <v>0</v>
      </c>
      <c r="I83" s="3">
        <f>IF(ISNUMBER(p!I83*LN(p!I83)),p!I83*LN(p!I83),0)</f>
        <v>0</v>
      </c>
      <c r="J83" s="3">
        <f>IF(ISNUMBER(p!J83*LN(p!J83)),p!J83*LN(p!J83),0)</f>
        <v>-0.18384265942477446</v>
      </c>
      <c r="K83" s="3">
        <f>IF(ISNUMBER(p!K83*LN(p!K83)),p!K83*LN(p!K83),0)</f>
        <v>0</v>
      </c>
      <c r="L83" s="3">
        <f>IF(ISNUMBER(p!L83*LN(p!L83)),p!L83*LN(p!L83),0)</f>
        <v>0</v>
      </c>
      <c r="M83" s="3">
        <f>IF(ISNUMBER(p!M83*LN(p!M83)),p!M83*LN(p!M83),0)</f>
        <v>0</v>
      </c>
      <c r="N83" s="3">
        <f>IF(ISNUMBER(p!N83*LN(p!N83)),p!N83*LN(p!N83),0)</f>
        <v>0</v>
      </c>
      <c r="O83" s="3">
        <f>IF(ISNUMBER(p!O83*LN(p!O83)),p!O83*LN(p!O83),0)</f>
        <v>0</v>
      </c>
      <c r="P83" s="3">
        <f>IF(ISNUMBER(p!P83*LN(p!P83)),p!P83*LN(p!P83),0)</f>
        <v>0</v>
      </c>
      <c r="Q83" s="3">
        <f>IF(ISNUMBER(p!Q83*LN(p!Q83)),p!Q83*LN(p!Q83),0)</f>
        <v>-7.0007638112869294E-2</v>
      </c>
      <c r="R83" s="3">
        <f>IF(ISNUMBER(p!R83*LN(p!R83)),p!R83*LN(p!R83),0)</f>
        <v>0</v>
      </c>
      <c r="S83" s="3">
        <f>IF(ISNUMBER(p!S83*LN(p!S83)),p!S83*LN(p!S83),0)</f>
        <v>0</v>
      </c>
      <c r="T83" s="3">
        <f>IF(ISNUMBER(p!T83*LN(p!T83)),p!T83*LN(p!T83),0)</f>
        <v>0</v>
      </c>
      <c r="U83" s="3">
        <f>IF(ISNUMBER(p!U83*LN(p!U83)),p!U83*LN(p!U83),0)</f>
        <v>0</v>
      </c>
      <c r="V83" s="3">
        <f>IF(ISNUMBER(p!V83*LN(p!V83)),p!V83*LN(p!V83),0)</f>
        <v>0</v>
      </c>
      <c r="W83" s="3">
        <f>IF(ISNUMBER(p!W83*LN(p!W83)),p!W83*LN(p!W83),0)</f>
        <v>0</v>
      </c>
      <c r="X83" s="3">
        <f>IF(ISNUMBER(p!X83*LN(p!X83)),p!X83*LN(p!X83),0)</f>
        <v>0</v>
      </c>
      <c r="Y83" s="3">
        <f>IF(ISNUMBER(p!Y83*LN(p!Y83)),p!Y83*LN(p!Y83),0)</f>
        <v>0</v>
      </c>
      <c r="Z83" s="3">
        <f>IF(ISNUMBER(p!Z83*LN(p!Z83)),p!Z83*LN(p!Z83),0)</f>
        <v>-7.0007638112869294E-2</v>
      </c>
      <c r="AA83" s="3">
        <f>IF(ISNUMBER(p!AA83*LN(p!AA83)),p!AA83*LN(p!AA83),0)</f>
        <v>-8.6730136507922717E-2</v>
      </c>
    </row>
    <row r="84" spans="1:27" x14ac:dyDescent="0.25">
      <c r="A84" s="13" t="s">
        <v>108</v>
      </c>
      <c r="B84" s="3">
        <f>IF(ISNUMBER(p!B84*LN(p!B84)),p!B84*LN(p!B84),0)</f>
        <v>-0.32185762131003226</v>
      </c>
      <c r="C84" s="3">
        <f>IF(ISNUMBER(p!C84*LN(p!C84)),p!C84*LN(p!C84),0)</f>
        <v>0</v>
      </c>
      <c r="D84" s="3">
        <f>IF(ISNUMBER(p!D84*LN(p!D84)),p!D84*LN(p!D84),0)</f>
        <v>0</v>
      </c>
      <c r="E84" s="3">
        <f>IF(ISNUMBER(p!E84*LN(p!E84)),p!E84*LN(p!E84),0)</f>
        <v>0</v>
      </c>
      <c r="F84" s="3">
        <f>IF(ISNUMBER(p!F84*LN(p!F84)),p!F84*LN(p!F84),0)</f>
        <v>0</v>
      </c>
      <c r="G84" s="3">
        <f>IF(ISNUMBER(p!G84*LN(p!G84)),p!G84*LN(p!G84),0)</f>
        <v>0</v>
      </c>
      <c r="H84" s="3">
        <f>IF(ISNUMBER(p!H84*LN(p!H84)),p!H84*LN(p!H84),0)</f>
        <v>0</v>
      </c>
      <c r="I84" s="3">
        <f>IF(ISNUMBER(p!I84*LN(p!I84)),p!I84*LN(p!I84),0)</f>
        <v>0</v>
      </c>
      <c r="J84" s="3">
        <f>IF(ISNUMBER(p!J84*LN(p!J84)),p!J84*LN(p!J84),0)</f>
        <v>-0.36620409622270322</v>
      </c>
      <c r="K84" s="3">
        <f>IF(ISNUMBER(p!K84*LN(p!K84)),p!K84*LN(p!K84),0)</f>
        <v>0</v>
      </c>
      <c r="L84" s="3">
        <f>IF(ISNUMBER(p!L84*LN(p!L84)),p!L84*LN(p!L84),0)</f>
        <v>0</v>
      </c>
      <c r="M84" s="3">
        <f>IF(ISNUMBER(p!M84*LN(p!M84)),p!M84*LN(p!M84),0)</f>
        <v>0</v>
      </c>
      <c r="N84" s="3">
        <f>IF(ISNUMBER(p!N84*LN(p!N84)),p!N84*LN(p!N84),0)</f>
        <v>0</v>
      </c>
      <c r="O84" s="3">
        <f>IF(ISNUMBER(p!O84*LN(p!O84)),p!O84*LN(p!O84),0)</f>
        <v>0</v>
      </c>
      <c r="P84" s="3">
        <f>IF(ISNUMBER(p!P84*LN(p!P84)),p!P84*LN(p!P84),0)</f>
        <v>-0.11337324605540518</v>
      </c>
      <c r="Q84" s="3">
        <f>IF(ISNUMBER(p!Q84*LN(p!Q84)),p!Q84*LN(p!Q84),0)</f>
        <v>-0.18053668007348067</v>
      </c>
      <c r="R84" s="3">
        <f>IF(ISNUMBER(p!R84*LN(p!R84)),p!R84*LN(p!R84),0)</f>
        <v>0</v>
      </c>
      <c r="S84" s="3">
        <f>IF(ISNUMBER(p!S84*LN(p!S84)),p!S84*LN(p!S84),0)</f>
        <v>0</v>
      </c>
      <c r="T84" s="3">
        <f>IF(ISNUMBER(p!T84*LN(p!T84)),p!T84*LN(p!T84),0)</f>
        <v>0</v>
      </c>
      <c r="U84" s="3">
        <f>IF(ISNUMBER(p!U84*LN(p!U84)),p!U84*LN(p!U84),0)</f>
        <v>0</v>
      </c>
      <c r="V84" s="3">
        <f>IF(ISNUMBER(p!V84*LN(p!V84)),p!V84*LN(p!V84),0)</f>
        <v>0</v>
      </c>
      <c r="W84" s="3">
        <f>IF(ISNUMBER(p!W84*LN(p!W84)),p!W84*LN(p!W84),0)</f>
        <v>0</v>
      </c>
      <c r="X84" s="3">
        <f>IF(ISNUMBER(p!X84*LN(p!X84)),p!X84*LN(p!X84),0)</f>
        <v>0</v>
      </c>
      <c r="Y84" s="3">
        <f>IF(ISNUMBER(p!Y84*LN(p!Y84)),p!Y84*LN(p!Y84),0)</f>
        <v>0</v>
      </c>
      <c r="Z84" s="3">
        <f>IF(ISNUMBER(p!Z84*LN(p!Z84)),p!Z84*LN(p!Z84),0)</f>
        <v>0</v>
      </c>
      <c r="AA84" s="3">
        <f>IF(ISNUMBER(p!AA84*LN(p!AA84)),p!AA84*LN(p!AA84),0)</f>
        <v>0</v>
      </c>
    </row>
    <row r="85" spans="1:27" x14ac:dyDescent="0.25">
      <c r="A85" s="13" t="s">
        <v>109</v>
      </c>
      <c r="B85" s="3">
        <f>IF(ISNUMBER(p!B85*LN(p!B85)),p!B85*LN(p!B85),0)</f>
        <v>-0.27031007207210961</v>
      </c>
      <c r="C85" s="3">
        <f>IF(ISNUMBER(p!C85*LN(p!C85)),p!C85*LN(p!C85),0)</f>
        <v>0</v>
      </c>
      <c r="D85" s="3">
        <f>IF(ISNUMBER(p!D85*LN(p!D85)),p!D85*LN(p!D85),0)</f>
        <v>0</v>
      </c>
      <c r="E85" s="3">
        <f>IF(ISNUMBER(p!E85*LN(p!E85)),p!E85*LN(p!E85),0)</f>
        <v>0</v>
      </c>
      <c r="F85" s="3">
        <f>IF(ISNUMBER(p!F85*LN(p!F85)),p!F85*LN(p!F85),0)</f>
        <v>0</v>
      </c>
      <c r="G85" s="3">
        <f>IF(ISNUMBER(p!G85*LN(p!G85)),p!G85*LN(p!G85),0)</f>
        <v>0</v>
      </c>
      <c r="H85" s="3">
        <f>IF(ISNUMBER(p!H85*LN(p!H85)),p!H85*LN(p!H85),0)</f>
        <v>0</v>
      </c>
      <c r="I85" s="3">
        <f>IF(ISNUMBER(p!I85*LN(p!I85)),p!I85*LN(p!I85),0)</f>
        <v>0</v>
      </c>
      <c r="J85" s="3">
        <f>IF(ISNUMBER(p!J85*LN(p!J85)),p!J85*LN(p!J85),0)</f>
        <v>-0.20707555414900003</v>
      </c>
      <c r="K85" s="3">
        <f>IF(ISNUMBER(p!K85*LN(p!K85)),p!K85*LN(p!K85),0)</f>
        <v>0</v>
      </c>
      <c r="L85" s="3">
        <f>IF(ISNUMBER(p!L85*LN(p!L85)),p!L85*LN(p!L85),0)</f>
        <v>0</v>
      </c>
      <c r="M85" s="3">
        <f>IF(ISNUMBER(p!M85*LN(p!M85)),p!M85*LN(p!M85),0)</f>
        <v>0</v>
      </c>
      <c r="N85" s="3">
        <f>IF(ISNUMBER(p!N85*LN(p!N85)),p!N85*LN(p!N85),0)</f>
        <v>0</v>
      </c>
      <c r="O85" s="3">
        <f>IF(ISNUMBER(p!O85*LN(p!O85)),p!O85*LN(p!O85),0)</f>
        <v>0</v>
      </c>
      <c r="P85" s="3">
        <f>IF(ISNUMBER(p!P85*LN(p!P85)),p!P85*LN(p!P85),0)</f>
        <v>-0.20707555414900003</v>
      </c>
      <c r="Q85" s="3">
        <f>IF(ISNUMBER(p!Q85*LN(p!Q85)),p!Q85*LN(p!Q85),0)</f>
        <v>-0.29862657820467581</v>
      </c>
      <c r="R85" s="3">
        <f>IF(ISNUMBER(p!R85*LN(p!R85)),p!R85*LN(p!R85),0)</f>
        <v>0</v>
      </c>
      <c r="S85" s="3">
        <f>IF(ISNUMBER(p!S85*LN(p!S85)),p!S85*LN(p!S85),0)</f>
        <v>0</v>
      </c>
      <c r="T85" s="3">
        <f>IF(ISNUMBER(p!T85*LN(p!T85)),p!T85*LN(p!T85),0)</f>
        <v>0</v>
      </c>
      <c r="U85" s="3">
        <f>IF(ISNUMBER(p!U85*LN(p!U85)),p!U85*LN(p!U85),0)</f>
        <v>0</v>
      </c>
      <c r="V85" s="3">
        <f>IF(ISNUMBER(p!V85*LN(p!V85)),p!V85*LN(p!V85),0)</f>
        <v>0</v>
      </c>
      <c r="W85" s="3">
        <f>IF(ISNUMBER(p!W85*LN(p!W85)),p!W85*LN(p!W85),0)</f>
        <v>0</v>
      </c>
      <c r="X85" s="3">
        <f>IF(ISNUMBER(p!X85*LN(p!X85)),p!X85*LN(p!X85),0)</f>
        <v>0</v>
      </c>
      <c r="Y85" s="3">
        <f>IF(ISNUMBER(p!Y85*LN(p!Y85)),p!Y85*LN(p!Y85),0)</f>
        <v>0</v>
      </c>
      <c r="Z85" s="3">
        <f>IF(ISNUMBER(p!Z85*LN(p!Z85)),p!Z85*LN(p!Z85),0)</f>
        <v>0</v>
      </c>
      <c r="AA85" s="3">
        <f>IF(ISNUMBER(p!AA85*LN(p!AA85)),p!AA85*LN(p!AA85),0)</f>
        <v>0</v>
      </c>
    </row>
    <row r="86" spans="1:27" x14ac:dyDescent="0.25">
      <c r="A86" s="13" t="s">
        <v>110</v>
      </c>
      <c r="B86" s="3">
        <f>IF(ISNUMBER(p!B86*LN(p!B86)),p!B86*LN(p!B86),0)</f>
        <v>0</v>
      </c>
      <c r="C86" s="3">
        <f>IF(ISNUMBER(p!C86*LN(p!C86)),p!C86*LN(p!C86),0)</f>
        <v>0</v>
      </c>
      <c r="D86" s="3">
        <f>IF(ISNUMBER(p!D86*LN(p!D86)),p!D86*LN(p!D86),0)</f>
        <v>0</v>
      </c>
      <c r="E86" s="3">
        <f>IF(ISNUMBER(p!E86*LN(p!E86)),p!E86*LN(p!E86),0)</f>
        <v>0</v>
      </c>
      <c r="F86" s="3">
        <f>IF(ISNUMBER(p!F86*LN(p!F86)),p!F86*LN(p!F86),0)</f>
        <v>-0.27798716415075903</v>
      </c>
      <c r="G86" s="3">
        <f>IF(ISNUMBER(p!G86*LN(p!G86)),p!G86*LN(p!G86),0)</f>
        <v>0</v>
      </c>
      <c r="H86" s="3">
        <f>IF(ISNUMBER(p!H86*LN(p!H86)),p!H86*LN(p!H86),0)</f>
        <v>0</v>
      </c>
      <c r="I86" s="3">
        <f>IF(ISNUMBER(p!I86*LN(p!I86)),p!I86*LN(p!I86),0)</f>
        <v>0</v>
      </c>
      <c r="J86" s="3">
        <f>IF(ISNUMBER(p!J86*LN(p!J86)),p!J86*LN(p!J86),0)</f>
        <v>0</v>
      </c>
      <c r="K86" s="3">
        <f>IF(ISNUMBER(p!K86*LN(p!K86)),p!K86*LN(p!K86),0)</f>
        <v>0</v>
      </c>
      <c r="L86" s="3">
        <f>IF(ISNUMBER(p!L86*LN(p!L86)),p!L86*LN(p!L86),0)</f>
        <v>0</v>
      </c>
      <c r="M86" s="3">
        <f>IF(ISNUMBER(p!M86*LN(p!M86)),p!M86*LN(p!M86),0)</f>
        <v>0</v>
      </c>
      <c r="N86" s="3">
        <f>IF(ISNUMBER(p!N86*LN(p!N86)),p!N86*LN(p!N86),0)</f>
        <v>0</v>
      </c>
      <c r="O86" s="3">
        <f>IF(ISNUMBER(p!O86*LN(p!O86)),p!O86*LN(p!O86),0)</f>
        <v>0</v>
      </c>
      <c r="P86" s="3">
        <f>IF(ISNUMBER(p!P86*LN(p!P86)),p!P86*LN(p!P86),0)</f>
        <v>0</v>
      </c>
      <c r="Q86" s="3">
        <f>IF(ISNUMBER(p!Q86*LN(p!Q86)),p!Q86*LN(p!Q86),0)</f>
        <v>-0.13212915413765</v>
      </c>
      <c r="R86" s="3">
        <f>IF(ISNUMBER(p!R86*LN(p!R86)),p!R86*LN(p!R86),0)</f>
        <v>0</v>
      </c>
      <c r="S86" s="3">
        <f>IF(ISNUMBER(p!S86*LN(p!S86)),p!S86*LN(p!S86),0)</f>
        <v>0</v>
      </c>
      <c r="T86" s="3">
        <f>IF(ISNUMBER(p!T86*LN(p!T86)),p!T86*LN(p!T86),0)</f>
        <v>0</v>
      </c>
      <c r="U86" s="3">
        <f>IF(ISNUMBER(p!U86*LN(p!U86)),p!U86*LN(p!U86),0)</f>
        <v>0</v>
      </c>
      <c r="V86" s="3">
        <f>IF(ISNUMBER(p!V86*LN(p!V86)),p!V86*LN(p!V86),0)</f>
        <v>0</v>
      </c>
      <c r="W86" s="3">
        <f>IF(ISNUMBER(p!W86*LN(p!W86)),p!W86*LN(p!W86),0)</f>
        <v>0</v>
      </c>
      <c r="X86" s="3">
        <f>IF(ISNUMBER(p!X86*LN(p!X86)),p!X86*LN(p!X86),0)</f>
        <v>0</v>
      </c>
      <c r="Y86" s="3">
        <f>IF(ISNUMBER(p!Y86*LN(p!Y86)),p!Y86*LN(p!Y86),0)</f>
        <v>0</v>
      </c>
      <c r="Z86" s="3">
        <f>IF(ISNUMBER(p!Z86*LN(p!Z86)),p!Z86*LN(p!Z86),0)</f>
        <v>0</v>
      </c>
      <c r="AA86" s="3">
        <f>IF(ISNUMBER(p!AA86*LN(p!AA86)),p!AA86*LN(p!AA86),0)</f>
        <v>0</v>
      </c>
    </row>
    <row r="87" spans="1:27" x14ac:dyDescent="0.25">
      <c r="A87" s="13" t="s">
        <v>113</v>
      </c>
      <c r="B87" s="3">
        <f>IF(ISNUMBER(p!B87*LN(p!B87)),p!B87*LN(p!B87),0)</f>
        <v>-0.2544316243440109</v>
      </c>
      <c r="C87" s="3">
        <f>IF(ISNUMBER(p!C87*LN(p!C87)),p!C87*LN(p!C87),0)</f>
        <v>0</v>
      </c>
      <c r="D87" s="3">
        <f>IF(ISNUMBER(p!D87*LN(p!D87)),p!D87*LN(p!D87),0)</f>
        <v>0</v>
      </c>
      <c r="E87" s="3">
        <f>IF(ISNUMBER(p!E87*LN(p!E87)),p!E87*LN(p!E87),0)</f>
        <v>0</v>
      </c>
      <c r="F87" s="3">
        <f>IF(ISNUMBER(p!F87*LN(p!F87)),p!F87*LN(p!F87),0)</f>
        <v>0</v>
      </c>
      <c r="G87" s="3">
        <f>IF(ISNUMBER(p!G87*LN(p!G87)),p!G87*LN(p!G87),0)</f>
        <v>-0.12875503299472801</v>
      </c>
      <c r="H87" s="3">
        <f>IF(ISNUMBER(p!H87*LN(p!H87)),p!H87*LN(p!H87),0)</f>
        <v>0</v>
      </c>
      <c r="I87" s="3">
        <f>IF(ISNUMBER(p!I87*LN(p!I87)),p!I87*LN(p!I87),0)</f>
        <v>0</v>
      </c>
      <c r="J87" s="3">
        <f>IF(ISNUMBER(p!J87*LN(p!J87)),p!J87*LN(p!J87),0)</f>
        <v>-0.30649537425959444</v>
      </c>
      <c r="K87" s="3">
        <f>IF(ISNUMBER(p!K87*LN(p!K87)),p!K87*LN(p!K87),0)</f>
        <v>0</v>
      </c>
      <c r="L87" s="3">
        <f>IF(ISNUMBER(p!L87*LN(p!L87)),p!L87*LN(p!L87),0)</f>
        <v>0</v>
      </c>
      <c r="M87" s="3">
        <f>IF(ISNUMBER(p!M87*LN(p!M87)),p!M87*LN(p!M87),0)</f>
        <v>0</v>
      </c>
      <c r="N87" s="3">
        <f>IF(ISNUMBER(p!N87*LN(p!N87)),p!N87*LN(p!N87),0)</f>
        <v>0</v>
      </c>
      <c r="O87" s="3">
        <f>IF(ISNUMBER(p!O87*LN(p!O87)),p!O87*LN(p!O87),0)</f>
        <v>0</v>
      </c>
      <c r="P87" s="3">
        <f>IF(ISNUMBER(p!P87*LN(p!P87)),p!P87*LN(p!P87),0)</f>
        <v>-0.12875503299472801</v>
      </c>
      <c r="Q87" s="3">
        <f>IF(ISNUMBER(p!Q87*LN(p!Q87)),p!Q87*LN(p!Q87),0)</f>
        <v>-0.32188758248682009</v>
      </c>
      <c r="R87" s="3">
        <f>IF(ISNUMBER(p!R87*LN(p!R87)),p!R87*LN(p!R87),0)</f>
        <v>0</v>
      </c>
      <c r="S87" s="3">
        <f>IF(ISNUMBER(p!S87*LN(p!S87)),p!S87*LN(p!S87),0)</f>
        <v>0</v>
      </c>
      <c r="T87" s="3">
        <f>IF(ISNUMBER(p!T87*LN(p!T87)),p!T87*LN(p!T87),0)</f>
        <v>0</v>
      </c>
      <c r="U87" s="3">
        <f>IF(ISNUMBER(p!U87*LN(p!U87)),p!U87*LN(p!U87),0)</f>
        <v>0</v>
      </c>
      <c r="V87" s="3">
        <f>IF(ISNUMBER(p!V87*LN(p!V87)),p!V87*LN(p!V87),0)</f>
        <v>0</v>
      </c>
      <c r="W87" s="3">
        <f>IF(ISNUMBER(p!W87*LN(p!W87)),p!W87*LN(p!W87),0)</f>
        <v>0</v>
      </c>
      <c r="X87" s="3">
        <f>IF(ISNUMBER(p!X87*LN(p!X87)),p!X87*LN(p!X87),0)</f>
        <v>0</v>
      </c>
      <c r="Y87" s="3">
        <f>IF(ISNUMBER(p!Y87*LN(p!Y87)),p!Y87*LN(p!Y87),0)</f>
        <v>0</v>
      </c>
      <c r="Z87" s="3">
        <f>IF(ISNUMBER(p!Z87*LN(p!Z87)),p!Z87*LN(p!Z87),0)</f>
        <v>0</v>
      </c>
      <c r="AA87" s="3">
        <f>IF(ISNUMBER(p!AA87*LN(p!AA87)),p!AA87*LN(p!AA87),0)</f>
        <v>0</v>
      </c>
    </row>
    <row r="88" spans="1:27" x14ac:dyDescent="0.25">
      <c r="A88" s="13" t="s">
        <v>114</v>
      </c>
      <c r="B88" s="3">
        <f>IF(ISNUMBER(p!B88*LN(p!B88)),p!B88*LN(p!B88),0)</f>
        <v>-0.30389775545622183</v>
      </c>
      <c r="C88" s="3">
        <f>IF(ISNUMBER(p!C88*LN(p!C88)),p!C88*LN(p!C88),0)</f>
        <v>0</v>
      </c>
      <c r="D88" s="3">
        <f>IF(ISNUMBER(p!D88*LN(p!D88)),p!D88*LN(p!D88),0)</f>
        <v>0</v>
      </c>
      <c r="E88" s="3">
        <f>IF(ISNUMBER(p!E88*LN(p!E88)),p!E88*LN(p!E88),0)</f>
        <v>0</v>
      </c>
      <c r="F88" s="3">
        <f>IF(ISNUMBER(p!F88*LN(p!F88)),p!F88*LN(p!F88),0)</f>
        <v>0</v>
      </c>
      <c r="G88" s="3">
        <f>IF(ISNUMBER(p!G88*LN(p!G88)),p!G88*LN(p!G88),0)</f>
        <v>-9.5725951571747001E-2</v>
      </c>
      <c r="H88" s="3">
        <f>IF(ISNUMBER(p!H88*LN(p!H88)),p!H88*LN(p!H88),0)</f>
        <v>0</v>
      </c>
      <c r="I88" s="3">
        <f>IF(ISNUMBER(p!I88*LN(p!I88)),p!I88*LN(p!I88),0)</f>
        <v>0</v>
      </c>
      <c r="J88" s="3">
        <f>IF(ISNUMBER(p!J88*LN(p!J88)),p!J88*LN(p!J88),0)</f>
        <v>-0.34113826951346049</v>
      </c>
      <c r="K88" s="3">
        <f>IF(ISNUMBER(p!K88*LN(p!K88)),p!K88*LN(p!K88),0)</f>
        <v>0</v>
      </c>
      <c r="L88" s="3">
        <f>IF(ISNUMBER(p!L88*LN(p!L88)),p!L88*LN(p!L88),0)</f>
        <v>0</v>
      </c>
      <c r="M88" s="3">
        <f>IF(ISNUMBER(p!M88*LN(p!M88)),p!M88*LN(p!M88),0)</f>
        <v>0</v>
      </c>
      <c r="N88" s="3">
        <f>IF(ISNUMBER(p!N88*LN(p!N88)),p!N88*LN(p!N88),0)</f>
        <v>0</v>
      </c>
      <c r="O88" s="3">
        <f>IF(ISNUMBER(p!O88*LN(p!O88)),p!O88*LN(p!O88),0)</f>
        <v>0</v>
      </c>
      <c r="P88" s="3">
        <f>IF(ISNUMBER(p!P88*LN(p!P88)),p!P88*LN(p!P88),0)</f>
        <v>-9.5725951571747001E-2</v>
      </c>
      <c r="Q88" s="3">
        <f>IF(ISNUMBER(p!Q88*LN(p!Q88)),p!Q88*LN(p!Q88),0)</f>
        <v>-0.20044530560986393</v>
      </c>
      <c r="R88" s="3">
        <f>IF(ISNUMBER(p!R88*LN(p!R88)),p!R88*LN(p!R88),0)</f>
        <v>0</v>
      </c>
      <c r="S88" s="3">
        <f>IF(ISNUMBER(p!S88*LN(p!S88)),p!S88*LN(p!S88),0)</f>
        <v>0</v>
      </c>
      <c r="T88" s="3">
        <f>IF(ISNUMBER(p!T88*LN(p!T88)),p!T88*LN(p!T88),0)</f>
        <v>0</v>
      </c>
      <c r="U88" s="3">
        <f>IF(ISNUMBER(p!U88*LN(p!U88)),p!U88*LN(p!U88),0)</f>
        <v>0</v>
      </c>
      <c r="V88" s="3">
        <f>IF(ISNUMBER(p!V88*LN(p!V88)),p!V88*LN(p!V88),0)</f>
        <v>0</v>
      </c>
      <c r="W88" s="3">
        <f>IF(ISNUMBER(p!W88*LN(p!W88)),p!W88*LN(p!W88),0)</f>
        <v>0</v>
      </c>
      <c r="X88" s="3">
        <f>IF(ISNUMBER(p!X88*LN(p!X88)),p!X88*LN(p!X88),0)</f>
        <v>0</v>
      </c>
      <c r="Y88" s="3">
        <f>IF(ISNUMBER(p!Y88*LN(p!Y88)),p!Y88*LN(p!Y88),0)</f>
        <v>0</v>
      </c>
      <c r="Z88" s="3">
        <f>IF(ISNUMBER(p!Z88*LN(p!Z88)),p!Z88*LN(p!Z88),0)</f>
        <v>0</v>
      </c>
      <c r="AA88" s="3">
        <f>IF(ISNUMBER(p!AA88*LN(p!AA88)),p!AA88*LN(p!AA88),0)</f>
        <v>-9.5725951571747001E-2</v>
      </c>
    </row>
    <row r="89" spans="1:27" x14ac:dyDescent="0.25">
      <c r="A89" s="13" t="s">
        <v>134</v>
      </c>
      <c r="B89" s="3">
        <f>IF(ISNUMBER(p!B89*LN(p!B89)),p!B89*LN(p!B89),0)</f>
        <v>0</v>
      </c>
      <c r="C89" s="3">
        <f>IF(ISNUMBER(p!C89*LN(p!C89)),p!C89*LN(p!C89),0)</f>
        <v>0</v>
      </c>
      <c r="D89" s="3">
        <f>IF(ISNUMBER(p!D89*LN(p!D89)),p!D89*LN(p!D89),0)</f>
        <v>0</v>
      </c>
      <c r="E89" s="3">
        <f>IF(ISNUMBER(p!E89*LN(p!E89)),p!E89*LN(p!E89),0)</f>
        <v>0</v>
      </c>
      <c r="F89" s="3">
        <f>IF(ISNUMBER(p!F89*LN(p!F89)),p!F89*LN(p!F89),0)</f>
        <v>-0.13241890959783106</v>
      </c>
      <c r="G89" s="3">
        <f>IF(ISNUMBER(p!G89*LN(p!G89)),p!G89*LN(p!G89),0)</f>
        <v>0</v>
      </c>
      <c r="H89" s="3">
        <f>IF(ISNUMBER(p!H89*LN(p!H89)),p!H89*LN(p!H89),0)</f>
        <v>0</v>
      </c>
      <c r="I89" s="3">
        <f>IF(ISNUMBER(p!I89*LN(p!I89)),p!I89*LN(p!I89),0)</f>
        <v>0</v>
      </c>
      <c r="J89" s="3">
        <f>IF(ISNUMBER(p!J89*LN(p!J89)),p!J89*LN(p!J89),0)</f>
        <v>-0.15193463066162891</v>
      </c>
      <c r="K89" s="3">
        <f>IF(ISNUMBER(p!K89*LN(p!K89)),p!K89*LN(p!K89),0)</f>
        <v>0</v>
      </c>
      <c r="L89" s="3">
        <f>IF(ISNUMBER(p!L89*LN(p!L89)),p!L89*LN(p!L89),0)</f>
        <v>0</v>
      </c>
      <c r="M89" s="3">
        <f>IF(ISNUMBER(p!M89*LN(p!M89)),p!M89*LN(p!M89),0)</f>
        <v>0</v>
      </c>
      <c r="N89" s="3">
        <f>IF(ISNUMBER(p!N89*LN(p!N89)),p!N89*LN(p!N89),0)</f>
        <v>0</v>
      </c>
      <c r="O89" s="3">
        <f>IF(ISNUMBER(p!O89*LN(p!O89)),p!O89*LN(p!O89),0)</f>
        <v>0</v>
      </c>
      <c r="P89" s="3">
        <f>IF(ISNUMBER(p!P89*LN(p!P89)),p!P89*LN(p!P89),0)</f>
        <v>0</v>
      </c>
      <c r="Q89" s="3">
        <f>IF(ISNUMBER(p!Q89*LN(p!Q89)),p!Q89*LN(p!Q89),0)</f>
        <v>-0.25993019270997947</v>
      </c>
      <c r="R89" s="3">
        <f>IF(ISNUMBER(p!R89*LN(p!R89)),p!R89*LN(p!R89),0)</f>
        <v>0</v>
      </c>
      <c r="S89" s="3">
        <f>IF(ISNUMBER(p!S89*LN(p!S89)),p!S89*LN(p!S89),0)</f>
        <v>0</v>
      </c>
      <c r="T89" s="3">
        <f>IF(ISNUMBER(p!T89*LN(p!T89)),p!T89*LN(p!T89),0)</f>
        <v>0</v>
      </c>
      <c r="U89" s="3">
        <f>IF(ISNUMBER(p!U89*LN(p!U89)),p!U89*LN(p!U89),0)</f>
        <v>0</v>
      </c>
      <c r="V89" s="3">
        <f>IF(ISNUMBER(p!V89*LN(p!V89)),p!V89*LN(p!V89),0)</f>
        <v>0</v>
      </c>
      <c r="W89" s="3">
        <f>IF(ISNUMBER(p!W89*LN(p!W89)),p!W89*LN(p!W89),0)</f>
        <v>0</v>
      </c>
      <c r="X89" s="3">
        <f>IF(ISNUMBER(p!X89*LN(p!X89)),p!X89*LN(p!X89),0)</f>
        <v>0</v>
      </c>
      <c r="Y89" s="3">
        <f>IF(ISNUMBER(p!Y89*LN(p!Y89)),p!Y89*LN(p!Y89),0)</f>
        <v>0</v>
      </c>
      <c r="Z89" s="3">
        <f>IF(ISNUMBER(p!Z89*LN(p!Z89)),p!Z89*LN(p!Z89),0)</f>
        <v>0</v>
      </c>
      <c r="AA89" s="3">
        <f>IF(ISNUMBER(p!AA89*LN(p!AA89)),p!AA89*LN(p!AA89),0)</f>
        <v>0</v>
      </c>
    </row>
    <row r="90" spans="1:27" x14ac:dyDescent="0.25">
      <c r="A90" s="13" t="s">
        <v>135</v>
      </c>
      <c r="B90" s="3">
        <f>IF(ISNUMBER(p!B90*LN(p!B90)),p!B90*LN(p!B90),0)</f>
        <v>0</v>
      </c>
      <c r="C90" s="3">
        <f>IF(ISNUMBER(p!C90*LN(p!C90)),p!C90*LN(p!C90),0)</f>
        <v>0</v>
      </c>
      <c r="D90" s="3">
        <f>IF(ISNUMBER(p!D90*LN(p!D90)),p!D90*LN(p!D90),0)</f>
        <v>0</v>
      </c>
      <c r="E90" s="3">
        <f>IF(ISNUMBER(p!E90*LN(p!E90)),p!E90*LN(p!E90),0)</f>
        <v>0</v>
      </c>
      <c r="F90" s="3">
        <f>IF(ISNUMBER(p!F90*LN(p!F90)),p!F90*LN(p!F90),0)</f>
        <v>-2.2305215937765091E-2</v>
      </c>
      <c r="G90" s="3">
        <f>IF(ISNUMBER(p!G90*LN(p!G90)),p!G90*LN(p!G90),0)</f>
        <v>-2.2305215937765091E-2</v>
      </c>
      <c r="H90" s="3">
        <f>IF(ISNUMBER(p!H90*LN(p!H90)),p!H90*LN(p!H90),0)</f>
        <v>0</v>
      </c>
      <c r="I90" s="3">
        <f>IF(ISNUMBER(p!I90*LN(p!I90)),p!I90*LN(p!I90),0)</f>
        <v>0</v>
      </c>
      <c r="J90" s="3">
        <f>IF(ISNUMBER(p!J90*LN(p!J90)),p!J90*LN(p!J90),0)</f>
        <v>-2.7934652585573379E-2</v>
      </c>
      <c r="K90" s="3">
        <f>IF(ISNUMBER(p!K90*LN(p!K90)),p!K90*LN(p!K90),0)</f>
        <v>-2.2305215937765091E-2</v>
      </c>
      <c r="L90" s="3">
        <f>IF(ISNUMBER(p!L90*LN(p!L90)),p!L90*LN(p!L90),0)</f>
        <v>0</v>
      </c>
      <c r="M90" s="3">
        <f>IF(ISNUMBER(p!M90*LN(p!M90)),p!M90*LN(p!M90),0)</f>
        <v>0</v>
      </c>
      <c r="N90" s="3">
        <f>IF(ISNUMBER(p!N90*LN(p!N90)),p!N90*LN(p!N90),0)</f>
        <v>0</v>
      </c>
      <c r="O90" s="3">
        <f>IF(ISNUMBER(p!O90*LN(p!O90)),p!O90*LN(p!O90),0)</f>
        <v>0</v>
      </c>
      <c r="P90" s="3">
        <f>IF(ISNUMBER(p!P90*LN(p!P90)),p!P90*LN(p!P90),0)</f>
        <v>-2.2305215937765091E-2</v>
      </c>
      <c r="Q90" s="3">
        <f>IF(ISNUMBER(p!Q90*LN(p!Q90)),p!Q90*LN(p!Q90),0)</f>
        <v>-5.3572178720160325E-2</v>
      </c>
      <c r="R90" s="3">
        <f>IF(ISNUMBER(p!R90*LN(p!R90)),p!R90*LN(p!R90),0)</f>
        <v>0</v>
      </c>
      <c r="S90" s="3">
        <f>IF(ISNUMBER(p!S90*LN(p!S90)),p!S90*LN(p!S90),0)</f>
        <v>0</v>
      </c>
      <c r="T90" s="3">
        <f>IF(ISNUMBER(p!T90*LN(p!T90)),p!T90*LN(p!T90),0)</f>
        <v>0</v>
      </c>
      <c r="U90" s="3">
        <f>IF(ISNUMBER(p!U90*LN(p!U90)),p!U90*LN(p!U90),0)</f>
        <v>0</v>
      </c>
      <c r="V90" s="3">
        <f>IF(ISNUMBER(p!V90*LN(p!V90)),p!V90*LN(p!V90),0)</f>
        <v>0</v>
      </c>
      <c r="W90" s="3">
        <f>IF(ISNUMBER(p!W90*LN(p!W90)),p!W90*LN(p!W90),0)</f>
        <v>0</v>
      </c>
      <c r="X90" s="3">
        <f>IF(ISNUMBER(p!X90*LN(p!X90)),p!X90*LN(p!X90),0)</f>
        <v>0</v>
      </c>
      <c r="Y90" s="3">
        <f>IF(ISNUMBER(p!Y90*LN(p!Y90)),p!Y90*LN(p!Y90),0)</f>
        <v>0</v>
      </c>
      <c r="Z90" s="3">
        <f>IF(ISNUMBER(p!Z90*LN(p!Z90)),p!Z90*LN(p!Z90),0)</f>
        <v>0</v>
      </c>
      <c r="AA90" s="3">
        <f>IF(ISNUMBER(p!AA90*LN(p!AA90)),p!AA90*LN(p!AA90),0)</f>
        <v>0</v>
      </c>
    </row>
    <row r="91" spans="1:27" x14ac:dyDescent="0.25">
      <c r="A91" s="13" t="s">
        <v>137</v>
      </c>
      <c r="B91" s="3">
        <f>IF(ISNUMBER(p!B91*LN(p!B91)),p!B91*LN(p!B91),0)</f>
        <v>0</v>
      </c>
      <c r="C91" s="3">
        <f>IF(ISNUMBER(p!C91*LN(p!C91)),p!C91*LN(p!C91),0)</f>
        <v>0</v>
      </c>
      <c r="D91" s="3">
        <f>IF(ISNUMBER(p!D91*LN(p!D91)),p!D91*LN(p!D91),0)</f>
        <v>0</v>
      </c>
      <c r="E91" s="3">
        <f>IF(ISNUMBER(p!E91*LN(p!E91)),p!E91*LN(p!E91),0)</f>
        <v>0</v>
      </c>
      <c r="F91" s="3">
        <f>IF(ISNUMBER(p!F91*LN(p!F91)),p!F91*LN(p!F91),0)</f>
        <v>0</v>
      </c>
      <c r="G91" s="3">
        <f>IF(ISNUMBER(p!G91*LN(p!G91)),p!G91*LN(p!G91),0)</f>
        <v>-0.18138460450397184</v>
      </c>
      <c r="H91" s="3">
        <f>IF(ISNUMBER(p!H91*LN(p!H91)),p!H91*LN(p!H91),0)</f>
        <v>0</v>
      </c>
      <c r="I91" s="3">
        <f>IF(ISNUMBER(p!I91*LN(p!I91)),p!I91*LN(p!I91),0)</f>
        <v>0</v>
      </c>
      <c r="J91" s="3">
        <f>IF(ISNUMBER(p!J91*LN(p!J91)),p!J91*LN(p!J91),0)</f>
        <v>-0.16201147580174971</v>
      </c>
      <c r="K91" s="3">
        <f>IF(ISNUMBER(p!K91*LN(p!K91)),p!K91*LN(p!K91),0)</f>
        <v>0</v>
      </c>
      <c r="L91" s="3">
        <f>IF(ISNUMBER(p!L91*LN(p!L91)),p!L91*LN(p!L91),0)</f>
        <v>0</v>
      </c>
      <c r="M91" s="3">
        <f>IF(ISNUMBER(p!M91*LN(p!M91)),p!M91*LN(p!M91),0)</f>
        <v>0</v>
      </c>
      <c r="N91" s="3">
        <f>IF(ISNUMBER(p!N91*LN(p!N91)),p!N91*LN(p!N91),0)</f>
        <v>0</v>
      </c>
      <c r="O91" s="3">
        <f>IF(ISNUMBER(p!O91*LN(p!O91)),p!O91*LN(p!O91),0)</f>
        <v>0</v>
      </c>
      <c r="P91" s="3">
        <f>IF(ISNUMBER(p!P91*LN(p!P91)),p!P91*LN(p!P91),0)</f>
        <v>0</v>
      </c>
      <c r="Q91" s="3">
        <f>IF(ISNUMBER(p!Q91*LN(p!Q91)),p!Q91*LN(p!Q91),0)</f>
        <v>-0.21608356568623083</v>
      </c>
      <c r="R91" s="3">
        <f>IF(ISNUMBER(p!R91*LN(p!R91)),p!R91*LN(p!R91),0)</f>
        <v>0</v>
      </c>
      <c r="S91" s="3">
        <f>IF(ISNUMBER(p!S91*LN(p!S91)),p!S91*LN(p!S91),0)</f>
        <v>0</v>
      </c>
      <c r="T91" s="3">
        <f>IF(ISNUMBER(p!T91*LN(p!T91)),p!T91*LN(p!T91),0)</f>
        <v>0</v>
      </c>
      <c r="U91" s="3">
        <f>IF(ISNUMBER(p!U91*LN(p!U91)),p!U91*LN(p!U91),0)</f>
        <v>-8.5057332342152278E-2</v>
      </c>
      <c r="V91" s="3">
        <f>IF(ISNUMBER(p!V91*LN(p!V91)),p!V91*LN(p!V91),0)</f>
        <v>0</v>
      </c>
      <c r="W91" s="3">
        <f>IF(ISNUMBER(p!W91*LN(p!W91)),p!W91*LN(p!W91),0)</f>
        <v>0</v>
      </c>
      <c r="X91" s="3">
        <f>IF(ISNUMBER(p!X91*LN(p!X91)),p!X91*LN(p!X91),0)</f>
        <v>0</v>
      </c>
      <c r="Y91" s="3">
        <f>IF(ISNUMBER(p!Y91*LN(p!Y91)),p!Y91*LN(p!Y91),0)</f>
        <v>0</v>
      </c>
      <c r="Z91" s="3">
        <f>IF(ISNUMBER(p!Z91*LN(p!Z91)),p!Z91*LN(p!Z91),0)</f>
        <v>0</v>
      </c>
      <c r="AA91" s="3">
        <f>IF(ISNUMBER(p!AA91*LN(p!AA91)),p!AA91*LN(p!AA91),0)</f>
        <v>0</v>
      </c>
    </row>
    <row r="92" spans="1:27" x14ac:dyDescent="0.25">
      <c r="A92" s="13" t="s">
        <v>138</v>
      </c>
      <c r="B92" s="3">
        <f>IF(ISNUMBER(p!B92*LN(p!B92)),p!B92*LN(p!B92),0)</f>
        <v>0</v>
      </c>
      <c r="C92" s="3">
        <f>IF(ISNUMBER(p!C92*LN(p!C92)),p!C92*LN(p!C92),0)</f>
        <v>0</v>
      </c>
      <c r="D92" s="3">
        <f>IF(ISNUMBER(p!D92*LN(p!D92)),p!D92*LN(p!D92),0)</f>
        <v>0</v>
      </c>
      <c r="E92" s="3">
        <f>IF(ISNUMBER(p!E92*LN(p!E92)),p!E92*LN(p!E92),0)</f>
        <v>0</v>
      </c>
      <c r="F92" s="3">
        <f>IF(ISNUMBER(p!F92*LN(p!F92)),p!F92*LN(p!F92),0)</f>
        <v>0</v>
      </c>
      <c r="G92" s="3">
        <f>IF(ISNUMBER(p!G92*LN(p!G92)),p!G92*LN(p!G92),0)</f>
        <v>-8.1278520232433593E-2</v>
      </c>
      <c r="H92" s="3">
        <f>IF(ISNUMBER(p!H92*LN(p!H92)),p!H92*LN(p!H92),0)</f>
        <v>0</v>
      </c>
      <c r="I92" s="3">
        <f>IF(ISNUMBER(p!I92*LN(p!I92)),p!I92*LN(p!I92),0)</f>
        <v>0</v>
      </c>
      <c r="J92" s="3">
        <f>IF(ISNUMBER(p!J92*LN(p!J92)),p!J92*LN(p!J92),0)</f>
        <v>-0.1785148410513677</v>
      </c>
      <c r="K92" s="3">
        <f>IF(ISNUMBER(p!K92*LN(p!K92)),p!K92*LN(p!K92),0)</f>
        <v>0</v>
      </c>
      <c r="L92" s="3">
        <f>IF(ISNUMBER(p!L92*LN(p!L92)),p!L92*LN(p!L92),0)</f>
        <v>0</v>
      </c>
      <c r="M92" s="3">
        <f>IF(ISNUMBER(p!M92*LN(p!M92)),p!M92*LN(p!M92),0)</f>
        <v>0</v>
      </c>
      <c r="N92" s="3">
        <f>IF(ISNUMBER(p!N92*LN(p!N92)),p!N92*LN(p!N92),0)</f>
        <v>0</v>
      </c>
      <c r="O92" s="3">
        <f>IF(ISNUMBER(p!O92*LN(p!O92)),p!O92*LN(p!O92),0)</f>
        <v>0</v>
      </c>
      <c r="P92" s="3">
        <f>IF(ISNUMBER(p!P92*LN(p!P92)),p!P92*LN(p!P92),0)</f>
        <v>0</v>
      </c>
      <c r="Q92" s="3">
        <f>IF(ISNUMBER(p!Q92*LN(p!Q92)),p!Q92*LN(p!Q92),0)</f>
        <v>-0.30790821377108973</v>
      </c>
      <c r="R92" s="3">
        <f>IF(ISNUMBER(p!R92*LN(p!R92)),p!R92*LN(p!R92),0)</f>
        <v>0</v>
      </c>
      <c r="S92" s="3">
        <f>IF(ISNUMBER(p!S92*LN(p!S92)),p!S92*LN(p!S92),0)</f>
        <v>0</v>
      </c>
      <c r="T92" s="3">
        <f>IF(ISNUMBER(p!T92*LN(p!T92)),p!T92*LN(p!T92),0)</f>
        <v>0</v>
      </c>
      <c r="U92" s="3">
        <f>IF(ISNUMBER(p!U92*LN(p!U92)),p!U92*LN(p!U92),0)</f>
        <v>0</v>
      </c>
      <c r="V92" s="3">
        <f>IF(ISNUMBER(p!V92*LN(p!V92)),p!V92*LN(p!V92),0)</f>
        <v>0</v>
      </c>
      <c r="W92" s="3">
        <f>IF(ISNUMBER(p!W92*LN(p!W92)),p!W92*LN(p!W92),0)</f>
        <v>0</v>
      </c>
      <c r="X92" s="3">
        <f>IF(ISNUMBER(p!X92*LN(p!X92)),p!X92*LN(p!X92),0)</f>
        <v>0</v>
      </c>
      <c r="Y92" s="3">
        <f>IF(ISNUMBER(p!Y92*LN(p!Y92)),p!Y92*LN(p!Y92),0)</f>
        <v>0</v>
      </c>
      <c r="Z92" s="3">
        <f>IF(ISNUMBER(p!Z92*LN(p!Z92)),p!Z92*LN(p!Z92),0)</f>
        <v>0</v>
      </c>
      <c r="AA92" s="3">
        <f>IF(ISNUMBER(p!AA92*LN(p!AA92)),p!AA92*LN(p!AA92),0)</f>
        <v>0</v>
      </c>
    </row>
    <row r="93" spans="1:27" x14ac:dyDescent="0.25">
      <c r="A93" s="13" t="s">
        <v>139</v>
      </c>
      <c r="B93" s="3">
        <f>IF(ISNUMBER(p!B93*LN(p!B93)),p!B93*LN(p!B93),0)</f>
        <v>0</v>
      </c>
      <c r="C93" s="3">
        <f>IF(ISNUMBER(p!C93*LN(p!C93)),p!C93*LN(p!C93),0)</f>
        <v>0</v>
      </c>
      <c r="D93" s="3">
        <f>IF(ISNUMBER(p!D93*LN(p!D93)),p!D93*LN(p!D93),0)</f>
        <v>0</v>
      </c>
      <c r="E93" s="3">
        <f>IF(ISNUMBER(p!E93*LN(p!E93)),p!E93*LN(p!E93),0)</f>
        <v>0</v>
      </c>
      <c r="F93" s="3">
        <f>IF(ISNUMBER(p!F93*LN(p!F93)),p!F93*LN(p!F93),0)</f>
        <v>0</v>
      </c>
      <c r="G93" s="3">
        <f>IF(ISNUMBER(p!G93*LN(p!G93)),p!G93*LN(p!G93),0)</f>
        <v>-6.4221342613779028E-2</v>
      </c>
      <c r="H93" s="3">
        <f>IF(ISNUMBER(p!H93*LN(p!H93)),p!H93*LN(p!H93),0)</f>
        <v>0</v>
      </c>
      <c r="I93" s="3">
        <f>IF(ISNUMBER(p!I93*LN(p!I93)),p!I93*LN(p!I93),0)</f>
        <v>0</v>
      </c>
      <c r="J93" s="3">
        <f>IF(ISNUMBER(p!J93*LN(p!J93)),p!J93*LN(p!J93),0)</f>
        <v>-0.24468169502616832</v>
      </c>
      <c r="K93" s="3">
        <f>IF(ISNUMBER(p!K93*LN(p!K93)),p!K93*LN(p!K93),0)</f>
        <v>0</v>
      </c>
      <c r="L93" s="3">
        <f>IF(ISNUMBER(p!L93*LN(p!L93)),p!L93*LN(p!L93),0)</f>
        <v>0</v>
      </c>
      <c r="M93" s="3">
        <f>IF(ISNUMBER(p!M93*LN(p!M93)),p!M93*LN(p!M93),0)</f>
        <v>0</v>
      </c>
      <c r="N93" s="3">
        <f>IF(ISNUMBER(p!N93*LN(p!N93)),p!N93*LN(p!N93),0)</f>
        <v>0</v>
      </c>
      <c r="O93" s="3">
        <f>IF(ISNUMBER(p!O93*LN(p!O93)),p!O93*LN(p!O93),0)</f>
        <v>0</v>
      </c>
      <c r="P93" s="3">
        <f>IF(ISNUMBER(p!P93*LN(p!P93)),p!P93*LN(p!P93),0)</f>
        <v>0</v>
      </c>
      <c r="Q93" s="3">
        <f>IF(ISNUMBER(p!Q93*LN(p!Q93)),p!Q93*LN(p!Q93),0)</f>
        <v>-0.35557352639985385</v>
      </c>
      <c r="R93" s="3">
        <f>IF(ISNUMBER(p!R93*LN(p!R93)),p!R93*LN(p!R93),0)</f>
        <v>0</v>
      </c>
      <c r="S93" s="3">
        <f>IF(ISNUMBER(p!S93*LN(p!S93)),p!S93*LN(p!S93),0)</f>
        <v>0</v>
      </c>
      <c r="T93" s="3">
        <f>IF(ISNUMBER(p!T93*LN(p!T93)),p!T93*LN(p!T93),0)</f>
        <v>0</v>
      </c>
      <c r="U93" s="3">
        <f>IF(ISNUMBER(p!U93*LN(p!U93)),p!U93*LN(p!U93),0)</f>
        <v>0</v>
      </c>
      <c r="V93" s="3">
        <f>IF(ISNUMBER(p!V93*LN(p!V93)),p!V93*LN(p!V93),0)</f>
        <v>0</v>
      </c>
      <c r="W93" s="3">
        <f>IF(ISNUMBER(p!W93*LN(p!W93)),p!W93*LN(p!W93),0)</f>
        <v>0</v>
      </c>
      <c r="X93" s="3">
        <f>IF(ISNUMBER(p!X93*LN(p!X93)),p!X93*LN(p!X93),0)</f>
        <v>0</v>
      </c>
      <c r="Y93" s="3">
        <f>IF(ISNUMBER(p!Y93*LN(p!Y93)),p!Y93*LN(p!Y93),0)</f>
        <v>0</v>
      </c>
      <c r="Z93" s="3">
        <f>IF(ISNUMBER(p!Z93*LN(p!Z93)),p!Z93*LN(p!Z93),0)</f>
        <v>0</v>
      </c>
      <c r="AA93" s="3">
        <f>IF(ISNUMBER(p!AA93*LN(p!AA93)),p!AA93*LN(p!AA93),0)</f>
        <v>0</v>
      </c>
    </row>
    <row r="94" spans="1:27" x14ac:dyDescent="0.25">
      <c r="A94" s="13" t="s">
        <v>140</v>
      </c>
      <c r="B94" s="3">
        <f>IF(ISNUMBER(p!B94*LN(p!B94)),p!B94*LN(p!B94),0)</f>
        <v>0</v>
      </c>
      <c r="C94" s="3">
        <f>IF(ISNUMBER(p!C94*LN(p!C94)),p!C94*LN(p!C94),0)</f>
        <v>0</v>
      </c>
      <c r="D94" s="3">
        <f>IF(ISNUMBER(p!D94*LN(p!D94)),p!D94*LN(p!D94),0)</f>
        <v>0</v>
      </c>
      <c r="E94" s="3">
        <f>IF(ISNUMBER(p!E94*LN(p!E94)),p!E94*LN(p!E94),0)</f>
        <v>0</v>
      </c>
      <c r="F94" s="3">
        <f>IF(ISNUMBER(p!F94*LN(p!F94)),p!F94*LN(p!F94),0)</f>
        <v>0</v>
      </c>
      <c r="G94" s="3">
        <f>IF(ISNUMBER(p!G94*LN(p!G94)),p!G94*LN(p!G94),0)</f>
        <v>0</v>
      </c>
      <c r="H94" s="3">
        <f>IF(ISNUMBER(p!H94*LN(p!H94)),p!H94*LN(p!H94),0)</f>
        <v>0</v>
      </c>
      <c r="I94" s="3">
        <f>IF(ISNUMBER(p!I94*LN(p!I94)),p!I94*LN(p!I94),0)</f>
        <v>0</v>
      </c>
      <c r="J94" s="3">
        <f>IF(ISNUMBER(p!J94*LN(p!J94)),p!J94*LN(p!J94),0)</f>
        <v>-0.1488979736966522</v>
      </c>
      <c r="K94" s="3">
        <f>IF(ISNUMBER(p!K94*LN(p!K94)),p!K94*LN(p!K94),0)</f>
        <v>0</v>
      </c>
      <c r="L94" s="3">
        <f>IF(ISNUMBER(p!L94*LN(p!L94)),p!L94*LN(p!L94),0)</f>
        <v>0</v>
      </c>
      <c r="M94" s="3">
        <f>IF(ISNUMBER(p!M94*LN(p!M94)),p!M94*LN(p!M94),0)</f>
        <v>0</v>
      </c>
      <c r="N94" s="3">
        <f>IF(ISNUMBER(p!N94*LN(p!N94)),p!N94*LN(p!N94),0)</f>
        <v>0</v>
      </c>
      <c r="O94" s="3">
        <f>IF(ISNUMBER(p!O94*LN(p!O94)),p!O94*LN(p!O94),0)</f>
        <v>0</v>
      </c>
      <c r="P94" s="3">
        <f>IF(ISNUMBER(p!P94*LN(p!P94)),p!P94*LN(p!P94),0)</f>
        <v>0</v>
      </c>
      <c r="Q94" s="3">
        <f>IF(ISNUMBER(p!Q94*LN(p!Q94)),p!Q94*LN(p!Q94),0)</f>
        <v>-0.27596948286050216</v>
      </c>
      <c r="R94" s="3">
        <f>IF(ISNUMBER(p!R94*LN(p!R94)),p!R94*LN(p!R94),0)</f>
        <v>0</v>
      </c>
      <c r="S94" s="3">
        <f>IF(ISNUMBER(p!S94*LN(p!S94)),p!S94*LN(p!S94),0)</f>
        <v>0</v>
      </c>
      <c r="T94" s="3">
        <f>IF(ISNUMBER(p!T94*LN(p!T94)),p!T94*LN(p!T94),0)</f>
        <v>0</v>
      </c>
      <c r="U94" s="3">
        <f>IF(ISNUMBER(p!U94*LN(p!U94)),p!U94*LN(p!U94),0)</f>
        <v>-3.6335368729173555E-2</v>
      </c>
      <c r="V94" s="3">
        <f>IF(ISNUMBER(p!V94*LN(p!V94)),p!V94*LN(p!V94),0)</f>
        <v>0</v>
      </c>
      <c r="W94" s="3">
        <f>IF(ISNUMBER(p!W94*LN(p!W94)),p!W94*LN(p!W94),0)</f>
        <v>0</v>
      </c>
      <c r="X94" s="3">
        <f>IF(ISNUMBER(p!X94*LN(p!X94)),p!X94*LN(p!X94),0)</f>
        <v>0</v>
      </c>
      <c r="Y94" s="3">
        <f>IF(ISNUMBER(p!Y94*LN(p!Y94)),p!Y94*LN(p!Y94),0)</f>
        <v>0</v>
      </c>
      <c r="Z94" s="3">
        <f>IF(ISNUMBER(p!Z94*LN(p!Z94)),p!Z94*LN(p!Z94),0)</f>
        <v>0</v>
      </c>
      <c r="AA94" s="3">
        <f>IF(ISNUMBER(p!AA94*LN(p!AA94)),p!AA94*LN(p!AA94),0)</f>
        <v>-6.2401890338940509E-2</v>
      </c>
    </row>
    <row r="95" spans="1:27" x14ac:dyDescent="0.25">
      <c r="A95" s="13" t="s">
        <v>141</v>
      </c>
      <c r="B95" s="3">
        <f>IF(ISNUMBER(p!B95*LN(p!B95)),p!B95*LN(p!B95),0)</f>
        <v>0</v>
      </c>
      <c r="C95" s="3">
        <f>IF(ISNUMBER(p!C95*LN(p!C95)),p!C95*LN(p!C95),0)</f>
        <v>0</v>
      </c>
      <c r="D95" s="3">
        <f>IF(ISNUMBER(p!D95*LN(p!D95)),p!D95*LN(p!D95),0)</f>
        <v>0</v>
      </c>
      <c r="E95" s="3">
        <f>IF(ISNUMBER(p!E95*LN(p!E95)),p!E95*LN(p!E95),0)</f>
        <v>0</v>
      </c>
      <c r="F95" s="3">
        <f>IF(ISNUMBER(p!F95*LN(p!F95)),p!F95*LN(p!F95),0)</f>
        <v>0</v>
      </c>
      <c r="G95" s="3">
        <f>IF(ISNUMBER(p!G95*LN(p!G95)),p!G95*LN(p!G95),0)</f>
        <v>-0.19133852034411206</v>
      </c>
      <c r="H95" s="3">
        <f>IF(ISNUMBER(p!H95*LN(p!H95)),p!H95*LN(p!H95),0)</f>
        <v>0</v>
      </c>
      <c r="I95" s="3">
        <f>IF(ISNUMBER(p!I95*LN(p!I95)),p!I95*LN(p!I95),0)</f>
        <v>0</v>
      </c>
      <c r="J95" s="3">
        <f>IF(ISNUMBER(p!J95*LN(p!J95)),p!J95*LN(p!J95),0)</f>
        <v>0</v>
      </c>
      <c r="K95" s="3">
        <f>IF(ISNUMBER(p!K95*LN(p!K95)),p!K95*LN(p!K95),0)</f>
        <v>0</v>
      </c>
      <c r="L95" s="3">
        <f>IF(ISNUMBER(p!L95*LN(p!L95)),p!L95*LN(p!L95),0)</f>
        <v>0</v>
      </c>
      <c r="M95" s="3">
        <f>IF(ISNUMBER(p!M95*LN(p!M95)),p!M95*LN(p!M95),0)</f>
        <v>0</v>
      </c>
      <c r="N95" s="3">
        <f>IF(ISNUMBER(p!N95*LN(p!N95)),p!N95*LN(p!N95),0)</f>
        <v>0</v>
      </c>
      <c r="O95" s="3">
        <f>IF(ISNUMBER(p!O95*LN(p!O95)),p!O95*LN(p!O95),0)</f>
        <v>0</v>
      </c>
      <c r="P95" s="3">
        <f>IF(ISNUMBER(p!P95*LN(p!P95)),p!P95*LN(p!P95),0)</f>
        <v>0</v>
      </c>
      <c r="Q95" s="3">
        <f>IF(ISNUMBER(p!Q95*LN(p!Q95)),p!Q95*LN(p!Q95),0)</f>
        <v>-7.0425962564903313E-2</v>
      </c>
      <c r="R95" s="3">
        <f>IF(ISNUMBER(p!R95*LN(p!R95)),p!R95*LN(p!R95),0)</f>
        <v>0</v>
      </c>
      <c r="S95" s="3">
        <f>IF(ISNUMBER(p!S95*LN(p!S95)),p!S95*LN(p!S95),0)</f>
        <v>0</v>
      </c>
      <c r="T95" s="3">
        <f>IF(ISNUMBER(p!T95*LN(p!T95)),p!T95*LN(p!T95),0)</f>
        <v>0</v>
      </c>
      <c r="U95" s="3">
        <f>IF(ISNUMBER(p!U95*LN(p!U95)),p!U95*LN(p!U95),0)</f>
        <v>0</v>
      </c>
      <c r="V95" s="3">
        <f>IF(ISNUMBER(p!V95*LN(p!V95)),p!V95*LN(p!V95),0)</f>
        <v>0</v>
      </c>
      <c r="W95" s="3">
        <f>IF(ISNUMBER(p!W95*LN(p!W95)),p!W95*LN(p!W95),0)</f>
        <v>0</v>
      </c>
      <c r="X95" s="3">
        <f>IF(ISNUMBER(p!X95*LN(p!X95)),p!X95*LN(p!X95),0)</f>
        <v>0</v>
      </c>
      <c r="Y95" s="3">
        <f>IF(ISNUMBER(p!Y95*LN(p!Y95)),p!Y95*LN(p!Y95),0)</f>
        <v>0</v>
      </c>
      <c r="Z95" s="3">
        <f>IF(ISNUMBER(p!Z95*LN(p!Z95)),p!Z95*LN(p!Z95),0)</f>
        <v>0</v>
      </c>
      <c r="AA95" s="3">
        <f>IF(ISNUMBER(p!AA95*LN(p!AA95)),p!AA95*LN(p!AA95),0)</f>
        <v>0</v>
      </c>
    </row>
    <row r="96" spans="1:27" x14ac:dyDescent="0.25">
      <c r="A96" s="13" t="s">
        <v>142</v>
      </c>
      <c r="B96" s="3">
        <f>IF(ISNUMBER(p!B96*LN(p!B96)),p!B96*LN(p!B96),0)</f>
        <v>0</v>
      </c>
      <c r="C96" s="3">
        <f>IF(ISNUMBER(p!C96*LN(p!C96)),p!C96*LN(p!C96),0)</f>
        <v>0</v>
      </c>
      <c r="D96" s="3">
        <f>IF(ISNUMBER(p!D96*LN(p!D96)),p!D96*LN(p!D96),0)</f>
        <v>0</v>
      </c>
      <c r="E96" s="3">
        <f>IF(ISNUMBER(p!E96*LN(p!E96)),p!E96*LN(p!E96),0)</f>
        <v>0</v>
      </c>
      <c r="F96" s="3">
        <f>IF(ISNUMBER(p!F96*LN(p!F96)),p!F96*LN(p!F96),0)</f>
        <v>0</v>
      </c>
      <c r="G96" s="3">
        <f>IF(ISNUMBER(p!G96*LN(p!G96)),p!G96*LN(p!G96),0)</f>
        <v>-6.4982548177494867E-2</v>
      </c>
      <c r="H96" s="3">
        <f>IF(ISNUMBER(p!H96*LN(p!H96)),p!H96*LN(p!H96),0)</f>
        <v>0</v>
      </c>
      <c r="I96" s="3">
        <f>IF(ISNUMBER(p!I96*LN(p!I96)),p!I96*LN(p!I96),0)</f>
        <v>0</v>
      </c>
      <c r="J96" s="3">
        <f>IF(ISNUMBER(p!J96*LN(p!J96)),p!J96*LN(p!J96),0)</f>
        <v>-0.24255108534102976</v>
      </c>
      <c r="K96" s="3">
        <f>IF(ISNUMBER(p!K96*LN(p!K96)),p!K96*LN(p!K96),0)</f>
        <v>0</v>
      </c>
      <c r="L96" s="3">
        <f>IF(ISNUMBER(p!L96*LN(p!L96)),p!L96*LN(p!L96),0)</f>
        <v>0</v>
      </c>
      <c r="M96" s="3">
        <f>IF(ISNUMBER(p!M96*LN(p!M96)),p!M96*LN(p!M96),0)</f>
        <v>0</v>
      </c>
      <c r="N96" s="3">
        <f>IF(ISNUMBER(p!N96*LN(p!N96)),p!N96*LN(p!N96),0)</f>
        <v>0</v>
      </c>
      <c r="O96" s="3">
        <f>IF(ISNUMBER(p!O96*LN(p!O96)),p!O96*LN(p!O96),0)</f>
        <v>0</v>
      </c>
      <c r="P96" s="3">
        <f>IF(ISNUMBER(p!P96*LN(p!P96)),p!P96*LN(p!P96),0)</f>
        <v>0</v>
      </c>
      <c r="Q96" s="3">
        <f>IF(ISNUMBER(p!Q96*LN(p!Q96)),p!Q96*LN(p!Q96),0)</f>
        <v>-0.35456153972700871</v>
      </c>
      <c r="R96" s="3">
        <f>IF(ISNUMBER(p!R96*LN(p!R96)),p!R96*LN(p!R96),0)</f>
        <v>0</v>
      </c>
      <c r="S96" s="3">
        <f>IF(ISNUMBER(p!S96*LN(p!S96)),p!S96*LN(p!S96),0)</f>
        <v>0</v>
      </c>
      <c r="T96" s="3">
        <f>IF(ISNUMBER(p!T96*LN(p!T96)),p!T96*LN(p!T96),0)</f>
        <v>0</v>
      </c>
      <c r="U96" s="3">
        <f>IF(ISNUMBER(p!U96*LN(p!U96)),p!U96*LN(p!U96),0)</f>
        <v>0</v>
      </c>
      <c r="V96" s="3">
        <f>IF(ISNUMBER(p!V96*LN(p!V96)),p!V96*LN(p!V96),0)</f>
        <v>0</v>
      </c>
      <c r="W96" s="3">
        <f>IF(ISNUMBER(p!W96*LN(p!W96)),p!W96*LN(p!W96),0)</f>
        <v>0</v>
      </c>
      <c r="X96" s="3">
        <f>IF(ISNUMBER(p!X96*LN(p!X96)),p!X96*LN(p!X96),0)</f>
        <v>0</v>
      </c>
      <c r="Y96" s="3">
        <f>IF(ISNUMBER(p!Y96*LN(p!Y96)),p!Y96*LN(p!Y96),0)</f>
        <v>0</v>
      </c>
      <c r="Z96" s="3">
        <f>IF(ISNUMBER(p!Z96*LN(p!Z96)),p!Z96*LN(p!Z96),0)</f>
        <v>0</v>
      </c>
      <c r="AA96" s="3">
        <f>IF(ISNUMBER(p!AA96*LN(p!AA96)),p!AA96*LN(p!AA96),0)</f>
        <v>0</v>
      </c>
    </row>
    <row r="97" spans="1:27" x14ac:dyDescent="0.25">
      <c r="A97" s="13" t="s">
        <v>143</v>
      </c>
      <c r="B97" s="3">
        <f>IF(ISNUMBER(p!B97*LN(p!B97)),p!B97*LN(p!B97),0)</f>
        <v>0</v>
      </c>
      <c r="C97" s="3">
        <f>IF(ISNUMBER(p!C97*LN(p!C97)),p!C97*LN(p!C97),0)</f>
        <v>0</v>
      </c>
      <c r="D97" s="3">
        <f>IF(ISNUMBER(p!D97*LN(p!D97)),p!D97*LN(p!D97),0)</f>
        <v>0</v>
      </c>
      <c r="E97" s="3">
        <f>IF(ISNUMBER(p!E97*LN(p!E97)),p!E97*LN(p!E97),0)</f>
        <v>0</v>
      </c>
      <c r="F97" s="3">
        <f>IF(ISNUMBER(p!F97*LN(p!F97)),p!F97*LN(p!F97),0)</f>
        <v>-3.4134291929509154E-2</v>
      </c>
      <c r="G97" s="3">
        <f>IF(ISNUMBER(p!G97*LN(p!G97)),p!G97*LN(p!G97),0)</f>
        <v>-3.4134291929509154E-2</v>
      </c>
      <c r="H97" s="3">
        <f>IF(ISNUMBER(p!H97*LN(p!H97)),p!H97*LN(p!H97),0)</f>
        <v>0</v>
      </c>
      <c r="I97" s="3">
        <f>IF(ISNUMBER(p!I97*LN(p!I97)),p!I97*LN(p!I97),0)</f>
        <v>0</v>
      </c>
      <c r="J97" s="3">
        <f>IF(ISNUMBER(p!J97*LN(p!J97)),p!J97*LN(p!J97),0)</f>
        <v>-0.13871443121102162</v>
      </c>
      <c r="K97" s="3">
        <f>IF(ISNUMBER(p!K97*LN(p!K97)),p!K97*LN(p!K97),0)</f>
        <v>0</v>
      </c>
      <c r="L97" s="3">
        <f>IF(ISNUMBER(p!L97*LN(p!L97)),p!L97*LN(p!L97),0)</f>
        <v>0</v>
      </c>
      <c r="M97" s="3">
        <f>IF(ISNUMBER(p!M97*LN(p!M97)),p!M97*LN(p!M97),0)</f>
        <v>0</v>
      </c>
      <c r="N97" s="3">
        <f>IF(ISNUMBER(p!N97*LN(p!N97)),p!N97*LN(p!N97),0)</f>
        <v>0</v>
      </c>
      <c r="O97" s="3">
        <f>IF(ISNUMBER(p!O97*LN(p!O97)),p!O97*LN(p!O97),0)</f>
        <v>0</v>
      </c>
      <c r="P97" s="3">
        <f>IF(ISNUMBER(p!P97*LN(p!P97)),p!P97*LN(p!P97),0)</f>
        <v>0</v>
      </c>
      <c r="Q97" s="3">
        <f>IF(ISNUMBER(p!Q97*LN(p!Q97)),p!Q97*LN(p!Q97),0)</f>
        <v>-0.21535989339183831</v>
      </c>
      <c r="R97" s="3">
        <f>IF(ISNUMBER(p!R97*LN(p!R97)),p!R97*LN(p!R97),0)</f>
        <v>0</v>
      </c>
      <c r="S97" s="3">
        <f>IF(ISNUMBER(p!S97*LN(p!S97)),p!S97*LN(p!S97),0)</f>
        <v>0</v>
      </c>
      <c r="T97" s="3">
        <f>IF(ISNUMBER(p!T97*LN(p!T97)),p!T97*LN(p!T97),0)</f>
        <v>0</v>
      </c>
      <c r="U97" s="3">
        <f>IF(ISNUMBER(p!U97*LN(p!U97)),p!U97*LN(p!U97),0)</f>
        <v>-9.8556500290094412E-2</v>
      </c>
      <c r="V97" s="3">
        <f>IF(ISNUMBER(p!V97*LN(p!V97)),p!V97*LN(p!V97),0)</f>
        <v>0</v>
      </c>
      <c r="W97" s="3">
        <f>IF(ISNUMBER(p!W97*LN(p!W97)),p!W97*LN(p!W97),0)</f>
        <v>0</v>
      </c>
      <c r="X97" s="3">
        <f>IF(ISNUMBER(p!X97*LN(p!X97)),p!X97*LN(p!X97),0)</f>
        <v>0</v>
      </c>
      <c r="Y97" s="3">
        <f>IF(ISNUMBER(p!Y97*LN(p!Y97)),p!Y97*LN(p!Y97),0)</f>
        <v>0</v>
      </c>
      <c r="Z97" s="3">
        <f>IF(ISNUMBER(p!Z97*LN(p!Z97)),p!Z97*LN(p!Z97),0)</f>
        <v>0</v>
      </c>
      <c r="AA97" s="3">
        <f>IF(ISNUMBER(p!AA97*LN(p!AA97)),p!AA97*LN(p!AA97),0)</f>
        <v>-7.9828650678908764E-2</v>
      </c>
    </row>
    <row r="98" spans="1:27" x14ac:dyDescent="0.25">
      <c r="A98" s="13" t="s">
        <v>144</v>
      </c>
      <c r="B98" s="3">
        <f>IF(ISNUMBER(p!B98*LN(p!B98)),p!B98*LN(p!B98),0)</f>
        <v>0</v>
      </c>
      <c r="C98" s="3">
        <f>IF(ISNUMBER(p!C98*LN(p!C98)),p!C98*LN(p!C98),0)</f>
        <v>0</v>
      </c>
      <c r="D98" s="3">
        <f>IF(ISNUMBER(p!D98*LN(p!D98)),p!D98*LN(p!D98),0)</f>
        <v>0</v>
      </c>
      <c r="E98" s="3">
        <f>IF(ISNUMBER(p!E98*LN(p!E98)),p!E98*LN(p!E98),0)</f>
        <v>0</v>
      </c>
      <c r="F98" s="3">
        <f>IF(ISNUMBER(p!F98*LN(p!F98)),p!F98*LN(p!F98),0)</f>
        <v>0</v>
      </c>
      <c r="G98" s="3">
        <f>IF(ISNUMBER(p!G98*LN(p!G98)),p!G98*LN(p!G98),0)</f>
        <v>0</v>
      </c>
      <c r="H98" s="3">
        <f>IF(ISNUMBER(p!H98*LN(p!H98)),p!H98*LN(p!H98),0)</f>
        <v>0</v>
      </c>
      <c r="I98" s="3">
        <f>IF(ISNUMBER(p!I98*LN(p!I98)),p!I98*LN(p!I98),0)</f>
        <v>0</v>
      </c>
      <c r="J98" s="3">
        <f>IF(ISNUMBER(p!J98*LN(p!J98)),p!J98*LN(p!J98),0)</f>
        <v>-0.21415385630212858</v>
      </c>
      <c r="K98" s="3">
        <f>IF(ISNUMBER(p!K98*LN(p!K98)),p!K98*LN(p!K98),0)</f>
        <v>0</v>
      </c>
      <c r="L98" s="3">
        <f>IF(ISNUMBER(p!L98*LN(p!L98)),p!L98*LN(p!L98),0)</f>
        <v>0</v>
      </c>
      <c r="M98" s="3">
        <f>IF(ISNUMBER(p!M98*LN(p!M98)),p!M98*LN(p!M98),0)</f>
        <v>0</v>
      </c>
      <c r="N98" s="3">
        <f>IF(ISNUMBER(p!N98*LN(p!N98)),p!N98*LN(p!N98),0)</f>
        <v>0</v>
      </c>
      <c r="O98" s="3">
        <f>IF(ISNUMBER(p!O98*LN(p!O98)),p!O98*LN(p!O98),0)</f>
        <v>0</v>
      </c>
      <c r="P98" s="3">
        <f>IF(ISNUMBER(p!P98*LN(p!P98)),p!P98*LN(p!P98),0)</f>
        <v>0</v>
      </c>
      <c r="Q98" s="3">
        <f>IF(ISNUMBER(p!Q98*LN(p!Q98)),p!Q98*LN(p!Q98),0)</f>
        <v>-0.30879241941591767</v>
      </c>
      <c r="R98" s="3">
        <f>IF(ISNUMBER(p!R98*LN(p!R98)),p!R98*LN(p!R98),0)</f>
        <v>0</v>
      </c>
      <c r="S98" s="3">
        <f>IF(ISNUMBER(p!S98*LN(p!S98)),p!S98*LN(p!S98),0)</f>
        <v>0</v>
      </c>
      <c r="T98" s="3">
        <f>IF(ISNUMBER(p!T98*LN(p!T98)),p!T98*LN(p!T98),0)</f>
        <v>0</v>
      </c>
      <c r="U98" s="3">
        <f>IF(ISNUMBER(p!U98*LN(p!U98)),p!U98*LN(p!U98),0)</f>
        <v>-0.1820694041060858</v>
      </c>
      <c r="V98" s="3">
        <f>IF(ISNUMBER(p!V98*LN(p!V98)),p!V98*LN(p!V98),0)</f>
        <v>0</v>
      </c>
      <c r="W98" s="3">
        <f>IF(ISNUMBER(p!W98*LN(p!W98)),p!W98*LN(p!W98),0)</f>
        <v>0</v>
      </c>
      <c r="X98" s="3">
        <f>IF(ISNUMBER(p!X98*LN(p!X98)),p!X98*LN(p!X98),0)</f>
        <v>0</v>
      </c>
      <c r="Y98" s="3">
        <f>IF(ISNUMBER(p!Y98*LN(p!Y98)),p!Y98*LN(p!Y98),0)</f>
        <v>0</v>
      </c>
      <c r="Z98" s="3">
        <f>IF(ISNUMBER(p!Z98*LN(p!Z98)),p!Z98*LN(p!Z98),0)</f>
        <v>0</v>
      </c>
      <c r="AA98" s="3">
        <f>IF(ISNUMBER(p!AA98*LN(p!AA98)),p!AA98*LN(p!AA98),0)</f>
        <v>0</v>
      </c>
    </row>
    <row r="99" spans="1:27" x14ac:dyDescent="0.25">
      <c r="A99" s="13" t="s">
        <v>145</v>
      </c>
      <c r="B99" s="3">
        <f>IF(ISNUMBER(p!B99*LN(p!B99)),p!B99*LN(p!B99),0)</f>
        <v>0</v>
      </c>
      <c r="C99" s="3">
        <f>IF(ISNUMBER(p!C99*LN(p!C99)),p!C99*LN(p!C99),0)</f>
        <v>0</v>
      </c>
      <c r="D99" s="3">
        <f>IF(ISNUMBER(p!D99*LN(p!D99)),p!D99*LN(p!D99),0)</f>
        <v>0</v>
      </c>
      <c r="E99" s="3">
        <f>IF(ISNUMBER(p!E99*LN(p!E99)),p!E99*LN(p!E99),0)</f>
        <v>0</v>
      </c>
      <c r="F99" s="3">
        <f>IF(ISNUMBER(p!F99*LN(p!F99)),p!F99*LN(p!F99),0)</f>
        <v>0</v>
      </c>
      <c r="G99" s="3">
        <f>IF(ISNUMBER(p!G99*LN(p!G99)),p!G99*LN(p!G99),0)</f>
        <v>-7.902567537356768E-2</v>
      </c>
      <c r="H99" s="3">
        <f>IF(ISNUMBER(p!H99*LN(p!H99)),p!H99*LN(p!H99),0)</f>
        <v>0</v>
      </c>
      <c r="I99" s="3">
        <f>IF(ISNUMBER(p!I99*LN(p!I99)),p!I99*LN(p!I99),0)</f>
        <v>0</v>
      </c>
      <c r="J99" s="3">
        <f>IF(ISNUMBER(p!J99*LN(p!J99)),p!J99*LN(p!J99),0)</f>
        <v>-0.201051189811734</v>
      </c>
      <c r="K99" s="3">
        <f>IF(ISNUMBER(p!K99*LN(p!K99)),p!K99*LN(p!K99),0)</f>
        <v>0</v>
      </c>
      <c r="L99" s="3">
        <f>IF(ISNUMBER(p!L99*LN(p!L99)),p!L99*LN(p!L99),0)</f>
        <v>0</v>
      </c>
      <c r="M99" s="3">
        <f>IF(ISNUMBER(p!M99*LN(p!M99)),p!M99*LN(p!M99),0)</f>
        <v>0</v>
      </c>
      <c r="N99" s="3">
        <f>IF(ISNUMBER(p!N99*LN(p!N99)),p!N99*LN(p!N99),0)</f>
        <v>0</v>
      </c>
      <c r="O99" s="3">
        <f>IF(ISNUMBER(p!O99*LN(p!O99)),p!O99*LN(p!O99),0)</f>
        <v>0</v>
      </c>
      <c r="P99" s="3">
        <f>IF(ISNUMBER(p!P99*LN(p!P99)),p!P99*LN(p!P99),0)</f>
        <v>0</v>
      </c>
      <c r="Q99" s="3">
        <f>IF(ISNUMBER(p!Q99*LN(p!Q99)),p!Q99*LN(p!Q99),0)</f>
        <v>-0.30552033195478689</v>
      </c>
      <c r="R99" s="3">
        <f>IF(ISNUMBER(p!R99*LN(p!R99)),p!R99*LN(p!R99),0)</f>
        <v>0</v>
      </c>
      <c r="S99" s="3">
        <f>IF(ISNUMBER(p!S99*LN(p!S99)),p!S99*LN(p!S99),0)</f>
        <v>0</v>
      </c>
      <c r="T99" s="3">
        <f>IF(ISNUMBER(p!T99*LN(p!T99)),p!T99*LN(p!T99),0)</f>
        <v>0</v>
      </c>
      <c r="U99" s="3">
        <f>IF(ISNUMBER(p!U99*LN(p!U99)),p!U99*LN(p!U99),0)</f>
        <v>-0.1144518365314194</v>
      </c>
      <c r="V99" s="3">
        <f>IF(ISNUMBER(p!V99*LN(p!V99)),p!V99*LN(p!V99),0)</f>
        <v>0</v>
      </c>
      <c r="W99" s="3">
        <f>IF(ISNUMBER(p!W99*LN(p!W99)),p!W99*LN(p!W99),0)</f>
        <v>0</v>
      </c>
      <c r="X99" s="3">
        <f>IF(ISNUMBER(p!X99*LN(p!X99)),p!X99*LN(p!X99),0)</f>
        <v>0</v>
      </c>
      <c r="Y99" s="3">
        <f>IF(ISNUMBER(p!Y99*LN(p!Y99)),p!Y99*LN(p!Y99),0)</f>
        <v>0</v>
      </c>
      <c r="Z99" s="3">
        <f>IF(ISNUMBER(p!Z99*LN(p!Z99)),p!Z99*LN(p!Z99),0)</f>
        <v>0</v>
      </c>
      <c r="AA99" s="3">
        <f>IF(ISNUMBER(p!AA99*LN(p!AA99)),p!AA99*LN(p!AA99),0)</f>
        <v>0</v>
      </c>
    </row>
    <row r="100" spans="1:27" x14ac:dyDescent="0.25">
      <c r="A100" s="13" t="s">
        <v>146</v>
      </c>
      <c r="B100" s="3">
        <f>IF(ISNUMBER(p!B100*LN(p!B100)),p!B100*LN(p!B100),0)</f>
        <v>-3.5704736848965253E-2</v>
      </c>
      <c r="C100" s="3">
        <f>IF(ISNUMBER(p!C100*LN(p!C100)),p!C100*LN(p!C100),0)</f>
        <v>0</v>
      </c>
      <c r="D100" s="3">
        <f>IF(ISNUMBER(p!D100*LN(p!D100)),p!D100*LN(p!D100),0)</f>
        <v>0</v>
      </c>
      <c r="E100" s="3">
        <f>IF(ISNUMBER(p!E100*LN(p!E100)),p!E100*LN(p!E100),0)</f>
        <v>0</v>
      </c>
      <c r="F100" s="3">
        <f>IF(ISNUMBER(p!F100*LN(p!F100)),p!F100*LN(p!F100),0)</f>
        <v>0</v>
      </c>
      <c r="G100" s="3">
        <f>IF(ISNUMBER(p!G100*LN(p!G100)),p!G100*LN(p!G100),0)</f>
        <v>0</v>
      </c>
      <c r="H100" s="3">
        <f>IF(ISNUMBER(p!H100*LN(p!H100)),p!H100*LN(p!H100),0)</f>
        <v>0</v>
      </c>
      <c r="I100" s="3">
        <f>IF(ISNUMBER(p!I100*LN(p!I100)),p!I100*LN(p!I100),0)</f>
        <v>0</v>
      </c>
      <c r="J100" s="3">
        <f>IF(ISNUMBER(p!J100*LN(p!J100)),p!J100*LN(p!J100),0)</f>
        <v>-0.1025617939386147</v>
      </c>
      <c r="K100" s="3">
        <f>IF(ISNUMBER(p!K100*LN(p!K100)),p!K100*LN(p!K100),0)</f>
        <v>0</v>
      </c>
      <c r="L100" s="3">
        <f>IF(ISNUMBER(p!L100*LN(p!L100)),p!L100*LN(p!L100),0)</f>
        <v>0</v>
      </c>
      <c r="M100" s="3">
        <f>IF(ISNUMBER(p!M100*LN(p!M100)),p!M100*LN(p!M100),0)</f>
        <v>0</v>
      </c>
      <c r="N100" s="3">
        <f>IF(ISNUMBER(p!N100*LN(p!N100)),p!N100*LN(p!N100),0)</f>
        <v>0</v>
      </c>
      <c r="O100" s="3">
        <f>IF(ISNUMBER(p!O100*LN(p!O100)),p!O100*LN(p!O100),0)</f>
        <v>-6.1363862385467524E-2</v>
      </c>
      <c r="P100" s="3">
        <f>IF(ISNUMBER(p!P100*LN(p!P100)),p!P100*LN(p!P100),0)</f>
        <v>0</v>
      </c>
      <c r="Q100" s="3">
        <f>IF(ISNUMBER(p!Q100*LN(p!Q100)),p!Q100*LN(p!Q100),0)</f>
        <v>-0.13632583547518043</v>
      </c>
      <c r="R100" s="3">
        <f>IF(ISNUMBER(p!R100*LN(p!R100)),p!R100*LN(p!R100),0)</f>
        <v>0</v>
      </c>
      <c r="S100" s="3">
        <f>IF(ISNUMBER(p!S100*LN(p!S100)),p!S100*LN(p!S100),0)</f>
        <v>0</v>
      </c>
      <c r="T100" s="3">
        <f>IF(ISNUMBER(p!T100*LN(p!T100)),p!T100*LN(p!T100),0)</f>
        <v>0</v>
      </c>
      <c r="U100" s="3">
        <f>IF(ISNUMBER(p!U100*LN(p!U100)),p!U100*LN(p!U100),0)</f>
        <v>-0.13632583547518043</v>
      </c>
      <c r="V100" s="3">
        <f>IF(ISNUMBER(p!V100*LN(p!V100)),p!V100*LN(p!V100),0)</f>
        <v>0</v>
      </c>
      <c r="W100" s="3">
        <f>IF(ISNUMBER(p!W100*LN(p!W100)),p!W100*LN(p!W100),0)</f>
        <v>0</v>
      </c>
      <c r="X100" s="3">
        <f>IF(ISNUMBER(p!X100*LN(p!X100)),p!X100*LN(p!X100),0)</f>
        <v>0</v>
      </c>
      <c r="Y100" s="3">
        <f>IF(ISNUMBER(p!Y100*LN(p!Y100)),p!Y100*LN(p!Y100),0)</f>
        <v>0</v>
      </c>
      <c r="Z100" s="3">
        <f>IF(ISNUMBER(p!Z100*LN(p!Z100)),p!Z100*LN(p!Z100),0)</f>
        <v>0</v>
      </c>
      <c r="AA100" s="3">
        <f>IF(ISNUMBER(p!AA100*LN(p!AA100)),p!AA100*LN(p!AA100),0)</f>
        <v>0</v>
      </c>
    </row>
    <row r="101" spans="1:27" x14ac:dyDescent="0.25">
      <c r="B101" s="3">
        <f>IF(ISNUMBER(p!B101*LN(p!B101)),p!B101*LN(p!B101),0)</f>
        <v>-0.22501805756402876</v>
      </c>
      <c r="C101" s="3">
        <f>IF(ISNUMBER(p!C101*LN(p!C101)),p!C101*LN(p!C101),0)</f>
        <v>-0.34113826951346049</v>
      </c>
      <c r="D101" s="3">
        <f>IF(ISNUMBER(p!D101*LN(p!D101)),p!D101*LN(p!D101),0)</f>
        <v>0</v>
      </c>
      <c r="E101" s="3">
        <f>IF(ISNUMBER(p!E101*LN(p!E101)),p!E101*LN(p!E101),0)</f>
        <v>0</v>
      </c>
      <c r="F101" s="3">
        <f>IF(ISNUMBER(p!F101*LN(p!F101)),p!F101*LN(p!F101),0)</f>
        <v>0</v>
      </c>
      <c r="G101" s="3">
        <f>IF(ISNUMBER(p!G101*LN(p!G101)),p!G101*LN(p!G101),0)</f>
        <v>0</v>
      </c>
      <c r="H101" s="3">
        <f>IF(ISNUMBER(p!H101*LN(p!H101)),p!H101*LN(p!H101),0)</f>
        <v>0</v>
      </c>
      <c r="I101" s="3">
        <f>IF(ISNUMBER(p!I101*LN(p!I101)),p!I101*LN(p!I101),0)</f>
        <v>0</v>
      </c>
      <c r="J101" s="3">
        <f>IF(ISNUMBER(p!J101*LN(p!J101)),p!J101*LN(p!J101),0)</f>
        <v>-4.1545600424513114E-2</v>
      </c>
      <c r="K101" s="3">
        <f>IF(ISNUMBER(p!K101*LN(p!K101)),p!K101*LN(p!K101),0)</f>
        <v>0</v>
      </c>
      <c r="L101" s="3">
        <f>IF(ISNUMBER(p!L101*LN(p!L101)),p!L101*LN(p!L101),0)</f>
        <v>0</v>
      </c>
      <c r="M101" s="3">
        <f>IF(ISNUMBER(p!M101*LN(p!M101)),p!M101*LN(p!M101),0)</f>
        <v>0</v>
      </c>
      <c r="N101" s="3">
        <f>IF(ISNUMBER(p!N101*LN(p!N101)),p!N101*LN(p!N101),0)</f>
        <v>0</v>
      </c>
      <c r="O101" s="3">
        <f>IF(ISNUMBER(p!O101*LN(p!O101)),p!O101*LN(p!O101),0)</f>
        <v>0</v>
      </c>
      <c r="P101" s="3">
        <f>IF(ISNUMBER(p!P101*LN(p!P101)),p!P101*LN(p!P101),0)</f>
        <v>0</v>
      </c>
      <c r="Q101" s="3">
        <f>IF(ISNUMBER(p!Q101*LN(p!Q101)),p!Q101*LN(p!Q101),0)</f>
        <v>-7.0930723997097364E-2</v>
      </c>
      <c r="R101" s="3">
        <f>IF(ISNUMBER(p!R101*LN(p!R101)),p!R101*LN(p!R101),0)</f>
        <v>0</v>
      </c>
      <c r="S101" s="3">
        <f>IF(ISNUMBER(p!S101*LN(p!S101)),p!S101*LN(p!S101),0)</f>
        <v>0</v>
      </c>
      <c r="T101" s="3">
        <f>IF(ISNUMBER(p!T101*LN(p!T101)),p!T101*LN(p!T101),0)</f>
        <v>0</v>
      </c>
      <c r="U101" s="3">
        <f>IF(ISNUMBER(p!U101*LN(p!U101)),p!U101*LN(p!U101),0)</f>
        <v>0</v>
      </c>
      <c r="V101" s="3">
        <f>IF(ISNUMBER(p!V101*LN(p!V101)),p!V101*LN(p!V101),0)</f>
        <v>0</v>
      </c>
      <c r="W101" s="3">
        <f>IF(ISNUMBER(p!W101*LN(p!W101)),p!W101*LN(p!W101),0)</f>
        <v>0</v>
      </c>
      <c r="X101" s="3">
        <f>IF(ISNUMBER(p!X101*LN(p!X101)),p!X101*LN(p!X101),0)</f>
        <v>0</v>
      </c>
      <c r="Y101" s="3">
        <f>IF(ISNUMBER(p!Y101*LN(p!Y101)),p!Y101*LN(p!Y101),0)</f>
        <v>0</v>
      </c>
      <c r="Z101" s="3">
        <f>IF(ISNUMBER(p!Z101*LN(p!Z101)),p!Z101*LN(p!Z101),0)</f>
        <v>0</v>
      </c>
      <c r="AA101" s="3">
        <f>IF(ISNUMBER(p!AA101*LN(p!AA101)),p!AA101*LN(p!AA101),0)</f>
        <v>0</v>
      </c>
    </row>
    <row r="102" spans="1:27" x14ac:dyDescent="0.25">
      <c r="B102" s="3">
        <f>IF(ISNUMBER(p!B102*LN(p!B102)),p!B102*LN(p!B102),0)</f>
        <v>-0.17233124085249055</v>
      </c>
      <c r="C102" s="3">
        <f>IF(ISNUMBER(p!C102*LN(p!C102)),p!C102*LN(p!C102),0)</f>
        <v>-0.20916097724335755</v>
      </c>
      <c r="D102" s="3">
        <f>IF(ISNUMBER(p!D102*LN(p!D102)),p!D102*LN(p!D102),0)</f>
        <v>-2.9243783799852142E-2</v>
      </c>
      <c r="E102" s="3">
        <f>IF(ISNUMBER(p!E102*LN(p!E102)),p!E102*LN(p!E102),0)</f>
        <v>0</v>
      </c>
      <c r="F102" s="3">
        <f>IF(ISNUMBER(p!F102*LN(p!F102)),p!F102*LN(p!F102),0)</f>
        <v>0</v>
      </c>
      <c r="G102" s="3">
        <f>IF(ISNUMBER(p!G102*LN(p!G102)),p!G102*LN(p!G102),0)</f>
        <v>0</v>
      </c>
      <c r="H102" s="3">
        <f>IF(ISNUMBER(p!H102*LN(p!H102)),p!H102*LN(p!H102),0)</f>
        <v>0</v>
      </c>
      <c r="I102" s="3">
        <f>IF(ISNUMBER(p!I102*LN(p!I102)),p!I102*LN(p!I102),0)</f>
        <v>0</v>
      </c>
      <c r="J102" s="3">
        <f>IF(ISNUMBER(p!J102*LN(p!J102)),p!J102*LN(p!J102),0)</f>
        <v>0</v>
      </c>
      <c r="K102" s="3">
        <f>IF(ISNUMBER(p!K102*LN(p!K102)),p!K102*LN(p!K102),0)</f>
        <v>0</v>
      </c>
      <c r="L102" s="3">
        <f>IF(ISNUMBER(p!L102*LN(p!L102)),p!L102*LN(p!L102),0)</f>
        <v>0</v>
      </c>
      <c r="M102" s="3">
        <f>IF(ISNUMBER(p!M102*LN(p!M102)),p!M102*LN(p!M102),0)</f>
        <v>0</v>
      </c>
      <c r="N102" s="3">
        <f>IF(ISNUMBER(p!N102*LN(p!N102)),p!N102*LN(p!N102),0)</f>
        <v>0</v>
      </c>
      <c r="O102" s="3">
        <f>IF(ISNUMBER(p!O102*LN(p!O102)),p!O102*LN(p!O102),0)</f>
        <v>0</v>
      </c>
      <c r="P102" s="3">
        <f>IF(ISNUMBER(p!P102*LN(p!P102)),p!P102*LN(p!P102),0)</f>
        <v>0</v>
      </c>
      <c r="Q102" s="3">
        <f>IF(ISNUMBER(p!Q102*LN(p!Q102)),p!Q102*LN(p!Q102),0)</f>
        <v>-0.22502778872768037</v>
      </c>
      <c r="R102" s="3">
        <f>IF(ISNUMBER(p!R102*LN(p!R102)),p!R102*LN(p!R102),0)</f>
        <v>0</v>
      </c>
      <c r="S102" s="3">
        <f>IF(ISNUMBER(p!S102*LN(p!S102)),p!S102*LN(p!S102),0)</f>
        <v>0</v>
      </c>
      <c r="T102" s="3">
        <f>IF(ISNUMBER(p!T102*LN(p!T102)),p!T102*LN(p!T102),0)</f>
        <v>0</v>
      </c>
      <c r="U102" s="3">
        <f>IF(ISNUMBER(p!U102*LN(p!U102)),p!U102*LN(p!U102),0)</f>
        <v>0</v>
      </c>
      <c r="V102" s="3">
        <f>IF(ISNUMBER(p!V102*LN(p!V102)),p!V102*LN(p!V102),0)</f>
        <v>0</v>
      </c>
      <c r="W102" s="3">
        <f>IF(ISNUMBER(p!W102*LN(p!W102)),p!W102*LN(p!W102),0)</f>
        <v>0</v>
      </c>
      <c r="X102" s="3">
        <f>IF(ISNUMBER(p!X102*LN(p!X102)),p!X102*LN(p!X102),0)</f>
        <v>0</v>
      </c>
      <c r="Y102" s="3">
        <f>IF(ISNUMBER(p!Y102*LN(p!Y102)),p!Y102*LN(p!Y102),0)</f>
        <v>0</v>
      </c>
      <c r="Z102" s="3">
        <f>IF(ISNUMBER(p!Z102*LN(p!Z102)),p!Z102*LN(p!Z102),0)</f>
        <v>0</v>
      </c>
      <c r="AA102" s="3">
        <f>IF(ISNUMBER(p!AA102*LN(p!AA102)),p!AA102*LN(p!AA102),0)</f>
        <v>0</v>
      </c>
    </row>
    <row r="103" spans="1:27" x14ac:dyDescent="0.25">
      <c r="B103" s="3">
        <f>IF(ISNUMBER(p!B103*LN(p!B103)),p!B103*LN(p!B103),0)</f>
        <v>-8.2379450701685605E-2</v>
      </c>
      <c r="C103" s="3">
        <f>IF(ISNUMBER(p!C103*LN(p!C103)),p!C103*LN(p!C103),0)</f>
        <v>0</v>
      </c>
      <c r="D103" s="3">
        <f>IF(ISNUMBER(p!D103*LN(p!D103)),p!D103*LN(p!D103),0)</f>
        <v>-2.9649743098934075E-2</v>
      </c>
      <c r="E103" s="3">
        <f>IF(ISNUMBER(p!E103*LN(p!E103)),p!E103*LN(p!E103),0)</f>
        <v>0</v>
      </c>
      <c r="F103" s="3">
        <f>IF(ISNUMBER(p!F103*LN(p!F103)),p!F103*LN(p!F103),0)</f>
        <v>0</v>
      </c>
      <c r="G103" s="3">
        <f>IF(ISNUMBER(p!G103*LN(p!G103)),p!G103*LN(p!G103),0)</f>
        <v>0</v>
      </c>
      <c r="H103" s="3">
        <f>IF(ISNUMBER(p!H103*LN(p!H103)),p!H103*LN(p!H103),0)</f>
        <v>0</v>
      </c>
      <c r="I103" s="3">
        <f>IF(ISNUMBER(p!I103*LN(p!I103)),p!I103*LN(p!I103),0)</f>
        <v>0</v>
      </c>
      <c r="J103" s="3">
        <f>IF(ISNUMBER(p!J103*LN(p!J103)),p!J103*LN(p!J103),0)</f>
        <v>0</v>
      </c>
      <c r="K103" s="3">
        <f>IF(ISNUMBER(p!K103*LN(p!K103)),p!K103*LN(p!K103),0)</f>
        <v>-5.1332277225914755E-2</v>
      </c>
      <c r="L103" s="3">
        <f>IF(ISNUMBER(p!L103*LN(p!L103)),p!L103*LN(p!L103),0)</f>
        <v>0</v>
      </c>
      <c r="M103" s="3">
        <f>IF(ISNUMBER(p!M103*LN(p!M103)),p!M103*LN(p!M103),0)</f>
        <v>0</v>
      </c>
      <c r="N103" s="3">
        <f>IF(ISNUMBER(p!N103*LN(p!N103)),p!N103*LN(p!N103),0)</f>
        <v>0</v>
      </c>
      <c r="O103" s="3">
        <f>IF(ISNUMBER(p!O103*LN(p!O103)),p!O103*LN(p!O103),0)</f>
        <v>-2.9649743098934075E-2</v>
      </c>
      <c r="P103" s="3">
        <f>IF(ISNUMBER(p!P103*LN(p!P103)),p!P103*LN(p!P103),0)</f>
        <v>0</v>
      </c>
      <c r="Q103" s="3">
        <f>IF(ISNUMBER(p!Q103*LN(p!Q103)),p!Q103*LN(p!Q103),0)</f>
        <v>-0.11611364930987841</v>
      </c>
      <c r="R103" s="3">
        <f>IF(ISNUMBER(p!R103*LN(p!R103)),p!R103*LN(p!R103),0)</f>
        <v>0</v>
      </c>
      <c r="S103" s="3">
        <f>IF(ISNUMBER(p!S103*LN(p!S103)),p!S103*LN(p!S103),0)</f>
        <v>0</v>
      </c>
      <c r="T103" s="3">
        <f>IF(ISNUMBER(p!T103*LN(p!T103)),p!T103*LN(p!T103),0)</f>
        <v>0</v>
      </c>
      <c r="U103" s="3">
        <f>IF(ISNUMBER(p!U103*LN(p!U103)),p!U103*LN(p!U103),0)</f>
        <v>0</v>
      </c>
      <c r="V103" s="3">
        <f>IF(ISNUMBER(p!V103*LN(p!V103)),p!V103*LN(p!V103),0)</f>
        <v>0</v>
      </c>
      <c r="W103" s="3">
        <f>IF(ISNUMBER(p!W103*LN(p!W103)),p!W103*LN(p!W103),0)</f>
        <v>0</v>
      </c>
      <c r="X103" s="3">
        <f>IF(ISNUMBER(p!X103*LN(p!X103)),p!X103*LN(p!X103),0)</f>
        <v>0</v>
      </c>
      <c r="Y103" s="3">
        <f>IF(ISNUMBER(p!Y103*LN(p!Y103)),p!Y103*LN(p!Y103),0)</f>
        <v>0</v>
      </c>
      <c r="Z103" s="3">
        <f>IF(ISNUMBER(p!Z103*LN(p!Z103)),p!Z103*LN(p!Z103),0)</f>
        <v>0</v>
      </c>
      <c r="AA103" s="3">
        <f>IF(ISNUMBER(p!AA103*LN(p!AA103)),p!AA103*LN(p!AA103),0)</f>
        <v>0</v>
      </c>
    </row>
    <row r="104" spans="1:27" x14ac:dyDescent="0.25">
      <c r="B104" s="3">
        <f>IF(ISNUMBER(p!B104*LN(p!B104)),p!B104*LN(p!B104),0)</f>
        <v>-0.3236423315082535</v>
      </c>
      <c r="C104" s="3">
        <f>IF(ISNUMBER(p!C104*LN(p!C104)),p!C104*LN(p!C104),0)</f>
        <v>0</v>
      </c>
      <c r="D104" s="3">
        <f>IF(ISNUMBER(p!D104*LN(p!D104)),p!D104*LN(p!D104),0)</f>
        <v>-3.4512592358166672E-2</v>
      </c>
      <c r="E104" s="3">
        <f>IF(ISNUMBER(p!E104*LN(p!E104)),p!E104*LN(p!E104),0)</f>
        <v>-5.9398140541889653E-2</v>
      </c>
      <c r="F104" s="3">
        <f>IF(ISNUMBER(p!F104*LN(p!F104)),p!F104*LN(p!F104),0)</f>
        <v>0</v>
      </c>
      <c r="G104" s="3">
        <f>IF(ISNUMBER(p!G104*LN(p!G104)),p!G104*LN(p!G104),0)</f>
        <v>0</v>
      </c>
      <c r="H104" s="3">
        <f>IF(ISNUMBER(p!H104*LN(p!H104)),p!H104*LN(p!H104),0)</f>
        <v>-5.9398140541889653E-2</v>
      </c>
      <c r="I104" s="3">
        <f>IF(ISNUMBER(p!I104*LN(p!I104)),p!I104*LN(p!I104),0)</f>
        <v>-3.4512592358166672E-2</v>
      </c>
      <c r="J104" s="3">
        <f>IF(ISNUMBER(p!J104*LN(p!J104)),p!J104*LN(p!J104),0)</f>
        <v>0</v>
      </c>
      <c r="K104" s="3">
        <f>IF(ISNUMBER(p!K104*LN(p!K104)),p!K104*LN(p!K104),0)</f>
        <v>-0.21710577255200023</v>
      </c>
      <c r="L104" s="3">
        <f>IF(ISNUMBER(p!L104*LN(p!L104)),p!L104*LN(p!L104),0)</f>
        <v>-8.0650021060581056E-2</v>
      </c>
      <c r="M104" s="3">
        <f>IF(ISNUMBER(p!M104*LN(p!M104)),p!M104*LN(p!M104),0)</f>
        <v>-0.13241890959783106</v>
      </c>
      <c r="N104" s="3">
        <f>IF(ISNUMBER(p!N104*LN(p!N104)),p!N104*LN(p!N104),0)</f>
        <v>0</v>
      </c>
      <c r="O104" s="3">
        <f>IF(ISNUMBER(p!O104*LN(p!O104)),p!O104*LN(p!O104),0)</f>
        <v>0</v>
      </c>
      <c r="P104" s="3">
        <f>IF(ISNUMBER(p!P104*LN(p!P104)),p!P104*LN(p!P104),0)</f>
        <v>0</v>
      </c>
      <c r="Q104" s="3">
        <f>IF(ISNUMBER(p!Q104*LN(p!Q104)),p!Q104*LN(p!Q104),0)</f>
        <v>-0.21710577255200023</v>
      </c>
      <c r="R104" s="3">
        <f>IF(ISNUMBER(p!R104*LN(p!R104)),p!R104*LN(p!R104),0)</f>
        <v>0</v>
      </c>
      <c r="S104" s="3">
        <f>IF(ISNUMBER(p!S104*LN(p!S104)),p!S104*LN(p!S104),0)</f>
        <v>0</v>
      </c>
      <c r="T104" s="3">
        <f>IF(ISNUMBER(p!T104*LN(p!T104)),p!T104*LN(p!T104),0)</f>
        <v>0</v>
      </c>
      <c r="U104" s="3">
        <f>IF(ISNUMBER(p!U104*LN(p!U104)),p!U104*LN(p!U104),0)</f>
        <v>0</v>
      </c>
      <c r="V104" s="3">
        <f>IF(ISNUMBER(p!V104*LN(p!V104)),p!V104*LN(p!V104),0)</f>
        <v>0</v>
      </c>
      <c r="W104" s="3">
        <f>IF(ISNUMBER(p!W104*LN(p!W104)),p!W104*LN(p!W104),0)</f>
        <v>0</v>
      </c>
      <c r="X104" s="3">
        <f>IF(ISNUMBER(p!X104*LN(p!X104)),p!X104*LN(p!X104),0)</f>
        <v>0</v>
      </c>
      <c r="Y104" s="3">
        <f>IF(ISNUMBER(p!Y104*LN(p!Y104)),p!Y104*LN(p!Y104),0)</f>
        <v>0</v>
      </c>
      <c r="Z104" s="3">
        <f>IF(ISNUMBER(p!Z104*LN(p!Z104)),p!Z104*LN(p!Z104),0)</f>
        <v>0</v>
      </c>
      <c r="AA104" s="3">
        <f>IF(ISNUMBER(p!AA104*LN(p!AA104)),p!AA104*LN(p!AA104),0)</f>
        <v>0</v>
      </c>
    </row>
    <row r="105" spans="1:27" x14ac:dyDescent="0.25">
      <c r="B105" s="3">
        <f>IF(ISNUMBER(p!B105*LN(p!B105)),p!B105*LN(p!B105),0)</f>
        <v>-0.25673186319645286</v>
      </c>
      <c r="C105" s="3">
        <f>IF(ISNUMBER(p!C105*LN(p!C105)),p!C105*LN(p!C105),0)</f>
        <v>0</v>
      </c>
      <c r="D105" s="3">
        <f>IF(ISNUMBER(p!D105*LN(p!D105)),p!D105*LN(p!D105),0)</f>
        <v>-5.7566508180484137E-2</v>
      </c>
      <c r="E105" s="3">
        <f>IF(ISNUMBER(p!E105*LN(p!E105)),p!E105*LN(p!E105),0)</f>
        <v>-4.1981806414617552E-2</v>
      </c>
      <c r="F105" s="3">
        <f>IF(ISNUMBER(p!F105*LN(p!F105)),p!F105*LN(p!F105),0)</f>
        <v>0</v>
      </c>
      <c r="G105" s="3">
        <f>IF(ISNUMBER(p!G105*LN(p!G105)),p!G105*LN(p!G105),0)</f>
        <v>0</v>
      </c>
      <c r="H105" s="3">
        <f>IF(ISNUMBER(p!H105*LN(p!H105)),p!H105*LN(p!H105),0)</f>
        <v>-5.7566508180484137E-2</v>
      </c>
      <c r="I105" s="3">
        <f>IF(ISNUMBER(p!I105*LN(p!I105)),p!I105*LN(p!I105),0)</f>
        <v>-8.4592499772673774E-2</v>
      </c>
      <c r="J105" s="3">
        <f>IF(ISNUMBER(p!J105*LN(p!J105)),p!J105*LN(p!J105),0)</f>
        <v>0</v>
      </c>
      <c r="K105" s="3">
        <f>IF(ISNUMBER(p!K105*LN(p!K105)),p!K105*LN(p!K105),0)</f>
        <v>-0.21514383365781595</v>
      </c>
      <c r="L105" s="3">
        <f>IF(ISNUMBER(p!L105*LN(p!L105)),p!L105*LN(p!L105),0)</f>
        <v>0</v>
      </c>
      <c r="M105" s="3">
        <f>IF(ISNUMBER(p!M105*LN(p!M105)),p!M105*LN(p!M105),0)</f>
        <v>0</v>
      </c>
      <c r="N105" s="3">
        <f>IF(ISNUMBER(p!N105*LN(p!N105)),p!N105*LN(p!N105),0)</f>
        <v>0</v>
      </c>
      <c r="O105" s="3">
        <f>IF(ISNUMBER(p!O105*LN(p!O105)),p!O105*LN(p!O105),0)</f>
        <v>-7.1640996285947195E-2</v>
      </c>
      <c r="P105" s="3">
        <f>IF(ISNUMBER(p!P105*LN(p!P105)),p!P105*LN(p!P105),0)</f>
        <v>0</v>
      </c>
      <c r="Q105" s="3">
        <f>IF(ISNUMBER(p!Q105*LN(p!Q105)),p!Q105*LN(p!Q105),0)</f>
        <v>-0.26406814486364638</v>
      </c>
      <c r="R105" s="3">
        <f>IF(ISNUMBER(p!R105*LN(p!R105)),p!R105*LN(p!R105),0)</f>
        <v>0</v>
      </c>
      <c r="S105" s="3">
        <f>IF(ISNUMBER(p!S105*LN(p!S105)),p!S105*LN(p!S105),0)</f>
        <v>0</v>
      </c>
      <c r="T105" s="3">
        <f>IF(ISNUMBER(p!T105*LN(p!T105)),p!T105*LN(p!T105),0)</f>
        <v>0</v>
      </c>
      <c r="U105" s="3">
        <f>IF(ISNUMBER(p!U105*LN(p!U105)),p!U105*LN(p!U105),0)</f>
        <v>0</v>
      </c>
      <c r="V105" s="3">
        <f>IF(ISNUMBER(p!V105*LN(p!V105)),p!V105*LN(p!V105),0)</f>
        <v>0</v>
      </c>
      <c r="W105" s="3">
        <f>IF(ISNUMBER(p!W105*LN(p!W105)),p!W105*LN(p!W105),0)</f>
        <v>0</v>
      </c>
      <c r="X105" s="3">
        <f>IF(ISNUMBER(p!X105*LN(p!X105)),p!X105*LN(p!X105),0)</f>
        <v>0</v>
      </c>
      <c r="Y105" s="3">
        <f>IF(ISNUMBER(p!Y105*LN(p!Y105)),p!Y105*LN(p!Y105),0)</f>
        <v>0</v>
      </c>
      <c r="Z105" s="3">
        <f>IF(ISNUMBER(p!Z105*LN(p!Z105)),p!Z105*LN(p!Z105),0)</f>
        <v>0</v>
      </c>
      <c r="AA105" s="3">
        <f>IF(ISNUMBER(p!AA105*LN(p!AA105)),p!AA105*LN(p!AA105),0)</f>
        <v>0</v>
      </c>
    </row>
    <row r="106" spans="1:27" x14ac:dyDescent="0.25">
      <c r="B106" s="3">
        <f>IF(ISNUMBER(p!B106*LN(p!B106)),p!B106*LN(p!B106),0)</f>
        <v>-0.10711507967186745</v>
      </c>
      <c r="C106" s="3">
        <f>IF(ISNUMBER(p!C106*LN(p!C106)),p!C106*LN(p!C106),0)</f>
        <v>-0.35076856521954092</v>
      </c>
      <c r="D106" s="3">
        <f>IF(ISNUMBER(p!D106*LN(p!D106)),p!D106*LN(p!D106),0)</f>
        <v>0</v>
      </c>
      <c r="E106" s="3">
        <f>IF(ISNUMBER(p!E106*LN(p!E106)),p!E106*LN(p!E106),0)</f>
        <v>0</v>
      </c>
      <c r="F106" s="3">
        <f>IF(ISNUMBER(p!F106*LN(p!F106)),p!F106*LN(p!F106),0)</f>
        <v>0</v>
      </c>
      <c r="G106" s="3">
        <f>IF(ISNUMBER(p!G106*LN(p!G106)),p!G106*LN(p!G106),0)</f>
        <v>0</v>
      </c>
      <c r="H106" s="3">
        <f>IF(ISNUMBER(p!H106*LN(p!H106)),p!H106*LN(p!H106),0)</f>
        <v>-6.4221342613779028E-2</v>
      </c>
      <c r="I106" s="3">
        <f>IF(ISNUMBER(p!I106*LN(p!I106)),p!I106*LN(p!I106),0)</f>
        <v>0</v>
      </c>
      <c r="J106" s="3">
        <f>IF(ISNUMBER(p!J106*LN(p!J106)),p!J106*LN(p!J106),0)</f>
        <v>-0.23998984378280411</v>
      </c>
      <c r="K106" s="3">
        <f>IF(ISNUMBER(p!K106*LN(p!K106)),p!K106*LN(p!K106),0)</f>
        <v>0</v>
      </c>
      <c r="L106" s="3">
        <f>IF(ISNUMBER(p!L106*LN(p!L106)),p!L106*LN(p!L106),0)</f>
        <v>0</v>
      </c>
      <c r="M106" s="3">
        <f>IF(ISNUMBER(p!M106*LN(p!M106)),p!M106*LN(p!M106),0)</f>
        <v>0</v>
      </c>
      <c r="N106" s="3">
        <f>IF(ISNUMBER(p!N106*LN(p!N106)),p!N106*LN(p!N106),0)</f>
        <v>0</v>
      </c>
      <c r="O106" s="3">
        <f>IF(ISNUMBER(p!O106*LN(p!O106)),p!O106*LN(p!O106),0)</f>
        <v>-0.17157494823235364</v>
      </c>
      <c r="P106" s="3">
        <f>IF(ISNUMBER(p!P106*LN(p!P106)),p!P106*LN(p!P106),0)</f>
        <v>0</v>
      </c>
      <c r="Q106" s="3">
        <f>IF(ISNUMBER(p!Q106*LN(p!Q106)),p!Q106*LN(p!Q106),0)</f>
        <v>-0.365033253471023</v>
      </c>
      <c r="R106" s="3">
        <f>IF(ISNUMBER(p!R106*LN(p!R106)),p!R106*LN(p!R106),0)</f>
        <v>0</v>
      </c>
      <c r="S106" s="3">
        <f>IF(ISNUMBER(p!S106*LN(p!S106)),p!S106*LN(p!S106),0)</f>
        <v>0</v>
      </c>
      <c r="T106" s="3">
        <f>IF(ISNUMBER(p!T106*LN(p!T106)),p!T106*LN(p!T106),0)</f>
        <v>0</v>
      </c>
      <c r="U106" s="3">
        <f>IF(ISNUMBER(p!U106*LN(p!U106)),p!U106*LN(p!U106),0)</f>
        <v>0</v>
      </c>
      <c r="V106" s="3">
        <f>IF(ISNUMBER(p!V106*LN(p!V106)),p!V106*LN(p!V106),0)</f>
        <v>0</v>
      </c>
      <c r="W106" s="3">
        <f>IF(ISNUMBER(p!W106*LN(p!W106)),p!W106*LN(p!W106),0)</f>
        <v>0</v>
      </c>
      <c r="X106" s="3">
        <f>IF(ISNUMBER(p!X106*LN(p!X106)),p!X106*LN(p!X106),0)</f>
        <v>0</v>
      </c>
      <c r="Y106" s="3">
        <f>IF(ISNUMBER(p!Y106*LN(p!Y106)),p!Y106*LN(p!Y106),0)</f>
        <v>0</v>
      </c>
      <c r="Z106" s="3">
        <f>IF(ISNUMBER(p!Z106*LN(p!Z106)),p!Z106*LN(p!Z106),0)</f>
        <v>0</v>
      </c>
      <c r="AA106" s="3">
        <f>IF(ISNUMBER(p!AA106*LN(p!AA106)),p!AA106*LN(p!AA106),0)</f>
        <v>0</v>
      </c>
    </row>
    <row r="107" spans="1:27" x14ac:dyDescent="0.25">
      <c r="B107" s="3">
        <f>IF(ISNUMBER(p!B107*LN(p!B107)),p!B107*LN(p!B107),0)</f>
        <v>-9.057492845620263E-2</v>
      </c>
      <c r="C107" s="3">
        <f>IF(ISNUMBER(p!C107*LN(p!C107)),p!C107*LN(p!C107),0)</f>
        <v>-0.31352742444874115</v>
      </c>
      <c r="D107" s="3">
        <f>IF(ISNUMBER(p!D107*LN(p!D107)),p!D107*LN(p!D107),0)</f>
        <v>-9.057492845620263E-2</v>
      </c>
      <c r="E107" s="3">
        <f>IF(ISNUMBER(p!E107*LN(p!E107)),p!E107*LN(p!E107),0)</f>
        <v>-0.32850636789531967</v>
      </c>
      <c r="F107" s="3">
        <f>IF(ISNUMBER(p!F107*LN(p!F107)),p!F107*LN(p!F107),0)</f>
        <v>0</v>
      </c>
      <c r="G107" s="3">
        <f>IF(ISNUMBER(p!G107*LN(p!G107)),p!G107*LN(p!G107),0)</f>
        <v>0</v>
      </c>
      <c r="H107" s="3">
        <f>IF(ISNUMBER(p!H107*LN(p!H107)),p!H107*LN(p!H107),0)</f>
        <v>-3.912345004367819E-2</v>
      </c>
      <c r="I107" s="3">
        <f>IF(ISNUMBER(p!I107*LN(p!I107)),p!I107*LN(p!I107),0)</f>
        <v>0</v>
      </c>
      <c r="J107" s="3">
        <f>IF(ISNUMBER(p!J107*LN(p!J107)),p!J107*LN(p!J107),0)</f>
        <v>-0.26531325309042425</v>
      </c>
      <c r="K107" s="3">
        <f>IF(ISNUMBER(p!K107*LN(p!K107)),p!K107*LN(p!K107),0)</f>
        <v>0</v>
      </c>
      <c r="L107" s="3">
        <f>IF(ISNUMBER(p!L107*LN(p!L107)),p!L107*LN(p!L107),0)</f>
        <v>0</v>
      </c>
      <c r="M107" s="3">
        <f>IF(ISNUMBER(p!M107*LN(p!M107)),p!M107*LN(p!M107),0)</f>
        <v>0</v>
      </c>
      <c r="N107" s="3">
        <f>IF(ISNUMBER(p!N107*LN(p!N107)),p!N107*LN(p!N107),0)</f>
        <v>0</v>
      </c>
      <c r="O107" s="3">
        <f>IF(ISNUMBER(p!O107*LN(p!O107)),p!O107*LN(p!O107),0)</f>
        <v>-0.27351631863719855</v>
      </c>
      <c r="P107" s="3">
        <f>IF(ISNUMBER(p!P107*LN(p!P107)),p!P107*LN(p!P107),0)</f>
        <v>0</v>
      </c>
      <c r="Q107" s="3">
        <f>IF(ISNUMBER(p!Q107*LN(p!Q107)),p!Q107*LN(p!Q107),0)</f>
        <v>-0.14733779932411525</v>
      </c>
      <c r="R107" s="3">
        <f>IF(ISNUMBER(p!R107*LN(p!R107)),p!R107*LN(p!R107),0)</f>
        <v>0</v>
      </c>
      <c r="S107" s="3">
        <f>IF(ISNUMBER(p!S107*LN(p!S107)),p!S107*LN(p!S107),0)</f>
        <v>0</v>
      </c>
      <c r="T107" s="3">
        <f>IF(ISNUMBER(p!T107*LN(p!T107)),p!T107*LN(p!T107),0)</f>
        <v>0</v>
      </c>
      <c r="U107" s="3">
        <f>IF(ISNUMBER(p!U107*LN(p!U107)),p!U107*LN(p!U107),0)</f>
        <v>0</v>
      </c>
      <c r="V107" s="3">
        <f>IF(ISNUMBER(p!V107*LN(p!V107)),p!V107*LN(p!V107),0)</f>
        <v>0</v>
      </c>
      <c r="W107" s="3">
        <f>IF(ISNUMBER(p!W107*LN(p!W107)),p!W107*LN(p!W107),0)</f>
        <v>0</v>
      </c>
      <c r="X107" s="3">
        <f>IF(ISNUMBER(p!X107*LN(p!X107)),p!X107*LN(p!X107),0)</f>
        <v>0</v>
      </c>
      <c r="Y107" s="3">
        <f>IF(ISNUMBER(p!Y107*LN(p!Y107)),p!Y107*LN(p!Y107),0)</f>
        <v>-3.912345004367819E-2</v>
      </c>
      <c r="Z107" s="3">
        <f>IF(ISNUMBER(p!Z107*LN(p!Z107)),p!Z107*LN(p!Z107),0)</f>
        <v>0</v>
      </c>
      <c r="AA107" s="3">
        <f>IF(ISNUMBER(p!AA107*LN(p!AA107)),p!AA107*LN(p!AA107),0)</f>
        <v>0</v>
      </c>
    </row>
    <row r="108" spans="1:27" x14ac:dyDescent="0.25">
      <c r="B108" s="3">
        <f>IF(ISNUMBER(p!B108*LN(p!B108)),p!B108*LN(p!B108),0)</f>
        <v>-6.2051583899648634E-2</v>
      </c>
      <c r="C108" s="3">
        <f>IF(ISNUMBER(p!C108*LN(p!C108)),p!C108*LN(p!C108),0)</f>
        <v>-0.29467259935522205</v>
      </c>
      <c r="D108" s="3">
        <f>IF(ISNUMBER(p!D108*LN(p!D108)),p!D108*LN(p!D108),0)</f>
        <v>0</v>
      </c>
      <c r="E108" s="3">
        <f>IF(ISNUMBER(p!E108*LN(p!E108)),p!E108*LN(p!E108),0)</f>
        <v>-0.23404680724772872</v>
      </c>
      <c r="F108" s="3">
        <f>IF(ISNUMBER(p!F108*LN(p!F108)),p!F108*LN(p!F108),0)</f>
        <v>0</v>
      </c>
      <c r="G108" s="3">
        <f>IF(ISNUMBER(p!G108*LN(p!G108)),p!G108*LN(p!G108),0)</f>
        <v>0</v>
      </c>
      <c r="H108" s="3">
        <f>IF(ISNUMBER(p!H108*LN(p!H108)),p!H108*LN(p!H108),0)</f>
        <v>0</v>
      </c>
      <c r="I108" s="3">
        <f>IF(ISNUMBER(p!I108*LN(p!I108)),p!I108*LN(p!I108),0)</f>
        <v>0</v>
      </c>
      <c r="J108" s="3">
        <f>IF(ISNUMBER(p!J108*LN(p!J108)),p!J108*LN(p!J108),0)</f>
        <v>-0.34657359027997264</v>
      </c>
      <c r="K108" s="3">
        <f>IF(ISNUMBER(p!K108*LN(p!K108)),p!K108*LN(p!K108),0)</f>
        <v>0</v>
      </c>
      <c r="L108" s="3">
        <f>IF(ISNUMBER(p!L108*LN(p!L108)),p!L108*LN(p!L108),0)</f>
        <v>0</v>
      </c>
      <c r="M108" s="3">
        <f>IF(ISNUMBER(p!M108*LN(p!M108)),p!M108*LN(p!M108),0)</f>
        <v>0</v>
      </c>
      <c r="N108" s="3">
        <f>IF(ISNUMBER(p!N108*LN(p!N108)),p!N108*LN(p!N108),0)</f>
        <v>0</v>
      </c>
      <c r="O108" s="3">
        <f>IF(ISNUMBER(p!O108*LN(p!O108)),p!O108*LN(p!O108),0)</f>
        <v>-0.30610606859790113</v>
      </c>
      <c r="P108" s="3">
        <f>IF(ISNUMBER(p!P108*LN(p!P108)),p!P108*LN(p!P108),0)</f>
        <v>0</v>
      </c>
      <c r="Q108" s="3">
        <f>IF(ISNUMBER(p!Q108*LN(p!Q108)),p!Q108*LN(p!Q108),0)</f>
        <v>-0.31631262529837367</v>
      </c>
      <c r="R108" s="3">
        <f>IF(ISNUMBER(p!R108*LN(p!R108)),p!R108*LN(p!R108),0)</f>
        <v>0</v>
      </c>
      <c r="S108" s="3">
        <f>IF(ISNUMBER(p!S108*LN(p!S108)),p!S108*LN(p!S108),0)</f>
        <v>0</v>
      </c>
      <c r="T108" s="3">
        <f>IF(ISNUMBER(p!T108*LN(p!T108)),p!T108*LN(p!T108),0)</f>
        <v>0</v>
      </c>
      <c r="U108" s="3">
        <f>IF(ISNUMBER(p!U108*LN(p!U108)),p!U108*LN(p!U108),0)</f>
        <v>0</v>
      </c>
      <c r="V108" s="3">
        <f>IF(ISNUMBER(p!V108*LN(p!V108)),p!V108*LN(p!V108),0)</f>
        <v>0</v>
      </c>
      <c r="W108" s="3">
        <f>IF(ISNUMBER(p!W108*LN(p!W108)),p!W108*LN(p!W108),0)</f>
        <v>0</v>
      </c>
      <c r="X108" s="3">
        <f>IF(ISNUMBER(p!X108*LN(p!X108)),p!X108*LN(p!X108),0)</f>
        <v>0</v>
      </c>
      <c r="Y108" s="3">
        <f>IF(ISNUMBER(p!Y108*LN(p!Y108)),p!Y108*LN(p!Y108),0)</f>
        <v>-0.1037164860181224</v>
      </c>
      <c r="Z108" s="3">
        <f>IF(ISNUMBER(p!Z108*LN(p!Z108)),p!Z108*LN(p!Z108),0)</f>
        <v>0</v>
      </c>
      <c r="AA108" s="3">
        <f>IF(ISNUMBER(p!AA108*LN(p!AA108)),p!AA108*LN(p!AA108),0)</f>
        <v>0</v>
      </c>
    </row>
    <row r="109" spans="1:27" x14ac:dyDescent="0.25">
      <c r="B109" s="3">
        <f>IF(ISNUMBER(p!B109*LN(p!B109)),p!B109*LN(p!B109),0)</f>
        <v>-0.36787943571672904</v>
      </c>
      <c r="C109" s="3">
        <f>IF(ISNUMBER(p!C109*LN(p!C109)),p!C109*LN(p!C109),0)</f>
        <v>0</v>
      </c>
      <c r="D109" s="3">
        <f>IF(ISNUMBER(p!D109*LN(p!D109)),p!D109*LN(p!D109),0)</f>
        <v>0</v>
      </c>
      <c r="E109" s="3">
        <f>IF(ISNUMBER(p!E109*LN(p!E109)),p!E109*LN(p!E109),0)</f>
        <v>0</v>
      </c>
      <c r="F109" s="3">
        <f>IF(ISNUMBER(p!F109*LN(p!F109)),p!F109*LN(p!F109),0)</f>
        <v>0</v>
      </c>
      <c r="G109" s="3">
        <f>IF(ISNUMBER(p!G109*LN(p!G109)),p!G109*LN(p!G109),0)</f>
        <v>0</v>
      </c>
      <c r="H109" s="3">
        <f>IF(ISNUMBER(p!H109*LN(p!H109)),p!H109*LN(p!H109),0)</f>
        <v>0</v>
      </c>
      <c r="I109" s="3">
        <f>IF(ISNUMBER(p!I109*LN(p!I109)),p!I109*LN(p!I109),0)</f>
        <v>0</v>
      </c>
      <c r="J109" s="3">
        <f>IF(ISNUMBER(p!J109*LN(p!J109)),p!J109*LN(p!J109),0)</f>
        <v>-0.3430930953971767</v>
      </c>
      <c r="K109" s="3">
        <f>IF(ISNUMBER(p!K109*LN(p!K109)),p!K109*LN(p!K109),0)</f>
        <v>0</v>
      </c>
      <c r="L109" s="3">
        <f>IF(ISNUMBER(p!L109*LN(p!L109)),p!L109*LN(p!L109),0)</f>
        <v>0</v>
      </c>
      <c r="M109" s="3">
        <f>IF(ISNUMBER(p!M109*LN(p!M109)),p!M109*LN(p!M109),0)</f>
        <v>0</v>
      </c>
      <c r="N109" s="3">
        <f>IF(ISNUMBER(p!N109*LN(p!N109)),p!N109*LN(p!N109),0)</f>
        <v>0</v>
      </c>
      <c r="O109" s="3">
        <f>IF(ISNUMBER(p!O109*LN(p!O109)),p!O109*LN(p!O109),0)</f>
        <v>-0.1161136493098784</v>
      </c>
      <c r="P109" s="3">
        <f>IF(ISNUMBER(p!P109*LN(p!P109)),p!P109*LN(p!P109),0)</f>
        <v>0</v>
      </c>
      <c r="Q109" s="3">
        <f>IF(ISNUMBER(p!Q109*LN(p!Q109)),p!Q109*LN(p!Q109),0)</f>
        <v>-0.1161136493098784</v>
      </c>
      <c r="R109" s="3">
        <f>IF(ISNUMBER(p!R109*LN(p!R109)),p!R109*LN(p!R109),0)</f>
        <v>0</v>
      </c>
      <c r="S109" s="3">
        <f>IF(ISNUMBER(p!S109*LN(p!S109)),p!S109*LN(p!S109),0)</f>
        <v>0</v>
      </c>
      <c r="T109" s="3">
        <f>IF(ISNUMBER(p!T109*LN(p!T109)),p!T109*LN(p!T109),0)</f>
        <v>0</v>
      </c>
      <c r="U109" s="3">
        <f>IF(ISNUMBER(p!U109*LN(p!U109)),p!U109*LN(p!U109),0)</f>
        <v>0</v>
      </c>
      <c r="V109" s="3">
        <f>IF(ISNUMBER(p!V109*LN(p!V109)),p!V109*LN(p!V109),0)</f>
        <v>0</v>
      </c>
      <c r="W109" s="3">
        <f>IF(ISNUMBER(p!W109*LN(p!W109)),p!W109*LN(p!W109),0)</f>
        <v>0</v>
      </c>
      <c r="X109" s="3">
        <f>IF(ISNUMBER(p!X109*LN(p!X109)),p!X109*LN(p!X109),0)</f>
        <v>0</v>
      </c>
      <c r="Y109" s="3">
        <f>IF(ISNUMBER(p!Y109*LN(p!Y109)),p!Y109*LN(p!Y109),0)</f>
        <v>-0.16416495438048753</v>
      </c>
      <c r="Z109" s="3">
        <f>IF(ISNUMBER(p!Z109*LN(p!Z109)),p!Z109*LN(p!Z109),0)</f>
        <v>-5.1332277225914755E-2</v>
      </c>
      <c r="AA109" s="3">
        <f>IF(ISNUMBER(p!AA109*LN(p!AA109)),p!AA109*LN(p!AA109),0)</f>
        <v>0</v>
      </c>
    </row>
    <row r="110" spans="1:27" x14ac:dyDescent="0.25">
      <c r="B110" s="3">
        <f>IF(ISNUMBER(p!B110*LN(p!B110)),p!B110*LN(p!B110),0)</f>
        <v>-0.33510779178318451</v>
      </c>
      <c r="C110" s="3">
        <f>IF(ISNUMBER(p!C110*LN(p!C110)),p!C110*LN(p!C110),0)</f>
        <v>0</v>
      </c>
      <c r="D110" s="3">
        <f>IF(ISNUMBER(p!D110*LN(p!D110)),p!D110*LN(p!D110),0)</f>
        <v>-2.7382788395978026E-2</v>
      </c>
      <c r="E110" s="3">
        <f>IF(ISNUMBER(p!E110*LN(p!E110)),p!E110*LN(p!E110),0)</f>
        <v>-6.4982548177494867E-2</v>
      </c>
      <c r="F110" s="3">
        <f>IF(ISNUMBER(p!F110*LN(p!F110)),p!F110*LN(p!F110),0)</f>
        <v>0</v>
      </c>
      <c r="G110" s="3">
        <f>IF(ISNUMBER(p!G110*LN(p!G110)),p!G110*LN(p!G110),0)</f>
        <v>0</v>
      </c>
      <c r="H110" s="3">
        <f>IF(ISNUMBER(p!H110*LN(p!H110)),p!H110*LN(p!H110),0)</f>
        <v>-0.33975270106233862</v>
      </c>
      <c r="I110" s="3">
        <f>IF(ISNUMBER(p!I110*LN(p!I110)),p!I110*LN(p!I110),0)</f>
        <v>0</v>
      </c>
      <c r="J110" s="3">
        <f>IF(ISNUMBER(p!J110*LN(p!J110)),p!J110*LN(p!J110),0)</f>
        <v>-0.18230780306958946</v>
      </c>
      <c r="K110" s="3">
        <f>IF(ISNUMBER(p!K110*LN(p!K110)),p!K110*LN(p!K110),0)</f>
        <v>-2.7382788395978026E-2</v>
      </c>
      <c r="L110" s="3">
        <f>IF(ISNUMBER(p!L110*LN(p!L110)),p!L110*LN(p!L110),0)</f>
        <v>0</v>
      </c>
      <c r="M110" s="3">
        <f>IF(ISNUMBER(p!M110*LN(p!M110)),p!M110*LN(p!M110),0)</f>
        <v>0</v>
      </c>
      <c r="N110" s="3">
        <f>IF(ISNUMBER(p!N110*LN(p!N110)),p!N110*LN(p!N110),0)</f>
        <v>-4.754529366112329E-2</v>
      </c>
      <c r="O110" s="3">
        <f>IF(ISNUMBER(p!O110*LN(p!O110)),p!O110*LN(p!O110),0)</f>
        <v>-0.12073487792087124</v>
      </c>
      <c r="P110" s="3">
        <f>IF(ISNUMBER(p!P110*LN(p!P110)),p!P110*LN(p!P110),0)</f>
        <v>0</v>
      </c>
      <c r="Q110" s="3">
        <f>IF(ISNUMBER(p!Q110*LN(p!Q110)),p!Q110*LN(p!Q110),0)</f>
        <v>-4.754529366112329E-2</v>
      </c>
      <c r="R110" s="3">
        <f>IF(ISNUMBER(p!R110*LN(p!R110)),p!R110*LN(p!R110),0)</f>
        <v>0</v>
      </c>
      <c r="S110" s="3">
        <f>IF(ISNUMBER(p!S110*LN(p!S110)),p!S110*LN(p!S110),0)</f>
        <v>0</v>
      </c>
      <c r="T110" s="3">
        <f>IF(ISNUMBER(p!T110*LN(p!T110)),p!T110*LN(p!T110),0)</f>
        <v>0</v>
      </c>
      <c r="U110" s="3">
        <f>IF(ISNUMBER(p!U110*LN(p!U110)),p!U110*LN(p!U110),0)</f>
        <v>0</v>
      </c>
      <c r="V110" s="3">
        <f>IF(ISNUMBER(p!V110*LN(p!V110)),p!V110*LN(p!V110),0)</f>
        <v>-4.754529366112329E-2</v>
      </c>
      <c r="W110" s="3">
        <f>IF(ISNUMBER(p!W110*LN(p!W110)),p!W110*LN(p!W110),0)</f>
        <v>0</v>
      </c>
      <c r="X110" s="3">
        <f>IF(ISNUMBER(p!X110*LN(p!X110)),p!X110*LN(p!X110),0)</f>
        <v>0</v>
      </c>
      <c r="Y110" s="3">
        <f>IF(ISNUMBER(p!Y110*LN(p!Y110)),p!Y110*LN(p!Y110),0)</f>
        <v>0</v>
      </c>
      <c r="Z110" s="3">
        <f>IF(ISNUMBER(p!Z110*LN(p!Z110)),p!Z110*LN(p!Z110),0)</f>
        <v>0</v>
      </c>
      <c r="AA110" s="3">
        <f>IF(ISNUMBER(p!AA110*LN(p!AA110)),p!AA110*LN(p!AA110),0)</f>
        <v>0</v>
      </c>
    </row>
    <row r="111" spans="1:27" x14ac:dyDescent="0.25">
      <c r="B111" s="3">
        <f>IF(ISNUMBER(p!B111*LN(p!B111)),p!B111*LN(p!B111),0)</f>
        <v>-0.36776384254591826</v>
      </c>
      <c r="C111" s="3">
        <f>IF(ISNUMBER(p!C111*LN(p!C111)),p!C111*LN(p!C111),0)</f>
        <v>-4.9149875837489566E-2</v>
      </c>
      <c r="D111" s="3">
        <f>IF(ISNUMBER(p!D111*LN(p!D111)),p!D111*LN(p!D111),0)</f>
        <v>-2.8342042160918401E-2</v>
      </c>
      <c r="E111" s="3">
        <f>IF(ISNUMBER(p!E111*LN(p!E111)),p!E111*LN(p!E111),0)</f>
        <v>-8.3231334706284674E-2</v>
      </c>
      <c r="F111" s="3">
        <f>IF(ISNUMBER(p!F111*LN(p!F111)),p!F111*LN(p!F111),0)</f>
        <v>0</v>
      </c>
      <c r="G111" s="3">
        <f>IF(ISNUMBER(p!G111*LN(p!G111)),p!G111*LN(p!G111),0)</f>
        <v>-2.8342042160918401E-2</v>
      </c>
      <c r="H111" s="3">
        <f>IF(ISNUMBER(p!H111*LN(p!H111)),p!H111*LN(p!H111),0)</f>
        <v>-0.33973169892588695</v>
      </c>
      <c r="I111" s="3">
        <f>IF(ISNUMBER(p!I111*LN(p!I111)),p!I111*LN(p!I111),0)</f>
        <v>-4.9149875837489566E-2</v>
      </c>
      <c r="J111" s="3">
        <f>IF(ISNUMBER(p!J111*LN(p!J111)),p!J111*LN(p!J111),0)</f>
        <v>-9.7975484923230577E-2</v>
      </c>
      <c r="K111" s="3">
        <f>IF(ISNUMBER(p!K111*LN(p!K111)),p!K111*LN(p!K111),0)</f>
        <v>-4.9149875837489566E-2</v>
      </c>
      <c r="L111" s="3">
        <f>IF(ISNUMBER(p!L111*LN(p!L111)),p!L111*LN(p!L111),0)</f>
        <v>0</v>
      </c>
      <c r="M111" s="3">
        <f>IF(ISNUMBER(p!M111*LN(p!M111)),p!M111*LN(p!M111),0)</f>
        <v>-2.8342042160918401E-2</v>
      </c>
      <c r="N111" s="3">
        <f>IF(ISNUMBER(p!N111*LN(p!N111)),p!N111*LN(p!N111),0)</f>
        <v>0</v>
      </c>
      <c r="O111" s="3">
        <f>IF(ISNUMBER(p!O111*LN(p!O111)),p!O111*LN(p!O111),0)</f>
        <v>-0.11162531375155207</v>
      </c>
      <c r="P111" s="3">
        <f>IF(ISNUMBER(p!P111*LN(p!P111)),p!P111*LN(p!P111),0)</f>
        <v>0</v>
      </c>
      <c r="Q111" s="3">
        <f>IF(ISNUMBER(p!Q111*LN(p!Q111)),p!Q111*LN(p!Q111),0)</f>
        <v>-2.8342042160918401E-2</v>
      </c>
      <c r="R111" s="3">
        <f>IF(ISNUMBER(p!R111*LN(p!R111)),p!R111*LN(p!R111),0)</f>
        <v>0</v>
      </c>
      <c r="S111" s="3">
        <f>IF(ISNUMBER(p!S111*LN(p!S111)),p!S111*LN(p!S111),0)</f>
        <v>0</v>
      </c>
      <c r="T111" s="3">
        <f>IF(ISNUMBER(p!T111*LN(p!T111)),p!T111*LN(p!T111),0)</f>
        <v>0</v>
      </c>
      <c r="U111" s="3">
        <f>IF(ISNUMBER(p!U111*LN(p!U111)),p!U111*LN(p!U111),0)</f>
        <v>0</v>
      </c>
      <c r="V111" s="3">
        <f>IF(ISNUMBER(p!V111*LN(p!V111)),p!V111*LN(p!V111),0)</f>
        <v>-4.9149875837489566E-2</v>
      </c>
      <c r="W111" s="3">
        <f>IF(ISNUMBER(p!W111*LN(p!W111)),p!W111*LN(p!W111),0)</f>
        <v>0</v>
      </c>
      <c r="X111" s="3">
        <f>IF(ISNUMBER(p!X111*LN(p!X111)),p!X111*LN(p!X111),0)</f>
        <v>-0.1780453765970208</v>
      </c>
      <c r="Y111" s="3">
        <f>IF(ISNUMBER(p!Y111*LN(p!Y111)),p!Y111*LN(p!Y111),0)</f>
        <v>0</v>
      </c>
      <c r="Z111" s="3">
        <f>IF(ISNUMBER(p!Z111*LN(p!Z111)),p!Z111*LN(p!Z111),0)</f>
        <v>0</v>
      </c>
      <c r="AA111" s="3">
        <f>IF(ISNUMBER(p!AA111*LN(p!AA111)),p!AA111*LN(p!AA111),0)</f>
        <v>0</v>
      </c>
    </row>
    <row r="112" spans="1:27" x14ac:dyDescent="0.25">
      <c r="B112" s="3">
        <f>IF(ISNUMBER(p!B112*LN(p!B112)),p!B112*LN(p!B112),0)</f>
        <v>-0.36607833083595243</v>
      </c>
      <c r="C112" s="3">
        <f>IF(ISNUMBER(p!C112*LN(p!C112)),p!C112*LN(p!C112),0)</f>
        <v>-0.18329432728450779</v>
      </c>
      <c r="D112" s="3">
        <f>IF(ISNUMBER(p!D112*LN(p!D112)),p!D112*LN(p!D112),0)</f>
        <v>-6.1820454006882422E-2</v>
      </c>
      <c r="E112" s="3">
        <f>IF(ISNUMBER(p!E112*LN(p!E112)),p!E112*LN(p!E112),0)</f>
        <v>-0.12657828048618819</v>
      </c>
      <c r="F112" s="3">
        <f>IF(ISNUMBER(p!F112*LN(p!F112)),p!F112*LN(p!F112),0)</f>
        <v>0</v>
      </c>
      <c r="G112" s="3">
        <f>IF(ISNUMBER(p!G112*LN(p!G112)),p!G112*LN(p!G112),0)</f>
        <v>-4.5169393156863052E-2</v>
      </c>
      <c r="H112" s="3">
        <f>IF(ISNUMBER(p!H112*LN(p!H112)),p!H112*LN(p!H112),0)</f>
        <v>-0.27191489332180352</v>
      </c>
      <c r="I112" s="3">
        <f>IF(ISNUMBER(p!I112*LN(p!I112)),p!I112*LN(p!I112),0)</f>
        <v>0</v>
      </c>
      <c r="J112" s="3">
        <f>IF(ISNUMBER(p!J112*LN(p!J112)),p!J112*LN(p!J112),0)</f>
        <v>-7.68139632784101E-2</v>
      </c>
      <c r="K112" s="3">
        <f>IF(ISNUMBER(p!K112*LN(p!K112)),p!K112*LN(p!K112),0)</f>
        <v>-2.5965902337260528E-2</v>
      </c>
      <c r="L112" s="3">
        <f>IF(ISNUMBER(p!L112*LN(p!L112)),p!L112*LN(p!L112),0)</f>
        <v>0</v>
      </c>
      <c r="M112" s="3">
        <f>IF(ISNUMBER(p!M112*LN(p!M112)),p!M112*LN(p!M112),0)</f>
        <v>0</v>
      </c>
      <c r="N112" s="3">
        <f>IF(ISNUMBER(p!N112*LN(p!N112)),p!N112*LN(p!N112),0)</f>
        <v>-7.68139632784101E-2</v>
      </c>
      <c r="O112" s="3">
        <f>IF(ISNUMBER(p!O112*LN(p!O112)),p!O112*LN(p!O112),0)</f>
        <v>-0.19905726883111233</v>
      </c>
      <c r="P112" s="3">
        <f>IF(ISNUMBER(p!P112*LN(p!P112)),p!P112*LN(p!P112),0)</f>
        <v>0</v>
      </c>
      <c r="Q112" s="3">
        <f>IF(ISNUMBER(p!Q112*LN(p!Q112)),p!Q112*LN(p!Q112),0)</f>
        <v>-6.1820454006882422E-2</v>
      </c>
      <c r="R112" s="3">
        <f>IF(ISNUMBER(p!R112*LN(p!R112)),p!R112*LN(p!R112),0)</f>
        <v>0</v>
      </c>
      <c r="S112" s="3">
        <f>IF(ISNUMBER(p!S112*LN(p!S112)),p!S112*LN(p!S112),0)</f>
        <v>0</v>
      </c>
      <c r="T112" s="3">
        <f>IF(ISNUMBER(p!T112*LN(p!T112)),p!T112*LN(p!T112),0)</f>
        <v>0</v>
      </c>
      <c r="U112" s="3">
        <f>IF(ISNUMBER(p!U112*LN(p!U112)),p!U112*LN(p!U112),0)</f>
        <v>0</v>
      </c>
      <c r="V112" s="3">
        <f>IF(ISNUMBER(p!V112*LN(p!V112)),p!V112*LN(p!V112),0)</f>
        <v>-7.68139632784101E-2</v>
      </c>
      <c r="W112" s="3">
        <f>IF(ISNUMBER(p!W112*LN(p!W112)),p!W112*LN(p!W112),0)</f>
        <v>0</v>
      </c>
      <c r="X112" s="3">
        <f>IF(ISNUMBER(p!X112*LN(p!X112)),p!X112*LN(p!X112),0)</f>
        <v>-0.12657828048618819</v>
      </c>
      <c r="Y112" s="3">
        <f>IF(ISNUMBER(p!Y112*LN(p!Y112)),p!Y112*LN(p!Y112),0)</f>
        <v>0</v>
      </c>
      <c r="Z112" s="3">
        <f>IF(ISNUMBER(p!Z112*LN(p!Z112)),p!Z112*LN(p!Z112),0)</f>
        <v>0</v>
      </c>
      <c r="AA112" s="3">
        <f>IF(ISNUMBER(p!AA112*LN(p!AA112)),p!AA112*LN(p!AA112),0)</f>
        <v>0</v>
      </c>
    </row>
    <row r="113" spans="2:27" x14ac:dyDescent="0.25">
      <c r="B113" s="3">
        <f>IF(ISNUMBER(p!B113*LN(p!B113)),p!B113*LN(p!B113),0)</f>
        <v>-0.36620409622270322</v>
      </c>
      <c r="C113" s="3">
        <f>IF(ISNUMBER(p!C113*LN(p!C113)),p!C113*LN(p!C113),0)</f>
        <v>-0.24694140915045523</v>
      </c>
      <c r="D113" s="3">
        <f>IF(ISNUMBER(p!D113*LN(p!D113)),p!D113*LN(p!D113),0)</f>
        <v>-0.10106285189385185</v>
      </c>
      <c r="E113" s="3">
        <f>IF(ISNUMBER(p!E113*LN(p!E113)),p!E113*LN(p!E113),0)</f>
        <v>-0.11841567297674001</v>
      </c>
      <c r="F113" s="3">
        <f>IF(ISNUMBER(p!F113*LN(p!F113)),p!F113*LN(p!F113),0)</f>
        <v>0</v>
      </c>
      <c r="G113" s="3">
        <f>IF(ISNUMBER(p!G113*LN(p!G113)),p!G113*LN(p!G113),0)</f>
        <v>0</v>
      </c>
      <c r="H113" s="3">
        <f>IF(ISNUMBER(p!H113*LN(p!H113)),p!H113*LN(p!H113),0)</f>
        <v>-0.35741288972034951</v>
      </c>
      <c r="I113" s="3">
        <f>IF(ISNUMBER(p!I113*LN(p!I113)),p!I113*LN(p!I113),0)</f>
        <v>0</v>
      </c>
      <c r="J113" s="3">
        <f>IF(ISNUMBER(p!J113*LN(p!J113)),p!J113*LN(p!J113),0)</f>
        <v>-0.16279820418146565</v>
      </c>
      <c r="K113" s="3">
        <f>IF(ISNUMBER(p!K113*LN(p!K113)),p!K113*LN(p!K113),0)</f>
        <v>0</v>
      </c>
      <c r="L113" s="3">
        <f>IF(ISNUMBER(p!L113*LN(p!L113)),p!L113*LN(p!L113),0)</f>
        <v>0</v>
      </c>
      <c r="M113" s="3">
        <f>IF(ISNUMBER(p!M113*LN(p!M113)),p!M113*LN(p!M113),0)</f>
        <v>0</v>
      </c>
      <c r="N113" s="3">
        <f>IF(ISNUMBER(p!N113*LN(p!N113)),p!N113*LN(p!N113),0)</f>
        <v>-3.5097587875022471E-2</v>
      </c>
      <c r="O113" s="3">
        <f>IF(ISNUMBER(p!O113*LN(p!O113)),p!O113*LN(p!O113),0)</f>
        <v>-0.17562991359842225</v>
      </c>
      <c r="P113" s="3">
        <f>IF(ISNUMBER(p!P113*LN(p!P113)),p!P113*LN(p!P113),0)</f>
        <v>0</v>
      </c>
      <c r="Q113" s="3">
        <f>IF(ISNUMBER(p!Q113*LN(p!Q113)),p!Q113*LN(p!Q113),0)</f>
        <v>-6.0363300848485429E-2</v>
      </c>
      <c r="R113" s="3">
        <f>IF(ISNUMBER(p!R113*LN(p!R113)),p!R113*LN(p!R113),0)</f>
        <v>0</v>
      </c>
      <c r="S113" s="3">
        <f>IF(ISNUMBER(p!S113*LN(p!S113)),p!S113*LN(p!S113),0)</f>
        <v>0</v>
      </c>
      <c r="T113" s="3">
        <f>IF(ISNUMBER(p!T113*LN(p!T113)),p!T113*LN(p!T113),0)</f>
        <v>0</v>
      </c>
      <c r="U113" s="3">
        <f>IF(ISNUMBER(p!U113*LN(p!U113)),p!U113*LN(p!U113),0)</f>
        <v>0</v>
      </c>
      <c r="V113" s="3">
        <f>IF(ISNUMBER(p!V113*LN(p!V113)),p!V113*LN(p!V113),0)</f>
        <v>0</v>
      </c>
      <c r="W113" s="3">
        <f>IF(ISNUMBER(p!W113*LN(p!W113)),p!W113*LN(p!W113),0)</f>
        <v>0</v>
      </c>
      <c r="X113" s="3">
        <f>IF(ISNUMBER(p!X113*LN(p!X113)),p!X113*LN(p!X113),0)</f>
        <v>0</v>
      </c>
      <c r="Y113" s="3">
        <f>IF(ISNUMBER(p!Y113*LN(p!Y113)),p!Y113*LN(p!Y113),0)</f>
        <v>0</v>
      </c>
      <c r="Z113" s="3">
        <f>IF(ISNUMBER(p!Z113*LN(p!Z113)),p!Z113*LN(p!Z113),0)</f>
        <v>0</v>
      </c>
      <c r="AA113" s="3">
        <f>IF(ISNUMBER(p!AA113*LN(p!AA113)),p!AA113*LN(p!AA113),0)</f>
        <v>0</v>
      </c>
    </row>
    <row r="114" spans="2:27" x14ac:dyDescent="0.25">
      <c r="B114" s="3">
        <f>IF(ISNUMBER(p!B114*LN(p!B114)),p!B114*LN(p!B114),0)</f>
        <v>-0.35812637969374561</v>
      </c>
      <c r="C114" s="3">
        <f>IF(ISNUMBER(p!C114*LN(p!C114)),p!C114*LN(p!C114),0)</f>
        <v>-0.29589857247849644</v>
      </c>
      <c r="D114" s="3">
        <f>IF(ISNUMBER(p!D114*LN(p!D114)),p!D114*LN(p!D114),0)</f>
        <v>-7.9424904043074007E-2</v>
      </c>
      <c r="E114" s="3">
        <f>IF(ISNUMBER(p!E114*LN(p!E114)),p!E114*LN(p!E114),0)</f>
        <v>0</v>
      </c>
      <c r="F114" s="3">
        <f>IF(ISNUMBER(p!F114*LN(p!F114)),p!F114*LN(p!F114),0)</f>
        <v>0</v>
      </c>
      <c r="G114" s="3">
        <f>IF(ISNUMBER(p!G114*LN(p!G114)),p!G114*LN(p!G114),0)</f>
        <v>0</v>
      </c>
      <c r="H114" s="3">
        <f>IF(ISNUMBER(p!H114*LN(p!H114)),p!H114*LN(p!H114),0)</f>
        <v>-0.32021065270051435</v>
      </c>
      <c r="I114" s="3">
        <f>IF(ISNUMBER(p!I114*LN(p!I114)),p!I114*LN(p!I114),0)</f>
        <v>0</v>
      </c>
      <c r="J114" s="3">
        <f>IF(ISNUMBER(p!J114*LN(p!J114)),p!J114*LN(p!J114),0)</f>
        <v>-0.14497725893921062</v>
      </c>
      <c r="K114" s="3">
        <f>IF(ISNUMBER(p!K114*LN(p!K114)),p!K114*LN(p!K114),0)</f>
        <v>0</v>
      </c>
      <c r="L114" s="3">
        <f>IF(ISNUMBER(p!L114*LN(p!L114)),p!L114*LN(p!L114),0)</f>
        <v>0</v>
      </c>
      <c r="M114" s="3">
        <f>IF(ISNUMBER(p!M114*LN(p!M114)),p!M114*LN(p!M114),0)</f>
        <v>0</v>
      </c>
      <c r="N114" s="3">
        <f>IF(ISNUMBER(p!N114*LN(p!N114)),p!N114*LN(p!N114),0)</f>
        <v>-9.8071788453301917E-2</v>
      </c>
      <c r="O114" s="3">
        <f>IF(ISNUMBER(p!O114*LN(p!O114)),p!O114*LN(p!O114),0)</f>
        <v>-0.11499981885525974</v>
      </c>
      <c r="P114" s="3">
        <f>IF(ISNUMBER(p!P114*LN(p!P114)),p!P114*LN(p!P114),0)</f>
        <v>0</v>
      </c>
      <c r="Q114" s="3">
        <f>IF(ISNUMBER(p!Q114*LN(p!Q114)),p!Q114*LN(p!Q114),0)</f>
        <v>-5.8466468111820276E-2</v>
      </c>
      <c r="R114" s="3">
        <f>IF(ISNUMBER(p!R114*LN(p!R114)),p!R114*LN(p!R114),0)</f>
        <v>0</v>
      </c>
      <c r="S114" s="3">
        <f>IF(ISNUMBER(p!S114*LN(p!S114)),p!S114*LN(p!S114),0)</f>
        <v>0</v>
      </c>
      <c r="T114" s="3">
        <f>IF(ISNUMBER(p!T114*LN(p!T114)),p!T114*LN(p!T114),0)</f>
        <v>0</v>
      </c>
      <c r="U114" s="3">
        <f>IF(ISNUMBER(p!U114*LN(p!U114)),p!U114*LN(p!U114),0)</f>
        <v>0</v>
      </c>
      <c r="V114" s="3">
        <f>IF(ISNUMBER(p!V114*LN(p!V114)),p!V114*LN(p!V114),0)</f>
        <v>0</v>
      </c>
      <c r="W114" s="3">
        <f>IF(ISNUMBER(p!W114*LN(p!W114)),p!W114*LN(p!W114),0)</f>
        <v>0</v>
      </c>
      <c r="X114" s="3">
        <f>IF(ISNUMBER(p!X114*LN(p!X114)),p!X114*LN(p!X114),0)</f>
        <v>0</v>
      </c>
      <c r="Y114" s="3">
        <f>IF(ISNUMBER(p!Y114*LN(p!Y114)),p!Y114*LN(p!Y114),0)</f>
        <v>0</v>
      </c>
      <c r="Z114" s="3">
        <f>IF(ISNUMBER(p!Z114*LN(p!Z114)),p!Z114*LN(p!Z114),0)</f>
        <v>0</v>
      </c>
      <c r="AA114" s="3">
        <f>IF(ISNUMBER(p!AA114*LN(p!AA114)),p!AA114*LN(p!AA114),0)</f>
        <v>0</v>
      </c>
    </row>
    <row r="115" spans="2:27" x14ac:dyDescent="0.25">
      <c r="B115" s="3">
        <f>IF(ISNUMBER(p!B115*LN(p!B115)),p!B115*LN(p!B115),0)</f>
        <v>-0.3617261981310656</v>
      </c>
      <c r="C115" s="3">
        <f>IF(ISNUMBER(p!C115*LN(p!C115)),p!C115*LN(p!C115),0)</f>
        <v>-0.35811282785289805</v>
      </c>
      <c r="D115" s="3">
        <f>IF(ISNUMBER(p!D115*LN(p!D115)),p!D115*LN(p!D115),0)</f>
        <v>-6.323657089532235E-2</v>
      </c>
      <c r="E115" s="3">
        <f>IF(ISNUMBER(p!E115*LN(p!E115)),p!E115*LN(p!E115),0)</f>
        <v>-2.659952173228388E-2</v>
      </c>
      <c r="F115" s="3">
        <f>IF(ISNUMBER(p!F115*LN(p!F115)),p!F115*LN(p!F115),0)</f>
        <v>0</v>
      </c>
      <c r="G115" s="3">
        <f>IF(ISNUMBER(p!G115*LN(p!G115)),p!G115*LN(p!G115),0)</f>
        <v>0</v>
      </c>
      <c r="H115" s="3">
        <f>IF(ISNUMBER(p!H115*LN(p!H115)),p!H115*LN(p!H115),0)</f>
        <v>-0.26590661032300639</v>
      </c>
      <c r="I115" s="3">
        <f>IF(ISNUMBER(p!I115*LN(p!I115)),p!I115*LN(p!I115),0)</f>
        <v>0</v>
      </c>
      <c r="J115" s="3">
        <f>IF(ISNUMBER(p!J115*LN(p!J115)),p!J115*LN(p!J115),0)</f>
        <v>-4.6232740142357252E-2</v>
      </c>
      <c r="K115" s="3">
        <f>IF(ISNUMBER(p!K115*LN(p!K115)),p!K115*LN(p!K115),0)</f>
        <v>0</v>
      </c>
      <c r="L115" s="3">
        <f>IF(ISNUMBER(p!L115*LN(p!L115)),p!L115*LN(p!L115),0)</f>
        <v>0</v>
      </c>
      <c r="M115" s="3">
        <f>IF(ISNUMBER(p!M115*LN(p!M115)),p!M115*LN(p!M115),0)</f>
        <v>0</v>
      </c>
      <c r="N115" s="3">
        <f>IF(ISNUMBER(p!N115*LN(p!N115)),p!N115*LN(p!N115),0)</f>
        <v>-6.323657089532235E-2</v>
      </c>
      <c r="O115" s="3">
        <f>IF(ISNUMBER(p!O115*LN(p!O115)),p!O115*LN(p!O115),0)</f>
        <v>-6.323657089532235E-2</v>
      </c>
      <c r="P115" s="3">
        <f>IF(ISNUMBER(p!P115*LN(p!P115)),p!P115*LN(p!P115),0)</f>
        <v>0</v>
      </c>
      <c r="Q115" s="3">
        <f>IF(ISNUMBER(p!Q115*LN(p!Q115)),p!Q115*LN(p!Q115),0)</f>
        <v>-4.6232740142357252E-2</v>
      </c>
      <c r="R115" s="3">
        <f>IF(ISNUMBER(p!R115*LN(p!R115)),p!R115*LN(p!R115),0)</f>
        <v>0</v>
      </c>
      <c r="S115" s="3">
        <f>IF(ISNUMBER(p!S115*LN(p!S115)),p!S115*LN(p!S115),0)</f>
        <v>0</v>
      </c>
      <c r="T115" s="3">
        <f>IF(ISNUMBER(p!T115*LN(p!T115)),p!T115*LN(p!T115),0)</f>
        <v>0</v>
      </c>
      <c r="U115" s="3">
        <f>IF(ISNUMBER(p!U115*LN(p!U115)),p!U115*LN(p!U115),0)</f>
        <v>0</v>
      </c>
      <c r="V115" s="3">
        <f>IF(ISNUMBER(p!V115*LN(p!V115)),p!V115*LN(p!V115),0)</f>
        <v>0</v>
      </c>
      <c r="W115" s="3">
        <f>IF(ISNUMBER(p!W115*LN(p!W115)),p!W115*LN(p!W115),0)</f>
        <v>0</v>
      </c>
      <c r="X115" s="3">
        <f>IF(ISNUMBER(p!X115*LN(p!X115)),p!X115*LN(p!X115),0)</f>
        <v>0</v>
      </c>
      <c r="Y115" s="3">
        <f>IF(ISNUMBER(p!Y115*LN(p!Y115)),p!Y115*LN(p!Y115),0)</f>
        <v>0</v>
      </c>
      <c r="Z115" s="3">
        <f>IF(ISNUMBER(p!Z115*LN(p!Z115)),p!Z115*LN(p!Z115),0)</f>
        <v>0</v>
      </c>
      <c r="AA115" s="3">
        <f>IF(ISNUMBER(p!AA115*LN(p!AA115)),p!AA115*LN(p!AA115),0)</f>
        <v>0</v>
      </c>
    </row>
    <row r="116" spans="2:27" x14ac:dyDescent="0.25">
      <c r="B116" s="3">
        <f>IF(ISNUMBER(p!B116*LN(p!B116)),p!B116*LN(p!B116),0)</f>
        <v>-0.16903924162546899</v>
      </c>
      <c r="C116" s="3">
        <f>IF(ISNUMBER(p!C116*LN(p!C116)),p!C116*LN(p!C116),0)</f>
        <v>-3.3583532254667509E-2</v>
      </c>
      <c r="D116" s="3">
        <f>IF(ISNUMBER(p!D116*LN(p!D116)),p!D116*LN(p!D116),0)</f>
        <v>-1.9117763377534916E-2</v>
      </c>
      <c r="E116" s="3">
        <f>IF(ISNUMBER(p!E116*LN(p!E116)),p!E116*LN(p!E116),0)</f>
        <v>-7.8630886253906365E-2</v>
      </c>
      <c r="F116" s="3">
        <f>IF(ISNUMBER(p!F116*LN(p!F116)),p!F116*LN(p!F116),0)</f>
        <v>0</v>
      </c>
      <c r="G116" s="3">
        <f>IF(ISNUMBER(p!G116*LN(p!G116)),p!G116*LN(p!G116),0)</f>
        <v>0</v>
      </c>
      <c r="H116" s="3">
        <f>IF(ISNUMBER(p!H116*LN(p!H116)),p!H116*LN(p!H116),0)</f>
        <v>0</v>
      </c>
      <c r="I116" s="3">
        <f>IF(ISNUMBER(p!I116*LN(p!I116)),p!I116*LN(p!I116),0)</f>
        <v>0</v>
      </c>
      <c r="J116" s="3">
        <f>IF(ISNUMBER(p!J116*LN(p!J116)),p!J116*LN(p!J116),0)</f>
        <v>0</v>
      </c>
      <c r="K116" s="3">
        <f>IF(ISNUMBER(p!K116*LN(p!K116)),p!K116*LN(p!K116),0)</f>
        <v>-0.25902179943913978</v>
      </c>
      <c r="L116" s="3">
        <f>IF(ISNUMBER(p!L116*LN(p!L116)),p!L116*LN(p!L116),0)</f>
        <v>0</v>
      </c>
      <c r="M116" s="3">
        <f>IF(ISNUMBER(p!M116*LN(p!M116)),p!M116*LN(p!M116),0)</f>
        <v>-1.9117763377534916E-2</v>
      </c>
      <c r="N116" s="3">
        <f>IF(ISNUMBER(p!N116*LN(p!N116)),p!N116*LN(p!N116),0)</f>
        <v>0</v>
      </c>
      <c r="O116" s="3">
        <f>IF(ISNUMBER(p!O116*LN(p!O116)),p!O116*LN(p!O116),0)</f>
        <v>0</v>
      </c>
      <c r="P116" s="3">
        <f>IF(ISNUMBER(p!P116*LN(p!P116)),p!P116*LN(p!P116),0)</f>
        <v>0</v>
      </c>
      <c r="Q116" s="3">
        <f>IF(ISNUMBER(p!Q116*LN(p!Q116)),p!Q116*LN(p!Q116),0)</f>
        <v>-9.7118173015451503E-2</v>
      </c>
      <c r="R116" s="3">
        <f>IF(ISNUMBER(p!R116*LN(p!R116)),p!R116*LN(p!R116),0)</f>
        <v>0</v>
      </c>
      <c r="S116" s="3">
        <f>IF(ISNUMBER(p!S116*LN(p!S116)),p!S116*LN(p!S116),0)</f>
        <v>0</v>
      </c>
      <c r="T116" s="3">
        <f>IF(ISNUMBER(p!T116*LN(p!T116)),p!T116*LN(p!T116),0)</f>
        <v>0</v>
      </c>
      <c r="U116" s="3">
        <f>IF(ISNUMBER(p!U116*LN(p!U116)),p!U116*LN(p!U116),0)</f>
        <v>0</v>
      </c>
      <c r="V116" s="3">
        <f>IF(ISNUMBER(p!V116*LN(p!V116)),p!V116*LN(p!V116),0)</f>
        <v>0</v>
      </c>
      <c r="W116" s="3">
        <f>IF(ISNUMBER(p!W116*LN(p!W116)),p!W116*LN(p!W116),0)</f>
        <v>0</v>
      </c>
      <c r="X116" s="3">
        <f>IF(ISNUMBER(p!X116*LN(p!X116)),p!X116*LN(p!X116),0)</f>
        <v>0</v>
      </c>
      <c r="Y116" s="3">
        <f>IF(ISNUMBER(p!Y116*LN(p!Y116)),p!Y116*LN(p!Y116),0)</f>
        <v>0</v>
      </c>
      <c r="Z116" s="3">
        <f>IF(ISNUMBER(p!Z116*LN(p!Z116)),p!Z116*LN(p!Z116),0)</f>
        <v>0</v>
      </c>
      <c r="AA116" s="3">
        <f>IF(ISNUMBER(p!AA116*LN(p!AA116)),p!AA116*LN(p!AA116),0)</f>
        <v>0</v>
      </c>
    </row>
    <row r="117" spans="2:27" x14ac:dyDescent="0.25">
      <c r="B117" s="3">
        <f>IF(ISNUMBER(p!B117*LN(p!B117)),p!B117*LN(p!B117),0)</f>
        <v>-0.29406302340779478</v>
      </c>
      <c r="C117" s="3">
        <f>IF(ISNUMBER(p!C117*LN(p!C117)),p!C117*LN(p!C117),0)</f>
        <v>-0.13369299669182561</v>
      </c>
      <c r="D117" s="3">
        <f>IF(ISNUMBER(p!D117*LN(p!D117)),p!D117*LN(p!D117),0)</f>
        <v>0</v>
      </c>
      <c r="E117" s="3">
        <f>IF(ISNUMBER(p!E117*LN(p!E117)),p!E117*LN(p!E117),0)</f>
        <v>0</v>
      </c>
      <c r="F117" s="3">
        <f>IF(ISNUMBER(p!F117*LN(p!F117)),p!F117*LN(p!F117),0)</f>
        <v>0</v>
      </c>
      <c r="G117" s="3">
        <f>IF(ISNUMBER(p!G117*LN(p!G117)),p!G117*LN(p!G117),0)</f>
        <v>0</v>
      </c>
      <c r="H117" s="3">
        <f>IF(ISNUMBER(p!H117*LN(p!H117)),p!H117*LN(p!H117),0)</f>
        <v>-0.30046871446534901</v>
      </c>
      <c r="I117" s="3">
        <f>IF(ISNUMBER(p!I117*LN(p!I117)),p!I117*LN(p!I117),0)</f>
        <v>0</v>
      </c>
      <c r="J117" s="3">
        <f>IF(ISNUMBER(p!J117*LN(p!J117)),p!J117*LN(p!J117),0)</f>
        <v>-0.15303927615972582</v>
      </c>
      <c r="K117" s="3">
        <f>IF(ISNUMBER(p!K117*LN(p!K117)),p!K117*LN(p!K117),0)</f>
        <v>0</v>
      </c>
      <c r="L117" s="3">
        <f>IF(ISNUMBER(p!L117*LN(p!L117)),p!L117*LN(p!L117),0)</f>
        <v>0</v>
      </c>
      <c r="M117" s="3">
        <f>IF(ISNUMBER(p!M117*LN(p!M117)),p!M117*LN(p!M117),0)</f>
        <v>0</v>
      </c>
      <c r="N117" s="3">
        <f>IF(ISNUMBER(p!N117*LN(p!N117)),p!N117*LN(p!N117),0)</f>
        <v>0</v>
      </c>
      <c r="O117" s="3">
        <f>IF(ISNUMBER(p!O117*LN(p!O117)),p!O117*LN(p!O117),0)</f>
        <v>-7.4647846095578119E-2</v>
      </c>
      <c r="P117" s="3">
        <f>IF(ISNUMBER(p!P117*LN(p!P117)),p!P117*LN(p!P117),0)</f>
        <v>0</v>
      </c>
      <c r="Q117" s="3">
        <f>IF(ISNUMBER(p!Q117*LN(p!Q117)),p!Q117*LN(p!Q117),0)</f>
        <v>0</v>
      </c>
      <c r="R117" s="3">
        <f>IF(ISNUMBER(p!R117*LN(p!R117)),p!R117*LN(p!R117),0)</f>
        <v>0</v>
      </c>
      <c r="S117" s="3">
        <f>IF(ISNUMBER(p!S117*LN(p!S117)),p!S117*LN(p!S117),0)</f>
        <v>0</v>
      </c>
      <c r="T117" s="3">
        <f>IF(ISNUMBER(p!T117*LN(p!T117)),p!T117*LN(p!T117),0)</f>
        <v>0</v>
      </c>
      <c r="U117" s="3">
        <f>IF(ISNUMBER(p!U117*LN(p!U117)),p!U117*LN(p!U117),0)</f>
        <v>0</v>
      </c>
      <c r="V117" s="3">
        <f>IF(ISNUMBER(p!V117*LN(p!V117)),p!V117*LN(p!V117),0)</f>
        <v>0</v>
      </c>
      <c r="W117" s="3">
        <f>IF(ISNUMBER(p!W117*LN(p!W117)),p!W117*LN(p!W117),0)</f>
        <v>0</v>
      </c>
      <c r="X117" s="3">
        <f>IF(ISNUMBER(p!X117*LN(p!X117)),p!X117*LN(p!X117),0)</f>
        <v>0</v>
      </c>
      <c r="Y117" s="3">
        <f>IF(ISNUMBER(p!Y117*LN(p!Y117)),p!Y117*LN(p!Y117),0)</f>
        <v>0</v>
      </c>
      <c r="Z117" s="3">
        <f>IF(ISNUMBER(p!Z117*LN(p!Z117)),p!Z117*LN(p!Z117),0)</f>
        <v>0</v>
      </c>
      <c r="AA117" s="3">
        <f>IF(ISNUMBER(p!AA117*LN(p!AA117)),p!AA117*LN(p!AA117),0)</f>
        <v>0</v>
      </c>
    </row>
    <row r="118" spans="2:27" x14ac:dyDescent="0.25">
      <c r="B118" s="3">
        <f>IF(ISNUMBER(p!B118*LN(p!B118)),p!B118*LN(p!B118),0)</f>
        <v>-0.31400957717970984</v>
      </c>
      <c r="C118" s="3">
        <f>IF(ISNUMBER(p!C118*LN(p!C118)),p!C118*LN(p!C118),0)</f>
        <v>-0.2369780840638416</v>
      </c>
      <c r="D118" s="3">
        <f>IF(ISNUMBER(p!D118*LN(p!D118)),p!D118*LN(p!D118),0)</f>
        <v>-4.7935546227374115E-2</v>
      </c>
      <c r="E118" s="3">
        <f>IF(ISNUMBER(p!E118*LN(p!E118)),p!E118*LN(p!E118),0)</f>
        <v>-0.1216199866407169</v>
      </c>
      <c r="F118" s="3">
        <f>IF(ISNUMBER(p!F118*LN(p!F118)),p!F118*LN(p!F118),0)</f>
        <v>0</v>
      </c>
      <c r="G118" s="3">
        <f>IF(ISNUMBER(p!G118*LN(p!G118)),p!G118*LN(p!G118),0)</f>
        <v>0</v>
      </c>
      <c r="H118" s="3">
        <f>IF(ISNUMBER(p!H118*LN(p!H118)),p!H118*LN(p!H118),0)</f>
        <v>-0.2496399769139355</v>
      </c>
      <c r="I118" s="3">
        <f>IF(ISNUMBER(p!I118*LN(p!I118)),p!I118*LN(p!I118),0)</f>
        <v>0</v>
      </c>
      <c r="J118" s="3">
        <f>IF(ISNUMBER(p!J118*LN(p!J118)),p!J118*LN(p!J118),0)</f>
        <v>0</v>
      </c>
      <c r="K118" s="3">
        <f>IF(ISNUMBER(p!K118*LN(p!K118)),p!K118*LN(p!K118),0)</f>
        <v>0</v>
      </c>
      <c r="L118" s="3">
        <f>IF(ISNUMBER(p!L118*LN(p!L118)),p!L118*LN(p!L118),0)</f>
        <v>0</v>
      </c>
      <c r="M118" s="3">
        <f>IF(ISNUMBER(p!M118*LN(p!M118)),p!M118*LN(p!M118),0)</f>
        <v>0</v>
      </c>
      <c r="N118" s="3">
        <f>IF(ISNUMBER(p!N118*LN(p!N118)),p!N118*LN(p!N118),0)</f>
        <v>-4.7935546227374115E-2</v>
      </c>
      <c r="O118" s="3">
        <f>IF(ISNUMBER(p!O118*LN(p!O118)),p!O118*LN(p!O118),0)</f>
        <v>-0.1744495214129991</v>
      </c>
      <c r="P118" s="3">
        <f>IF(ISNUMBER(p!P118*LN(p!P118)),p!P118*LN(p!P118),0)</f>
        <v>0</v>
      </c>
      <c r="Q118" s="3">
        <f>IF(ISNUMBER(p!Q118*LN(p!Q118)),p!Q118*LN(p!Q118),0)</f>
        <v>-0.15497047258770741</v>
      </c>
      <c r="R118" s="3">
        <f>IF(ISNUMBER(p!R118*LN(p!R118)),p!R118*LN(p!R118),0)</f>
        <v>0</v>
      </c>
      <c r="S118" s="3">
        <f>IF(ISNUMBER(p!S118*LN(p!S118)),p!S118*LN(p!S118),0)</f>
        <v>0</v>
      </c>
      <c r="T118" s="3">
        <f>IF(ISNUMBER(p!T118*LN(p!T118)),p!T118*LN(p!T118),0)</f>
        <v>0</v>
      </c>
      <c r="U118" s="3">
        <f>IF(ISNUMBER(p!U118*LN(p!U118)),p!U118*LN(p!U118),0)</f>
        <v>0</v>
      </c>
      <c r="V118" s="3">
        <f>IF(ISNUMBER(p!V118*LN(p!V118)),p!V118*LN(p!V118),0)</f>
        <v>0</v>
      </c>
      <c r="W118" s="3">
        <f>IF(ISNUMBER(p!W118*LN(p!W118)),p!W118*LN(p!W118),0)</f>
        <v>0</v>
      </c>
      <c r="X118" s="3">
        <f>IF(ISNUMBER(p!X118*LN(p!X118)),p!X118*LN(p!X118),0)</f>
        <v>0</v>
      </c>
      <c r="Y118" s="3">
        <f>IF(ISNUMBER(p!Y118*LN(p!Y118)),p!Y118*LN(p!Y118),0)</f>
        <v>0</v>
      </c>
      <c r="Z118" s="3">
        <f>IF(ISNUMBER(p!Z118*LN(p!Z118)),p!Z118*LN(p!Z118),0)</f>
        <v>0</v>
      </c>
      <c r="AA118" s="3">
        <f>IF(ISNUMBER(p!AA118*LN(p!AA118)),p!AA118*LN(p!AA118),0)</f>
        <v>0</v>
      </c>
    </row>
    <row r="119" spans="2:27" x14ac:dyDescent="0.25">
      <c r="B119" s="3">
        <f>IF(ISNUMBER(p!B119*LN(p!B119)),p!B119*LN(p!B119),0)</f>
        <v>-0.31132308066536102</v>
      </c>
      <c r="C119" s="3">
        <f>IF(ISNUMBER(p!C119*LN(p!C119)),p!C119*LN(p!C119),0)</f>
        <v>-0.18801361311246864</v>
      </c>
      <c r="D119" s="3">
        <f>IF(ISNUMBER(p!D119*LN(p!D119)),p!D119*LN(p!D119),0)</f>
        <v>-5.495210790707198E-2</v>
      </c>
      <c r="E119" s="3">
        <f>IF(ISNUMBER(p!E119*LN(p!E119)),p!E119*LN(p!E119),0)</f>
        <v>-9.2503031364940314E-2</v>
      </c>
      <c r="F119" s="3">
        <f>IF(ISNUMBER(p!F119*LN(p!F119)),p!F119*LN(p!F119),0)</f>
        <v>0</v>
      </c>
      <c r="G119" s="3">
        <f>IF(ISNUMBER(p!G119*LN(p!G119)),p!G119*LN(p!G119),0)</f>
        <v>0</v>
      </c>
      <c r="H119" s="3">
        <f>IF(ISNUMBER(p!H119*LN(p!H119)),p!H119*LN(p!H119),0)</f>
        <v>-0.27338304470856067</v>
      </c>
      <c r="I119" s="3">
        <f>IF(ISNUMBER(p!I119*LN(p!I119)),p!I119*LN(p!I119),0)</f>
        <v>0</v>
      </c>
      <c r="J119" s="3">
        <f>IF(ISNUMBER(p!J119*LN(p!J119)),p!J119*LN(p!J119),0)</f>
        <v>-5.495210790707198E-2</v>
      </c>
      <c r="K119" s="3">
        <f>IF(ISNUMBER(p!K119*LN(p!K119)),p!K119*LN(p!K119),0)</f>
        <v>0</v>
      </c>
      <c r="L119" s="3">
        <f>IF(ISNUMBER(p!L119*LN(p!L119)),p!L119*LN(p!L119),0)</f>
        <v>0</v>
      </c>
      <c r="M119" s="3">
        <f>IF(ISNUMBER(p!M119*LN(p!M119)),p!M119*LN(p!M119),0)</f>
        <v>0</v>
      </c>
      <c r="N119" s="3">
        <f>IF(ISNUMBER(p!N119*LN(p!N119)),p!N119*LN(p!N119),0)</f>
        <v>-4.0027752061686739E-2</v>
      </c>
      <c r="O119" s="3">
        <f>IF(ISNUMBER(p!O119*LN(p!O119)),p!O119*LN(p!O119),0)</f>
        <v>-0.16620789586789761</v>
      </c>
      <c r="P119" s="3">
        <f>IF(ISNUMBER(p!P119*LN(p!P119)),p!P119*LN(p!P119),0)</f>
        <v>0</v>
      </c>
      <c r="Q119" s="3">
        <f>IF(ISNUMBER(p!Q119*LN(p!Q119)),p!Q119*LN(p!Q119),0)</f>
        <v>-0.15836688087075174</v>
      </c>
      <c r="R119" s="3">
        <f>IF(ISNUMBER(p!R119*LN(p!R119)),p!R119*LN(p!R119),0)</f>
        <v>0</v>
      </c>
      <c r="S119" s="3">
        <f>IF(ISNUMBER(p!S119*LN(p!S119)),p!S119*LN(p!S119),0)</f>
        <v>0</v>
      </c>
      <c r="T119" s="3">
        <f>IF(ISNUMBER(p!T119*LN(p!T119)),p!T119*LN(p!T119),0)</f>
        <v>0</v>
      </c>
      <c r="U119" s="3">
        <f>IF(ISNUMBER(p!U119*LN(p!U119)),p!U119*LN(p!U119),0)</f>
        <v>0</v>
      </c>
      <c r="V119" s="3">
        <f>IF(ISNUMBER(p!V119*LN(p!V119)),p!V119*LN(p!V119),0)</f>
        <v>0</v>
      </c>
      <c r="W119" s="3">
        <f>IF(ISNUMBER(p!W119*LN(p!W119)),p!W119*LN(p!W119),0)</f>
        <v>0</v>
      </c>
      <c r="X119" s="3">
        <f>IF(ISNUMBER(p!X119*LN(p!X119)),p!X119*LN(p!X119),0)</f>
        <v>0</v>
      </c>
      <c r="Y119" s="3">
        <f>IF(ISNUMBER(p!Y119*LN(p!Y119)),p!Y119*LN(p!Y119),0)</f>
        <v>0</v>
      </c>
      <c r="Z119" s="3">
        <f>IF(ISNUMBER(p!Z119*LN(p!Z119)),p!Z119*LN(p!Z119),0)</f>
        <v>0</v>
      </c>
      <c r="AA119" s="3">
        <f>IF(ISNUMBER(p!AA119*LN(p!AA119)),p!AA119*LN(p!AA119),0)</f>
        <v>0</v>
      </c>
    </row>
    <row r="120" spans="2:27" x14ac:dyDescent="0.25">
      <c r="B120" s="3">
        <f>IF(ISNUMBER(p!B120*LN(p!B120)),p!B120*LN(p!B120),0)</f>
        <v>-0.3021789742780206</v>
      </c>
      <c r="C120" s="3">
        <f>IF(ISNUMBER(p!C120*LN(p!C120)),p!C120*LN(p!C120),0)</f>
        <v>-0.12436510467323754</v>
      </c>
      <c r="D120" s="3">
        <f>IF(ISNUMBER(p!D120*LN(p!D120)),p!D120*LN(p!D120),0)</f>
        <v>0</v>
      </c>
      <c r="E120" s="3">
        <f>IF(ISNUMBER(p!E120*LN(p!E120)),p!E120*LN(p!E120),0)</f>
        <v>-2.8342042160918401E-2</v>
      </c>
      <c r="F120" s="3">
        <f>IF(ISNUMBER(p!F120*LN(p!F120)),p!F120*LN(p!F120),0)</f>
        <v>0</v>
      </c>
      <c r="G120" s="3">
        <f>IF(ISNUMBER(p!G120*LN(p!G120)),p!G120*LN(p!G120),0)</f>
        <v>0</v>
      </c>
      <c r="H120" s="3">
        <f>IF(ISNUMBER(p!H120*LN(p!H120)),p!H120*LN(p!H120),0)</f>
        <v>-0.27120379520934573</v>
      </c>
      <c r="I120" s="3">
        <f>IF(ISNUMBER(p!I120*LN(p!I120)),p!I120*LN(p!I120),0)</f>
        <v>0</v>
      </c>
      <c r="J120" s="3">
        <f>IF(ISNUMBER(p!J120*LN(p!J120)),p!J120*LN(p!J120),0)</f>
        <v>0</v>
      </c>
      <c r="K120" s="3">
        <f>IF(ISNUMBER(p!K120*LN(p!K120)),p!K120*LN(p!K120),0)</f>
        <v>0</v>
      </c>
      <c r="L120" s="3">
        <f>IF(ISNUMBER(p!L120*LN(p!L120)),p!L120*LN(p!L120),0)</f>
        <v>0</v>
      </c>
      <c r="M120" s="3">
        <f>IF(ISNUMBER(p!M120*LN(p!M120)),p!M120*LN(p!M120),0)</f>
        <v>0</v>
      </c>
      <c r="N120" s="3">
        <f>IF(ISNUMBER(p!N120*LN(p!N120)),p!N120*LN(p!N120),0)</f>
        <v>-0.11162531375155207</v>
      </c>
      <c r="O120" s="3">
        <f>IF(ISNUMBER(p!O120*LN(p!O120)),p!O120*LN(p!O120),0)</f>
        <v>-0.16841002898324331</v>
      </c>
      <c r="P120" s="3">
        <f>IF(ISNUMBER(p!P120*LN(p!P120)),p!P120*LN(p!P120),0)</f>
        <v>0</v>
      </c>
      <c r="Q120" s="3">
        <f>IF(ISNUMBER(p!Q120*LN(p!Q120)),p!Q120*LN(p!Q120),0)</f>
        <v>-0.23445347168700195</v>
      </c>
      <c r="R120" s="3">
        <f>IF(ISNUMBER(p!R120*LN(p!R120)),p!R120*LN(p!R120),0)</f>
        <v>0</v>
      </c>
      <c r="S120" s="3">
        <f>IF(ISNUMBER(p!S120*LN(p!S120)),p!S120*LN(p!S120),0)</f>
        <v>0</v>
      </c>
      <c r="T120" s="3">
        <f>IF(ISNUMBER(p!T120*LN(p!T120)),p!T120*LN(p!T120),0)</f>
        <v>0</v>
      </c>
      <c r="U120" s="3">
        <f>IF(ISNUMBER(p!U120*LN(p!U120)),p!U120*LN(p!U120),0)</f>
        <v>0</v>
      </c>
      <c r="V120" s="3">
        <f>IF(ISNUMBER(p!V120*LN(p!V120)),p!V120*LN(p!V120),0)</f>
        <v>0</v>
      </c>
      <c r="W120" s="3">
        <f>IF(ISNUMBER(p!W120*LN(p!W120)),p!W120*LN(p!W120),0)</f>
        <v>0</v>
      </c>
      <c r="X120" s="3">
        <f>IF(ISNUMBER(p!X120*LN(p!X120)),p!X120*LN(p!X120),0)</f>
        <v>0</v>
      </c>
      <c r="Y120" s="3">
        <f>IF(ISNUMBER(p!Y120*LN(p!Y120)),p!Y120*LN(p!Y120),0)</f>
        <v>0</v>
      </c>
      <c r="Z120" s="3">
        <f>IF(ISNUMBER(p!Z120*LN(p!Z120)),p!Z120*LN(p!Z120),0)</f>
        <v>0</v>
      </c>
      <c r="AA120" s="3">
        <f>IF(ISNUMBER(p!AA120*LN(p!AA120)),p!AA120*LN(p!AA120),0)</f>
        <v>0</v>
      </c>
    </row>
    <row r="121" spans="2:27" x14ac:dyDescent="0.25">
      <c r="B121" s="3">
        <f>IF(ISNUMBER(p!B121*LN(p!B121)),p!B121*LN(p!B121),0)</f>
        <v>-0.36787904267252053</v>
      </c>
      <c r="C121" s="3">
        <f>IF(ISNUMBER(p!C121*LN(p!C121)),p!C121*LN(p!C121),0)</f>
        <v>-0.26134360949211038</v>
      </c>
      <c r="D121" s="3">
        <f>IF(ISNUMBER(p!D121*LN(p!D121)),p!D121*LN(p!D121),0)</f>
        <v>-2.7615916169265717E-2</v>
      </c>
      <c r="E121" s="3">
        <f>IF(ISNUMBER(p!E121*LN(p!E121)),p!E121*LN(p!E121),0)</f>
        <v>-4.7935546227374115E-2</v>
      </c>
      <c r="F121" s="3">
        <f>IF(ISNUMBER(p!F121*LN(p!F121)),p!F121*LN(p!F121),0)</f>
        <v>0</v>
      </c>
      <c r="G121" s="3">
        <f>IF(ISNUMBER(p!G121*LN(p!G121)),p!G121*LN(p!G121),0)</f>
        <v>0</v>
      </c>
      <c r="H121" s="3">
        <f>IF(ISNUMBER(p!H121*LN(p!H121)),p!H121*LN(p!H121),0)</f>
        <v>-0.33876165938240999</v>
      </c>
      <c r="I121" s="3">
        <f>IF(ISNUMBER(p!I121*LN(p!I121)),p!I121*LN(p!I121),0)</f>
        <v>0</v>
      </c>
      <c r="J121" s="3">
        <f>IF(ISNUMBER(p!J121*LN(p!J121)),p!J121*LN(p!J121),0)</f>
        <v>-0.2369780840638416</v>
      </c>
      <c r="K121" s="3">
        <f>IF(ISNUMBER(p!K121*LN(p!K121)),p!K121*LN(p!K121),0)</f>
        <v>0</v>
      </c>
      <c r="L121" s="3">
        <f>IF(ISNUMBER(p!L121*LN(p!L121)),p!L121*LN(p!L121),0)</f>
        <v>0</v>
      </c>
      <c r="M121" s="3">
        <f>IF(ISNUMBER(p!M121*LN(p!M121)),p!M121*LN(p!M121),0)</f>
        <v>0</v>
      </c>
      <c r="N121" s="3">
        <f>IF(ISNUMBER(p!N121*LN(p!N121)),p!N121*LN(p!N121),0)</f>
        <v>-4.7935546227374115E-2</v>
      </c>
      <c r="O121" s="3">
        <f>IF(ISNUMBER(p!O121*LN(p!O121)),p!O121*LN(p!O121),0)</f>
        <v>-0.1216199866407169</v>
      </c>
      <c r="P121" s="3">
        <f>IF(ISNUMBER(p!P121*LN(p!P121)),p!P121*LN(p!P121),0)</f>
        <v>0</v>
      </c>
      <c r="Q121" s="3">
        <f>IF(ISNUMBER(p!Q121*LN(p!Q121)),p!Q121*LN(p!Q121),0)</f>
        <v>-4.7935546227374115E-2</v>
      </c>
      <c r="R121" s="3">
        <f>IF(ISNUMBER(p!R121*LN(p!R121)),p!R121*LN(p!R121),0)</f>
        <v>0</v>
      </c>
      <c r="S121" s="3">
        <f>IF(ISNUMBER(p!S121*LN(p!S121)),p!S121*LN(p!S121),0)</f>
        <v>0</v>
      </c>
      <c r="T121" s="3">
        <f>IF(ISNUMBER(p!T121*LN(p!T121)),p!T121*LN(p!T121),0)</f>
        <v>0</v>
      </c>
      <c r="U121" s="3">
        <f>IF(ISNUMBER(p!U121*LN(p!U121)),p!U121*LN(p!U121),0)</f>
        <v>0</v>
      </c>
      <c r="V121" s="3">
        <f>IF(ISNUMBER(p!V121*LN(p!V121)),p!V121*LN(p!V121),0)</f>
        <v>0</v>
      </c>
      <c r="W121" s="3">
        <f>IF(ISNUMBER(p!W121*LN(p!W121)),p!W121*LN(p!W121),0)</f>
        <v>0</v>
      </c>
      <c r="X121" s="3">
        <f>IF(ISNUMBER(p!X121*LN(p!X121)),p!X121*LN(p!X121),0)</f>
        <v>0</v>
      </c>
      <c r="Y121" s="3">
        <f>IF(ISNUMBER(p!Y121*LN(p!Y121)),p!Y121*LN(p!Y121),0)</f>
        <v>0</v>
      </c>
      <c r="Z121" s="3">
        <f>IF(ISNUMBER(p!Z121*LN(p!Z121)),p!Z121*LN(p!Z121),0)</f>
        <v>0</v>
      </c>
      <c r="AA121" s="3">
        <f>IF(ISNUMBER(p!AA121*LN(p!AA121)),p!AA121*LN(p!AA121),0)</f>
        <v>0</v>
      </c>
    </row>
    <row r="122" spans="2:27" x14ac:dyDescent="0.25">
      <c r="B122" s="3">
        <f>IF(ISNUMBER(p!B122*LN(p!B122)),p!B122*LN(p!B122),0)</f>
        <v>-0.35183010369174933</v>
      </c>
      <c r="C122" s="3">
        <f>IF(ISNUMBER(p!C122*LN(p!C122)),p!C122*LN(p!C122),0)</f>
        <v>-0.31304061615920376</v>
      </c>
      <c r="D122" s="3">
        <f>IF(ISNUMBER(p!D122*LN(p!D122)),p!D122*LN(p!D122),0)</f>
        <v>0</v>
      </c>
      <c r="E122" s="3">
        <f>IF(ISNUMBER(p!E122*LN(p!E122)),p!E122*LN(p!E122),0)</f>
        <v>-2.6069215656099098E-2</v>
      </c>
      <c r="F122" s="3">
        <f>IF(ISNUMBER(p!F122*LN(p!F122)),p!F122*LN(p!F122),0)</f>
        <v>0</v>
      </c>
      <c r="G122" s="3">
        <f>IF(ISNUMBER(p!G122*LN(p!G122)),p!G122*LN(p!G122),0)</f>
        <v>-2.6069215656099098E-2</v>
      </c>
      <c r="H122" s="3">
        <f>IF(ISNUMBER(p!H122*LN(p!H122)),p!H122*LN(p!H122),0)</f>
        <v>-0.31304061615920376</v>
      </c>
      <c r="I122" s="3">
        <f>IF(ISNUMBER(p!I122*LN(p!I122)),p!I122*LN(p!I122),0)</f>
        <v>0</v>
      </c>
      <c r="J122" s="3">
        <f>IF(ISNUMBER(p!J122*LN(p!J122)),p!J122*LN(p!J122),0)</f>
        <v>-0.20707555414900003</v>
      </c>
      <c r="K122" s="3">
        <f>IF(ISNUMBER(p!K122*LN(p!K122)),p!K122*LN(p!K122),0)</f>
        <v>0</v>
      </c>
      <c r="L122" s="3">
        <f>IF(ISNUMBER(p!L122*LN(p!L122)),p!L122*LN(p!L122),0)</f>
        <v>0</v>
      </c>
      <c r="M122" s="3">
        <f>IF(ISNUMBER(p!M122*LN(p!M122)),p!M122*LN(p!M122),0)</f>
        <v>0</v>
      </c>
      <c r="N122" s="3">
        <f>IF(ISNUMBER(p!N122*LN(p!N122)),p!N122*LN(p!N122),0)</f>
        <v>-9.0899070622796965E-2</v>
      </c>
      <c r="O122" s="3">
        <f>IF(ISNUMBER(p!O122*LN(p!O122)),p!O122*LN(p!O122),0)</f>
        <v>-0.18385724166277162</v>
      </c>
      <c r="P122" s="3">
        <f>IF(ISNUMBER(p!P122*LN(p!P122)),p!P122*LN(p!P122),0)</f>
        <v>0</v>
      </c>
      <c r="Q122" s="3">
        <f>IF(ISNUMBER(p!Q122*LN(p!Q122)),p!Q122*LN(p!Q122),0)</f>
        <v>-6.2051583899648634E-2</v>
      </c>
      <c r="R122" s="3">
        <f>IF(ISNUMBER(p!R122*LN(p!R122)),p!R122*LN(p!R122),0)</f>
        <v>0</v>
      </c>
      <c r="S122" s="3">
        <f>IF(ISNUMBER(p!S122*LN(p!S122)),p!S122*LN(p!S122),0)</f>
        <v>0</v>
      </c>
      <c r="T122" s="3">
        <f>IF(ISNUMBER(p!T122*LN(p!T122)),p!T122*LN(p!T122),0)</f>
        <v>0</v>
      </c>
      <c r="U122" s="3">
        <f>IF(ISNUMBER(p!U122*LN(p!U122)),p!U122*LN(p!U122),0)</f>
        <v>0</v>
      </c>
      <c r="V122" s="3">
        <f>IF(ISNUMBER(p!V122*LN(p!V122)),p!V122*LN(p!V122),0)</f>
        <v>0</v>
      </c>
      <c r="W122" s="3">
        <f>IF(ISNUMBER(p!W122*LN(p!W122)),p!W122*LN(p!W122),0)</f>
        <v>0</v>
      </c>
      <c r="X122" s="3">
        <f>IF(ISNUMBER(p!X122*LN(p!X122)),p!X122*LN(p!X122),0)</f>
        <v>0</v>
      </c>
      <c r="Y122" s="3">
        <f>IF(ISNUMBER(p!Y122*LN(p!Y122)),p!Y122*LN(p!Y122),0)</f>
        <v>0</v>
      </c>
      <c r="Z122" s="3">
        <f>IF(ISNUMBER(p!Z122*LN(p!Z122)),p!Z122*LN(p!Z122),0)</f>
        <v>0</v>
      </c>
      <c r="AA122" s="3">
        <f>IF(ISNUMBER(p!AA122*LN(p!AA122)),p!AA122*LN(p!AA122),0)</f>
        <v>0</v>
      </c>
    </row>
    <row r="123" spans="2:27" x14ac:dyDescent="0.25">
      <c r="B123" s="3">
        <f>IF(ISNUMBER(p!B123*LN(p!B123)),p!B123*LN(p!B123),0)</f>
        <v>-0.36781096987939732</v>
      </c>
      <c r="C123" s="3">
        <f>IF(ISNUMBER(p!C123*LN(p!C123)),p!C123*LN(p!C123),0)</f>
        <v>-0.22740299997190641</v>
      </c>
      <c r="D123" s="3">
        <f>IF(ISNUMBER(p!D123*LN(p!D123)),p!D123*LN(p!D123),0)</f>
        <v>-2.8342042160918401E-2</v>
      </c>
      <c r="E123" s="3">
        <f>IF(ISNUMBER(p!E123*LN(p!E123)),p!E123*LN(p!E123),0)</f>
        <v>-2.8342042160918401E-2</v>
      </c>
      <c r="F123" s="3">
        <f>IF(ISNUMBER(p!F123*LN(p!F123)),p!F123*LN(p!F123),0)</f>
        <v>0</v>
      </c>
      <c r="G123" s="3">
        <f>IF(ISNUMBER(p!G123*LN(p!G123)),p!G123*LN(p!G123),0)</f>
        <v>0</v>
      </c>
      <c r="H123" s="3">
        <f>IF(ISNUMBER(p!H123*LN(p!H123)),p!H123*LN(p!H123),0)</f>
        <v>-0.33973169892588695</v>
      </c>
      <c r="I123" s="3">
        <f>IF(ISNUMBER(p!I123*LN(p!I123)),p!I123*LN(p!I123),0)</f>
        <v>0</v>
      </c>
      <c r="J123" s="3">
        <f>IF(ISNUMBER(p!J123*LN(p!J123)),p!J123*LN(p!J123),0)</f>
        <v>-4.9149875837489566E-2</v>
      </c>
      <c r="K123" s="3">
        <f>IF(ISNUMBER(p!K123*LN(p!K123)),p!K123*LN(p!K123),0)</f>
        <v>0</v>
      </c>
      <c r="L123" s="3">
        <f>IF(ISNUMBER(p!L123*LN(p!L123)),p!L123*LN(p!L123),0)</f>
        <v>0</v>
      </c>
      <c r="M123" s="3">
        <f>IF(ISNUMBER(p!M123*LN(p!M123)),p!M123*LN(p!M123),0)</f>
        <v>0</v>
      </c>
      <c r="N123" s="3">
        <f>IF(ISNUMBER(p!N123*LN(p!N123)),p!N123*LN(p!N123),0)</f>
        <v>-4.9149875837489566E-2</v>
      </c>
      <c r="O123" s="3">
        <f>IF(ISNUMBER(p!O123*LN(p!O123)),p!O123*LN(p!O123),0)</f>
        <v>-0.1872273000104176</v>
      </c>
      <c r="P123" s="3">
        <f>IF(ISNUMBER(p!P123*LN(p!P123)),p!P123*LN(p!P123),0)</f>
        <v>0</v>
      </c>
      <c r="Q123" s="3">
        <f>IF(ISNUMBER(p!Q123*LN(p!Q123)),p!Q123*LN(p!Q123),0)</f>
        <v>-8.3231334706284674E-2</v>
      </c>
      <c r="R123" s="3">
        <f>IF(ISNUMBER(p!R123*LN(p!R123)),p!R123*LN(p!R123),0)</f>
        <v>0</v>
      </c>
      <c r="S123" s="3">
        <f>IF(ISNUMBER(p!S123*LN(p!S123)),p!S123*LN(p!S123),0)</f>
        <v>0</v>
      </c>
      <c r="T123" s="3">
        <f>IF(ISNUMBER(p!T123*LN(p!T123)),p!T123*LN(p!T123),0)</f>
        <v>0</v>
      </c>
      <c r="U123" s="3">
        <f>IF(ISNUMBER(p!U123*LN(p!U123)),p!U123*LN(p!U123),0)</f>
        <v>0</v>
      </c>
      <c r="V123" s="3">
        <f>IF(ISNUMBER(p!V123*LN(p!V123)),p!V123*LN(p!V123),0)</f>
        <v>0</v>
      </c>
      <c r="W123" s="3">
        <f>IF(ISNUMBER(p!W123*LN(p!W123)),p!W123*LN(p!W123),0)</f>
        <v>0</v>
      </c>
      <c r="X123" s="3">
        <f>IF(ISNUMBER(p!X123*LN(p!X123)),p!X123*LN(p!X123),0)</f>
        <v>-0.12436510467323754</v>
      </c>
      <c r="Y123" s="3">
        <f>IF(ISNUMBER(p!Y123*LN(p!Y123)),p!Y123*LN(p!Y123),0)</f>
        <v>0</v>
      </c>
      <c r="Z123" s="3">
        <f>IF(ISNUMBER(p!Z123*LN(p!Z123)),p!Z123*LN(p!Z123),0)</f>
        <v>0</v>
      </c>
      <c r="AA123" s="3">
        <f>IF(ISNUMBER(p!AA123*LN(p!AA123)),p!AA123*LN(p!AA123),0)</f>
        <v>0</v>
      </c>
    </row>
    <row r="124" spans="2:27" x14ac:dyDescent="0.25">
      <c r="B124" s="3">
        <f>IF(ISNUMBER(p!B124*LN(p!B124)),p!B124*LN(p!B124),0)</f>
        <v>-0.36784863037113219</v>
      </c>
      <c r="C124" s="3">
        <f>IF(ISNUMBER(p!C124*LN(p!C124)),p!C124*LN(p!C124),0)</f>
        <v>-0.16116205099702285</v>
      </c>
      <c r="D124" s="3">
        <f>IF(ISNUMBER(p!D124*LN(p!D124)),p!D124*LN(p!D124),0)</f>
        <v>-5.0214956707048154E-2</v>
      </c>
      <c r="E124" s="3">
        <f>IF(ISNUMBER(p!E124*LN(p!E124)),p!E124*LN(p!E124),0)</f>
        <v>-2.8979808971177402E-2</v>
      </c>
      <c r="F124" s="3">
        <f>IF(ISNUMBER(p!F124*LN(p!F124)),p!F124*LN(p!F124),0)</f>
        <v>0</v>
      </c>
      <c r="G124" s="3">
        <f>IF(ISNUMBER(p!G124*LN(p!G124)),p!G124*LN(p!G124),0)</f>
        <v>0</v>
      </c>
      <c r="H124" s="3">
        <f>IF(ISNUMBER(p!H124*LN(p!H124)),p!H124*LN(p!H124),0)</f>
        <v>-0.3651546487545892</v>
      </c>
      <c r="I124" s="3">
        <f>IF(ISNUMBER(p!I124*LN(p!I124)),p!I124*LN(p!I124),0)</f>
        <v>0</v>
      </c>
      <c r="J124" s="3">
        <f>IF(ISNUMBER(p!J124*LN(p!J124)),p!J124*LN(p!J124),0)</f>
        <v>-0.12676161786311782</v>
      </c>
      <c r="K124" s="3">
        <f>IF(ISNUMBER(p!K124*LN(p!K124)),p!K124*LN(p!K124),0)</f>
        <v>0</v>
      </c>
      <c r="L124" s="3">
        <f>IF(ISNUMBER(p!L124*LN(p!L124)),p!L124*LN(p!L124),0)</f>
        <v>0</v>
      </c>
      <c r="M124" s="3">
        <f>IF(ISNUMBER(p!M124*LN(p!M124)),p!M124*LN(p!M124),0)</f>
        <v>0</v>
      </c>
      <c r="N124" s="3">
        <f>IF(ISNUMBER(p!N124*LN(p!N124)),p!N124*LN(p!N124),0)</f>
        <v>-5.0214956707048154E-2</v>
      </c>
      <c r="O124" s="3">
        <f>IF(ISNUMBER(p!O124*LN(p!O124)),p!O124*LN(p!O124),0)</f>
        <v>-0.20776555346971046</v>
      </c>
      <c r="P124" s="3">
        <f>IF(ISNUMBER(p!P124*LN(p!P124)),p!P124*LN(p!P124),0)</f>
        <v>0</v>
      </c>
      <c r="Q124" s="3">
        <f>IF(ISNUMBER(p!Q124*LN(p!Q124)),p!Q124*LN(p!Q124),0)</f>
        <v>-0.12676161786311782</v>
      </c>
      <c r="R124" s="3">
        <f>IF(ISNUMBER(p!R124*LN(p!R124)),p!R124*LN(p!R124),0)</f>
        <v>0</v>
      </c>
      <c r="S124" s="3">
        <f>IF(ISNUMBER(p!S124*LN(p!S124)),p!S124*LN(p!S124),0)</f>
        <v>0</v>
      </c>
      <c r="T124" s="3">
        <f>IF(ISNUMBER(p!T124*LN(p!T124)),p!T124*LN(p!T124),0)</f>
        <v>0</v>
      </c>
      <c r="U124" s="3">
        <f>IF(ISNUMBER(p!U124*LN(p!U124)),p!U124*LN(p!U124),0)</f>
        <v>0</v>
      </c>
      <c r="V124" s="3">
        <f>IF(ISNUMBER(p!V124*LN(p!V124)),p!V124*LN(p!V124),0)</f>
        <v>0</v>
      </c>
      <c r="W124" s="3">
        <f>IF(ISNUMBER(p!W124*LN(p!W124)),p!W124*LN(p!W124),0)</f>
        <v>0</v>
      </c>
      <c r="X124" s="3">
        <f>IF(ISNUMBER(p!X124*LN(p!X124)),p!X124*LN(p!X124),0)</f>
        <v>0</v>
      </c>
      <c r="Y124" s="3">
        <f>IF(ISNUMBER(p!Y124*LN(p!Y124)),p!Y124*LN(p!Y124),0)</f>
        <v>0</v>
      </c>
      <c r="Z124" s="3">
        <f>IF(ISNUMBER(p!Z124*LN(p!Z124)),p!Z124*LN(p!Z124),0)</f>
        <v>0</v>
      </c>
      <c r="AA124" s="3">
        <f>IF(ISNUMBER(p!AA124*LN(p!AA124)),p!AA124*LN(p!AA124),0)</f>
        <v>0</v>
      </c>
    </row>
    <row r="125" spans="2:27" x14ac:dyDescent="0.25">
      <c r="B125" s="3">
        <f>IF(ISNUMBER(p!B125*LN(p!B125)),p!B125*LN(p!B125),0)</f>
        <v>-5.195093925556938E-2</v>
      </c>
      <c r="C125" s="3">
        <f>IF(ISNUMBER(p!C125*LN(p!C125)),p!C125*LN(p!C125),0)</f>
        <v>0</v>
      </c>
      <c r="D125" s="3">
        <f>IF(ISNUMBER(p!D125*LN(p!D125)),p!D125*LN(p!D125),0)</f>
        <v>0</v>
      </c>
      <c r="E125" s="3">
        <f>IF(ISNUMBER(p!E125*LN(p!E125)),p!E125*LN(p!E125),0)</f>
        <v>0</v>
      </c>
      <c r="F125" s="3">
        <f>IF(ISNUMBER(p!F125*LN(p!F125)),p!F125*LN(p!F125),0)</f>
        <v>0</v>
      </c>
      <c r="G125" s="3">
        <f>IF(ISNUMBER(p!G125*LN(p!G125)),p!G125*LN(p!G125),0)</f>
        <v>0</v>
      </c>
      <c r="H125" s="3">
        <f>IF(ISNUMBER(p!H125*LN(p!H125)),p!H125*LN(p!H125),0)</f>
        <v>0</v>
      </c>
      <c r="I125" s="3">
        <f>IF(ISNUMBER(p!I125*LN(p!I125)),p!I125*LN(p!I125),0)</f>
        <v>0</v>
      </c>
      <c r="J125" s="3">
        <f>IF(ISNUMBER(p!J125*LN(p!J125)),p!J125*LN(p!J125),0)</f>
        <v>-0.34911209583400943</v>
      </c>
      <c r="K125" s="3">
        <f>IF(ISNUMBER(p!K125*LN(p!K125)),p!K125*LN(p!K125),0)</f>
        <v>0</v>
      </c>
      <c r="L125" s="3">
        <f>IF(ISNUMBER(p!L125*LN(p!L125)),p!L125*LN(p!L125),0)</f>
        <v>0</v>
      </c>
      <c r="M125" s="3">
        <f>IF(ISNUMBER(p!M125*LN(p!M125)),p!M125*LN(p!M125),0)</f>
        <v>0</v>
      </c>
      <c r="N125" s="3">
        <f>IF(ISNUMBER(p!N125*LN(p!N125)),p!N125*LN(p!N125),0)</f>
        <v>0</v>
      </c>
      <c r="O125" s="3">
        <f>IF(ISNUMBER(p!O125*LN(p!O125)),p!O125*LN(p!O125),0)</f>
        <v>0</v>
      </c>
      <c r="P125" s="3">
        <f>IF(ISNUMBER(p!P125*LN(p!P125)),p!P125*LN(p!P125),0)</f>
        <v>0</v>
      </c>
      <c r="Q125" s="3">
        <f>IF(ISNUMBER(p!Q125*LN(p!Q125)),p!Q125*LN(p!Q125),0)</f>
        <v>-3.7789329994827044E-2</v>
      </c>
      <c r="R125" s="3">
        <f>IF(ISNUMBER(p!R125*LN(p!R125)),p!R125*LN(p!R125),0)</f>
        <v>0</v>
      </c>
      <c r="S125" s="3">
        <f>IF(ISNUMBER(p!S125*LN(p!S125)),p!S125*LN(p!S125),0)</f>
        <v>0</v>
      </c>
      <c r="T125" s="3">
        <f>IF(ISNUMBER(p!T125*LN(p!T125)),p!T125*LN(p!T125),0)</f>
        <v>0</v>
      </c>
      <c r="U125" s="3">
        <f>IF(ISNUMBER(p!U125*LN(p!U125)),p!U125*LN(p!U125),0)</f>
        <v>0</v>
      </c>
      <c r="V125" s="3">
        <f>IF(ISNUMBER(p!V125*LN(p!V125)),p!V125*LN(p!V125),0)</f>
        <v>0</v>
      </c>
      <c r="W125" s="3">
        <f>IF(ISNUMBER(p!W125*LN(p!W125)),p!W125*LN(p!W125),0)</f>
        <v>0</v>
      </c>
      <c r="X125" s="3">
        <f>IF(ISNUMBER(p!X125*LN(p!X125)),p!X125*LN(p!X125),0)</f>
        <v>0</v>
      </c>
      <c r="Y125" s="3">
        <f>IF(ISNUMBER(p!Y125*LN(p!Y125)),p!Y125*LN(p!Y125),0)</f>
        <v>0</v>
      </c>
      <c r="Z125" s="3">
        <f>IF(ISNUMBER(p!Z125*LN(p!Z125)),p!Z125*LN(p!Z125),0)</f>
        <v>0</v>
      </c>
      <c r="AA125" s="3">
        <f>IF(ISNUMBER(p!AA125*LN(p!AA125)),p!AA125*LN(p!AA125),0)</f>
        <v>0</v>
      </c>
    </row>
    <row r="126" spans="2:27" x14ac:dyDescent="0.25">
      <c r="B126" s="3">
        <f>IF(ISNUMBER(p!B126*LN(p!B126)),p!B126*LN(p!B126),0)</f>
        <v>-6.2756606259566652E-2</v>
      </c>
      <c r="C126" s="3">
        <f>IF(ISNUMBER(p!C126*LN(p!C126)),p!C126*LN(p!C126),0)</f>
        <v>0</v>
      </c>
      <c r="D126" s="3">
        <f>IF(ISNUMBER(p!D126*LN(p!D126)),p!D126*LN(p!D126),0)</f>
        <v>0</v>
      </c>
      <c r="E126" s="3">
        <f>IF(ISNUMBER(p!E126*LN(p!E126)),p!E126*LN(p!E126),0)</f>
        <v>0</v>
      </c>
      <c r="F126" s="3">
        <f>IF(ISNUMBER(p!F126*LN(p!F126)),p!F126*LN(p!F126),0)</f>
        <v>0</v>
      </c>
      <c r="G126" s="3">
        <f>IF(ISNUMBER(p!G126*LN(p!G126)),p!G126*LN(p!G126),0)</f>
        <v>0</v>
      </c>
      <c r="H126" s="3">
        <f>IF(ISNUMBER(p!H126*LN(p!H126)),p!H126*LN(p!H126),0)</f>
        <v>0</v>
      </c>
      <c r="I126" s="3">
        <f>IF(ISNUMBER(p!I126*LN(p!I126)),p!I126*LN(p!I126),0)</f>
        <v>0</v>
      </c>
      <c r="J126" s="3">
        <f>IF(ISNUMBER(p!J126*LN(p!J126)),p!J126*LN(p!J126),0)</f>
        <v>-0.33920984367991541</v>
      </c>
      <c r="K126" s="3">
        <f>IF(ISNUMBER(p!K126*LN(p!K126)),p!K126*LN(p!K126),0)</f>
        <v>0</v>
      </c>
      <c r="L126" s="3">
        <f>IF(ISNUMBER(p!L126*LN(p!L126)),p!L126*LN(p!L126),0)</f>
        <v>0</v>
      </c>
      <c r="M126" s="3">
        <f>IF(ISNUMBER(p!M126*LN(p!M126)),p!M126*LN(p!M126),0)</f>
        <v>0</v>
      </c>
      <c r="N126" s="3">
        <f>IF(ISNUMBER(p!N126*LN(p!N126)),p!N126*LN(p!N126),0)</f>
        <v>0</v>
      </c>
      <c r="O126" s="3">
        <f>IF(ISNUMBER(p!O126*LN(p!O126)),p!O126*LN(p!O126),0)</f>
        <v>-3.6551043283215755E-2</v>
      </c>
      <c r="P126" s="3">
        <f>IF(ISNUMBER(p!P126*LN(p!P126)),p!P126*LN(p!P126),0)</f>
        <v>0</v>
      </c>
      <c r="Q126" s="3">
        <f>IF(ISNUMBER(p!Q126*LN(p!Q126)),p!Q126*LN(p!Q126),0)</f>
        <v>0</v>
      </c>
      <c r="R126" s="3">
        <f>IF(ISNUMBER(p!R126*LN(p!R126)),p!R126*LN(p!R126),0)</f>
        <v>0</v>
      </c>
      <c r="S126" s="3">
        <f>IF(ISNUMBER(p!S126*LN(p!S126)),p!S126*LN(p!S126),0)</f>
        <v>0</v>
      </c>
      <c r="T126" s="3">
        <f>IF(ISNUMBER(p!T126*LN(p!T126)),p!T126*LN(p!T126),0)</f>
        <v>0</v>
      </c>
      <c r="U126" s="3">
        <f>IF(ISNUMBER(p!U126*LN(p!U126)),p!U126*LN(p!U126),0)</f>
        <v>0</v>
      </c>
      <c r="V126" s="3">
        <f>IF(ISNUMBER(p!V126*LN(p!V126)),p!V126*LN(p!V126),0)</f>
        <v>0</v>
      </c>
      <c r="W126" s="3">
        <f>IF(ISNUMBER(p!W126*LN(p!W126)),p!W126*LN(p!W126),0)</f>
        <v>0</v>
      </c>
      <c r="X126" s="3">
        <f>IF(ISNUMBER(p!X126*LN(p!X126)),p!X126*LN(p!X126),0)</f>
        <v>0</v>
      </c>
      <c r="Y126" s="3">
        <f>IF(ISNUMBER(p!Y126*LN(p!Y126)),p!Y126*LN(p!Y126),0)</f>
        <v>0</v>
      </c>
      <c r="Z126" s="3">
        <f>IF(ISNUMBER(p!Z126*LN(p!Z126)),p!Z126*LN(p!Z126),0)</f>
        <v>0</v>
      </c>
      <c r="AA126" s="3">
        <f>IF(ISNUMBER(p!AA126*LN(p!AA126)),p!AA126*LN(p!AA126),0)</f>
        <v>0</v>
      </c>
    </row>
    <row r="127" spans="2:27" x14ac:dyDescent="0.25">
      <c r="B127" s="3">
        <f>IF(ISNUMBER(p!B127*LN(p!B127)),p!B127*LN(p!B127),0)</f>
        <v>-0.1190073039348287</v>
      </c>
      <c r="C127" s="3">
        <f>IF(ISNUMBER(p!C127*LN(p!C127)),p!C127*LN(p!C127),0)</f>
        <v>-0.29862657820467581</v>
      </c>
      <c r="D127" s="3">
        <f>IF(ISNUMBER(p!D127*LN(p!D127)),p!D127*LN(p!D127),0)</f>
        <v>0</v>
      </c>
      <c r="E127" s="3">
        <f>IF(ISNUMBER(p!E127*LN(p!E127)),p!E127*LN(p!E127),0)</f>
        <v>-5.2747819033848967E-2</v>
      </c>
      <c r="F127" s="3">
        <f>IF(ISNUMBER(p!F127*LN(p!F127)),p!F127*LN(p!F127),0)</f>
        <v>0</v>
      </c>
      <c r="G127" s="3">
        <f>IF(ISNUMBER(p!G127*LN(p!G127)),p!G127*LN(p!G127),0)</f>
        <v>0</v>
      </c>
      <c r="H127" s="3">
        <f>IF(ISNUMBER(p!H127*LN(p!H127)),p!H127*LN(p!H127),0)</f>
        <v>-0.1190073039348287</v>
      </c>
      <c r="I127" s="3">
        <f>IF(ISNUMBER(p!I127*LN(p!I127)),p!I127*LN(p!I127),0)</f>
        <v>-0.1190073039348287</v>
      </c>
      <c r="J127" s="3">
        <f>IF(ISNUMBER(p!J127*LN(p!J127)),p!J127*LN(p!J127),0)</f>
        <v>-0.20707555414900003</v>
      </c>
      <c r="K127" s="3">
        <f>IF(ISNUMBER(p!K127*LN(p!K127)),p!K127*LN(p!K127),0)</f>
        <v>0</v>
      </c>
      <c r="L127" s="3">
        <f>IF(ISNUMBER(p!L127*LN(p!L127)),p!L127*LN(p!L127),0)</f>
        <v>0</v>
      </c>
      <c r="M127" s="3">
        <f>IF(ISNUMBER(p!M127*LN(p!M127)),p!M127*LN(p!M127),0)</f>
        <v>0</v>
      </c>
      <c r="N127" s="3">
        <f>IF(ISNUMBER(p!N127*LN(p!N127)),p!N127*LN(p!N127),0)</f>
        <v>0</v>
      </c>
      <c r="O127" s="3">
        <f>IF(ISNUMBER(p!O127*LN(p!O127)),p!O127*LN(p!O127),0)</f>
        <v>-0.22394050068223595</v>
      </c>
      <c r="P127" s="3">
        <f>IF(ISNUMBER(p!P127*LN(p!P127)),p!P127*LN(p!P127),0)</f>
        <v>0</v>
      </c>
      <c r="Q127" s="3">
        <f>IF(ISNUMBER(p!Q127*LN(p!Q127)),p!Q127*LN(p!Q127),0)</f>
        <v>-0.14497725893921062</v>
      </c>
      <c r="R127" s="3">
        <f>IF(ISNUMBER(p!R127*LN(p!R127)),p!R127*LN(p!R127),0)</f>
        <v>0</v>
      </c>
      <c r="S127" s="3">
        <f>IF(ISNUMBER(p!S127*LN(p!S127)),p!S127*LN(p!S127),0)</f>
        <v>0</v>
      </c>
      <c r="T127" s="3">
        <f>IF(ISNUMBER(p!T127*LN(p!T127)),p!T127*LN(p!T127),0)</f>
        <v>0</v>
      </c>
      <c r="U127" s="3">
        <f>IF(ISNUMBER(p!U127*LN(p!U127)),p!U127*LN(p!U127),0)</f>
        <v>0</v>
      </c>
      <c r="V127" s="3">
        <f>IF(ISNUMBER(p!V127*LN(p!V127)),p!V127*LN(p!V127),0)</f>
        <v>0</v>
      </c>
      <c r="W127" s="3">
        <f>IF(ISNUMBER(p!W127*LN(p!W127)),p!W127*LN(p!W127),0)</f>
        <v>0</v>
      </c>
      <c r="X127" s="3">
        <f>IF(ISNUMBER(p!X127*LN(p!X127)),p!X127*LN(p!X127),0)</f>
        <v>-0.20707555414900003</v>
      </c>
      <c r="Y127" s="3">
        <f>IF(ISNUMBER(p!Y127*LN(p!Y127)),p!Y127*LN(p!Y127),0)</f>
        <v>0</v>
      </c>
      <c r="Z127" s="3">
        <f>IF(ISNUMBER(p!Z127*LN(p!Z127)),p!Z127*LN(p!Z127),0)</f>
        <v>0</v>
      </c>
      <c r="AA127" s="3">
        <f>IF(ISNUMBER(p!AA127*LN(p!AA127)),p!AA127*LN(p!AA127),0)</f>
        <v>0</v>
      </c>
    </row>
    <row r="128" spans="2:27" x14ac:dyDescent="0.25">
      <c r="B128" s="3">
        <f>IF(ISNUMBER(p!B128*LN(p!B128)),p!B128*LN(p!B128),0)</f>
        <v>-4.9997885225891839E-2</v>
      </c>
      <c r="C128" s="3">
        <f>IF(ISNUMBER(p!C128*LN(p!C128)),p!C128*LN(p!C128),0)</f>
        <v>-0.23025850929940456</v>
      </c>
      <c r="D128" s="3">
        <f>IF(ISNUMBER(p!D128*LN(p!D128)),p!D128*LN(p!D128),0)</f>
        <v>0</v>
      </c>
      <c r="E128" s="3">
        <f>IF(ISNUMBER(p!E128*LN(p!E128)),p!E128*LN(p!E128),0)</f>
        <v>0</v>
      </c>
      <c r="F128" s="3">
        <f>IF(ISNUMBER(p!F128*LN(p!F128)),p!F128*LN(p!F128),0)</f>
        <v>0</v>
      </c>
      <c r="G128" s="3">
        <f>IF(ISNUMBER(p!G128*LN(p!G128)),p!G128*LN(p!G128),0)</f>
        <v>0</v>
      </c>
      <c r="H128" s="3">
        <f>IF(ISNUMBER(p!H128*LN(p!H128)),p!H128*LN(p!H128),0)</f>
        <v>-0.11337324605540518</v>
      </c>
      <c r="I128" s="3">
        <f>IF(ISNUMBER(p!I128*LN(p!I128)),p!I128*LN(p!I128),0)</f>
        <v>-0.13837845818712774</v>
      </c>
      <c r="J128" s="3">
        <f>IF(ISNUMBER(p!J128*LN(p!J128)),p!J128*LN(p!J128),0)</f>
        <v>-0.18053668007348067</v>
      </c>
      <c r="K128" s="3">
        <f>IF(ISNUMBER(p!K128*LN(p!K128)),p!K128*LN(p!K128),0)</f>
        <v>0</v>
      </c>
      <c r="L128" s="3">
        <f>IF(ISNUMBER(p!L128*LN(p!L128)),p!L128*LN(p!L128),0)</f>
        <v>0</v>
      </c>
      <c r="M128" s="3">
        <f>IF(ISNUMBER(p!M128*LN(p!M128)),p!M128*LN(p!M128),0)</f>
        <v>0</v>
      </c>
      <c r="N128" s="3">
        <f>IF(ISNUMBER(p!N128*LN(p!N128)),p!N128*LN(p!N128),0)</f>
        <v>0</v>
      </c>
      <c r="O128" s="3">
        <f>IF(ISNUMBER(p!O128*LN(p!O128)),p!O128*LN(p!O128),0)</f>
        <v>-0.11337324605540518</v>
      </c>
      <c r="P128" s="3">
        <f>IF(ISNUMBER(p!P128*LN(p!P128)),p!P128*LN(p!P128),0)</f>
        <v>0</v>
      </c>
      <c r="Q128" s="3">
        <f>IF(ISNUMBER(p!Q128*LN(p!Q128)),p!Q128*LN(p!Q128),0)</f>
        <v>-0.25690064858723155</v>
      </c>
      <c r="R128" s="3">
        <f>IF(ISNUMBER(p!R128*LN(p!R128)),p!R128*LN(p!R128),0)</f>
        <v>0</v>
      </c>
      <c r="S128" s="3">
        <f>IF(ISNUMBER(p!S128*LN(p!S128)),p!S128*LN(p!S128),0)</f>
        <v>0</v>
      </c>
      <c r="T128" s="3">
        <f>IF(ISNUMBER(p!T128*LN(p!T128)),p!T128*LN(p!T128),0)</f>
        <v>0</v>
      </c>
      <c r="U128" s="3">
        <f>IF(ISNUMBER(p!U128*LN(p!U128)),p!U128*LN(p!U128),0)</f>
        <v>0</v>
      </c>
      <c r="V128" s="3">
        <f>IF(ISNUMBER(p!V128*LN(p!V128)),p!V128*LN(p!V128),0)</f>
        <v>0</v>
      </c>
      <c r="W128" s="3">
        <f>IF(ISNUMBER(p!W128*LN(p!W128)),p!W128*LN(p!W128),0)</f>
        <v>0</v>
      </c>
      <c r="X128" s="3">
        <f>IF(ISNUMBER(p!X128*LN(p!X128)),p!X128*LN(p!X128),0)</f>
        <v>-0.24413606414846881</v>
      </c>
      <c r="Y128" s="3">
        <f>IF(ISNUMBER(p!Y128*LN(p!Y128)),p!Y128*LN(p!Y128),0)</f>
        <v>0</v>
      </c>
      <c r="Z128" s="3">
        <f>IF(ISNUMBER(p!Z128*LN(p!Z128)),p!Z128*LN(p!Z128),0)</f>
        <v>0</v>
      </c>
      <c r="AA128" s="3">
        <f>IF(ISNUMBER(p!AA128*LN(p!AA128)),p!AA128*LN(p!AA128),0)</f>
        <v>0</v>
      </c>
    </row>
    <row r="129" spans="2:27" x14ac:dyDescent="0.25">
      <c r="B129" s="3">
        <f>IF(ISNUMBER(p!B129*LN(p!B129)),p!B129*LN(p!B129),0)</f>
        <v>0</v>
      </c>
      <c r="C129" s="3">
        <f>IF(ISNUMBER(p!C129*LN(p!C129)),p!C129*LN(p!C129),0)</f>
        <v>-0.20593678664253504</v>
      </c>
      <c r="D129" s="3">
        <f>IF(ISNUMBER(p!D129*LN(p!D129)),p!D129*LN(p!D129),0)</f>
        <v>0</v>
      </c>
      <c r="E129" s="3">
        <f>IF(ISNUMBER(p!E129*LN(p!E129)),p!E129*LN(p!E129),0)</f>
        <v>0</v>
      </c>
      <c r="F129" s="3">
        <f>IF(ISNUMBER(p!F129*LN(p!F129)),p!F129*LN(p!F129),0)</f>
        <v>0</v>
      </c>
      <c r="G129" s="3">
        <f>IF(ISNUMBER(p!G129*LN(p!G129)),p!G129*LN(p!G129),0)</f>
        <v>0</v>
      </c>
      <c r="H129" s="3">
        <f>IF(ISNUMBER(p!H129*LN(p!H129)),p!H129*LN(p!H129),0)</f>
        <v>0</v>
      </c>
      <c r="I129" s="3">
        <f>IF(ISNUMBER(p!I129*LN(p!I129)),p!I129*LN(p!I129),0)</f>
        <v>-7.3361480764572454E-2</v>
      </c>
      <c r="J129" s="3">
        <f>IF(ISNUMBER(p!J129*LN(p!J129)),p!J129*LN(p!J129),0)</f>
        <v>-0.32829939747614556</v>
      </c>
      <c r="K129" s="3">
        <f>IF(ISNUMBER(p!K129*LN(p!K129)),p!K129*LN(p!K129),0)</f>
        <v>0</v>
      </c>
      <c r="L129" s="3">
        <f>IF(ISNUMBER(p!L129*LN(p!L129)),p!L129*LN(p!L129),0)</f>
        <v>0</v>
      </c>
      <c r="M129" s="3">
        <f>IF(ISNUMBER(p!M129*LN(p!M129)),p!M129*LN(p!M129),0)</f>
        <v>0</v>
      </c>
      <c r="N129" s="3">
        <f>IF(ISNUMBER(p!N129*LN(p!N129)),p!N129*LN(p!N129),0)</f>
        <v>0</v>
      </c>
      <c r="O129" s="3">
        <f>IF(ISNUMBER(p!O129*LN(p!O129)),p!O129*LN(p!O129),0)</f>
        <v>-0.15961037135785811</v>
      </c>
      <c r="P129" s="3">
        <f>IF(ISNUMBER(p!P129*LN(p!P129)),p!P129*LN(p!P129),0)</f>
        <v>0</v>
      </c>
      <c r="Q129" s="3">
        <f>IF(ISNUMBER(p!Q129*LN(p!Q129)),p!Q129*LN(p!Q129),0)</f>
        <v>0</v>
      </c>
      <c r="R129" s="3">
        <f>IF(ISNUMBER(p!R129*LN(p!R129)),p!R129*LN(p!R129),0)</f>
        <v>0</v>
      </c>
      <c r="S129" s="3">
        <f>IF(ISNUMBER(p!S129*LN(p!S129)),p!S129*LN(p!S129),0)</f>
        <v>0</v>
      </c>
      <c r="T129" s="3">
        <f>IF(ISNUMBER(p!T129*LN(p!T129)),p!T129*LN(p!T129),0)</f>
        <v>0</v>
      </c>
      <c r="U129" s="3">
        <f>IF(ISNUMBER(p!U129*LN(p!U129)),p!U129*LN(p!U129),0)</f>
        <v>0</v>
      </c>
      <c r="V129" s="3">
        <f>IF(ISNUMBER(p!V129*LN(p!V129)),p!V129*LN(p!V129),0)</f>
        <v>0</v>
      </c>
      <c r="W129" s="3">
        <f>IF(ISNUMBER(p!W129*LN(p!W129)),p!W129*LN(p!W129),0)</f>
        <v>0</v>
      </c>
      <c r="X129" s="3">
        <f>IF(ISNUMBER(p!X129*LN(p!X129)),p!X129*LN(p!X129),0)</f>
        <v>0</v>
      </c>
      <c r="Y129" s="3">
        <f>IF(ISNUMBER(p!Y129*LN(p!Y129)),p!Y129*LN(p!Y129),0)</f>
        <v>-4.3039888827790307E-2</v>
      </c>
      <c r="Z129" s="3">
        <f>IF(ISNUMBER(p!Z129*LN(p!Z129)),p!Z129*LN(p!Z129),0)</f>
        <v>0</v>
      </c>
      <c r="AA129" s="3">
        <f>IF(ISNUMBER(p!AA129*LN(p!AA129)),p!AA129*LN(p!AA129),0)</f>
        <v>0</v>
      </c>
    </row>
    <row r="130" spans="2:27" x14ac:dyDescent="0.25">
      <c r="B130" s="3">
        <f>IF(ISNUMBER(p!B130*LN(p!B130)),p!B130*LN(p!B130),0)</f>
        <v>-0.36786237578178288</v>
      </c>
      <c r="C130" s="3">
        <f>IF(ISNUMBER(p!C130*LN(p!C130)),p!C130*LN(p!C130),0)</f>
        <v>0</v>
      </c>
      <c r="D130" s="3">
        <f>IF(ISNUMBER(p!D130*LN(p!D130)),p!D130*LN(p!D130),0)</f>
        <v>0</v>
      </c>
      <c r="E130" s="3">
        <f>IF(ISNUMBER(p!E130*LN(p!E130)),p!E130*LN(p!E130),0)</f>
        <v>-0.24789185147080264</v>
      </c>
      <c r="F130" s="3">
        <f>IF(ISNUMBER(p!F130*LN(p!F130)),p!F130*LN(p!F130),0)</f>
        <v>0</v>
      </c>
      <c r="G130" s="3">
        <f>IF(ISNUMBER(p!G130*LN(p!G130)),p!G130*LN(p!G130),0)</f>
        <v>0</v>
      </c>
      <c r="H130" s="3">
        <f>IF(ISNUMBER(p!H130*LN(p!H130)),p!H130*LN(p!H130),0)</f>
        <v>0</v>
      </c>
      <c r="I130" s="3">
        <f>IF(ISNUMBER(p!I130*LN(p!I130)),p!I130*LN(p!I130),0)</f>
        <v>0</v>
      </c>
      <c r="J130" s="3">
        <f>IF(ISNUMBER(p!J130*LN(p!J130)),p!J130*LN(p!J130),0)</f>
        <v>0</v>
      </c>
      <c r="K130" s="3">
        <f>IF(ISNUMBER(p!K130*LN(p!K130)),p!K130*LN(p!K130),0)</f>
        <v>0</v>
      </c>
      <c r="L130" s="3">
        <f>IF(ISNUMBER(p!L130*LN(p!L130)),p!L130*LN(p!L130),0)</f>
        <v>0</v>
      </c>
      <c r="M130" s="3">
        <f>IF(ISNUMBER(p!M130*LN(p!M130)),p!M130*LN(p!M130),0)</f>
        <v>0</v>
      </c>
      <c r="N130" s="3">
        <f>IF(ISNUMBER(p!N130*LN(p!N130)),p!N130*LN(p!N130),0)</f>
        <v>-0.21057735195611177</v>
      </c>
      <c r="O130" s="3">
        <f>IF(ISNUMBER(p!O130*LN(p!O130)),p!O130*LN(p!O130),0)</f>
        <v>0</v>
      </c>
      <c r="P130" s="3">
        <f>IF(ISNUMBER(p!P130*LN(p!P130)),p!P130*LN(p!P130),0)</f>
        <v>0</v>
      </c>
      <c r="Q130" s="3">
        <f>IF(ISNUMBER(p!Q130*LN(p!Q130)),p!Q130*LN(p!Q130),0)</f>
        <v>0</v>
      </c>
      <c r="R130" s="3">
        <f>IF(ISNUMBER(p!R130*LN(p!R130)),p!R130*LN(p!R130),0)</f>
        <v>0</v>
      </c>
      <c r="S130" s="3">
        <f>IF(ISNUMBER(p!S130*LN(p!S130)),p!S130*LN(p!S130),0)</f>
        <v>0</v>
      </c>
      <c r="T130" s="3">
        <f>IF(ISNUMBER(p!T130*LN(p!T130)),p!T130*LN(p!T130),0)</f>
        <v>0</v>
      </c>
      <c r="U130" s="3">
        <f>IF(ISNUMBER(p!U130*LN(p!U130)),p!U130*LN(p!U130),0)</f>
        <v>0</v>
      </c>
      <c r="V130" s="3">
        <f>IF(ISNUMBER(p!V130*LN(p!V130)),p!V130*LN(p!V130),0)</f>
        <v>0</v>
      </c>
      <c r="W130" s="3">
        <f>IF(ISNUMBER(p!W130*LN(p!W130)),p!W130*LN(p!W130),0)</f>
        <v>0</v>
      </c>
      <c r="X130" s="3">
        <f>IF(ISNUMBER(p!X130*LN(p!X130)),p!X130*LN(p!X130),0)</f>
        <v>-0.27798716415075903</v>
      </c>
      <c r="Y130" s="3">
        <f>IF(ISNUMBER(p!Y130*LN(p!Y130)),p!Y130*LN(p!Y130),0)</f>
        <v>0</v>
      </c>
      <c r="Z130" s="3">
        <f>IF(ISNUMBER(p!Z130*LN(p!Z130)),p!Z130*LN(p!Z130),0)</f>
        <v>0</v>
      </c>
      <c r="AA130" s="3">
        <f>IF(ISNUMBER(p!AA130*LN(p!AA130)),p!AA130*LN(p!AA130),0)</f>
        <v>0</v>
      </c>
    </row>
    <row r="131" spans="2:27" x14ac:dyDescent="0.25">
      <c r="B131" s="3">
        <f>IF(ISNUMBER(p!B131*LN(p!B131)),p!B131*LN(p!B131),0)</f>
        <v>0</v>
      </c>
      <c r="C131" s="3">
        <f>IF(ISNUMBER(p!C131*LN(p!C131)),p!C131*LN(p!C131),0)</f>
        <v>0</v>
      </c>
      <c r="D131" s="3">
        <f>IF(ISNUMBER(p!D131*LN(p!D131)),p!D131*LN(p!D131),0)</f>
        <v>0</v>
      </c>
      <c r="E131" s="3">
        <f>IF(ISNUMBER(p!E131*LN(p!E131)),p!E131*LN(p!E131),0)</f>
        <v>0</v>
      </c>
      <c r="F131" s="3">
        <f>IF(ISNUMBER(p!F131*LN(p!F131)),p!F131*LN(p!F131),0)</f>
        <v>-0.21591203177491475</v>
      </c>
      <c r="G131" s="3">
        <f>IF(ISNUMBER(p!G131*LN(p!G131)),p!G131*LN(p!G131),0)</f>
        <v>0</v>
      </c>
      <c r="H131" s="3">
        <f>IF(ISNUMBER(p!H131*LN(p!H131)),p!H131*LN(p!H131),0)</f>
        <v>0</v>
      </c>
      <c r="I131" s="3">
        <f>IF(ISNUMBER(p!I131*LN(p!I131)),p!I131*LN(p!I131),0)</f>
        <v>-3.912345004367819E-2</v>
      </c>
      <c r="J131" s="3">
        <f>IF(ISNUMBER(p!J131*LN(p!J131)),p!J131*LN(p!J131),0)</f>
        <v>-0.24492709426383374</v>
      </c>
      <c r="K131" s="3">
        <f>IF(ISNUMBER(p!K131*LN(p!K131)),p!K131*LN(p!K131),0)</f>
        <v>0</v>
      </c>
      <c r="L131" s="3">
        <f>IF(ISNUMBER(p!L131*LN(p!L131)),p!L131*LN(p!L131),0)</f>
        <v>0</v>
      </c>
      <c r="M131" s="3">
        <f>IF(ISNUMBER(p!M131*LN(p!M131)),p!M131*LN(p!M131),0)</f>
        <v>0</v>
      </c>
      <c r="N131" s="3">
        <f>IF(ISNUMBER(p!N131*LN(p!N131)),p!N131*LN(p!N131),0)</f>
        <v>0</v>
      </c>
      <c r="O131" s="3">
        <f>IF(ISNUMBER(p!O131*LN(p!O131)),p!O131*LN(p!O131),0)</f>
        <v>-6.6976214224593045E-2</v>
      </c>
      <c r="P131" s="3">
        <f>IF(ISNUMBER(p!P131*LN(p!P131)),p!P131*LN(p!P131),0)</f>
        <v>0</v>
      </c>
      <c r="Q131" s="3">
        <f>IF(ISNUMBER(p!Q131*LN(p!Q131)),p!Q131*LN(p!Q131),0)</f>
        <v>-0.14733779932411523</v>
      </c>
      <c r="R131" s="3">
        <f>IF(ISNUMBER(p!R131*LN(p!R131)),p!R131*LN(p!R131),0)</f>
        <v>0</v>
      </c>
      <c r="S131" s="3">
        <f>IF(ISNUMBER(p!S131*LN(p!S131)),p!S131*LN(p!S131),0)</f>
        <v>0</v>
      </c>
      <c r="T131" s="3">
        <f>IF(ISNUMBER(p!T131*LN(p!T131)),p!T131*LN(p!T131),0)</f>
        <v>0</v>
      </c>
      <c r="U131" s="3">
        <f>IF(ISNUMBER(p!U131*LN(p!U131)),p!U131*LN(p!U131),0)</f>
        <v>0</v>
      </c>
      <c r="V131" s="3">
        <f>IF(ISNUMBER(p!V131*LN(p!V131)),p!V131*LN(p!V131),0)</f>
        <v>0</v>
      </c>
      <c r="W131" s="3">
        <f>IF(ISNUMBER(p!W131*LN(p!W131)),p!W131*LN(p!W131),0)</f>
        <v>0</v>
      </c>
      <c r="X131" s="3">
        <f>IF(ISNUMBER(p!X131*LN(p!X131)),p!X131*LN(p!X131),0)</f>
        <v>-0.13019294483489094</v>
      </c>
      <c r="Y131" s="3">
        <f>IF(ISNUMBER(p!Y131*LN(p!Y131)),p!Y131*LN(p!Y131),0)</f>
        <v>0</v>
      </c>
      <c r="Z131" s="3">
        <f>IF(ISNUMBER(p!Z131*LN(p!Z131)),p!Z131*LN(p!Z131),0)</f>
        <v>0</v>
      </c>
      <c r="AA131" s="3">
        <f>IF(ISNUMBER(p!AA131*LN(p!AA131)),p!AA131*LN(p!AA131),0)</f>
        <v>-0.1114110567236594</v>
      </c>
    </row>
    <row r="132" spans="2:27" x14ac:dyDescent="0.25">
      <c r="B132" s="3">
        <f>IF(ISNUMBER(p!B132*LN(p!B132)),p!B132*LN(p!B132),0)</f>
        <v>0</v>
      </c>
      <c r="C132" s="3">
        <f>IF(ISNUMBER(p!C132*LN(p!C132)),p!C132*LN(p!C132),0)</f>
        <v>0</v>
      </c>
      <c r="D132" s="3">
        <f>IF(ISNUMBER(p!D132*LN(p!D132)),p!D132*LN(p!D132),0)</f>
        <v>0</v>
      </c>
      <c r="E132" s="3">
        <f>IF(ISNUMBER(p!E132*LN(p!E132)),p!E132*LN(p!E132),0)</f>
        <v>0</v>
      </c>
      <c r="F132" s="3">
        <f>IF(ISNUMBER(p!F132*LN(p!F132)),p!F132*LN(p!F132),0)</f>
        <v>-8.3769906064042568E-2</v>
      </c>
      <c r="G132" s="3">
        <f>IF(ISNUMBER(p!G132*LN(p!G132)),p!G132*LN(p!G132),0)</f>
        <v>0</v>
      </c>
      <c r="H132" s="3">
        <f>IF(ISNUMBER(p!H132*LN(p!H132)),p!H132*LN(p!H132),0)</f>
        <v>0</v>
      </c>
      <c r="I132" s="3">
        <f>IF(ISNUMBER(p!I132*LN(p!I132)),p!I132*LN(p!I132),0)</f>
        <v>0</v>
      </c>
      <c r="J132" s="3">
        <f>IF(ISNUMBER(p!J132*LN(p!J132)),p!J132*LN(p!J132),0)</f>
        <v>-9.9517673519674346E-2</v>
      </c>
      <c r="K132" s="3">
        <f>IF(ISNUMBER(p!K132*LN(p!K132)),p!K132*LN(p!K132),0)</f>
        <v>0</v>
      </c>
      <c r="L132" s="3">
        <f>IF(ISNUMBER(p!L132*LN(p!L132)),p!L132*LN(p!L132),0)</f>
        <v>0</v>
      </c>
      <c r="M132" s="3">
        <f>IF(ISNUMBER(p!M132*LN(p!M132)),p!M132*LN(p!M132),0)</f>
        <v>0</v>
      </c>
      <c r="N132" s="3">
        <f>IF(ISNUMBER(p!N132*LN(p!N132)),p!N132*LN(p!N132),0)</f>
        <v>-4.1545600424513128E-2</v>
      </c>
      <c r="O132" s="3">
        <f>IF(ISNUMBER(p!O132*LN(p!O132)),p!O132*LN(p!O132),0)</f>
        <v>0</v>
      </c>
      <c r="P132" s="3">
        <f>IF(ISNUMBER(p!P132*LN(p!P132)),p!P132*LN(p!P132),0)</f>
        <v>0</v>
      </c>
      <c r="Q132" s="3">
        <f>IF(ISNUMBER(p!Q132*LN(p!Q132)),p!Q132*LN(p!Q132),0)</f>
        <v>-4.1545600424513128E-2</v>
      </c>
      <c r="R132" s="3">
        <f>IF(ISNUMBER(p!R132*LN(p!R132)),p!R132*LN(p!R132),0)</f>
        <v>0</v>
      </c>
      <c r="S132" s="3">
        <f>IF(ISNUMBER(p!S132*LN(p!S132)),p!S132*LN(p!S132),0)</f>
        <v>0</v>
      </c>
      <c r="T132" s="3">
        <f>IF(ISNUMBER(p!T132*LN(p!T132)),p!T132*LN(p!T132),0)</f>
        <v>0</v>
      </c>
      <c r="U132" s="3">
        <f>IF(ISNUMBER(p!U132*LN(p!U132)),p!U132*LN(p!U132),0)</f>
        <v>0</v>
      </c>
      <c r="V132" s="3">
        <f>IF(ISNUMBER(p!V132*LN(p!V132)),p!V132*LN(p!V132),0)</f>
        <v>0</v>
      </c>
      <c r="W132" s="3">
        <f>IF(ISNUMBER(p!W132*LN(p!W132)),p!W132*LN(p!W132),0)</f>
        <v>0</v>
      </c>
      <c r="X132" s="3">
        <f>IF(ISNUMBER(p!X132*LN(p!X132)),p!X132*LN(p!X132),0)</f>
        <v>-8.3769906064042568E-2</v>
      </c>
      <c r="Y132" s="3">
        <f>IF(ISNUMBER(p!Y132*LN(p!Y132)),p!Y132*LN(p!Y132),0)</f>
        <v>0</v>
      </c>
      <c r="Z132" s="3">
        <f>IF(ISNUMBER(p!Z132*LN(p!Z132)),p!Z132*LN(p!Z132),0)</f>
        <v>0</v>
      </c>
      <c r="AA132" s="3">
        <f>IF(ISNUMBER(p!AA132*LN(p!AA132)),p!AA132*LN(p!AA132),0)</f>
        <v>-2.381291942523878E-2</v>
      </c>
    </row>
    <row r="133" spans="2:27" x14ac:dyDescent="0.25">
      <c r="B133" s="3">
        <f>IF(ISNUMBER(p!B133*LN(p!B133)),p!B133*LN(p!B133),0)</f>
        <v>-3.7672964374896686E-2</v>
      </c>
      <c r="C133" s="3">
        <f>IF(ISNUMBER(p!C133*LN(p!C133)),p!C133*LN(p!C133),0)</f>
        <v>0</v>
      </c>
      <c r="D133" s="3">
        <f>IF(ISNUMBER(p!D133*LN(p!D133)),p!D133*LN(p!D133),0)</f>
        <v>0</v>
      </c>
      <c r="E133" s="3">
        <f>IF(ISNUMBER(p!E133*LN(p!E133)),p!E133*LN(p!E133),0)</f>
        <v>0</v>
      </c>
      <c r="F133" s="3">
        <f>IF(ISNUMBER(p!F133*LN(p!F133)),p!F133*LN(p!F133),0)</f>
        <v>-8.746977013240842E-2</v>
      </c>
      <c r="G133" s="3">
        <f>IF(ISNUMBER(p!G133*LN(p!G133)),p!G133*LN(p!G133),0)</f>
        <v>0</v>
      </c>
      <c r="H133" s="3">
        <f>IF(ISNUMBER(p!H133*LN(p!H133)),p!H133*LN(p!H133),0)</f>
        <v>0</v>
      </c>
      <c r="I133" s="3">
        <f>IF(ISNUMBER(p!I133*LN(p!I133)),p!I133*LN(p!I133),0)</f>
        <v>-3.7672964374896686E-2</v>
      </c>
      <c r="J133" s="3">
        <f>IF(ISNUMBER(p!J133*LN(p!J133)),p!J133*LN(p!J133),0)</f>
        <v>-0.27934597568637287</v>
      </c>
      <c r="K133" s="3">
        <f>IF(ISNUMBER(p!K133*LN(p!K133)),p!K133*LN(p!K133),0)</f>
        <v>0</v>
      </c>
      <c r="L133" s="3">
        <f>IF(ISNUMBER(p!L133*LN(p!L133)),p!L133*LN(p!L133),0)</f>
        <v>0</v>
      </c>
      <c r="M133" s="3">
        <f>IF(ISNUMBER(p!M133*LN(p!M133)),p!M133*LN(p!M133),0)</f>
        <v>0</v>
      </c>
      <c r="N133" s="3">
        <f>IF(ISNUMBER(p!N133*LN(p!N133)),p!N133*LN(p!N133),0)</f>
        <v>-3.7672964374896686E-2</v>
      </c>
      <c r="O133" s="3">
        <f>IF(ISNUMBER(p!O133*LN(p!O133)),p!O133*LN(p!O133),0)</f>
        <v>-3.7672964374896686E-2</v>
      </c>
      <c r="P133" s="3">
        <f>IF(ISNUMBER(p!P133*LN(p!P133)),p!P133*LN(p!P133),0)</f>
        <v>0</v>
      </c>
      <c r="Q133" s="3">
        <f>IF(ISNUMBER(p!Q133*LN(p!Q133)),p!Q133*LN(p!Q133),0)</f>
        <v>-0.29551232015041268</v>
      </c>
      <c r="R133" s="3">
        <f>IF(ISNUMBER(p!R133*LN(p!R133)),p!R133*LN(p!R133),0)</f>
        <v>0</v>
      </c>
      <c r="S133" s="3">
        <f>IF(ISNUMBER(p!S133*LN(p!S133)),p!S133*LN(p!S133),0)</f>
        <v>0</v>
      </c>
      <c r="T133" s="3">
        <f>IF(ISNUMBER(p!T133*LN(p!T133)),p!T133*LN(p!T133),0)</f>
        <v>0</v>
      </c>
      <c r="U133" s="3">
        <f>IF(ISNUMBER(p!U133*LN(p!U133)),p!U133*LN(p!U133),0)</f>
        <v>0</v>
      </c>
      <c r="V133" s="3">
        <f>IF(ISNUMBER(p!V133*LN(p!V133)),p!V133*LN(p!V133),0)</f>
        <v>0</v>
      </c>
      <c r="W133" s="3">
        <f>IF(ISNUMBER(p!W133*LN(p!W133)),p!W133*LN(p!W133),0)</f>
        <v>0</v>
      </c>
      <c r="X133" s="3">
        <f>IF(ISNUMBER(p!X133*LN(p!X133)),p!X133*LN(p!X133),0)</f>
        <v>-0.12598350743905318</v>
      </c>
      <c r="Y133" s="3">
        <f>IF(ISNUMBER(p!Y133*LN(p!Y133)),p!Y133*LN(p!Y133),0)</f>
        <v>0</v>
      </c>
      <c r="Z133" s="3">
        <f>IF(ISNUMBER(p!Z133*LN(p!Z133)),p!Z133*LN(p!Z133),0)</f>
        <v>0</v>
      </c>
      <c r="AA133" s="3">
        <f>IF(ISNUMBER(p!AA133*LN(p!AA133)),p!AA133*LN(p!AA133),0)</f>
        <v>-0.10770598583695448</v>
      </c>
    </row>
    <row r="134" spans="2:27" x14ac:dyDescent="0.25"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</sheetData>
  <phoneticPr fontId="1" type="noConversion"/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74587-7184-42B5-9D98-2A0D9E78EBC7}">
  <dimension ref="A1:AA133"/>
  <sheetViews>
    <sheetView topLeftCell="A129" workbookViewId="0">
      <selection activeCell="B100" sqref="B100:AA133"/>
    </sheetView>
  </sheetViews>
  <sheetFormatPr defaultRowHeight="15" x14ac:dyDescent="0.25"/>
  <cols>
    <col min="1" max="1" width="9.140625" style="13"/>
  </cols>
  <sheetData>
    <row r="1" spans="1:27" x14ac:dyDescent="0.25">
      <c r="A1" s="13" t="s">
        <v>0</v>
      </c>
      <c r="B1" t="s">
        <v>4</v>
      </c>
      <c r="C1" t="s">
        <v>26</v>
      </c>
      <c r="D1" t="s">
        <v>9</v>
      </c>
      <c r="E1" t="s">
        <v>5</v>
      </c>
      <c r="F1" t="s">
        <v>6</v>
      </c>
      <c r="G1" t="s">
        <v>7</v>
      </c>
      <c r="H1" t="s">
        <v>69</v>
      </c>
      <c r="I1" t="s">
        <v>8</v>
      </c>
      <c r="J1" t="s">
        <v>10</v>
      </c>
      <c r="K1" t="s">
        <v>39</v>
      </c>
      <c r="L1" t="s">
        <v>28</v>
      </c>
      <c r="M1" t="s">
        <v>29</v>
      </c>
      <c r="N1" t="s">
        <v>30</v>
      </c>
      <c r="O1" t="s">
        <v>36</v>
      </c>
      <c r="P1" t="s">
        <v>58</v>
      </c>
      <c r="Q1" t="s">
        <v>68</v>
      </c>
      <c r="R1" t="s">
        <v>81</v>
      </c>
      <c r="S1" t="s">
        <v>82</v>
      </c>
      <c r="T1" t="s">
        <v>98</v>
      </c>
      <c r="U1" t="s">
        <v>102</v>
      </c>
      <c r="V1" t="s">
        <v>112</v>
      </c>
      <c r="X1" t="s">
        <v>119</v>
      </c>
      <c r="Y1" t="s">
        <v>126</v>
      </c>
      <c r="Z1" t="s">
        <v>127</v>
      </c>
    </row>
    <row r="2" spans="1:27" x14ac:dyDescent="0.25">
      <c r="A2" s="13" t="s">
        <v>11</v>
      </c>
      <c r="B2" s="3">
        <f>Analyzed!E3/Analyzed!$CS3</f>
        <v>0.45752793048412838</v>
      </c>
      <c r="C2" s="3">
        <f>Analyzed!G3/Analyzed!$CS3</f>
        <v>0.5318318850860082</v>
      </c>
      <c r="D2" s="3">
        <f>Analyzed!I3/Analyzed!$CS3</f>
        <v>0</v>
      </c>
      <c r="E2" s="3">
        <f>Analyzed!K3/Analyzed!$CS3</f>
        <v>0</v>
      </c>
      <c r="F2" s="3">
        <f>Analyzed!M3/Analyzed!$CS3</f>
        <v>0</v>
      </c>
      <c r="G2" s="3">
        <f>Analyzed!O3/Analyzed!$CS3</f>
        <v>0</v>
      </c>
      <c r="H2" s="3">
        <f>Analyzed!Q3/Analyzed!$CS3</f>
        <v>0</v>
      </c>
      <c r="I2" s="3">
        <f>Analyzed!S3/Analyzed!$CS3</f>
        <v>0</v>
      </c>
      <c r="J2" s="3">
        <f>Analyzed!Y3/Analyzed!$CS3</f>
        <v>1.0640184429863451E-2</v>
      </c>
      <c r="K2" s="3">
        <f>Analyzed!AA3/Analyzed!$CS3</f>
        <v>0</v>
      </c>
      <c r="L2" s="3">
        <f>Analyzed!AC3/Analyzed!$CS3</f>
        <v>0</v>
      </c>
      <c r="M2" s="3">
        <f>Analyzed!AE3/Analyzed!$CS3</f>
        <v>0</v>
      </c>
      <c r="N2" s="3">
        <f>Analyzed!AG3/Analyzed!$CS3</f>
        <v>0</v>
      </c>
      <c r="O2" s="3">
        <f>Analyzed!AI3/Analyzed!$CS3</f>
        <v>0</v>
      </c>
      <c r="P2" s="3">
        <f>Analyzed!AK3/Analyzed!$CS3</f>
        <v>0</v>
      </c>
      <c r="Q2" s="3">
        <f>Analyzed!AM3/Analyzed!$CS3</f>
        <v>0</v>
      </c>
      <c r="R2" s="3">
        <f>Analyzed!AO3/Analyzed!$CS3</f>
        <v>0</v>
      </c>
      <c r="S2" s="3">
        <f>Analyzed!AQ3/Analyzed!$CS3</f>
        <v>0</v>
      </c>
      <c r="T2" s="3">
        <f>Analyzed!AS3/Analyzed!$CS3</f>
        <v>0</v>
      </c>
      <c r="U2" s="3">
        <f>Analyzed!AU3/Analyzed!$CS3</f>
        <v>0</v>
      </c>
      <c r="V2" s="3">
        <f>Analyzed!AW3/Analyzed!$CS3</f>
        <v>0</v>
      </c>
      <c r="W2" s="3">
        <f>Analyzed!AY3/Analyzed!$CS3</f>
        <v>0</v>
      </c>
      <c r="X2" s="3">
        <f>Analyzed!BA3/Analyzed!$CS3</f>
        <v>0</v>
      </c>
      <c r="Y2" s="3">
        <f>Analyzed!BC3/Analyzed!$CS3</f>
        <v>0</v>
      </c>
      <c r="Z2" s="3">
        <f>Analyzed!BE3/Analyzed!$CS3</f>
        <v>0</v>
      </c>
      <c r="AA2" s="3">
        <f>Analyzed!BG3/Analyzed!$CS3</f>
        <v>0</v>
      </c>
    </row>
    <row r="3" spans="1:27" x14ac:dyDescent="0.25">
      <c r="A3" s="13" t="s">
        <v>12</v>
      </c>
      <c r="B3" s="3">
        <f>Analyzed!E4/Analyzed!$CS4</f>
        <v>0.23964021843880501</v>
      </c>
      <c r="C3" s="3">
        <f>Analyzed!G4/Analyzed!$CS4</f>
        <v>0.76035978156119499</v>
      </c>
      <c r="D3" s="3">
        <f>Analyzed!I4/Analyzed!$CS4</f>
        <v>0</v>
      </c>
      <c r="E3" s="3">
        <f>Analyzed!K4/Analyzed!$CS4</f>
        <v>0</v>
      </c>
      <c r="F3" s="3">
        <f>Analyzed!M4/Analyzed!$CS4</f>
        <v>0</v>
      </c>
      <c r="G3" s="3">
        <f>Analyzed!O4/Analyzed!$CS4</f>
        <v>0</v>
      </c>
      <c r="H3" s="3">
        <f>Analyzed!Q4/Analyzed!$CS4</f>
        <v>0</v>
      </c>
      <c r="I3" s="3">
        <f>Analyzed!S4/Analyzed!$CS4</f>
        <v>0</v>
      </c>
      <c r="J3" s="3">
        <f>Analyzed!Y4/Analyzed!$CS4</f>
        <v>0</v>
      </c>
      <c r="K3" s="3">
        <f>Analyzed!AA4/Analyzed!$CS4</f>
        <v>0</v>
      </c>
      <c r="L3" s="3">
        <f>Analyzed!AC4/Analyzed!$CS4</f>
        <v>0</v>
      </c>
      <c r="M3" s="3">
        <f>Analyzed!AE4/Analyzed!$CS4</f>
        <v>0</v>
      </c>
      <c r="N3" s="3">
        <f>Analyzed!AG4/Analyzed!$CS4</f>
        <v>0</v>
      </c>
      <c r="O3" s="3">
        <f>Analyzed!AI4/Analyzed!$CS4</f>
        <v>0</v>
      </c>
      <c r="P3" s="3">
        <f>Analyzed!AK4/Analyzed!$CS4</f>
        <v>0</v>
      </c>
      <c r="Q3" s="3">
        <f>Analyzed!AM4/Analyzed!$CS4</f>
        <v>0</v>
      </c>
      <c r="R3" s="3">
        <f>Analyzed!AO4/Analyzed!$CS4</f>
        <v>0</v>
      </c>
      <c r="S3" s="3">
        <f>Analyzed!AQ4/Analyzed!$CS4</f>
        <v>0</v>
      </c>
      <c r="T3" s="3">
        <f>Analyzed!AS4/Analyzed!$CS4</f>
        <v>0</v>
      </c>
      <c r="U3" s="3">
        <f>Analyzed!AU4/Analyzed!$CS4</f>
        <v>0</v>
      </c>
      <c r="V3" s="3">
        <f>Analyzed!AW4/Analyzed!$CS4</f>
        <v>0</v>
      </c>
      <c r="W3" s="3">
        <f>Analyzed!AY4/Analyzed!$CS4</f>
        <v>0</v>
      </c>
      <c r="X3" s="3">
        <f>Analyzed!BA4/Analyzed!$CS4</f>
        <v>0</v>
      </c>
      <c r="Y3" s="3">
        <f>Analyzed!BC4/Analyzed!$CS4</f>
        <v>0</v>
      </c>
      <c r="Z3" s="3">
        <f>Analyzed!BE4/Analyzed!$CS4</f>
        <v>0</v>
      </c>
      <c r="AA3" s="3">
        <f>Analyzed!BG4/Analyzed!$CS4</f>
        <v>0</v>
      </c>
    </row>
    <row r="4" spans="1:27" x14ac:dyDescent="0.25">
      <c r="A4" s="13" t="s">
        <v>13</v>
      </c>
      <c r="B4" s="3">
        <f>Analyzed!E5/Analyzed!$CS5</f>
        <v>0.57211683227943388</v>
      </c>
      <c r="C4" s="3">
        <f>Analyzed!G5/Analyzed!$CS5</f>
        <v>0.42487202649804279</v>
      </c>
      <c r="D4" s="3">
        <f>Analyzed!I5/Analyzed!$CS5</f>
        <v>0</v>
      </c>
      <c r="E4" s="3">
        <f>Analyzed!K5/Analyzed!$CS5</f>
        <v>0</v>
      </c>
      <c r="F4" s="3">
        <f>Analyzed!M5/Analyzed!$CS5</f>
        <v>0</v>
      </c>
      <c r="G4" s="3">
        <f>Analyzed!O5/Analyzed!$CS5</f>
        <v>0</v>
      </c>
      <c r="H4" s="3">
        <f>Analyzed!Q5/Analyzed!$CS5</f>
        <v>0</v>
      </c>
      <c r="I4" s="3">
        <f>Analyzed!S5/Analyzed!$CS5</f>
        <v>0</v>
      </c>
      <c r="J4" s="3">
        <f>Analyzed!Y5/Analyzed!$CS5</f>
        <v>3.0111412225233367E-3</v>
      </c>
      <c r="K4" s="3">
        <f>Analyzed!AA5/Analyzed!$CS5</f>
        <v>0</v>
      </c>
      <c r="L4" s="3">
        <f>Analyzed!AC5/Analyzed!$CS5</f>
        <v>0</v>
      </c>
      <c r="M4" s="3">
        <f>Analyzed!AE5/Analyzed!$CS5</f>
        <v>0</v>
      </c>
      <c r="N4" s="3">
        <f>Analyzed!AG5/Analyzed!$CS5</f>
        <v>0</v>
      </c>
      <c r="O4" s="3">
        <f>Analyzed!AI5/Analyzed!$CS5</f>
        <v>0</v>
      </c>
      <c r="P4" s="3">
        <f>Analyzed!AK5/Analyzed!$CS5</f>
        <v>0</v>
      </c>
      <c r="Q4" s="3">
        <f>Analyzed!AM5/Analyzed!$CS5</f>
        <v>0</v>
      </c>
      <c r="R4" s="3">
        <f>Analyzed!AO5/Analyzed!$CS5</f>
        <v>0</v>
      </c>
      <c r="S4" s="3">
        <f>Analyzed!AQ5/Analyzed!$CS5</f>
        <v>0</v>
      </c>
      <c r="T4" s="3">
        <f>Analyzed!AS5/Analyzed!$CS5</f>
        <v>0</v>
      </c>
      <c r="U4" s="3">
        <f>Analyzed!AU5/Analyzed!$CS5</f>
        <v>0</v>
      </c>
      <c r="V4" s="3">
        <f>Analyzed!AW5/Analyzed!$CS5</f>
        <v>0</v>
      </c>
      <c r="W4" s="3">
        <f>Analyzed!AY5/Analyzed!$CS5</f>
        <v>0</v>
      </c>
      <c r="X4" s="3">
        <f>Analyzed!BA5/Analyzed!$CS5</f>
        <v>0</v>
      </c>
      <c r="Y4" s="3">
        <f>Analyzed!BC5/Analyzed!$CS5</f>
        <v>0</v>
      </c>
      <c r="Z4" s="3">
        <f>Analyzed!BE5/Analyzed!$CS5</f>
        <v>0</v>
      </c>
      <c r="AA4" s="3">
        <f>Analyzed!BG5/Analyzed!$CS5</f>
        <v>0</v>
      </c>
    </row>
    <row r="5" spans="1:27" x14ac:dyDescent="0.25">
      <c r="A5" s="13" t="s">
        <v>14</v>
      </c>
      <c r="B5" s="3">
        <f>Analyzed!E6/Analyzed!$CS6</f>
        <v>0.90333988212180749</v>
      </c>
      <c r="C5" s="3">
        <f>Analyzed!G6/Analyzed!$CS6</f>
        <v>1.3359528487229861E-2</v>
      </c>
      <c r="D5" s="3">
        <f>Analyzed!I6/Analyzed!$CS6</f>
        <v>9.0373280943025543E-3</v>
      </c>
      <c r="E5" s="3">
        <f>Analyzed!K6/Analyzed!$CS6</f>
        <v>0</v>
      </c>
      <c r="F5" s="3">
        <f>Analyzed!M6/Analyzed!$CS6</f>
        <v>0</v>
      </c>
      <c r="G5" s="3">
        <f>Analyzed!O6/Analyzed!$CS6</f>
        <v>0</v>
      </c>
      <c r="H5" s="3">
        <f>Analyzed!Q6/Analyzed!$CS6</f>
        <v>0</v>
      </c>
      <c r="I5" s="3">
        <f>Analyzed!S6/Analyzed!$CS6</f>
        <v>0</v>
      </c>
      <c r="J5" s="3">
        <f>Analyzed!Y6/Analyzed!$CS6</f>
        <v>0</v>
      </c>
      <c r="K5" s="3">
        <f>Analyzed!AA6/Analyzed!$CS6</f>
        <v>0</v>
      </c>
      <c r="L5" s="3">
        <f>Analyzed!AC6/Analyzed!$CS6</f>
        <v>0</v>
      </c>
      <c r="M5" s="3">
        <f>Analyzed!AE6/Analyzed!$CS6</f>
        <v>7.347740667976424E-2</v>
      </c>
      <c r="N5" s="3">
        <f>Analyzed!AG6/Analyzed!$CS6</f>
        <v>0</v>
      </c>
      <c r="O5" s="3">
        <f>Analyzed!AI6/Analyzed!$CS6</f>
        <v>0</v>
      </c>
      <c r="P5" s="3">
        <f>Analyzed!AK6/Analyzed!$CS6</f>
        <v>0</v>
      </c>
      <c r="Q5" s="3">
        <f>Analyzed!AM6/Analyzed!$CS6</f>
        <v>0</v>
      </c>
      <c r="R5" s="3">
        <f>Analyzed!AO6/Analyzed!$CS6</f>
        <v>7.8585461689587423E-4</v>
      </c>
      <c r="S5" s="3">
        <f>Analyzed!AQ6/Analyzed!$CS6</f>
        <v>0</v>
      </c>
      <c r="T5" s="3">
        <f>Analyzed!AS6/Analyzed!$CS6</f>
        <v>0</v>
      </c>
      <c r="U5" s="3">
        <f>Analyzed!AU6/Analyzed!$CS6</f>
        <v>0</v>
      </c>
      <c r="V5" s="3">
        <f>Analyzed!AW6/Analyzed!$CS6</f>
        <v>0</v>
      </c>
      <c r="W5" s="3">
        <f>Analyzed!AY6/Analyzed!$CS6</f>
        <v>0</v>
      </c>
      <c r="X5" s="3">
        <f>Analyzed!BA6/Analyzed!$CS6</f>
        <v>0</v>
      </c>
      <c r="Y5" s="3">
        <f>Analyzed!BC6/Analyzed!$CS6</f>
        <v>0</v>
      </c>
      <c r="Z5" s="3">
        <f>Analyzed!BE6/Analyzed!$CS6</f>
        <v>0</v>
      </c>
      <c r="AA5" s="3">
        <f>Analyzed!BG6/Analyzed!$CS6</f>
        <v>0</v>
      </c>
    </row>
    <row r="6" spans="1:27" x14ac:dyDescent="0.25">
      <c r="A6" s="13" t="s">
        <v>15</v>
      </c>
      <c r="B6" s="3">
        <f>Analyzed!E7/Analyzed!$CS7</f>
        <v>0.99535171986365045</v>
      </c>
      <c r="C6" s="3">
        <f>Analyzed!G7/Analyzed!$CS7</f>
        <v>4.6482801363495517E-3</v>
      </c>
      <c r="D6" s="3">
        <f>Analyzed!I7/Analyzed!$CS7</f>
        <v>0</v>
      </c>
      <c r="E6" s="3">
        <f>Analyzed!K7/Analyzed!$CS7</f>
        <v>0</v>
      </c>
      <c r="F6" s="3">
        <f>Analyzed!M7/Analyzed!$CS7</f>
        <v>0</v>
      </c>
      <c r="G6" s="3">
        <f>Analyzed!O7/Analyzed!$CS7</f>
        <v>0</v>
      </c>
      <c r="H6" s="3">
        <f>Analyzed!Q7/Analyzed!$CS7</f>
        <v>0</v>
      </c>
      <c r="I6" s="3">
        <f>Analyzed!S7/Analyzed!$CS7</f>
        <v>0</v>
      </c>
      <c r="J6" s="3">
        <f>Analyzed!Y7/Analyzed!$CS7</f>
        <v>0</v>
      </c>
      <c r="K6" s="3">
        <f>Analyzed!AA7/Analyzed!$CS7</f>
        <v>0</v>
      </c>
      <c r="L6" s="3">
        <f>Analyzed!AC7/Analyzed!$CS7</f>
        <v>0</v>
      </c>
      <c r="M6" s="3">
        <f>Analyzed!AE7/Analyzed!$CS7</f>
        <v>0</v>
      </c>
      <c r="N6" s="3">
        <f>Analyzed!AG7/Analyzed!$CS7</f>
        <v>0</v>
      </c>
      <c r="O6" s="3">
        <f>Analyzed!AI7/Analyzed!$CS7</f>
        <v>0</v>
      </c>
      <c r="P6" s="3">
        <f>Analyzed!AK7/Analyzed!$CS7</f>
        <v>0</v>
      </c>
      <c r="Q6" s="3">
        <f>Analyzed!AM7/Analyzed!$CS7</f>
        <v>0</v>
      </c>
      <c r="R6" s="3">
        <f>Analyzed!AO7/Analyzed!$CS7</f>
        <v>0</v>
      </c>
      <c r="S6" s="3">
        <f>Analyzed!AQ7/Analyzed!$CS7</f>
        <v>0</v>
      </c>
      <c r="T6" s="3">
        <f>Analyzed!AS7/Analyzed!$CS7</f>
        <v>0</v>
      </c>
      <c r="U6" s="3">
        <f>Analyzed!AU7/Analyzed!$CS7</f>
        <v>0</v>
      </c>
      <c r="V6" s="3">
        <f>Analyzed!AW7/Analyzed!$CS7</f>
        <v>0</v>
      </c>
      <c r="W6" s="3">
        <f>Analyzed!AY7/Analyzed!$CS7</f>
        <v>0</v>
      </c>
      <c r="X6" s="3">
        <f>Analyzed!BA7/Analyzed!$CS7</f>
        <v>0</v>
      </c>
      <c r="Y6" s="3">
        <f>Analyzed!BC7/Analyzed!$CS7</f>
        <v>0</v>
      </c>
      <c r="Z6" s="3">
        <f>Analyzed!BE7/Analyzed!$CS7</f>
        <v>0</v>
      </c>
      <c r="AA6" s="3">
        <f>Analyzed!BG7/Analyzed!$CS7</f>
        <v>0</v>
      </c>
    </row>
    <row r="7" spans="1:27" x14ac:dyDescent="0.25">
      <c r="A7" s="13" t="s">
        <v>16</v>
      </c>
      <c r="B7" s="3">
        <f>Analyzed!E8/Analyzed!$CS8</f>
        <v>0.43829703747302334</v>
      </c>
      <c r="C7" s="3">
        <f>Analyzed!G8/Analyzed!$CS8</f>
        <v>0.56170296252697671</v>
      </c>
      <c r="D7" s="3">
        <f>Analyzed!I8/Analyzed!$CS8</f>
        <v>0</v>
      </c>
      <c r="E7" s="3">
        <f>Analyzed!K8/Analyzed!$CS8</f>
        <v>0</v>
      </c>
      <c r="F7" s="3">
        <f>Analyzed!M8/Analyzed!$CS8</f>
        <v>0</v>
      </c>
      <c r="G7" s="3">
        <f>Analyzed!O8/Analyzed!$CS8</f>
        <v>0</v>
      </c>
      <c r="H7" s="3">
        <f>Analyzed!Q8/Analyzed!$CS8</f>
        <v>0</v>
      </c>
      <c r="I7" s="3">
        <f>Analyzed!S8/Analyzed!$CS8</f>
        <v>0</v>
      </c>
      <c r="J7" s="3">
        <f>Analyzed!Y8/Analyzed!$CS8</f>
        <v>0</v>
      </c>
      <c r="K7" s="3">
        <f>Analyzed!AA8/Analyzed!$CS8</f>
        <v>0</v>
      </c>
      <c r="L7" s="3">
        <f>Analyzed!AC8/Analyzed!$CS8</f>
        <v>0</v>
      </c>
      <c r="M7" s="3">
        <f>Analyzed!AE8/Analyzed!$CS8</f>
        <v>0</v>
      </c>
      <c r="N7" s="3">
        <f>Analyzed!AG8/Analyzed!$CS8</f>
        <v>0</v>
      </c>
      <c r="O7" s="3">
        <f>Analyzed!AI8/Analyzed!$CS8</f>
        <v>0</v>
      </c>
      <c r="P7" s="3">
        <f>Analyzed!AK8/Analyzed!$CS8</f>
        <v>0</v>
      </c>
      <c r="Q7" s="3">
        <f>Analyzed!AM8/Analyzed!$CS8</f>
        <v>0</v>
      </c>
      <c r="R7" s="3">
        <f>Analyzed!AO8/Analyzed!$CS8</f>
        <v>0</v>
      </c>
      <c r="S7" s="3">
        <f>Analyzed!AQ8/Analyzed!$CS8</f>
        <v>0</v>
      </c>
      <c r="T7" s="3">
        <f>Analyzed!AS8/Analyzed!$CS8</f>
        <v>0</v>
      </c>
      <c r="U7" s="3">
        <f>Analyzed!AU8/Analyzed!$CS8</f>
        <v>0</v>
      </c>
      <c r="V7" s="3">
        <f>Analyzed!AW8/Analyzed!$CS8</f>
        <v>0</v>
      </c>
      <c r="W7" s="3">
        <f>Analyzed!AY8/Analyzed!$CS8</f>
        <v>0</v>
      </c>
      <c r="X7" s="3">
        <f>Analyzed!BA8/Analyzed!$CS8</f>
        <v>0</v>
      </c>
      <c r="Y7" s="3">
        <f>Analyzed!BC8/Analyzed!$CS8</f>
        <v>0</v>
      </c>
      <c r="Z7" s="3">
        <f>Analyzed!BE8/Analyzed!$CS8</f>
        <v>0</v>
      </c>
      <c r="AA7" s="3">
        <f>Analyzed!BG8/Analyzed!$CS8</f>
        <v>0</v>
      </c>
    </row>
    <row r="8" spans="1:27" x14ac:dyDescent="0.25">
      <c r="A8" s="13" t="s">
        <v>17</v>
      </c>
      <c r="B8" s="3">
        <f>Analyzed!E9/Analyzed!$CS9</f>
        <v>0.89589041095890409</v>
      </c>
      <c r="C8" s="3">
        <f>Analyzed!G9/Analyzed!$CS9</f>
        <v>5.4794520547945206E-3</v>
      </c>
      <c r="D8" s="3">
        <f>Analyzed!I9/Analyzed!$CS9</f>
        <v>0</v>
      </c>
      <c r="E8" s="3">
        <f>Analyzed!K9/Analyzed!$CS9</f>
        <v>0</v>
      </c>
      <c r="F8" s="3">
        <f>Analyzed!M9/Analyzed!$CS9</f>
        <v>0</v>
      </c>
      <c r="G8" s="3">
        <f>Analyzed!O9/Analyzed!$CS9</f>
        <v>0</v>
      </c>
      <c r="H8" s="3">
        <f>Analyzed!Q9/Analyzed!$CS9</f>
        <v>0</v>
      </c>
      <c r="I8" s="3">
        <f>Analyzed!S9/Analyzed!$CS9</f>
        <v>0</v>
      </c>
      <c r="J8" s="3">
        <f>Analyzed!Y9/Analyzed!$CS9</f>
        <v>4.3835616438356161E-3</v>
      </c>
      <c r="K8" s="3">
        <f>Analyzed!AA9/Analyzed!$CS9</f>
        <v>0</v>
      </c>
      <c r="L8" s="3">
        <f>Analyzed!AC9/Analyzed!$CS9</f>
        <v>0</v>
      </c>
      <c r="M8" s="3">
        <f>Analyzed!AE9/Analyzed!$CS9</f>
        <v>0</v>
      </c>
      <c r="N8" s="3">
        <f>Analyzed!AG9/Analyzed!$CS9</f>
        <v>0</v>
      </c>
      <c r="O8" s="3">
        <f>Analyzed!AI9/Analyzed!$CS9</f>
        <v>8.5479452054794514E-2</v>
      </c>
      <c r="P8" s="3">
        <f>Analyzed!AK9/Analyzed!$CS9</f>
        <v>0</v>
      </c>
      <c r="Q8" s="3">
        <f>Analyzed!AM9/Analyzed!$CS9</f>
        <v>0</v>
      </c>
      <c r="R8" s="3">
        <f>Analyzed!AO9/Analyzed!$CS9</f>
        <v>0</v>
      </c>
      <c r="S8" s="3">
        <f>Analyzed!AQ9/Analyzed!$CS9</f>
        <v>8.7671232876712323E-3</v>
      </c>
      <c r="T8" s="3">
        <f>Analyzed!AS9/Analyzed!$CS9</f>
        <v>0</v>
      </c>
      <c r="U8" s="3">
        <f>Analyzed!AU9/Analyzed!$CS9</f>
        <v>0</v>
      </c>
      <c r="V8" s="3">
        <f>Analyzed!AW9/Analyzed!$CS9</f>
        <v>0</v>
      </c>
      <c r="W8" s="3">
        <f>Analyzed!AY9/Analyzed!$CS9</f>
        <v>0</v>
      </c>
      <c r="X8" s="3">
        <f>Analyzed!BA9/Analyzed!$CS9</f>
        <v>0</v>
      </c>
      <c r="Y8" s="3">
        <f>Analyzed!BC9/Analyzed!$CS9</f>
        <v>0</v>
      </c>
      <c r="Z8" s="3">
        <f>Analyzed!BE9/Analyzed!$CS9</f>
        <v>0</v>
      </c>
      <c r="AA8" s="3">
        <f>Analyzed!BG9/Analyzed!$CS9</f>
        <v>0</v>
      </c>
    </row>
    <row r="9" spans="1:27" x14ac:dyDescent="0.25">
      <c r="A9" s="13" t="s">
        <v>73</v>
      </c>
      <c r="B9" s="3">
        <f>Analyzed!E10/Analyzed!$CS10</f>
        <v>0.35021634003563246</v>
      </c>
      <c r="C9" s="3">
        <f>Analyzed!G10/Analyzed!$CS10</f>
        <v>0.44311529651310766</v>
      </c>
      <c r="D9" s="3">
        <f>Analyzed!I10/Analyzed!$CS10</f>
        <v>0</v>
      </c>
      <c r="E9" s="3">
        <f>Analyzed!K10/Analyzed!$CS10</f>
        <v>0</v>
      </c>
      <c r="F9" s="3">
        <f>Analyzed!M10/Analyzed!$CS10</f>
        <v>0</v>
      </c>
      <c r="G9" s="3">
        <f>Analyzed!O10/Analyzed!$CS10</f>
        <v>0</v>
      </c>
      <c r="H9" s="3">
        <f>Analyzed!Q10/Analyzed!$CS10</f>
        <v>0</v>
      </c>
      <c r="I9" s="3">
        <f>Analyzed!S10/Analyzed!$CS10</f>
        <v>0</v>
      </c>
      <c r="J9" s="3">
        <f>Analyzed!Y10/Analyzed!$CS10</f>
        <v>0</v>
      </c>
      <c r="K9" s="3">
        <f>Analyzed!AA10/Analyzed!$CS10</f>
        <v>0</v>
      </c>
      <c r="L9" s="3">
        <f>Analyzed!AC10/Analyzed!$CS10</f>
        <v>0</v>
      </c>
      <c r="M9" s="3">
        <f>Analyzed!AE10/Analyzed!$CS10</f>
        <v>0</v>
      </c>
      <c r="N9" s="3">
        <f>Analyzed!AG10/Analyzed!$CS10</f>
        <v>0</v>
      </c>
      <c r="O9" s="3">
        <f>Analyzed!AI10/Analyzed!$CS10</f>
        <v>0</v>
      </c>
      <c r="P9" s="3">
        <f>Analyzed!AK10/Analyzed!$CS10</f>
        <v>0</v>
      </c>
      <c r="Q9" s="3">
        <f>Analyzed!AM10/Analyzed!$CS10</f>
        <v>0</v>
      </c>
      <c r="R9" s="3">
        <f>Analyzed!AO10/Analyzed!$CS10</f>
        <v>0</v>
      </c>
      <c r="S9" s="3">
        <f>Analyzed!AQ10/Analyzed!$CS10</f>
        <v>0</v>
      </c>
      <c r="T9" s="3">
        <f>Analyzed!AS10/Analyzed!$CS10</f>
        <v>0</v>
      </c>
      <c r="U9" s="3">
        <f>Analyzed!AU10/Analyzed!$CS10</f>
        <v>0</v>
      </c>
      <c r="V9" s="3">
        <f>Analyzed!AW10/Analyzed!$CS10</f>
        <v>0.19979638584881648</v>
      </c>
      <c r="W9" s="3">
        <f>Analyzed!AY10/Analyzed!$CS10</f>
        <v>6.87197760244337E-3</v>
      </c>
      <c r="X9" s="3">
        <f>Analyzed!BA10/Analyzed!$CS10</f>
        <v>0</v>
      </c>
      <c r="Y9" s="3">
        <f>Analyzed!BC10/Analyzed!$CS10</f>
        <v>0</v>
      </c>
      <c r="Z9" s="3">
        <f>Analyzed!BE10/Analyzed!$CS10</f>
        <v>0</v>
      </c>
      <c r="AA9" s="3">
        <f>Analyzed!BG10/Analyzed!$CS10</f>
        <v>0</v>
      </c>
    </row>
    <row r="10" spans="1:27" x14ac:dyDescent="0.25">
      <c r="A10" s="13" t="s">
        <v>74</v>
      </c>
      <c r="B10" s="3">
        <f>Analyzed!E11/Analyzed!$CS11</f>
        <v>0.31946486327550722</v>
      </c>
      <c r="C10" s="3">
        <f>Analyzed!G11/Analyzed!$CS11</f>
        <v>0.36356953837106737</v>
      </c>
      <c r="D10" s="3">
        <f>Analyzed!I11/Analyzed!$CS11</f>
        <v>0</v>
      </c>
      <c r="E10" s="3">
        <f>Analyzed!K11/Analyzed!$CS11</f>
        <v>0</v>
      </c>
      <c r="F10" s="3">
        <f>Analyzed!M11/Analyzed!$CS11</f>
        <v>0</v>
      </c>
      <c r="G10" s="3">
        <f>Analyzed!O11/Analyzed!$CS11</f>
        <v>0</v>
      </c>
      <c r="H10" s="3">
        <f>Analyzed!Q11/Analyzed!$CS11</f>
        <v>0</v>
      </c>
      <c r="I10" s="3">
        <f>Analyzed!S11/Analyzed!$CS11</f>
        <v>0</v>
      </c>
      <c r="J10" s="3">
        <f>Analyzed!Y11/Analyzed!$CS11</f>
        <v>4.8515142605116161E-3</v>
      </c>
      <c r="K10" s="3">
        <f>Analyzed!AA11/Analyzed!$CS11</f>
        <v>0</v>
      </c>
      <c r="L10" s="3">
        <f>Analyzed!AC11/Analyzed!$CS11</f>
        <v>0</v>
      </c>
      <c r="M10" s="3">
        <f>Analyzed!AE11/Analyzed!$CS11</f>
        <v>0</v>
      </c>
      <c r="N10" s="3">
        <f>Analyzed!AG11/Analyzed!$CS11</f>
        <v>0</v>
      </c>
      <c r="O10" s="3">
        <f>Analyzed!AI11/Analyzed!$CS11</f>
        <v>0.31211408409291391</v>
      </c>
      <c r="P10" s="3">
        <f>Analyzed!AK11/Analyzed!$CS11</f>
        <v>0</v>
      </c>
      <c r="Q10" s="3">
        <f>Analyzed!AM11/Analyzed!$CS11</f>
        <v>0</v>
      </c>
      <c r="R10" s="3">
        <f>Analyzed!AO11/Analyzed!$CS11</f>
        <v>0</v>
      </c>
      <c r="S10" s="3">
        <f>Analyzed!AQ11/Analyzed!$CS11</f>
        <v>0</v>
      </c>
      <c r="T10" s="3">
        <f>Analyzed!AS11/Analyzed!$CS11</f>
        <v>0</v>
      </c>
      <c r="U10" s="3">
        <f>Analyzed!AU11/Analyzed!$CS11</f>
        <v>0</v>
      </c>
      <c r="V10" s="3">
        <f>Analyzed!AW11/Analyzed!$CS11</f>
        <v>0</v>
      </c>
      <c r="W10" s="3">
        <f>Analyzed!AY11/Analyzed!$CS11</f>
        <v>0</v>
      </c>
      <c r="X10" s="3">
        <f>Analyzed!BA11/Analyzed!$CS11</f>
        <v>0</v>
      </c>
      <c r="Y10" s="3">
        <f>Analyzed!BC11/Analyzed!$CS11</f>
        <v>0</v>
      </c>
      <c r="Z10" s="3">
        <f>Analyzed!BE11/Analyzed!$CS11</f>
        <v>0</v>
      </c>
      <c r="AA10" s="3">
        <f>Analyzed!BG11/Analyzed!$CS11</f>
        <v>0</v>
      </c>
    </row>
    <row r="11" spans="1:27" x14ac:dyDescent="0.25">
      <c r="A11" s="13" t="s">
        <v>75</v>
      </c>
      <c r="B11" s="3">
        <f>Analyzed!E12/Analyzed!$CS12</f>
        <v>0.23590021691973964</v>
      </c>
      <c r="C11" s="3">
        <f>Analyzed!G12/Analyzed!$CS12</f>
        <v>0.53755422993492408</v>
      </c>
      <c r="D11" s="3">
        <f>Analyzed!I12/Analyzed!$CS12</f>
        <v>0</v>
      </c>
      <c r="E11" s="3">
        <f>Analyzed!K12/Analyzed!$CS12</f>
        <v>0</v>
      </c>
      <c r="F11" s="3">
        <f>Analyzed!M12/Analyzed!$CS12</f>
        <v>0</v>
      </c>
      <c r="G11" s="3">
        <f>Analyzed!O12/Analyzed!$CS12</f>
        <v>0</v>
      </c>
      <c r="H11" s="3">
        <f>Analyzed!Q12/Analyzed!$CS12</f>
        <v>0</v>
      </c>
      <c r="I11" s="3">
        <f>Analyzed!S12/Analyzed!$CS12</f>
        <v>0</v>
      </c>
      <c r="J11" s="3">
        <f>Analyzed!Y12/Analyzed!$CS12</f>
        <v>0</v>
      </c>
      <c r="K11" s="3">
        <f>Analyzed!AA12/Analyzed!$CS12</f>
        <v>0</v>
      </c>
      <c r="L11" s="3">
        <f>Analyzed!AC12/Analyzed!$CS12</f>
        <v>0</v>
      </c>
      <c r="M11" s="3">
        <f>Analyzed!AE12/Analyzed!$CS12</f>
        <v>0</v>
      </c>
      <c r="N11" s="3">
        <f>Analyzed!AG12/Analyzed!$CS12</f>
        <v>0</v>
      </c>
      <c r="O11" s="3">
        <f>Analyzed!AI12/Analyzed!$CS12</f>
        <v>0.2265455531453362</v>
      </c>
      <c r="P11" s="3">
        <f>Analyzed!AK12/Analyzed!$CS12</f>
        <v>0</v>
      </c>
      <c r="Q11" s="3">
        <f>Analyzed!AM12/Analyzed!$CS12</f>
        <v>0</v>
      </c>
      <c r="R11" s="3">
        <f>Analyzed!AO12/Analyzed!$CS12</f>
        <v>0</v>
      </c>
      <c r="S11" s="3">
        <f>Analyzed!AQ12/Analyzed!$CS12</f>
        <v>0</v>
      </c>
      <c r="T11" s="3">
        <f>Analyzed!AS12/Analyzed!$CS12</f>
        <v>0</v>
      </c>
      <c r="U11" s="3">
        <f>Analyzed!AU12/Analyzed!$CS12</f>
        <v>0</v>
      </c>
      <c r="V11" s="3">
        <f>Analyzed!AW12/Analyzed!$CS12</f>
        <v>0</v>
      </c>
      <c r="W11" s="3">
        <f>Analyzed!AY12/Analyzed!$CS12</f>
        <v>0</v>
      </c>
      <c r="X11" s="3">
        <f>Analyzed!BA12/Analyzed!$CS12</f>
        <v>0</v>
      </c>
      <c r="Y11" s="3">
        <f>Analyzed!BC12/Analyzed!$CS12</f>
        <v>0</v>
      </c>
      <c r="Z11" s="3">
        <f>Analyzed!BE12/Analyzed!$CS12</f>
        <v>0</v>
      </c>
      <c r="AA11" s="3">
        <f>Analyzed!BG12/Analyzed!$CS12</f>
        <v>0</v>
      </c>
    </row>
    <row r="12" spans="1:27" x14ac:dyDescent="0.25">
      <c r="A12" s="13" t="s">
        <v>76</v>
      </c>
      <c r="B12" s="3">
        <f>Analyzed!E13/Analyzed!$CS13</f>
        <v>0.2303603071470762</v>
      </c>
      <c r="C12" s="3">
        <f>Analyzed!G13/Analyzed!$CS13</f>
        <v>0.26461901949202599</v>
      </c>
      <c r="D12" s="3">
        <f>Analyzed!I13/Analyzed!$CS13</f>
        <v>0</v>
      </c>
      <c r="E12" s="3">
        <f>Analyzed!K13/Analyzed!$CS13</f>
        <v>0</v>
      </c>
      <c r="F12" s="3">
        <f>Analyzed!M13/Analyzed!$CS13</f>
        <v>0</v>
      </c>
      <c r="G12" s="3">
        <f>Analyzed!O13/Analyzed!$CS13</f>
        <v>0</v>
      </c>
      <c r="H12" s="3">
        <f>Analyzed!Q13/Analyzed!$CS13</f>
        <v>0</v>
      </c>
      <c r="I12" s="3">
        <f>Analyzed!S13/Analyzed!$CS13</f>
        <v>0</v>
      </c>
      <c r="J12" s="3">
        <f>Analyzed!Y13/Analyzed!$CS13</f>
        <v>0</v>
      </c>
      <c r="K12" s="3">
        <f>Analyzed!AA13/Analyzed!$CS13</f>
        <v>0</v>
      </c>
      <c r="L12" s="3">
        <f>Analyzed!AC13/Analyzed!$CS13</f>
        <v>0</v>
      </c>
      <c r="M12" s="3">
        <f>Analyzed!AE13/Analyzed!$CS13</f>
        <v>0</v>
      </c>
      <c r="N12" s="3">
        <f>Analyzed!AG13/Analyzed!$CS13</f>
        <v>0</v>
      </c>
      <c r="O12" s="3">
        <f>Analyzed!AI13/Analyzed!$CS13</f>
        <v>0</v>
      </c>
      <c r="P12" s="3">
        <f>Analyzed!AK13/Analyzed!$CS13</f>
        <v>0</v>
      </c>
      <c r="Q12" s="3">
        <f>Analyzed!AM13/Analyzed!$CS13</f>
        <v>0.50502067336089784</v>
      </c>
      <c r="R12" s="3">
        <f>Analyzed!AO13/Analyzed!$CS13</f>
        <v>0</v>
      </c>
      <c r="S12" s="3">
        <f>Analyzed!AQ13/Analyzed!$CS13</f>
        <v>0</v>
      </c>
      <c r="T12" s="3">
        <f>Analyzed!AS13/Analyzed!$CS13</f>
        <v>0</v>
      </c>
      <c r="U12" s="3">
        <f>Analyzed!AU13/Analyzed!$CS13</f>
        <v>0</v>
      </c>
      <c r="V12" s="3">
        <f>Analyzed!AW13/Analyzed!$CS13</f>
        <v>0</v>
      </c>
      <c r="W12" s="3">
        <f>Analyzed!AY13/Analyzed!$CS13</f>
        <v>0</v>
      </c>
      <c r="X12" s="3">
        <f>Analyzed!BA13/Analyzed!$CS13</f>
        <v>0</v>
      </c>
      <c r="Y12" s="3">
        <f>Analyzed!BC13/Analyzed!$CS13</f>
        <v>0</v>
      </c>
      <c r="Z12" s="3">
        <f>Analyzed!BE13/Analyzed!$CS13</f>
        <v>0</v>
      </c>
      <c r="AA12" s="3">
        <f>Analyzed!BG13/Analyzed!$CS13</f>
        <v>0</v>
      </c>
    </row>
    <row r="13" spans="1:27" x14ac:dyDescent="0.25">
      <c r="A13" s="13" t="s">
        <v>83</v>
      </c>
      <c r="B13" s="3">
        <f>Analyzed!E14/Analyzed!$CS14</f>
        <v>0.37854251012145745</v>
      </c>
      <c r="C13" s="3">
        <f>Analyzed!G14/Analyzed!$CS14</f>
        <v>0.46693657219973012</v>
      </c>
      <c r="D13" s="3">
        <f>Analyzed!I14/Analyzed!$CS14</f>
        <v>0</v>
      </c>
      <c r="E13" s="3">
        <f>Analyzed!K14/Analyzed!$CS14</f>
        <v>0</v>
      </c>
      <c r="F13" s="3">
        <f>Analyzed!M14/Analyzed!$CS14</f>
        <v>0</v>
      </c>
      <c r="G13" s="3">
        <f>Analyzed!O14/Analyzed!$CS14</f>
        <v>0</v>
      </c>
      <c r="H13" s="3">
        <f>Analyzed!Q14/Analyzed!$CS14</f>
        <v>0</v>
      </c>
      <c r="I13" s="3">
        <f>Analyzed!S14/Analyzed!$CS14</f>
        <v>0</v>
      </c>
      <c r="J13" s="3">
        <f>Analyzed!Y14/Analyzed!$CS14</f>
        <v>0</v>
      </c>
      <c r="K13" s="3">
        <f>Analyzed!AA14/Analyzed!$CS14</f>
        <v>0</v>
      </c>
      <c r="L13" s="3">
        <f>Analyzed!AC14/Analyzed!$CS14</f>
        <v>0</v>
      </c>
      <c r="M13" s="3">
        <f>Analyzed!AE14/Analyzed!$CS14</f>
        <v>0</v>
      </c>
      <c r="N13" s="3">
        <f>Analyzed!AG14/Analyzed!$CS14</f>
        <v>0</v>
      </c>
      <c r="O13" s="3">
        <f>Analyzed!AI14/Analyzed!$CS14</f>
        <v>0</v>
      </c>
      <c r="P13" s="3">
        <f>Analyzed!AK14/Analyzed!$CS14</f>
        <v>0</v>
      </c>
      <c r="Q13" s="3">
        <f>Analyzed!AM14/Analyzed!$CS14</f>
        <v>0.15452091767881243</v>
      </c>
      <c r="R13" s="3">
        <f>Analyzed!AO14/Analyzed!$CS14</f>
        <v>0</v>
      </c>
      <c r="S13" s="3">
        <f>Analyzed!AQ14/Analyzed!$CS14</f>
        <v>0</v>
      </c>
      <c r="T13" s="3">
        <f>Analyzed!AS14/Analyzed!$CS14</f>
        <v>0</v>
      </c>
      <c r="U13" s="3">
        <f>Analyzed!AU14/Analyzed!$CS14</f>
        <v>0</v>
      </c>
      <c r="V13" s="3">
        <f>Analyzed!AW14/Analyzed!$CS14</f>
        <v>0</v>
      </c>
      <c r="W13" s="3">
        <f>Analyzed!AY14/Analyzed!$CS14</f>
        <v>0</v>
      </c>
      <c r="X13" s="3">
        <f>Analyzed!BA14/Analyzed!$CS14</f>
        <v>0</v>
      </c>
      <c r="Y13" s="3">
        <f>Analyzed!BC14/Analyzed!$CS14</f>
        <v>0</v>
      </c>
      <c r="Z13" s="3">
        <f>Analyzed!BE14/Analyzed!$CS14</f>
        <v>0</v>
      </c>
      <c r="AA13" s="3">
        <f>Analyzed!BG14/Analyzed!$CS14</f>
        <v>0</v>
      </c>
    </row>
    <row r="14" spans="1:27" x14ac:dyDescent="0.25">
      <c r="A14" s="13" t="s">
        <v>84</v>
      </c>
      <c r="B14" s="3">
        <f>Analyzed!E15/Analyzed!$CS15</f>
        <v>0.46405919661733619</v>
      </c>
      <c r="C14" s="3">
        <f>Analyzed!G15/Analyzed!$CS15</f>
        <v>0.53594080338266381</v>
      </c>
      <c r="D14" s="3">
        <f>Analyzed!I15/Analyzed!$CS15</f>
        <v>0</v>
      </c>
      <c r="E14" s="3">
        <f>Analyzed!K15/Analyzed!$CS15</f>
        <v>0</v>
      </c>
      <c r="F14" s="3">
        <f>Analyzed!M15/Analyzed!$CS15</f>
        <v>0</v>
      </c>
      <c r="G14" s="3">
        <f>Analyzed!O15/Analyzed!$CS15</f>
        <v>0</v>
      </c>
      <c r="H14" s="3">
        <f>Analyzed!Q15/Analyzed!$CS15</f>
        <v>0</v>
      </c>
      <c r="I14" s="3">
        <f>Analyzed!S15/Analyzed!$CS15</f>
        <v>0</v>
      </c>
      <c r="J14" s="3">
        <f>Analyzed!Y15/Analyzed!$CS15</f>
        <v>0</v>
      </c>
      <c r="K14" s="3">
        <f>Analyzed!AA15/Analyzed!$CS15</f>
        <v>0</v>
      </c>
      <c r="L14" s="3">
        <f>Analyzed!AC15/Analyzed!$CS15</f>
        <v>0</v>
      </c>
      <c r="M14" s="3">
        <f>Analyzed!AE15/Analyzed!$CS15</f>
        <v>0</v>
      </c>
      <c r="N14" s="3">
        <f>Analyzed!AG15/Analyzed!$CS15</f>
        <v>0</v>
      </c>
      <c r="O14" s="3">
        <f>Analyzed!AI15/Analyzed!$CS15</f>
        <v>0</v>
      </c>
      <c r="P14" s="3">
        <f>Analyzed!AK15/Analyzed!$CS15</f>
        <v>0</v>
      </c>
      <c r="Q14" s="3">
        <f>Analyzed!AM15/Analyzed!$CS15</f>
        <v>0</v>
      </c>
      <c r="R14" s="3">
        <f>Analyzed!AO15/Analyzed!$CS15</f>
        <v>0</v>
      </c>
      <c r="S14" s="3">
        <f>Analyzed!AQ15/Analyzed!$CS15</f>
        <v>0</v>
      </c>
      <c r="T14" s="3">
        <f>Analyzed!AS15/Analyzed!$CS15</f>
        <v>0</v>
      </c>
      <c r="U14" s="3">
        <f>Analyzed!AU15/Analyzed!$CS15</f>
        <v>0</v>
      </c>
      <c r="V14" s="3">
        <f>Analyzed!AW15/Analyzed!$CS15</f>
        <v>0</v>
      </c>
      <c r="W14" s="3">
        <f>Analyzed!AY15/Analyzed!$CS15</f>
        <v>0</v>
      </c>
      <c r="X14" s="3">
        <f>Analyzed!BA15/Analyzed!$CS15</f>
        <v>0</v>
      </c>
      <c r="Y14" s="3">
        <f>Analyzed!BC15/Analyzed!$CS15</f>
        <v>0</v>
      </c>
      <c r="Z14" s="3">
        <f>Analyzed!BE15/Analyzed!$CS15</f>
        <v>0</v>
      </c>
      <c r="AA14" s="3">
        <f>Analyzed!BG15/Analyzed!$CS15</f>
        <v>0</v>
      </c>
    </row>
    <row r="15" spans="1:27" x14ac:dyDescent="0.25">
      <c r="A15" s="13" t="s">
        <v>85</v>
      </c>
      <c r="B15" s="3">
        <f>Analyzed!E16/Analyzed!$CS16</f>
        <v>0.27753934191702434</v>
      </c>
      <c r="C15" s="3">
        <f>Analyzed!G16/Analyzed!$CS16</f>
        <v>0.70468015532393202</v>
      </c>
      <c r="D15" s="3">
        <f>Analyzed!I16/Analyzed!$CS16</f>
        <v>0</v>
      </c>
      <c r="E15" s="3">
        <f>Analyzed!K16/Analyzed!$CS16</f>
        <v>0</v>
      </c>
      <c r="F15" s="3">
        <f>Analyzed!M16/Analyzed!$CS16</f>
        <v>0</v>
      </c>
      <c r="G15" s="3">
        <f>Analyzed!O16/Analyzed!$CS16</f>
        <v>0</v>
      </c>
      <c r="H15" s="3">
        <f>Analyzed!Q16/Analyzed!$CS16</f>
        <v>0</v>
      </c>
      <c r="I15" s="3">
        <f>Analyzed!S16/Analyzed!$CS16</f>
        <v>0</v>
      </c>
      <c r="J15" s="3">
        <f>Analyzed!Y16/Analyzed!$CS16</f>
        <v>1.7780502759043533E-2</v>
      </c>
      <c r="K15" s="3">
        <f>Analyzed!AA16/Analyzed!$CS16</f>
        <v>0</v>
      </c>
      <c r="L15" s="3">
        <f>Analyzed!AC16/Analyzed!$CS16</f>
        <v>0</v>
      </c>
      <c r="M15" s="3">
        <f>Analyzed!AE16/Analyzed!$CS16</f>
        <v>0</v>
      </c>
      <c r="N15" s="3">
        <f>Analyzed!AG16/Analyzed!$CS16</f>
        <v>0</v>
      </c>
      <c r="O15" s="3">
        <f>Analyzed!AI16/Analyzed!$CS16</f>
        <v>0</v>
      </c>
      <c r="P15" s="3">
        <f>Analyzed!AK16/Analyzed!$CS16</f>
        <v>0</v>
      </c>
      <c r="Q15" s="3">
        <f>Analyzed!AM16/Analyzed!$CS16</f>
        <v>0</v>
      </c>
      <c r="R15" s="3">
        <f>Analyzed!AO16/Analyzed!$CS16</f>
        <v>0</v>
      </c>
      <c r="S15" s="3">
        <f>Analyzed!AQ16/Analyzed!$CS16</f>
        <v>0</v>
      </c>
      <c r="T15" s="3">
        <f>Analyzed!AS16/Analyzed!$CS16</f>
        <v>0</v>
      </c>
      <c r="U15" s="3">
        <f>Analyzed!AU16/Analyzed!$CS16</f>
        <v>0</v>
      </c>
      <c r="V15" s="3">
        <f>Analyzed!AW16/Analyzed!$CS16</f>
        <v>0</v>
      </c>
      <c r="W15" s="3">
        <f>Analyzed!AY16/Analyzed!$CS16</f>
        <v>0</v>
      </c>
      <c r="X15" s="3">
        <f>Analyzed!BA16/Analyzed!$CS16</f>
        <v>0</v>
      </c>
      <c r="Y15" s="3">
        <f>Analyzed!BC16/Analyzed!$CS16</f>
        <v>0</v>
      </c>
      <c r="Z15" s="3">
        <f>Analyzed!BE16/Analyzed!$CS16</f>
        <v>0</v>
      </c>
      <c r="AA15" s="3">
        <f>Analyzed!BG16/Analyzed!$CS16</f>
        <v>0</v>
      </c>
    </row>
    <row r="16" spans="1:27" x14ac:dyDescent="0.25">
      <c r="A16" s="13" t="s">
        <v>86</v>
      </c>
      <c r="B16" s="3">
        <f>Analyzed!E17/Analyzed!$CS17</f>
        <v>0.23110785033015407</v>
      </c>
      <c r="C16" s="3">
        <f>Analyzed!G17/Analyzed!$CS17</f>
        <v>0</v>
      </c>
      <c r="D16" s="3">
        <f>Analyzed!I17/Analyzed!$CS17</f>
        <v>0</v>
      </c>
      <c r="E16" s="3">
        <f>Analyzed!K17/Analyzed!$CS17</f>
        <v>0</v>
      </c>
      <c r="F16" s="3">
        <f>Analyzed!M17/Analyzed!$CS17</f>
        <v>0</v>
      </c>
      <c r="G16" s="3">
        <f>Analyzed!O17/Analyzed!$CS17</f>
        <v>0</v>
      </c>
      <c r="H16" s="3">
        <f>Analyzed!Q17/Analyzed!$CS17</f>
        <v>0</v>
      </c>
      <c r="I16" s="3">
        <f>Analyzed!S17/Analyzed!$CS17</f>
        <v>0</v>
      </c>
      <c r="J16" s="3">
        <f>Analyzed!Y17/Analyzed!$CS17</f>
        <v>0</v>
      </c>
      <c r="K16" s="3">
        <f>Analyzed!AA17/Analyzed!$CS17</f>
        <v>0</v>
      </c>
      <c r="L16" s="3">
        <f>Analyzed!AC17/Analyzed!$CS17</f>
        <v>0</v>
      </c>
      <c r="M16" s="3">
        <f>Analyzed!AE17/Analyzed!$CS17</f>
        <v>0</v>
      </c>
      <c r="N16" s="3">
        <f>Analyzed!AG17/Analyzed!$CS17</f>
        <v>0</v>
      </c>
      <c r="O16" s="3">
        <f>Analyzed!AI17/Analyzed!$CS17</f>
        <v>0</v>
      </c>
      <c r="P16" s="3">
        <f>Analyzed!AK17/Analyzed!$CS17</f>
        <v>0</v>
      </c>
      <c r="Q16" s="3">
        <f>Analyzed!AM17/Analyzed!$CS17</f>
        <v>0.76889214966984587</v>
      </c>
      <c r="R16" s="3">
        <f>Analyzed!AO17/Analyzed!$CS17</f>
        <v>0</v>
      </c>
      <c r="S16" s="3">
        <f>Analyzed!AQ17/Analyzed!$CS17</f>
        <v>0</v>
      </c>
      <c r="T16" s="3">
        <f>Analyzed!AS17/Analyzed!$CS17</f>
        <v>0</v>
      </c>
      <c r="U16" s="3">
        <f>Analyzed!AU17/Analyzed!$CS17</f>
        <v>0</v>
      </c>
      <c r="V16" s="3">
        <f>Analyzed!AW17/Analyzed!$CS17</f>
        <v>0</v>
      </c>
      <c r="W16" s="3">
        <f>Analyzed!AY17/Analyzed!$CS17</f>
        <v>0</v>
      </c>
      <c r="X16" s="3">
        <f>Analyzed!BA17/Analyzed!$CS17</f>
        <v>0</v>
      </c>
      <c r="Y16" s="3">
        <f>Analyzed!BC17/Analyzed!$CS17</f>
        <v>0</v>
      </c>
      <c r="Z16" s="3">
        <f>Analyzed!BE17/Analyzed!$CS17</f>
        <v>0</v>
      </c>
      <c r="AA16" s="3">
        <f>Analyzed!BG17/Analyzed!$CS17</f>
        <v>0</v>
      </c>
    </row>
    <row r="17" spans="1:27" x14ac:dyDescent="0.25">
      <c r="A17" s="13" t="s">
        <v>90</v>
      </c>
      <c r="B17" s="3">
        <f>Analyzed!E18/Analyzed!$CS18</f>
        <v>3.7581395348837213E-2</v>
      </c>
      <c r="C17" s="3">
        <f>Analyzed!G18/Analyzed!$CS18</f>
        <v>1.9162790697674421E-2</v>
      </c>
      <c r="D17" s="3">
        <f>Analyzed!I18/Analyzed!$CS18</f>
        <v>0</v>
      </c>
      <c r="E17" s="3">
        <f>Analyzed!K18/Analyzed!$CS18</f>
        <v>0</v>
      </c>
      <c r="F17" s="3">
        <f>Analyzed!M18/Analyzed!$CS18</f>
        <v>0</v>
      </c>
      <c r="G17" s="3">
        <f>Analyzed!O18/Analyzed!$CS18</f>
        <v>0</v>
      </c>
      <c r="H17" s="3">
        <f>Analyzed!Q18/Analyzed!$CS18</f>
        <v>1.5813953488372087E-3</v>
      </c>
      <c r="I17" s="3">
        <f>Analyzed!S18/Analyzed!$CS18</f>
        <v>0</v>
      </c>
      <c r="J17" s="3">
        <f>Analyzed!Y18/Analyzed!$CS18</f>
        <v>1.0511627906976743E-2</v>
      </c>
      <c r="K17" s="3">
        <f>Analyzed!AA18/Analyzed!$CS18</f>
        <v>0</v>
      </c>
      <c r="L17" s="3">
        <f>Analyzed!AC18/Analyzed!$CS18</f>
        <v>0</v>
      </c>
      <c r="M17" s="3">
        <f>Analyzed!AE18/Analyzed!$CS18</f>
        <v>1.5162790697674419E-2</v>
      </c>
      <c r="N17" s="3">
        <f>Analyzed!AG18/Analyzed!$CS18</f>
        <v>0</v>
      </c>
      <c r="O17" s="3">
        <f>Analyzed!AI18/Analyzed!$CS18</f>
        <v>0.22716279069767442</v>
      </c>
      <c r="P17" s="3">
        <f>Analyzed!AK18/Analyzed!$CS18</f>
        <v>0</v>
      </c>
      <c r="Q17" s="3">
        <f>Analyzed!AM18/Analyzed!$CS18</f>
        <v>0</v>
      </c>
      <c r="R17" s="3">
        <f>Analyzed!AO18/Analyzed!$CS18</f>
        <v>0</v>
      </c>
      <c r="S17" s="3">
        <f>Analyzed!AQ18/Analyzed!$CS18</f>
        <v>0</v>
      </c>
      <c r="T17" s="3">
        <f>Analyzed!AS18/Analyzed!$CS18</f>
        <v>0</v>
      </c>
      <c r="U17" s="3">
        <f>Analyzed!AU18/Analyzed!$CS18</f>
        <v>0</v>
      </c>
      <c r="V17" s="3">
        <f>Analyzed!AW18/Analyzed!$CS18</f>
        <v>0</v>
      </c>
      <c r="W17" s="3">
        <f>Analyzed!AY18/Analyzed!$CS18</f>
        <v>0</v>
      </c>
      <c r="X17" s="3">
        <f>Analyzed!BA18/Analyzed!$CS18</f>
        <v>0.33683720930232558</v>
      </c>
      <c r="Y17" s="3">
        <f>Analyzed!BC18/Analyzed!$CS18</f>
        <v>1.5162790697674419E-2</v>
      </c>
      <c r="Z17" s="3">
        <f>Analyzed!BE18/Analyzed!$CS18</f>
        <v>0</v>
      </c>
      <c r="AA17" s="3">
        <f>Analyzed!BG18/Analyzed!$CS18</f>
        <v>0</v>
      </c>
    </row>
    <row r="18" spans="1:27" x14ac:dyDescent="0.25">
      <c r="A18" s="13" t="s">
        <v>91</v>
      </c>
      <c r="B18" s="3">
        <f>Analyzed!E19/Analyzed!$CS19</f>
        <v>0.51833234772324066</v>
      </c>
      <c r="C18" s="3">
        <f>Analyzed!G19/Analyzed!$CS19</f>
        <v>9.4618568894145431E-3</v>
      </c>
      <c r="D18" s="3">
        <f>Analyzed!I19/Analyzed!$CS19</f>
        <v>0</v>
      </c>
      <c r="E18" s="3">
        <f>Analyzed!K19/Analyzed!$CS19</f>
        <v>0</v>
      </c>
      <c r="F18" s="3">
        <f>Analyzed!M19/Analyzed!$CS19</f>
        <v>0</v>
      </c>
      <c r="G18" s="3">
        <f>Analyzed!O19/Analyzed!$CS19</f>
        <v>0</v>
      </c>
      <c r="H18" s="3">
        <f>Analyzed!Q19/Analyzed!$CS19</f>
        <v>0.31697220579538732</v>
      </c>
      <c r="I18" s="3">
        <f>Analyzed!S19/Analyzed!$CS19</f>
        <v>0</v>
      </c>
      <c r="J18" s="3">
        <f>Analyzed!Y19/Analyzed!$CS19</f>
        <v>5.7953873447664103E-2</v>
      </c>
      <c r="K18" s="3">
        <f>Analyzed!AA19/Analyzed!$CS19</f>
        <v>0</v>
      </c>
      <c r="L18" s="3">
        <f>Analyzed!AC19/Analyzed!$CS19</f>
        <v>0</v>
      </c>
      <c r="M18" s="3">
        <f>Analyzed!AE19/Analyzed!$CS19</f>
        <v>0</v>
      </c>
      <c r="N18" s="3">
        <f>Analyzed!AG19/Analyzed!$CS19</f>
        <v>0</v>
      </c>
      <c r="O18" s="3">
        <f>Analyzed!AI19/Analyzed!$CS19</f>
        <v>0</v>
      </c>
      <c r="P18" s="3">
        <f>Analyzed!AK19/Analyzed!$CS19</f>
        <v>0</v>
      </c>
      <c r="Q18" s="3">
        <f>Analyzed!AM19/Analyzed!$CS19</f>
        <v>9.7279716144293274E-2</v>
      </c>
      <c r="R18" s="3">
        <f>Analyzed!AO19/Analyzed!$CS19</f>
        <v>0</v>
      </c>
      <c r="S18" s="3">
        <f>Analyzed!AQ19/Analyzed!$CS19</f>
        <v>0</v>
      </c>
      <c r="T18" s="3">
        <f>Analyzed!AS19/Analyzed!$CS19</f>
        <v>0</v>
      </c>
      <c r="U18" s="3">
        <f>Analyzed!AU19/Analyzed!$CS19</f>
        <v>0</v>
      </c>
      <c r="V18" s="3">
        <f>Analyzed!AW19/Analyzed!$CS19</f>
        <v>0</v>
      </c>
      <c r="W18" s="3">
        <f>Analyzed!AY19/Analyzed!$CS19</f>
        <v>0</v>
      </c>
      <c r="X18" s="3">
        <f>Analyzed!BA19/Analyzed!$CS19</f>
        <v>0</v>
      </c>
      <c r="Y18" s="3">
        <f>Analyzed!BC19/Analyzed!$CS19</f>
        <v>0</v>
      </c>
      <c r="Z18" s="3">
        <f>Analyzed!BE19/Analyzed!$CS19</f>
        <v>0</v>
      </c>
      <c r="AA18" s="3">
        <f>Analyzed!BG19/Analyzed!$CS19</f>
        <v>0</v>
      </c>
    </row>
    <row r="19" spans="1:27" x14ac:dyDescent="0.25">
      <c r="A19" s="13" t="s">
        <v>92</v>
      </c>
      <c r="B19" s="3">
        <f>Analyzed!E20/Analyzed!$CS20</f>
        <v>0.74090682610861991</v>
      </c>
      <c r="C19" s="3">
        <f>Analyzed!G20/Analyzed!$CS20</f>
        <v>0</v>
      </c>
      <c r="D19" s="3">
        <f>Analyzed!I20/Analyzed!$CS20</f>
        <v>0</v>
      </c>
      <c r="E19" s="3">
        <f>Analyzed!K20/Analyzed!$CS20</f>
        <v>0</v>
      </c>
      <c r="F19" s="3">
        <f>Analyzed!M20/Analyzed!$CS20</f>
        <v>0</v>
      </c>
      <c r="G19" s="3">
        <f>Analyzed!O20/Analyzed!$CS20</f>
        <v>0</v>
      </c>
      <c r="H19" s="3">
        <f>Analyzed!Q20/Analyzed!$CS20</f>
        <v>0</v>
      </c>
      <c r="I19" s="3">
        <f>Analyzed!S20/Analyzed!$CS20</f>
        <v>0</v>
      </c>
      <c r="J19" s="3">
        <f>Analyzed!Y20/Analyzed!$CS20</f>
        <v>2.8898854010961636E-2</v>
      </c>
      <c r="K19" s="3">
        <f>Analyzed!AA20/Analyzed!$CS20</f>
        <v>0</v>
      </c>
      <c r="L19" s="3">
        <f>Analyzed!AC20/Analyzed!$CS20</f>
        <v>0</v>
      </c>
      <c r="M19" s="3">
        <f>Analyzed!AE20/Analyzed!$CS20</f>
        <v>0</v>
      </c>
      <c r="N19" s="3">
        <f>Analyzed!AG20/Analyzed!$CS20</f>
        <v>0</v>
      </c>
      <c r="O19" s="3">
        <f>Analyzed!AI20/Analyzed!$CS20</f>
        <v>0.2301943198804185</v>
      </c>
      <c r="P19" s="3">
        <f>Analyzed!AK20/Analyzed!$CS20</f>
        <v>0</v>
      </c>
      <c r="Q19" s="3">
        <f>Analyzed!AM20/Analyzed!$CS20</f>
        <v>0</v>
      </c>
      <c r="R19" s="3">
        <f>Analyzed!AO20/Analyzed!$CS20</f>
        <v>0</v>
      </c>
      <c r="S19" s="3">
        <f>Analyzed!AQ20/Analyzed!$CS20</f>
        <v>0</v>
      </c>
      <c r="T19" s="3">
        <f>Analyzed!AS20/Analyzed!$CS20</f>
        <v>0</v>
      </c>
      <c r="U19" s="3">
        <f>Analyzed!AU20/Analyzed!$CS20</f>
        <v>0</v>
      </c>
      <c r="V19" s="3">
        <f>Analyzed!AW20/Analyzed!$CS20</f>
        <v>0</v>
      </c>
      <c r="W19" s="3">
        <f>Analyzed!AY20/Analyzed!$CS20</f>
        <v>0</v>
      </c>
      <c r="X19" s="3">
        <f>Analyzed!BA20/Analyzed!$CS20</f>
        <v>0</v>
      </c>
      <c r="Y19" s="3">
        <f>Analyzed!BC20/Analyzed!$CS20</f>
        <v>0</v>
      </c>
      <c r="Z19" s="3">
        <f>Analyzed!BE20/Analyzed!$CS20</f>
        <v>0</v>
      </c>
      <c r="AA19" s="3">
        <f>Analyzed!BG20/Analyzed!$CS20</f>
        <v>0</v>
      </c>
    </row>
    <row r="20" spans="1:27" x14ac:dyDescent="0.25">
      <c r="A20" s="13" t="s">
        <v>93</v>
      </c>
      <c r="B20" s="3">
        <f>Analyzed!E21/Analyzed!$CS21</f>
        <v>0.30644297697661965</v>
      </c>
      <c r="C20" s="3">
        <f>Analyzed!G21/Analyzed!$CS21</f>
        <v>0</v>
      </c>
      <c r="D20" s="3">
        <f>Analyzed!I21/Analyzed!$CS21</f>
        <v>0</v>
      </c>
      <c r="E20" s="3">
        <f>Analyzed!K21/Analyzed!$CS21</f>
        <v>0</v>
      </c>
      <c r="F20" s="3">
        <f>Analyzed!M21/Analyzed!$CS21</f>
        <v>0</v>
      </c>
      <c r="G20" s="3">
        <f>Analyzed!O21/Analyzed!$CS21</f>
        <v>0</v>
      </c>
      <c r="H20" s="3">
        <f>Analyzed!Q21/Analyzed!$CS21</f>
        <v>0</v>
      </c>
      <c r="I20" s="3">
        <f>Analyzed!S21/Analyzed!$CS21</f>
        <v>0</v>
      </c>
      <c r="J20" s="3">
        <f>Analyzed!Y21/Analyzed!$CS21</f>
        <v>2.766375156166339E-2</v>
      </c>
      <c r="K20" s="3">
        <f>Analyzed!AA21/Analyzed!$CS21</f>
        <v>0</v>
      </c>
      <c r="L20" s="3">
        <f>Analyzed!AC21/Analyzed!$CS21</f>
        <v>0</v>
      </c>
      <c r="M20" s="3">
        <f>Analyzed!AE21/Analyzed!$CS21</f>
        <v>0</v>
      </c>
      <c r="N20" s="3">
        <f>Analyzed!AG21/Analyzed!$CS21</f>
        <v>0</v>
      </c>
      <c r="O20" s="3">
        <f>Analyzed!AI21/Analyzed!$CS21</f>
        <v>0</v>
      </c>
      <c r="P20" s="3">
        <f>Analyzed!AK21/Analyzed!$CS21</f>
        <v>0</v>
      </c>
      <c r="Q20" s="3">
        <f>Analyzed!AM21/Analyzed!$CS21</f>
        <v>0.66589327146171695</v>
      </c>
      <c r="R20" s="3">
        <f>Analyzed!AO21/Analyzed!$CS21</f>
        <v>0</v>
      </c>
      <c r="S20" s="3">
        <f>Analyzed!AQ21/Analyzed!$CS21</f>
        <v>0</v>
      </c>
      <c r="T20" s="3">
        <f>Analyzed!AS21/Analyzed!$CS21</f>
        <v>0</v>
      </c>
      <c r="U20" s="3">
        <f>Analyzed!AU21/Analyzed!$CS21</f>
        <v>0</v>
      </c>
      <c r="V20" s="3">
        <f>Analyzed!AW21/Analyzed!$CS21</f>
        <v>0</v>
      </c>
      <c r="W20" s="3">
        <f>Analyzed!AY21/Analyzed!$CS21</f>
        <v>0</v>
      </c>
      <c r="X20" s="3">
        <f>Analyzed!BA21/Analyzed!$CS21</f>
        <v>0</v>
      </c>
      <c r="Y20" s="3">
        <f>Analyzed!BC21/Analyzed!$CS21</f>
        <v>0</v>
      </c>
      <c r="Z20" s="3">
        <f>Analyzed!BE21/Analyzed!$CS21</f>
        <v>0</v>
      </c>
      <c r="AA20" s="3">
        <f>Analyzed!BG21/Analyzed!$CS21</f>
        <v>0</v>
      </c>
    </row>
    <row r="21" spans="1:27" x14ac:dyDescent="0.25">
      <c r="A21" s="13" t="s">
        <v>18</v>
      </c>
      <c r="B21" s="3">
        <f>Analyzed!E22/Analyzed!$CS22</f>
        <v>0.97304023226876812</v>
      </c>
      <c r="C21" s="3">
        <f>Analyzed!G22/Analyzed!$CS22</f>
        <v>4.1476565740356701E-3</v>
      </c>
      <c r="D21" s="3">
        <f>Analyzed!I22/Analyzed!$CS22</f>
        <v>0</v>
      </c>
      <c r="E21" s="3">
        <f>Analyzed!K22/Analyzed!$CS22</f>
        <v>2.2812111157196186E-2</v>
      </c>
      <c r="F21" s="3">
        <f>Analyzed!M22/Analyzed!$CS22</f>
        <v>0</v>
      </c>
      <c r="G21" s="3">
        <f>Analyzed!O22/Analyzed!$CS22</f>
        <v>0</v>
      </c>
      <c r="H21" s="3">
        <f>Analyzed!Q22/Analyzed!$CS22</f>
        <v>0</v>
      </c>
      <c r="I21" s="3">
        <f>Analyzed!S22/Analyzed!$CS22</f>
        <v>0</v>
      </c>
      <c r="J21" s="3">
        <f>Analyzed!Y22/Analyzed!$CS22</f>
        <v>0</v>
      </c>
      <c r="K21" s="3">
        <f>Analyzed!AA22/Analyzed!$CS22</f>
        <v>0</v>
      </c>
      <c r="L21" s="3">
        <f>Analyzed!AC22/Analyzed!$CS22</f>
        <v>0</v>
      </c>
      <c r="M21" s="3">
        <f>Analyzed!AE22/Analyzed!$CS22</f>
        <v>0</v>
      </c>
      <c r="N21" s="3">
        <f>Analyzed!AG22/Analyzed!$CS22</f>
        <v>0</v>
      </c>
      <c r="O21" s="3">
        <f>Analyzed!AI22/Analyzed!$CS22</f>
        <v>0</v>
      </c>
      <c r="P21" s="3">
        <f>Analyzed!AK22/Analyzed!$CS22</f>
        <v>0</v>
      </c>
      <c r="Q21" s="3">
        <f>Analyzed!AM22/Analyzed!$CS22</f>
        <v>0</v>
      </c>
      <c r="R21" s="3">
        <f>Analyzed!AO22/Analyzed!$CS22</f>
        <v>0</v>
      </c>
      <c r="S21" s="3">
        <f>Analyzed!AQ22/Analyzed!$CS22</f>
        <v>0</v>
      </c>
      <c r="T21" s="3">
        <f>Analyzed!AS22/Analyzed!$CS22</f>
        <v>0</v>
      </c>
      <c r="U21" s="3">
        <f>Analyzed!AU22/Analyzed!$CS22</f>
        <v>0</v>
      </c>
      <c r="V21" s="3">
        <f>Analyzed!AW22/Analyzed!$CS22</f>
        <v>0</v>
      </c>
      <c r="W21" s="3">
        <f>Analyzed!AY22/Analyzed!$CS22</f>
        <v>0</v>
      </c>
      <c r="X21" s="3">
        <f>Analyzed!BA22/Analyzed!$CS22</f>
        <v>0</v>
      </c>
      <c r="Y21" s="3">
        <f>Analyzed!BC22/Analyzed!$CS22</f>
        <v>0</v>
      </c>
      <c r="Z21" s="3">
        <f>Analyzed!BE22/Analyzed!$CS22</f>
        <v>0</v>
      </c>
      <c r="AA21" s="3">
        <f>Analyzed!BG22/Analyzed!$CS22</f>
        <v>0</v>
      </c>
    </row>
    <row r="22" spans="1:27" x14ac:dyDescent="0.25">
      <c r="A22" s="13" t="s">
        <v>19</v>
      </c>
      <c r="B22" s="3">
        <f>Analyzed!E23/Analyzed!$CS23</f>
        <v>0.98393316195372749</v>
      </c>
      <c r="C22" s="3">
        <f>Analyzed!G23/Analyzed!$CS23</f>
        <v>9.640102827763496E-3</v>
      </c>
      <c r="D22" s="3">
        <f>Analyzed!I23/Analyzed!$CS23</f>
        <v>0</v>
      </c>
      <c r="E22" s="3">
        <f>Analyzed!K23/Analyzed!$CS23</f>
        <v>0</v>
      </c>
      <c r="F22" s="3">
        <f>Analyzed!M23/Analyzed!$CS23</f>
        <v>0</v>
      </c>
      <c r="G22" s="3">
        <f>Analyzed!O23/Analyzed!$CS23</f>
        <v>0</v>
      </c>
      <c r="H22" s="3">
        <f>Analyzed!Q23/Analyzed!$CS23</f>
        <v>6.1053984575835472E-3</v>
      </c>
      <c r="I22" s="3">
        <f>Analyzed!S23/Analyzed!$CS23</f>
        <v>0</v>
      </c>
      <c r="J22" s="3">
        <f>Analyzed!Y23/Analyzed!$CS23</f>
        <v>0</v>
      </c>
      <c r="K22" s="3">
        <f>Analyzed!AA23/Analyzed!$CS23</f>
        <v>0</v>
      </c>
      <c r="L22" s="3">
        <f>Analyzed!AC23/Analyzed!$CS23</f>
        <v>0</v>
      </c>
      <c r="M22" s="3">
        <f>Analyzed!AE23/Analyzed!$CS23</f>
        <v>0</v>
      </c>
      <c r="N22" s="3">
        <f>Analyzed!AG23/Analyzed!$CS23</f>
        <v>0</v>
      </c>
      <c r="O22" s="3">
        <f>Analyzed!AI23/Analyzed!$CS23</f>
        <v>0</v>
      </c>
      <c r="P22" s="3">
        <f>Analyzed!AK23/Analyzed!$CS23</f>
        <v>0</v>
      </c>
      <c r="Q22" s="3">
        <f>Analyzed!AM23/Analyzed!$CS23</f>
        <v>3.2133676092544985E-4</v>
      </c>
      <c r="R22" s="3">
        <f>Analyzed!AO23/Analyzed!$CS23</f>
        <v>0</v>
      </c>
      <c r="S22" s="3">
        <f>Analyzed!AQ23/Analyzed!$CS23</f>
        <v>0</v>
      </c>
      <c r="T22" s="3">
        <f>Analyzed!AS23/Analyzed!$CS23</f>
        <v>0</v>
      </c>
      <c r="U22" s="3">
        <f>Analyzed!AU23/Analyzed!$CS23</f>
        <v>0</v>
      </c>
      <c r="V22" s="3">
        <f>Analyzed!AW23/Analyzed!$CS23</f>
        <v>0</v>
      </c>
      <c r="W22" s="3">
        <f>Analyzed!AY23/Analyzed!$CS23</f>
        <v>0</v>
      </c>
      <c r="X22" s="3">
        <f>Analyzed!BA23/Analyzed!$CS23</f>
        <v>0</v>
      </c>
      <c r="Y22" s="3">
        <f>Analyzed!BC23/Analyzed!$CS23</f>
        <v>0</v>
      </c>
      <c r="Z22" s="3">
        <f>Analyzed!BE23/Analyzed!$CS23</f>
        <v>0</v>
      </c>
      <c r="AA22" s="3">
        <f>Analyzed!BG23/Analyzed!$CS23</f>
        <v>0</v>
      </c>
    </row>
    <row r="23" spans="1:27" x14ac:dyDescent="0.25">
      <c r="A23" s="13" t="s">
        <v>20</v>
      </c>
      <c r="B23" s="3">
        <f>Analyzed!E24/Analyzed!$CS24</f>
        <v>0.81584821428571419</v>
      </c>
      <c r="C23" s="3">
        <f>Analyzed!G24/Analyzed!$CS24</f>
        <v>2.0647321428571432E-2</v>
      </c>
      <c r="D23" s="3">
        <f>Analyzed!I24/Analyzed!$CS24</f>
        <v>0</v>
      </c>
      <c r="E23" s="3">
        <f>Analyzed!K24/Analyzed!$CS24</f>
        <v>2.232142857142857E-3</v>
      </c>
      <c r="F23" s="3">
        <f>Analyzed!M24/Analyzed!$CS24</f>
        <v>0</v>
      </c>
      <c r="G23" s="3">
        <f>Analyzed!O24/Analyzed!$CS24</f>
        <v>0</v>
      </c>
      <c r="H23" s="3">
        <f>Analyzed!Q24/Analyzed!$CS24</f>
        <v>6.2500000000000014E-2</v>
      </c>
      <c r="I23" s="3">
        <f>Analyzed!S24/Analyzed!$CS24</f>
        <v>0</v>
      </c>
      <c r="J23" s="3">
        <f>Analyzed!Y24/Analyzed!$CS24</f>
        <v>1.6183035714285716E-2</v>
      </c>
      <c r="K23" s="3">
        <f>Analyzed!AA24/Analyzed!$CS24</f>
        <v>0</v>
      </c>
      <c r="L23" s="3">
        <f>Analyzed!AC24/Analyzed!$CS24</f>
        <v>0</v>
      </c>
      <c r="M23" s="3">
        <f>Analyzed!AE24/Analyzed!$CS24</f>
        <v>0</v>
      </c>
      <c r="N23" s="3">
        <f>Analyzed!AG24/Analyzed!$CS24</f>
        <v>0</v>
      </c>
      <c r="O23" s="3">
        <f>Analyzed!AI24/Analyzed!$CS24</f>
        <v>8.2589285714285726E-2</v>
      </c>
      <c r="P23" s="3">
        <f>Analyzed!AK24/Analyzed!$CS24</f>
        <v>0</v>
      </c>
      <c r="Q23" s="3">
        <f>Analyzed!AM24/Analyzed!$CS24</f>
        <v>0</v>
      </c>
      <c r="R23" s="3">
        <f>Analyzed!AO24/Analyzed!$CS24</f>
        <v>0</v>
      </c>
      <c r="S23" s="3">
        <f>Analyzed!AQ24/Analyzed!$CS24</f>
        <v>0</v>
      </c>
      <c r="T23" s="3">
        <f>Analyzed!AS24/Analyzed!$CS24</f>
        <v>0</v>
      </c>
      <c r="U23" s="3">
        <f>Analyzed!AU24/Analyzed!$CS24</f>
        <v>0</v>
      </c>
      <c r="V23" s="3">
        <f>Analyzed!AW24/Analyzed!$CS24</f>
        <v>0</v>
      </c>
      <c r="W23" s="3">
        <f>Analyzed!AY24/Analyzed!$CS24</f>
        <v>0</v>
      </c>
      <c r="X23" s="3">
        <f>Analyzed!BA24/Analyzed!$CS24</f>
        <v>0</v>
      </c>
      <c r="Y23" s="3">
        <f>Analyzed!BC24/Analyzed!$CS24</f>
        <v>0</v>
      </c>
      <c r="Z23" s="3">
        <f>Analyzed!BE24/Analyzed!$CS24</f>
        <v>0</v>
      </c>
      <c r="AA23" s="3">
        <f>Analyzed!BG24/Analyzed!$CS24</f>
        <v>0</v>
      </c>
    </row>
    <row r="24" spans="1:27" x14ac:dyDescent="0.25">
      <c r="A24" s="13" t="s">
        <v>21</v>
      </c>
      <c r="B24" s="3">
        <f>Analyzed!E25/Analyzed!$CS25</f>
        <v>0.92415827837556408</v>
      </c>
      <c r="C24" s="3">
        <f>Analyzed!G25/Analyzed!$CS25</f>
        <v>4.8594238111766752E-3</v>
      </c>
      <c r="D24" s="3">
        <f>Analyzed!I25/Analyzed!$CS25</f>
        <v>1.0065949323151682E-2</v>
      </c>
      <c r="E24" s="3">
        <f>Analyzed!K25/Analyzed!$CS25</f>
        <v>0</v>
      </c>
      <c r="F24" s="3">
        <f>Analyzed!M25/Analyzed!$CS25</f>
        <v>0</v>
      </c>
      <c r="G24" s="3">
        <f>Analyzed!O25/Analyzed!$CS25</f>
        <v>0</v>
      </c>
      <c r="H24" s="3">
        <f>Analyzed!Q25/Analyzed!$CS25</f>
        <v>6.0048594238111763E-2</v>
      </c>
      <c r="I24" s="3">
        <f>Analyzed!S25/Analyzed!$CS25</f>
        <v>0</v>
      </c>
      <c r="J24" s="3">
        <f>Analyzed!Y25/Analyzed!$CS25</f>
        <v>0</v>
      </c>
      <c r="K24" s="3">
        <f>Analyzed!AA25/Analyzed!$CS25</f>
        <v>0</v>
      </c>
      <c r="L24" s="3">
        <f>Analyzed!AC25/Analyzed!$CS25</f>
        <v>0</v>
      </c>
      <c r="M24" s="3">
        <f>Analyzed!AE25/Analyzed!$CS25</f>
        <v>0</v>
      </c>
      <c r="N24" s="3">
        <f>Analyzed!AG25/Analyzed!$CS25</f>
        <v>6.9420340159666782E-4</v>
      </c>
      <c r="O24" s="3">
        <f>Analyzed!AI25/Analyzed!$CS25</f>
        <v>0</v>
      </c>
      <c r="P24" s="3">
        <f>Analyzed!AK25/Analyzed!$CS25</f>
        <v>1.7355085039916696E-4</v>
      </c>
      <c r="Q24" s="3">
        <f>Analyzed!AM25/Analyzed!$CS25</f>
        <v>0</v>
      </c>
      <c r="R24" s="3">
        <f>Analyzed!AO25/Analyzed!$CS25</f>
        <v>0</v>
      </c>
      <c r="S24" s="3">
        <f>Analyzed!AQ25/Analyzed!$CS25</f>
        <v>0</v>
      </c>
      <c r="T24" s="3">
        <f>Analyzed!AS25/Analyzed!$CS25</f>
        <v>0</v>
      </c>
      <c r="U24" s="3">
        <f>Analyzed!AU25/Analyzed!$CS25</f>
        <v>0</v>
      </c>
      <c r="V24" s="3">
        <f>Analyzed!AW25/Analyzed!$CS25</f>
        <v>0</v>
      </c>
      <c r="W24" s="3">
        <f>Analyzed!AY25/Analyzed!$CS25</f>
        <v>0</v>
      </c>
      <c r="X24" s="3">
        <f>Analyzed!BA25/Analyzed!$CS25</f>
        <v>0</v>
      </c>
      <c r="Y24" s="3">
        <f>Analyzed!BC25/Analyzed!$CS25</f>
        <v>0</v>
      </c>
      <c r="Z24" s="3">
        <f>Analyzed!BE25/Analyzed!$CS25</f>
        <v>0</v>
      </c>
      <c r="AA24" s="3">
        <f>Analyzed!BG25/Analyzed!$CS25</f>
        <v>0</v>
      </c>
    </row>
    <row r="25" spans="1:27" x14ac:dyDescent="0.25">
      <c r="A25" s="13" t="s">
        <v>22</v>
      </c>
      <c r="B25" s="3">
        <f>Analyzed!E26/Analyzed!$CS26</f>
        <v>0.77931176591798879</v>
      </c>
      <c r="C25" s="3">
        <f>Analyzed!G26/Analyzed!$CS26</f>
        <v>2.6787554090253454E-3</v>
      </c>
      <c r="D25" s="3">
        <f>Analyzed!I26/Analyzed!$CS26</f>
        <v>0</v>
      </c>
      <c r="E25" s="3">
        <f>Analyzed!K26/Analyzed!$CS26</f>
        <v>0</v>
      </c>
      <c r="F25" s="3">
        <f>Analyzed!M26/Analyzed!$CS26</f>
        <v>0</v>
      </c>
      <c r="G25" s="3">
        <f>Analyzed!O26/Analyzed!$CS26</f>
        <v>0</v>
      </c>
      <c r="H25" s="3">
        <f>Analyzed!Q26/Analyzed!$CS26</f>
        <v>0.18648258808984133</v>
      </c>
      <c r="I25" s="3">
        <f>Analyzed!S26/Analyzed!$CS26</f>
        <v>0</v>
      </c>
      <c r="J25" s="3">
        <f>Analyzed!Y26/Analyzed!$CS26</f>
        <v>2.5757263548320624E-2</v>
      </c>
      <c r="K25" s="3">
        <f>Analyzed!AA26/Analyzed!$CS26</f>
        <v>0</v>
      </c>
      <c r="L25" s="3">
        <f>Analyzed!AC26/Analyzed!$CS26</f>
        <v>0</v>
      </c>
      <c r="M25" s="3">
        <f>Analyzed!AE26/Analyzed!$CS26</f>
        <v>0</v>
      </c>
      <c r="N25" s="3">
        <f>Analyzed!AG26/Analyzed!$CS26</f>
        <v>0</v>
      </c>
      <c r="O25" s="3">
        <f>Analyzed!AI26/Analyzed!$CS26</f>
        <v>0</v>
      </c>
      <c r="P25" s="3">
        <f>Analyzed!AK26/Analyzed!$CS26</f>
        <v>0</v>
      </c>
      <c r="Q25" s="3">
        <f>Analyzed!AM26/Analyzed!$CS26</f>
        <v>5.7696270348238203E-3</v>
      </c>
      <c r="R25" s="3">
        <f>Analyzed!AO26/Analyzed!$CS26</f>
        <v>0</v>
      </c>
      <c r="S25" s="3">
        <f>Analyzed!AQ26/Analyzed!$CS26</f>
        <v>0</v>
      </c>
      <c r="T25" s="3">
        <f>Analyzed!AS26/Analyzed!$CS26</f>
        <v>0</v>
      </c>
      <c r="U25" s="3">
        <f>Analyzed!AU26/Analyzed!$CS26</f>
        <v>0</v>
      </c>
      <c r="V25" s="3">
        <f>Analyzed!AW26/Analyzed!$CS26</f>
        <v>0</v>
      </c>
      <c r="W25" s="3">
        <f>Analyzed!AY26/Analyzed!$CS26</f>
        <v>0</v>
      </c>
      <c r="X25" s="3">
        <f>Analyzed!BA26/Analyzed!$CS26</f>
        <v>0</v>
      </c>
      <c r="Y25" s="3">
        <f>Analyzed!BC26/Analyzed!$CS26</f>
        <v>0</v>
      </c>
      <c r="Z25" s="3">
        <f>Analyzed!BE26/Analyzed!$CS26</f>
        <v>0</v>
      </c>
      <c r="AA25" s="3">
        <f>Analyzed!BG26/Analyzed!$CS26</f>
        <v>0</v>
      </c>
    </row>
    <row r="26" spans="1:27" x14ac:dyDescent="0.25">
      <c r="A26" s="13" t="s">
        <v>23</v>
      </c>
      <c r="B26" s="3">
        <f>Analyzed!E27/Analyzed!$CS27</f>
        <v>0.12201963534361851</v>
      </c>
      <c r="C26" s="3">
        <f>Analyzed!G27/Analyzed!$CS27</f>
        <v>3.7400654511453948E-3</v>
      </c>
      <c r="D26" s="3">
        <f>Analyzed!I27/Analyzed!$CS27</f>
        <v>0</v>
      </c>
      <c r="E26" s="3">
        <f>Analyzed!K27/Analyzed!$CS27</f>
        <v>0</v>
      </c>
      <c r="F26" s="3">
        <f>Analyzed!M27/Analyzed!$CS27</f>
        <v>0</v>
      </c>
      <c r="G26" s="3">
        <f>Analyzed!O27/Analyzed!$CS27</f>
        <v>0</v>
      </c>
      <c r="H26" s="3">
        <f>Analyzed!Q27/Analyzed!$CS27</f>
        <v>0.62131837307152871</v>
      </c>
      <c r="I26" s="3">
        <f>Analyzed!S27/Analyzed!$CS27</f>
        <v>0</v>
      </c>
      <c r="J26" s="3">
        <f>Analyzed!Y27/Analyzed!$CS27</f>
        <v>0.23655913978494625</v>
      </c>
      <c r="K26" s="3">
        <f>Analyzed!AA27/Analyzed!$CS27</f>
        <v>0</v>
      </c>
      <c r="L26" s="3">
        <f>Analyzed!AC27/Analyzed!$CS27</f>
        <v>0</v>
      </c>
      <c r="M26" s="3">
        <f>Analyzed!AE27/Analyzed!$CS27</f>
        <v>0</v>
      </c>
      <c r="N26" s="3">
        <f>Analyzed!AG27/Analyzed!$CS27</f>
        <v>4.6750818139317435E-4</v>
      </c>
      <c r="O26" s="3">
        <f>Analyzed!AI27/Analyzed!$CS27</f>
        <v>1.5895278167367927E-2</v>
      </c>
      <c r="P26" s="3">
        <f>Analyzed!AK27/Analyzed!$CS27</f>
        <v>0</v>
      </c>
      <c r="Q26" s="3">
        <f>Analyzed!AM27/Analyzed!$CS27</f>
        <v>0</v>
      </c>
      <c r="R26" s="3">
        <f>Analyzed!AO27/Analyzed!$CS27</f>
        <v>0</v>
      </c>
      <c r="S26" s="3">
        <f>Analyzed!AQ27/Analyzed!$CS27</f>
        <v>0</v>
      </c>
      <c r="T26" s="3">
        <f>Analyzed!AS27/Analyzed!$CS27</f>
        <v>0</v>
      </c>
      <c r="U26" s="3">
        <f>Analyzed!AU27/Analyzed!$CS27</f>
        <v>0</v>
      </c>
      <c r="V26" s="3">
        <f>Analyzed!AW27/Analyzed!$CS27</f>
        <v>0</v>
      </c>
      <c r="W26" s="3">
        <f>Analyzed!AY27/Analyzed!$CS27</f>
        <v>0</v>
      </c>
      <c r="X26" s="3">
        <f>Analyzed!BA27/Analyzed!$CS27</f>
        <v>0</v>
      </c>
      <c r="Y26" s="3">
        <f>Analyzed!BC27/Analyzed!$CS27</f>
        <v>0</v>
      </c>
      <c r="Z26" s="3">
        <f>Analyzed!BE27/Analyzed!$CS27</f>
        <v>0</v>
      </c>
      <c r="AA26" s="3">
        <f>Analyzed!BG27/Analyzed!$CS27</f>
        <v>0</v>
      </c>
    </row>
    <row r="27" spans="1:27" x14ac:dyDescent="0.25">
      <c r="A27" s="13" t="s">
        <v>24</v>
      </c>
      <c r="B27" s="3">
        <f>Analyzed!E28/Analyzed!$CS28</f>
        <v>0.78045685279187815</v>
      </c>
      <c r="C27" s="3">
        <f>Analyzed!G28/Analyzed!$CS28</f>
        <v>1.1167512690355329E-2</v>
      </c>
      <c r="D27" s="3">
        <f>Analyzed!I28/Analyzed!$CS28</f>
        <v>0</v>
      </c>
      <c r="E27" s="3">
        <f>Analyzed!K28/Analyzed!$CS28</f>
        <v>0</v>
      </c>
      <c r="F27" s="3">
        <f>Analyzed!M28/Analyzed!$CS28</f>
        <v>0</v>
      </c>
      <c r="G27" s="3">
        <f>Analyzed!O28/Analyzed!$CS28</f>
        <v>0</v>
      </c>
      <c r="H27" s="3">
        <f>Analyzed!Q28/Analyzed!$CS28</f>
        <v>9.2639593908629442E-2</v>
      </c>
      <c r="I27" s="3">
        <f>Analyzed!S28/Analyzed!$CS28</f>
        <v>0</v>
      </c>
      <c r="J27" s="3">
        <f>Analyzed!Y28/Analyzed!$CS28</f>
        <v>2.2081218274111674E-2</v>
      </c>
      <c r="K27" s="3">
        <f>Analyzed!AA28/Analyzed!$CS28</f>
        <v>0</v>
      </c>
      <c r="L27" s="3">
        <f>Analyzed!AC28/Analyzed!$CS28</f>
        <v>0</v>
      </c>
      <c r="M27" s="3">
        <f>Analyzed!AE28/Analyzed!$CS28</f>
        <v>0</v>
      </c>
      <c r="N27" s="3">
        <f>Analyzed!AG28/Analyzed!$CS28</f>
        <v>0</v>
      </c>
      <c r="O27" s="3">
        <f>Analyzed!AI28/Analyzed!$CS28</f>
        <v>4.5685279187817257E-2</v>
      </c>
      <c r="P27" s="3">
        <f>Analyzed!AK28/Analyzed!$CS28</f>
        <v>0</v>
      </c>
      <c r="Q27" s="3">
        <f>Analyzed!AM28/Analyzed!$CS28</f>
        <v>4.796954314720811E-2</v>
      </c>
      <c r="R27" s="3">
        <f>Analyzed!AO28/Analyzed!$CS28</f>
        <v>0</v>
      </c>
      <c r="S27" s="3">
        <f>Analyzed!AQ28/Analyzed!$CS28</f>
        <v>0</v>
      </c>
      <c r="T27" s="3">
        <f>Analyzed!AS28/Analyzed!$CS28</f>
        <v>0</v>
      </c>
      <c r="U27" s="3">
        <f>Analyzed!AU28/Analyzed!$CS28</f>
        <v>0</v>
      </c>
      <c r="V27" s="3">
        <f>Analyzed!AW28/Analyzed!$CS28</f>
        <v>0</v>
      </c>
      <c r="W27" s="3">
        <f>Analyzed!AY28/Analyzed!$CS28</f>
        <v>0</v>
      </c>
      <c r="X27" s="3">
        <f>Analyzed!BA28/Analyzed!$CS28</f>
        <v>0</v>
      </c>
      <c r="Y27" s="3">
        <f>Analyzed!BC28/Analyzed!$CS28</f>
        <v>0</v>
      </c>
      <c r="Z27" s="3">
        <f>Analyzed!BE28/Analyzed!$CS28</f>
        <v>0</v>
      </c>
      <c r="AA27" s="3">
        <f>Analyzed!BG28/Analyzed!$CS28</f>
        <v>0</v>
      </c>
    </row>
    <row r="28" spans="1:27" x14ac:dyDescent="0.25">
      <c r="A28" s="13" t="s">
        <v>63</v>
      </c>
      <c r="B28" s="3">
        <f>Analyzed!E29/Analyzed!$CS29</f>
        <v>7.7338877338877357E-2</v>
      </c>
      <c r="C28" s="3">
        <f>Analyzed!G29/Analyzed!$CS29</f>
        <v>0</v>
      </c>
      <c r="D28" s="3">
        <f>Analyzed!I29/Analyzed!$CS29</f>
        <v>0</v>
      </c>
      <c r="E28" s="3">
        <f>Analyzed!K29/Analyzed!$CS29</f>
        <v>0</v>
      </c>
      <c r="F28" s="3">
        <f>Analyzed!M29/Analyzed!$CS29</f>
        <v>0</v>
      </c>
      <c r="G28" s="3">
        <f>Analyzed!O29/Analyzed!$CS29</f>
        <v>0</v>
      </c>
      <c r="H28" s="3">
        <f>Analyzed!Q29/Analyzed!$CS29</f>
        <v>2.0270270270270254E-3</v>
      </c>
      <c r="I28" s="3">
        <f>Analyzed!S29/Analyzed!$CS29</f>
        <v>0</v>
      </c>
      <c r="J28" s="3">
        <f>Analyzed!Y29/Analyzed!$CS29</f>
        <v>0</v>
      </c>
      <c r="K28" s="3">
        <f>Analyzed!AA29/Analyzed!$CS29</f>
        <v>0</v>
      </c>
      <c r="L28" s="3">
        <f>Analyzed!AC29/Analyzed!$CS29</f>
        <v>0</v>
      </c>
      <c r="M28" s="3">
        <f>Analyzed!AE29/Analyzed!$CS29</f>
        <v>0</v>
      </c>
      <c r="N28" s="3">
        <f>Analyzed!AG29/Analyzed!$CS29</f>
        <v>0</v>
      </c>
      <c r="O28" s="3">
        <f>Analyzed!AI29/Analyzed!$CS29</f>
        <v>0.92063409563409559</v>
      </c>
      <c r="P28" s="3">
        <f>Analyzed!AK29/Analyzed!$CS29</f>
        <v>0</v>
      </c>
      <c r="Q28" s="3">
        <f>Analyzed!AM29/Analyzed!$CS29</f>
        <v>0</v>
      </c>
      <c r="R28" s="3">
        <f>Analyzed!AO29/Analyzed!$CS29</f>
        <v>0</v>
      </c>
      <c r="S28" s="3">
        <f>Analyzed!AQ29/Analyzed!$CS29</f>
        <v>0</v>
      </c>
      <c r="T28" s="3">
        <f>Analyzed!AS29/Analyzed!$CS29</f>
        <v>0</v>
      </c>
      <c r="U28" s="3">
        <f>Analyzed!AU29/Analyzed!$CS29</f>
        <v>0</v>
      </c>
      <c r="V28" s="3">
        <f>Analyzed!AW29/Analyzed!$CS29</f>
        <v>0</v>
      </c>
      <c r="W28" s="3">
        <f>Analyzed!AY29/Analyzed!$CS29</f>
        <v>0</v>
      </c>
      <c r="X28" s="3">
        <f>Analyzed!BA29/Analyzed!$CS29</f>
        <v>0</v>
      </c>
      <c r="Y28" s="3">
        <f>Analyzed!BC29/Analyzed!$CS29</f>
        <v>0</v>
      </c>
      <c r="Z28" s="3">
        <f>Analyzed!BE29/Analyzed!$CS29</f>
        <v>0</v>
      </c>
      <c r="AA28" s="3">
        <f>Analyzed!BG29/Analyzed!$CS29</f>
        <v>0</v>
      </c>
    </row>
    <row r="29" spans="1:27" x14ac:dyDescent="0.25">
      <c r="A29" s="13" t="s">
        <v>64</v>
      </c>
      <c r="B29" s="3">
        <f>Analyzed!E30/Analyzed!$CS30</f>
        <v>0.95348837209302328</v>
      </c>
      <c r="C29" s="3">
        <f>Analyzed!G30/Analyzed!$CS30</f>
        <v>0</v>
      </c>
      <c r="D29" s="3">
        <f>Analyzed!I30/Analyzed!$CS30</f>
        <v>0</v>
      </c>
      <c r="E29" s="3">
        <f>Analyzed!K30/Analyzed!$CS30</f>
        <v>0</v>
      </c>
      <c r="F29" s="3">
        <f>Analyzed!M30/Analyzed!$CS30</f>
        <v>0</v>
      </c>
      <c r="G29" s="3">
        <f>Analyzed!O30/Analyzed!$CS30</f>
        <v>0</v>
      </c>
      <c r="H29" s="3">
        <f>Analyzed!Q30/Analyzed!$CS30</f>
        <v>4.3983822042467147E-2</v>
      </c>
      <c r="I29" s="3">
        <f>Analyzed!S30/Analyzed!$CS30</f>
        <v>0</v>
      </c>
      <c r="J29" s="3">
        <f>Analyzed!Y30/Analyzed!$CS30</f>
        <v>2.5278058645095969E-3</v>
      </c>
      <c r="K29" s="3">
        <f>Analyzed!AA30/Analyzed!$CS30</f>
        <v>0</v>
      </c>
      <c r="L29" s="3">
        <f>Analyzed!AC30/Analyzed!$CS30</f>
        <v>0</v>
      </c>
      <c r="M29" s="3">
        <f>Analyzed!AE30/Analyzed!$CS30</f>
        <v>0</v>
      </c>
      <c r="N29" s="3">
        <f>Analyzed!AG30/Analyzed!$CS30</f>
        <v>0</v>
      </c>
      <c r="O29" s="3">
        <f>Analyzed!AI30/Analyzed!$CS30</f>
        <v>0</v>
      </c>
      <c r="P29" s="3">
        <f>Analyzed!AK30/Analyzed!$CS30</f>
        <v>0</v>
      </c>
      <c r="Q29" s="3">
        <f>Analyzed!AM30/Analyzed!$CS30</f>
        <v>0</v>
      </c>
      <c r="R29" s="3">
        <f>Analyzed!AO30/Analyzed!$CS30</f>
        <v>0</v>
      </c>
      <c r="S29" s="3">
        <f>Analyzed!AQ30/Analyzed!$CS30</f>
        <v>0</v>
      </c>
      <c r="T29" s="3">
        <f>Analyzed!AS30/Analyzed!$CS30</f>
        <v>0</v>
      </c>
      <c r="U29" s="3">
        <f>Analyzed!AU30/Analyzed!$CS30</f>
        <v>0</v>
      </c>
      <c r="V29" s="3">
        <f>Analyzed!AW30/Analyzed!$CS30</f>
        <v>0</v>
      </c>
      <c r="W29" s="3">
        <f>Analyzed!AY30/Analyzed!$CS30</f>
        <v>0</v>
      </c>
      <c r="X29" s="3">
        <f>Analyzed!BA30/Analyzed!$CS30</f>
        <v>0</v>
      </c>
      <c r="Y29" s="3">
        <f>Analyzed!BC30/Analyzed!$CS30</f>
        <v>0</v>
      </c>
      <c r="Z29" s="3">
        <f>Analyzed!BE30/Analyzed!$CS30</f>
        <v>0</v>
      </c>
      <c r="AA29" s="3">
        <f>Analyzed!BG30/Analyzed!$CS30</f>
        <v>0</v>
      </c>
    </row>
    <row r="30" spans="1:27" x14ac:dyDescent="0.25">
      <c r="A30" s="13" t="s">
        <v>65</v>
      </c>
      <c r="B30" s="3">
        <f>Analyzed!E31/Analyzed!$CS31</f>
        <v>0.54359616186900295</v>
      </c>
      <c r="C30" s="3">
        <f>Analyzed!G31/Analyzed!$CS31</f>
        <v>1.6687526074259506E-3</v>
      </c>
      <c r="D30" s="3">
        <f>Analyzed!I31/Analyzed!$CS31</f>
        <v>0</v>
      </c>
      <c r="E30" s="3">
        <f>Analyzed!K31/Analyzed!$CS31</f>
        <v>0</v>
      </c>
      <c r="F30" s="3">
        <f>Analyzed!M31/Analyzed!$CS31</f>
        <v>0</v>
      </c>
      <c r="G30" s="3">
        <f>Analyzed!O31/Analyzed!$CS31</f>
        <v>0</v>
      </c>
      <c r="H30" s="3">
        <f>Analyzed!Q31/Analyzed!$CS31</f>
        <v>0.22403003754693362</v>
      </c>
      <c r="I30" s="3">
        <f>Analyzed!S31/Analyzed!$CS31</f>
        <v>0</v>
      </c>
      <c r="J30" s="3">
        <f>Analyzed!Y31/Analyzed!$CS31</f>
        <v>8.3020442219440965E-2</v>
      </c>
      <c r="K30" s="3">
        <f>Analyzed!AA31/Analyzed!$CS31</f>
        <v>0</v>
      </c>
      <c r="L30" s="3">
        <f>Analyzed!AC31/Analyzed!$CS31</f>
        <v>0</v>
      </c>
      <c r="M30" s="3">
        <f>Analyzed!AE31/Analyzed!$CS31</f>
        <v>0</v>
      </c>
      <c r="N30" s="3">
        <f>Analyzed!AG31/Analyzed!$CS31</f>
        <v>0.1476846057571965</v>
      </c>
      <c r="O30" s="3">
        <f>Analyzed!AI31/Analyzed!$CS31</f>
        <v>0</v>
      </c>
      <c r="P30" s="3">
        <f>Analyzed!AK31/Analyzed!$CS31</f>
        <v>0</v>
      </c>
      <c r="Q30" s="3">
        <f>Analyzed!AM31/Analyzed!$CS31</f>
        <v>0</v>
      </c>
      <c r="R30" s="3">
        <f>Analyzed!AO31/Analyzed!$CS31</f>
        <v>0</v>
      </c>
      <c r="S30" s="3">
        <f>Analyzed!AQ31/Analyzed!$CS31</f>
        <v>0</v>
      </c>
      <c r="T30" s="3">
        <f>Analyzed!AS31/Analyzed!$CS31</f>
        <v>0</v>
      </c>
      <c r="U30" s="3">
        <f>Analyzed!AU31/Analyzed!$CS31</f>
        <v>0</v>
      </c>
      <c r="V30" s="3">
        <f>Analyzed!AW31/Analyzed!$CS31</f>
        <v>0</v>
      </c>
      <c r="W30" s="3">
        <f>Analyzed!AY31/Analyzed!$CS31</f>
        <v>0</v>
      </c>
      <c r="X30" s="3">
        <f>Analyzed!BA31/Analyzed!$CS31</f>
        <v>0</v>
      </c>
      <c r="Y30" s="3">
        <f>Analyzed!BC31/Analyzed!$CS31</f>
        <v>0</v>
      </c>
      <c r="Z30" s="3">
        <f>Analyzed!BE31/Analyzed!$CS31</f>
        <v>0</v>
      </c>
      <c r="AA30" s="3">
        <f>Analyzed!BG31/Analyzed!$CS31</f>
        <v>0</v>
      </c>
    </row>
    <row r="31" spans="1:27" x14ac:dyDescent="0.25">
      <c r="A31" s="13" t="s">
        <v>66</v>
      </c>
      <c r="B31" s="3">
        <f>Analyzed!E32/Analyzed!$CS32</f>
        <v>0.13362563941956362</v>
      </c>
      <c r="C31" s="3">
        <f>Analyzed!G32/Analyzed!$CS32</f>
        <v>1.0439503079653186E-4</v>
      </c>
      <c r="D31" s="3">
        <f>Analyzed!I32/Analyzed!$CS32</f>
        <v>0</v>
      </c>
      <c r="E31" s="3">
        <f>Analyzed!K32/Analyzed!$CS32</f>
        <v>0</v>
      </c>
      <c r="F31" s="3">
        <f>Analyzed!M32/Analyzed!$CS32</f>
        <v>0</v>
      </c>
      <c r="G31" s="3">
        <f>Analyzed!O32/Analyzed!$CS32</f>
        <v>0</v>
      </c>
      <c r="H31" s="3">
        <f>Analyzed!Q32/Analyzed!$CS32</f>
        <v>0.17444409646100847</v>
      </c>
      <c r="I31" s="3">
        <f>Analyzed!S32/Analyzed!$CS32</f>
        <v>0</v>
      </c>
      <c r="J31" s="3">
        <f>Analyzed!Y32/Analyzed!$CS32</f>
        <v>1.2736193757177165E-2</v>
      </c>
      <c r="K31" s="3">
        <f>Analyzed!AA32/Analyzed!$CS32</f>
        <v>0</v>
      </c>
      <c r="L31" s="3">
        <f>Analyzed!AC32/Analyzed!$CS32</f>
        <v>0</v>
      </c>
      <c r="M31" s="3">
        <f>Analyzed!AE32/Analyzed!$CS32</f>
        <v>0</v>
      </c>
      <c r="N31" s="3">
        <f>Analyzed!AG32/Analyzed!$CS32</f>
        <v>0</v>
      </c>
      <c r="O31" s="3">
        <f>Analyzed!AI32/Analyzed!$CS32</f>
        <v>0.67908967533145415</v>
      </c>
      <c r="P31" s="3">
        <f>Analyzed!AK32/Analyzed!$CS32</f>
        <v>0</v>
      </c>
      <c r="Q31" s="3">
        <f>Analyzed!AM32/Analyzed!$CS32</f>
        <v>0</v>
      </c>
      <c r="R31" s="3">
        <f>Analyzed!AO32/Analyzed!$CS32</f>
        <v>0</v>
      </c>
      <c r="S31" s="3">
        <f>Analyzed!AQ32/Analyzed!$CS32</f>
        <v>0</v>
      </c>
      <c r="T31" s="3">
        <f>Analyzed!AS32/Analyzed!$CS32</f>
        <v>0</v>
      </c>
      <c r="U31" s="3">
        <f>Analyzed!AU32/Analyzed!$CS32</f>
        <v>0</v>
      </c>
      <c r="V31" s="3">
        <f>Analyzed!AW32/Analyzed!$CS32</f>
        <v>0</v>
      </c>
      <c r="W31" s="3">
        <f>Analyzed!AY32/Analyzed!$CS32</f>
        <v>0</v>
      </c>
      <c r="X31" s="3">
        <f>Analyzed!BA32/Analyzed!$CS32</f>
        <v>0</v>
      </c>
      <c r="Y31" s="3">
        <f>Analyzed!BC32/Analyzed!$CS32</f>
        <v>0</v>
      </c>
      <c r="Z31" s="3">
        <f>Analyzed!BE32/Analyzed!$CS32</f>
        <v>0</v>
      </c>
      <c r="AA31" s="3">
        <f>Analyzed!BG32/Analyzed!$CS32</f>
        <v>0</v>
      </c>
    </row>
    <row r="32" spans="1:27" x14ac:dyDescent="0.25">
      <c r="A32" s="13" t="s">
        <v>88</v>
      </c>
      <c r="B32" s="3">
        <f>Analyzed!E33/Analyzed!$CS33</f>
        <v>0.1689138576779026</v>
      </c>
      <c r="C32" s="3">
        <f>Analyzed!G33/Analyzed!$CS33</f>
        <v>1.4981273408239714E-3</v>
      </c>
      <c r="D32" s="3">
        <f>Analyzed!I33/Analyzed!$CS33</f>
        <v>0</v>
      </c>
      <c r="E32" s="3">
        <f>Analyzed!K33/Analyzed!$CS33</f>
        <v>0</v>
      </c>
      <c r="F32" s="3">
        <f>Analyzed!M33/Analyzed!$CS33</f>
        <v>0</v>
      </c>
      <c r="G32" s="3">
        <f>Analyzed!O33/Analyzed!$CS33</f>
        <v>0</v>
      </c>
      <c r="H32" s="3">
        <f>Analyzed!Q33/Analyzed!$CS33</f>
        <v>0.602621722846442</v>
      </c>
      <c r="I32" s="3">
        <f>Analyzed!S33/Analyzed!$CS33</f>
        <v>0</v>
      </c>
      <c r="J32" s="3">
        <f>Analyzed!Y33/Analyzed!$CS33</f>
        <v>2.7902621722846448E-2</v>
      </c>
      <c r="K32" s="3">
        <f>Analyzed!AA33/Analyzed!$CS33</f>
        <v>0</v>
      </c>
      <c r="L32" s="3">
        <f>Analyzed!AC33/Analyzed!$CS33</f>
        <v>0</v>
      </c>
      <c r="M32" s="3">
        <f>Analyzed!AE33/Analyzed!$CS33</f>
        <v>0</v>
      </c>
      <c r="N32" s="3">
        <f>Analyzed!AG33/Analyzed!$CS33</f>
        <v>5.9925093632958856E-3</v>
      </c>
      <c r="O32" s="3">
        <f>Analyzed!AI33/Analyzed!$CS33</f>
        <v>0.19307116104868913</v>
      </c>
      <c r="P32" s="3">
        <f>Analyzed!AK33/Analyzed!$CS33</f>
        <v>0</v>
      </c>
      <c r="Q32" s="3">
        <f>Analyzed!AM33/Analyzed!$CS33</f>
        <v>0</v>
      </c>
      <c r="R32" s="3">
        <f>Analyzed!AO33/Analyzed!$CS33</f>
        <v>0</v>
      </c>
      <c r="S32" s="3">
        <f>Analyzed!AQ33/Analyzed!$CS33</f>
        <v>0</v>
      </c>
      <c r="T32" s="3">
        <f>Analyzed!AS33/Analyzed!$CS33</f>
        <v>0</v>
      </c>
      <c r="U32" s="3">
        <f>Analyzed!AU33/Analyzed!$CS33</f>
        <v>0</v>
      </c>
      <c r="V32" s="3">
        <f>Analyzed!AW33/Analyzed!$CS33</f>
        <v>0</v>
      </c>
      <c r="W32" s="3">
        <f>Analyzed!AY33/Analyzed!$CS33</f>
        <v>0</v>
      </c>
      <c r="X32" s="3">
        <f>Analyzed!BA33/Analyzed!$CS33</f>
        <v>0</v>
      </c>
      <c r="Y32" s="3">
        <f>Analyzed!BC33/Analyzed!$CS33</f>
        <v>0</v>
      </c>
      <c r="Z32" s="3">
        <f>Analyzed!BE33/Analyzed!$CS33</f>
        <v>0</v>
      </c>
      <c r="AA32" s="3">
        <f>Analyzed!BG33/Analyzed!$CS33</f>
        <v>0</v>
      </c>
    </row>
    <row r="33" spans="1:27" x14ac:dyDescent="0.25">
      <c r="A33" s="13" t="s">
        <v>89</v>
      </c>
      <c r="B33" s="3">
        <f>Analyzed!E34/Analyzed!$CS34</f>
        <v>6.2328139321723187E-2</v>
      </c>
      <c r="C33" s="3">
        <f>Analyzed!G34/Analyzed!$CS34</f>
        <v>0</v>
      </c>
      <c r="D33" s="3">
        <f>Analyzed!I34/Analyzed!$CS34</f>
        <v>0</v>
      </c>
      <c r="E33" s="3">
        <f>Analyzed!K34/Analyzed!$CS34</f>
        <v>0</v>
      </c>
      <c r="F33" s="3">
        <f>Analyzed!M34/Analyzed!$CS34</f>
        <v>0</v>
      </c>
      <c r="G33" s="3">
        <f>Analyzed!O34/Analyzed!$CS34</f>
        <v>0</v>
      </c>
      <c r="H33" s="3">
        <f>Analyzed!Q34/Analyzed!$CS34</f>
        <v>0.68340971585701193</v>
      </c>
      <c r="I33" s="3">
        <f>Analyzed!S34/Analyzed!$CS34</f>
        <v>0</v>
      </c>
      <c r="J33" s="3">
        <f>Analyzed!Y34/Analyzed!$CS34</f>
        <v>5.2612282309807516E-2</v>
      </c>
      <c r="K33" s="3">
        <f>Analyzed!AA34/Analyzed!$CS34</f>
        <v>0</v>
      </c>
      <c r="L33" s="3">
        <f>Analyzed!AC34/Analyzed!$CS34</f>
        <v>0</v>
      </c>
      <c r="M33" s="3">
        <f>Analyzed!AE34/Analyzed!$CS34</f>
        <v>0</v>
      </c>
      <c r="N33" s="3">
        <f>Analyzed!AG34/Analyzed!$CS34</f>
        <v>0</v>
      </c>
      <c r="O33" s="3">
        <f>Analyzed!AI34/Analyzed!$CS34</f>
        <v>0.20164986251145742</v>
      </c>
      <c r="P33" s="3">
        <f>Analyzed!AK34/Analyzed!$CS34</f>
        <v>0</v>
      </c>
      <c r="Q33" s="3">
        <f>Analyzed!AM34/Analyzed!$CS34</f>
        <v>0</v>
      </c>
      <c r="R33" s="3">
        <f>Analyzed!AO34/Analyzed!$CS34</f>
        <v>0</v>
      </c>
      <c r="S33" s="3">
        <f>Analyzed!AQ34/Analyzed!$CS34</f>
        <v>0</v>
      </c>
      <c r="T33" s="3">
        <f>Analyzed!AS34/Analyzed!$CS34</f>
        <v>0</v>
      </c>
      <c r="U33" s="3">
        <f>Analyzed!AU34/Analyzed!$CS34</f>
        <v>0</v>
      </c>
      <c r="V33" s="3">
        <f>Analyzed!AW34/Analyzed!$CS34</f>
        <v>0</v>
      </c>
      <c r="W33" s="3">
        <f>Analyzed!AY34/Analyzed!$CS34</f>
        <v>0</v>
      </c>
      <c r="X33" s="3">
        <f>Analyzed!BA34/Analyzed!$CS34</f>
        <v>0</v>
      </c>
      <c r="Y33" s="3">
        <f>Analyzed!BC34/Analyzed!$CS34</f>
        <v>0</v>
      </c>
      <c r="Z33" s="3">
        <f>Analyzed!BE34/Analyzed!$CS34</f>
        <v>0</v>
      </c>
      <c r="AA33" s="3">
        <f>Analyzed!BG34/Analyzed!$CS34</f>
        <v>0</v>
      </c>
    </row>
    <row r="34" spans="1:27" x14ac:dyDescent="0.25">
      <c r="A34" s="13" t="s">
        <v>115</v>
      </c>
      <c r="B34" s="3">
        <f>Analyzed!E35/Analyzed!$CS35</f>
        <v>0</v>
      </c>
      <c r="C34" s="3">
        <f>Analyzed!G35/Analyzed!$CS35</f>
        <v>0</v>
      </c>
      <c r="D34" s="3">
        <f>Analyzed!I35/Analyzed!$CS35</f>
        <v>0</v>
      </c>
      <c r="E34" s="3">
        <f>Analyzed!K35/Analyzed!$CS35</f>
        <v>0</v>
      </c>
      <c r="F34" s="3">
        <f>Analyzed!M35/Analyzed!$CS35</f>
        <v>0</v>
      </c>
      <c r="G34" s="3">
        <f>Analyzed!O35/Analyzed!$CS35</f>
        <v>0</v>
      </c>
      <c r="H34" s="3">
        <f>Analyzed!Q35/Analyzed!$CS35</f>
        <v>0.9940335612181479</v>
      </c>
      <c r="I34" s="3">
        <f>Analyzed!S35/Analyzed!$CS35</f>
        <v>0</v>
      </c>
      <c r="J34" s="3">
        <f>Analyzed!Y35/Analyzed!$CS35</f>
        <v>5.9664387818520815E-3</v>
      </c>
      <c r="K34" s="3">
        <f>Analyzed!AA35/Analyzed!$CS35</f>
        <v>0</v>
      </c>
      <c r="L34" s="3">
        <f>Analyzed!AC35/Analyzed!$CS35</f>
        <v>0</v>
      </c>
      <c r="M34" s="3">
        <f>Analyzed!AE35/Analyzed!$CS35</f>
        <v>0</v>
      </c>
      <c r="N34" s="3">
        <f>Analyzed!AG35/Analyzed!$CS35</f>
        <v>0</v>
      </c>
      <c r="O34" s="3">
        <f>Analyzed!AI35/Analyzed!$CS35</f>
        <v>0</v>
      </c>
      <c r="P34" s="3">
        <f>Analyzed!AK35/Analyzed!$CS35</f>
        <v>0</v>
      </c>
      <c r="Q34" s="3">
        <f>Analyzed!AM35/Analyzed!$CS35</f>
        <v>0</v>
      </c>
      <c r="R34" s="3">
        <f>Analyzed!AO35/Analyzed!$CS35</f>
        <v>0</v>
      </c>
      <c r="S34" s="3">
        <f>Analyzed!AQ35/Analyzed!$CS35</f>
        <v>0</v>
      </c>
      <c r="T34" s="3">
        <f>Analyzed!AS35/Analyzed!$CS35</f>
        <v>0</v>
      </c>
      <c r="U34" s="3">
        <f>Analyzed!AU35/Analyzed!$CS35</f>
        <v>0</v>
      </c>
      <c r="V34" s="3">
        <f>Analyzed!AW35/Analyzed!$CS35</f>
        <v>0</v>
      </c>
      <c r="W34" s="3">
        <f>Analyzed!AY35/Analyzed!$CS35</f>
        <v>0</v>
      </c>
      <c r="X34" s="3">
        <f>Analyzed!BA35/Analyzed!$CS35</f>
        <v>0</v>
      </c>
      <c r="Y34" s="3">
        <f>Analyzed!BC35/Analyzed!$CS35</f>
        <v>0</v>
      </c>
      <c r="Z34" s="3">
        <f>Analyzed!BE35/Analyzed!$CS35</f>
        <v>0</v>
      </c>
      <c r="AA34" s="3">
        <f>Analyzed!BG35/Analyzed!$CS35</f>
        <v>0</v>
      </c>
    </row>
    <row r="35" spans="1:27" x14ac:dyDescent="0.25">
      <c r="A35" s="13" t="s">
        <v>116</v>
      </c>
      <c r="B35" s="3">
        <f>Analyzed!E36/Analyzed!$CS36</f>
        <v>2.5871766029246343E-3</v>
      </c>
      <c r="C35" s="3">
        <f>Analyzed!G36/Analyzed!$CS36</f>
        <v>7.5365579302587166E-3</v>
      </c>
      <c r="D35" s="3">
        <f>Analyzed!I36/Analyzed!$CS36</f>
        <v>0</v>
      </c>
      <c r="E35" s="3">
        <f>Analyzed!K36/Analyzed!$CS36</f>
        <v>0</v>
      </c>
      <c r="F35" s="3">
        <f>Analyzed!M36/Analyzed!$CS36</f>
        <v>0</v>
      </c>
      <c r="G35" s="3">
        <f>Analyzed!O36/Analyzed!$CS36</f>
        <v>0</v>
      </c>
      <c r="H35" s="3">
        <f>Analyzed!Q36/Analyzed!$CS36</f>
        <v>0.78863892013498305</v>
      </c>
      <c r="I35" s="3">
        <f>Analyzed!S36/Analyzed!$CS36</f>
        <v>0</v>
      </c>
      <c r="J35" s="3">
        <f>Analyzed!Y36/Analyzed!$CS36</f>
        <v>3.9032620922384707E-2</v>
      </c>
      <c r="K35" s="3">
        <f>Analyzed!AA36/Analyzed!$CS36</f>
        <v>0</v>
      </c>
      <c r="L35" s="3">
        <f>Analyzed!AC36/Analyzed!$CS36</f>
        <v>0</v>
      </c>
      <c r="M35" s="3">
        <f>Analyzed!AE36/Analyzed!$CS36</f>
        <v>0</v>
      </c>
      <c r="N35" s="3">
        <f>Analyzed!AG36/Analyzed!$CS36</f>
        <v>4.1619797525309253E-3</v>
      </c>
      <c r="O35" s="3">
        <f>Analyzed!AI36/Analyzed!$CS36</f>
        <v>0.14724409448818898</v>
      </c>
      <c r="P35" s="3">
        <f>Analyzed!AK36/Analyzed!$CS36</f>
        <v>0</v>
      </c>
      <c r="Q35" s="3">
        <f>Analyzed!AM36/Analyzed!$CS36</f>
        <v>0</v>
      </c>
      <c r="R35" s="3">
        <f>Analyzed!AO36/Analyzed!$CS36</f>
        <v>0</v>
      </c>
      <c r="S35" s="3">
        <f>Analyzed!AQ36/Analyzed!$CS36</f>
        <v>0</v>
      </c>
      <c r="T35" s="3">
        <f>Analyzed!AS36/Analyzed!$CS36</f>
        <v>0</v>
      </c>
      <c r="U35" s="3">
        <f>Analyzed!AU36/Analyzed!$CS36</f>
        <v>0</v>
      </c>
      <c r="V35" s="3">
        <f>Analyzed!AW36/Analyzed!$CS36</f>
        <v>0</v>
      </c>
      <c r="W35" s="3">
        <f>Analyzed!AY36/Analyzed!$CS36</f>
        <v>0</v>
      </c>
      <c r="X35" s="3">
        <f>Analyzed!BA36/Analyzed!$CS36</f>
        <v>0</v>
      </c>
      <c r="Y35" s="3">
        <f>Analyzed!BC36/Analyzed!$CS36</f>
        <v>0</v>
      </c>
      <c r="Z35" s="3">
        <f>Analyzed!BE36/Analyzed!$CS36</f>
        <v>0</v>
      </c>
      <c r="AA35" s="3">
        <f>Analyzed!BG36/Analyzed!$CS36</f>
        <v>0</v>
      </c>
    </row>
    <row r="36" spans="1:27" x14ac:dyDescent="0.25">
      <c r="A36" s="13" t="s">
        <v>117</v>
      </c>
      <c r="B36" s="3">
        <f>Analyzed!E37/Analyzed!$CS37</f>
        <v>2.7188041594454076E-2</v>
      </c>
      <c r="C36" s="3">
        <f>Analyzed!G37/Analyzed!$CS37</f>
        <v>1.2998266897746979E-3</v>
      </c>
      <c r="D36" s="3">
        <f>Analyzed!I37/Analyzed!$CS37</f>
        <v>0</v>
      </c>
      <c r="E36" s="3">
        <f>Analyzed!K37/Analyzed!$CS37</f>
        <v>0</v>
      </c>
      <c r="F36" s="3">
        <f>Analyzed!M37/Analyzed!$CS37</f>
        <v>0</v>
      </c>
      <c r="G36" s="3">
        <f>Analyzed!O37/Analyzed!$CS37</f>
        <v>0</v>
      </c>
      <c r="H36" s="3">
        <f>Analyzed!Q37/Analyzed!$CS37</f>
        <v>0.96717937608318894</v>
      </c>
      <c r="I36" s="3">
        <f>Analyzed!S37/Analyzed!$CS37</f>
        <v>0</v>
      </c>
      <c r="J36" s="3">
        <f>Analyzed!Y37/Analyzed!$CS37</f>
        <v>3.8994800693240941E-3</v>
      </c>
      <c r="K36" s="3">
        <f>Analyzed!AA37/Analyzed!$CS37</f>
        <v>0</v>
      </c>
      <c r="L36" s="3">
        <f>Analyzed!AC37/Analyzed!$CS37</f>
        <v>0</v>
      </c>
      <c r="M36" s="3">
        <f>Analyzed!AE37/Analyzed!$CS37</f>
        <v>0</v>
      </c>
      <c r="N36" s="3">
        <f>Analyzed!AG37/Analyzed!$CS37</f>
        <v>0</v>
      </c>
      <c r="O36" s="3">
        <f>Analyzed!AI37/Analyzed!$CS37</f>
        <v>0</v>
      </c>
      <c r="P36" s="3">
        <f>Analyzed!AK37/Analyzed!$CS37</f>
        <v>0</v>
      </c>
      <c r="Q36" s="3">
        <f>Analyzed!AM37/Analyzed!$CS37</f>
        <v>0</v>
      </c>
      <c r="R36" s="3">
        <f>Analyzed!AO37/Analyzed!$CS37</f>
        <v>0</v>
      </c>
      <c r="S36" s="3">
        <f>Analyzed!AQ37/Analyzed!$CS37</f>
        <v>0</v>
      </c>
      <c r="T36" s="3">
        <f>Analyzed!AS37/Analyzed!$CS37</f>
        <v>0</v>
      </c>
      <c r="U36" s="3">
        <f>Analyzed!AU37/Analyzed!$CS37</f>
        <v>0</v>
      </c>
      <c r="V36" s="3">
        <f>Analyzed!AW37/Analyzed!$CS37</f>
        <v>0</v>
      </c>
      <c r="W36" s="3">
        <f>Analyzed!AY37/Analyzed!$CS37</f>
        <v>0</v>
      </c>
      <c r="X36" s="3">
        <f>Analyzed!BA37/Analyzed!$CS37</f>
        <v>0</v>
      </c>
      <c r="Y36" s="3">
        <f>Analyzed!BC37/Analyzed!$CS37</f>
        <v>0</v>
      </c>
      <c r="Z36" s="3">
        <f>Analyzed!BE37/Analyzed!$CS37</f>
        <v>0</v>
      </c>
      <c r="AA36" s="3">
        <f>Analyzed!BG37/Analyzed!$CS37</f>
        <v>0</v>
      </c>
    </row>
    <row r="37" spans="1:27" x14ac:dyDescent="0.25">
      <c r="A37" s="13" t="s">
        <v>118</v>
      </c>
      <c r="B37" s="3">
        <f>Analyzed!E38/Analyzed!$CS38</f>
        <v>2.6191342306293216E-2</v>
      </c>
      <c r="C37" s="3">
        <f>Analyzed!G38/Analyzed!$CS38</f>
        <v>0.87546986783072633</v>
      </c>
      <c r="D37" s="3">
        <f>Analyzed!I38/Analyzed!$CS38</f>
        <v>0</v>
      </c>
      <c r="E37" s="3">
        <f>Analyzed!K38/Analyzed!$CS38</f>
        <v>0</v>
      </c>
      <c r="F37" s="3">
        <f>Analyzed!M38/Analyzed!$CS38</f>
        <v>0</v>
      </c>
      <c r="G37" s="3">
        <f>Analyzed!O38/Analyzed!$CS38</f>
        <v>0</v>
      </c>
      <c r="H37" s="3">
        <f>Analyzed!Q38/Analyzed!$CS38</f>
        <v>9.7611252576694577E-2</v>
      </c>
      <c r="I37" s="3">
        <f>Analyzed!S38/Analyzed!$CS38</f>
        <v>0</v>
      </c>
      <c r="J37" s="3">
        <f>Analyzed!Y38/Analyzed!$CS38</f>
        <v>0</v>
      </c>
      <c r="K37" s="3">
        <f>Analyzed!AA38/Analyzed!$CS38</f>
        <v>0</v>
      </c>
      <c r="L37" s="3">
        <f>Analyzed!AC38/Analyzed!$CS38</f>
        <v>0</v>
      </c>
      <c r="M37" s="3">
        <f>Analyzed!AE38/Analyzed!$CS38</f>
        <v>0</v>
      </c>
      <c r="N37" s="3">
        <f>Analyzed!AG38/Analyzed!$CS38</f>
        <v>0</v>
      </c>
      <c r="O37" s="3">
        <f>Analyzed!AI38/Analyzed!$CS38</f>
        <v>7.275372862859176E-4</v>
      </c>
      <c r="P37" s="3">
        <f>Analyzed!AK38/Analyzed!$CS38</f>
        <v>0</v>
      </c>
      <c r="Q37" s="3">
        <f>Analyzed!AM38/Analyzed!$CS38</f>
        <v>0</v>
      </c>
      <c r="R37" s="3">
        <f>Analyzed!AO38/Analyzed!$CS38</f>
        <v>0</v>
      </c>
      <c r="S37" s="3">
        <f>Analyzed!AQ38/Analyzed!$CS38</f>
        <v>0</v>
      </c>
      <c r="T37" s="3">
        <f>Analyzed!AS38/Analyzed!$CS38</f>
        <v>0</v>
      </c>
      <c r="U37" s="3">
        <f>Analyzed!AU38/Analyzed!$CS38</f>
        <v>0</v>
      </c>
      <c r="V37" s="3">
        <f>Analyzed!AW38/Analyzed!$CS38</f>
        <v>0</v>
      </c>
      <c r="W37" s="3">
        <f>Analyzed!AY38/Analyzed!$CS38</f>
        <v>0</v>
      </c>
      <c r="X37" s="3">
        <f>Analyzed!BA38/Analyzed!$CS38</f>
        <v>0</v>
      </c>
      <c r="Y37" s="3">
        <f>Analyzed!BC38/Analyzed!$CS38</f>
        <v>0</v>
      </c>
      <c r="Z37" s="3">
        <f>Analyzed!BE38/Analyzed!$CS38</f>
        <v>0</v>
      </c>
      <c r="AA37" s="3">
        <f>Analyzed!BG38/Analyzed!$CS38</f>
        <v>0</v>
      </c>
    </row>
    <row r="38" spans="1:27" x14ac:dyDescent="0.25">
      <c r="A38" s="13" t="s">
        <v>120</v>
      </c>
      <c r="B38" s="3">
        <f>Analyzed!E39/Analyzed!$CS39</f>
        <v>5.3861898093288617E-4</v>
      </c>
      <c r="C38" s="3">
        <f>Analyzed!G39/Analyzed!$CS39</f>
        <v>0</v>
      </c>
      <c r="D38" s="3">
        <f>Analyzed!I39/Analyzed!$CS39</f>
        <v>0</v>
      </c>
      <c r="E38" s="3">
        <f>Analyzed!K39/Analyzed!$CS39</f>
        <v>0</v>
      </c>
      <c r="F38" s="3">
        <f>Analyzed!M39/Analyzed!$CS39</f>
        <v>0</v>
      </c>
      <c r="G38" s="3">
        <f>Analyzed!O39/Analyzed!$CS39</f>
        <v>0</v>
      </c>
      <c r="H38" s="3">
        <f>Analyzed!Q39/Analyzed!$CS39</f>
        <v>0.98653452547667775</v>
      </c>
      <c r="I38" s="3">
        <f>Analyzed!S39/Analyzed!$CS39</f>
        <v>0</v>
      </c>
      <c r="J38" s="3">
        <f>Analyzed!Y39/Analyzed!$CS39</f>
        <v>1.2926855542389317E-2</v>
      </c>
      <c r="K38" s="3">
        <f>Analyzed!AA39/Analyzed!$CS39</f>
        <v>0</v>
      </c>
      <c r="L38" s="3">
        <f>Analyzed!AC39/Analyzed!$CS39</f>
        <v>0</v>
      </c>
      <c r="M38" s="3">
        <f>Analyzed!AE39/Analyzed!$CS39</f>
        <v>0</v>
      </c>
      <c r="N38" s="3">
        <f>Analyzed!AG39/Analyzed!$CS39</f>
        <v>0</v>
      </c>
      <c r="O38" s="3">
        <f>Analyzed!AI39/Analyzed!$CS39</f>
        <v>0</v>
      </c>
      <c r="P38" s="3">
        <f>Analyzed!AK39/Analyzed!$CS39</f>
        <v>0</v>
      </c>
      <c r="Q38" s="3">
        <f>Analyzed!AM39/Analyzed!$CS39</f>
        <v>0</v>
      </c>
      <c r="R38" s="3">
        <f>Analyzed!AO39/Analyzed!$CS39</f>
        <v>0</v>
      </c>
      <c r="S38" s="3">
        <f>Analyzed!AQ39/Analyzed!$CS39</f>
        <v>0</v>
      </c>
      <c r="T38" s="3">
        <f>Analyzed!AS39/Analyzed!$CS39</f>
        <v>0</v>
      </c>
      <c r="U38" s="3">
        <f>Analyzed!AU39/Analyzed!$CS39</f>
        <v>0</v>
      </c>
      <c r="V38" s="3">
        <f>Analyzed!AW39/Analyzed!$CS39</f>
        <v>0</v>
      </c>
      <c r="W38" s="3">
        <f>Analyzed!AY39/Analyzed!$CS39</f>
        <v>0</v>
      </c>
      <c r="X38" s="3">
        <f>Analyzed!BA39/Analyzed!$CS39</f>
        <v>0</v>
      </c>
      <c r="Y38" s="3">
        <f>Analyzed!BC39/Analyzed!$CS39</f>
        <v>0</v>
      </c>
      <c r="Z38" s="3">
        <f>Analyzed!BE39/Analyzed!$CS39</f>
        <v>0</v>
      </c>
      <c r="AA38" s="3">
        <f>Analyzed!BG39/Analyzed!$CS39</f>
        <v>0</v>
      </c>
    </row>
    <row r="39" spans="1:27" x14ac:dyDescent="0.25">
      <c r="A39" s="13" t="s">
        <v>121</v>
      </c>
      <c r="B39" s="3">
        <f>Analyzed!E40/Analyzed!$CS40</f>
        <v>1.0473397570171729E-3</v>
      </c>
      <c r="C39" s="3">
        <f>Analyzed!G40/Analyzed!$CS40</f>
        <v>3.7285295349811495E-2</v>
      </c>
      <c r="D39" s="3">
        <f>Analyzed!I40/Analyzed!$CS40</f>
        <v>0</v>
      </c>
      <c r="E39" s="3">
        <f>Analyzed!K40/Analyzed!$CS40</f>
        <v>0</v>
      </c>
      <c r="F39" s="3">
        <f>Analyzed!M40/Analyzed!$CS40</f>
        <v>0</v>
      </c>
      <c r="G39" s="3">
        <f>Analyzed!O40/Analyzed!$CS40</f>
        <v>0</v>
      </c>
      <c r="H39" s="3">
        <f>Analyzed!Q40/Analyzed!$CS40</f>
        <v>0.95182237117721014</v>
      </c>
      <c r="I39" s="3">
        <f>Analyzed!S40/Analyzed!$CS40</f>
        <v>0</v>
      </c>
      <c r="J39" s="3">
        <f>Analyzed!Y40/Analyzed!$CS40</f>
        <v>4.3988269794721412E-3</v>
      </c>
      <c r="K39" s="3">
        <f>Analyzed!AA40/Analyzed!$CS40</f>
        <v>0</v>
      </c>
      <c r="L39" s="3">
        <f>Analyzed!AC40/Analyzed!$CS40</f>
        <v>0</v>
      </c>
      <c r="M39" s="3">
        <f>Analyzed!AE40/Analyzed!$CS40</f>
        <v>0</v>
      </c>
      <c r="N39" s="3">
        <f>Analyzed!AG40/Analyzed!$CS40</f>
        <v>0</v>
      </c>
      <c r="O39" s="3">
        <f>Analyzed!AI40/Analyzed!$CS40</f>
        <v>4.1893590280687107E-3</v>
      </c>
      <c r="P39" s="3">
        <f>Analyzed!AK40/Analyzed!$CS40</f>
        <v>0</v>
      </c>
      <c r="Q39" s="3">
        <f>Analyzed!AM40/Analyzed!$CS40</f>
        <v>0</v>
      </c>
      <c r="R39" s="3">
        <f>Analyzed!AO40/Analyzed!$CS40</f>
        <v>0</v>
      </c>
      <c r="S39" s="3">
        <f>Analyzed!AQ40/Analyzed!$CS40</f>
        <v>0</v>
      </c>
      <c r="T39" s="3">
        <f>Analyzed!AS40/Analyzed!$CS40</f>
        <v>0</v>
      </c>
      <c r="U39" s="3">
        <f>Analyzed!AU40/Analyzed!$CS40</f>
        <v>0</v>
      </c>
      <c r="V39" s="3">
        <f>Analyzed!AW40/Analyzed!$CS40</f>
        <v>0</v>
      </c>
      <c r="W39" s="3">
        <f>Analyzed!AY40/Analyzed!$CS40</f>
        <v>0</v>
      </c>
      <c r="X39" s="3">
        <f>Analyzed!BA40/Analyzed!$CS40</f>
        <v>0</v>
      </c>
      <c r="Y39" s="3">
        <f>Analyzed!BC40/Analyzed!$CS40</f>
        <v>0</v>
      </c>
      <c r="Z39" s="3">
        <f>Analyzed!BE40/Analyzed!$CS40</f>
        <v>0</v>
      </c>
      <c r="AA39" s="3">
        <f>Analyzed!BG40/Analyzed!$CS40</f>
        <v>0</v>
      </c>
    </row>
    <row r="40" spans="1:27" x14ac:dyDescent="0.25">
      <c r="A40" s="13" t="s">
        <v>122</v>
      </c>
      <c r="B40" s="3">
        <f>Analyzed!E41/Analyzed!$CS41</f>
        <v>0</v>
      </c>
      <c r="C40" s="3">
        <f>Analyzed!G41/Analyzed!$CS41</f>
        <v>0.18351910828025472</v>
      </c>
      <c r="D40" s="3">
        <f>Analyzed!I41/Analyzed!$CS41</f>
        <v>0</v>
      </c>
      <c r="E40" s="3">
        <f>Analyzed!K41/Analyzed!$CS41</f>
        <v>0</v>
      </c>
      <c r="F40" s="3">
        <f>Analyzed!M41/Analyzed!$CS41</f>
        <v>0</v>
      </c>
      <c r="G40" s="3">
        <f>Analyzed!O41/Analyzed!$CS41</f>
        <v>0</v>
      </c>
      <c r="H40" s="3">
        <f>Analyzed!Q41/Analyzed!$CS41</f>
        <v>0.32205414012738848</v>
      </c>
      <c r="I40" s="3">
        <f>Analyzed!S41/Analyzed!$CS41</f>
        <v>0</v>
      </c>
      <c r="J40" s="3">
        <f>Analyzed!Y41/Analyzed!$CS41</f>
        <v>9.3550955414012753E-3</v>
      </c>
      <c r="K40" s="3">
        <f>Analyzed!AA41/Analyzed!$CS41</f>
        <v>0</v>
      </c>
      <c r="L40" s="3">
        <f>Analyzed!AC41/Analyzed!$CS41</f>
        <v>0</v>
      </c>
      <c r="M40" s="3">
        <f>Analyzed!AE41/Analyzed!$CS41</f>
        <v>0</v>
      </c>
      <c r="N40" s="3">
        <f>Analyzed!AG41/Analyzed!$CS41</f>
        <v>0</v>
      </c>
      <c r="O40" s="3">
        <f>Analyzed!AI41/Analyzed!$CS41</f>
        <v>0.48069267515923558</v>
      </c>
      <c r="P40" s="3">
        <f>Analyzed!AK41/Analyzed!$CS41</f>
        <v>0</v>
      </c>
      <c r="Q40" s="3">
        <f>Analyzed!AM41/Analyzed!$CS41</f>
        <v>0</v>
      </c>
      <c r="R40" s="3">
        <f>Analyzed!AO41/Analyzed!$CS41</f>
        <v>0</v>
      </c>
      <c r="S40" s="3">
        <f>Analyzed!AQ41/Analyzed!$CS41</f>
        <v>0</v>
      </c>
      <c r="T40" s="3">
        <f>Analyzed!AS41/Analyzed!$CS41</f>
        <v>0</v>
      </c>
      <c r="U40" s="3">
        <f>Analyzed!AU41/Analyzed!$CS41</f>
        <v>0</v>
      </c>
      <c r="V40" s="3">
        <f>Analyzed!AW41/Analyzed!$CS41</f>
        <v>0</v>
      </c>
      <c r="W40" s="3">
        <f>Analyzed!AY41/Analyzed!$CS41</f>
        <v>0</v>
      </c>
      <c r="X40" s="3">
        <f>Analyzed!BA41/Analyzed!$CS41</f>
        <v>0</v>
      </c>
      <c r="Y40" s="3">
        <f>Analyzed!BC41/Analyzed!$CS41</f>
        <v>0</v>
      </c>
      <c r="Z40" s="3">
        <f>Analyzed!BE41/Analyzed!$CS41</f>
        <v>0</v>
      </c>
      <c r="AA40" s="3">
        <f>Analyzed!BG41/Analyzed!$CS41</f>
        <v>0</v>
      </c>
    </row>
    <row r="41" spans="1:27" x14ac:dyDescent="0.25">
      <c r="A41" s="13" t="s">
        <v>123</v>
      </c>
      <c r="B41" s="3">
        <f>Analyzed!E42/Analyzed!$CS42</f>
        <v>0</v>
      </c>
      <c r="C41" s="3">
        <f>Analyzed!G42/Analyzed!$CS42</f>
        <v>7.0101647388713714E-3</v>
      </c>
      <c r="D41" s="3">
        <f>Analyzed!I42/Analyzed!$CS42</f>
        <v>0</v>
      </c>
      <c r="E41" s="3">
        <f>Analyzed!K42/Analyzed!$CS42</f>
        <v>0</v>
      </c>
      <c r="F41" s="3">
        <f>Analyzed!M42/Analyzed!$CS42</f>
        <v>0</v>
      </c>
      <c r="G41" s="3">
        <f>Analyzed!O42/Analyzed!$CS42</f>
        <v>0</v>
      </c>
      <c r="H41" s="3">
        <f>Analyzed!Q42/Analyzed!$CS42</f>
        <v>0.43988783736417814</v>
      </c>
      <c r="I41" s="3">
        <f>Analyzed!S42/Analyzed!$CS42</f>
        <v>0</v>
      </c>
      <c r="J41" s="3">
        <f>Analyzed!Y42/Analyzed!$CS42</f>
        <v>0</v>
      </c>
      <c r="K41" s="3">
        <f>Analyzed!AA42/Analyzed!$CS42</f>
        <v>0</v>
      </c>
      <c r="L41" s="3">
        <f>Analyzed!AC42/Analyzed!$CS42</f>
        <v>0</v>
      </c>
      <c r="M41" s="3">
        <f>Analyzed!AE42/Analyzed!$CS42</f>
        <v>0</v>
      </c>
      <c r="N41" s="3">
        <f>Analyzed!AG42/Analyzed!$CS42</f>
        <v>0</v>
      </c>
      <c r="O41" s="3">
        <f>Analyzed!AI42/Analyzed!$CS42</f>
        <v>0.5460918331580793</v>
      </c>
      <c r="P41" s="3">
        <f>Analyzed!AK42/Analyzed!$CS42</f>
        <v>0</v>
      </c>
      <c r="Q41" s="3">
        <f>Analyzed!AM42/Analyzed!$CS42</f>
        <v>0</v>
      </c>
      <c r="R41" s="3">
        <f>Analyzed!AO42/Analyzed!$CS42</f>
        <v>0</v>
      </c>
      <c r="S41" s="3">
        <f>Analyzed!AQ42/Analyzed!$CS42</f>
        <v>0</v>
      </c>
      <c r="T41" s="3">
        <f>Analyzed!AS42/Analyzed!$CS42</f>
        <v>0</v>
      </c>
      <c r="U41" s="3">
        <f>Analyzed!AU42/Analyzed!$CS42</f>
        <v>0</v>
      </c>
      <c r="V41" s="3">
        <f>Analyzed!AW42/Analyzed!$CS42</f>
        <v>0</v>
      </c>
      <c r="W41" s="3">
        <f>Analyzed!AY42/Analyzed!$CS42</f>
        <v>0</v>
      </c>
      <c r="X41" s="3">
        <f>Analyzed!BA42/Analyzed!$CS42</f>
        <v>0</v>
      </c>
      <c r="Y41" s="3">
        <f>Analyzed!BC42/Analyzed!$CS42</f>
        <v>0</v>
      </c>
      <c r="Z41" s="3">
        <f>Analyzed!BE42/Analyzed!$CS42</f>
        <v>0</v>
      </c>
      <c r="AA41" s="3">
        <f>Analyzed!BG42/Analyzed!$CS42</f>
        <v>0</v>
      </c>
    </row>
    <row r="42" spans="1:27" x14ac:dyDescent="0.25">
      <c r="A42" s="13" t="s">
        <v>124</v>
      </c>
      <c r="B42" s="3">
        <f>Analyzed!E43/Analyzed!$CS43</f>
        <v>0</v>
      </c>
      <c r="C42" s="3">
        <f>Analyzed!G43/Analyzed!$CS43</f>
        <v>0.32223576854543745</v>
      </c>
      <c r="D42" s="3">
        <f>Analyzed!I43/Analyzed!$CS43</f>
        <v>0</v>
      </c>
      <c r="E42" s="3">
        <f>Analyzed!K43/Analyzed!$CS43</f>
        <v>0</v>
      </c>
      <c r="F42" s="3">
        <f>Analyzed!M43/Analyzed!$CS43</f>
        <v>0</v>
      </c>
      <c r="G42" s="3">
        <f>Analyzed!O43/Analyzed!$CS43</f>
        <v>0</v>
      </c>
      <c r="H42" s="3">
        <f>Analyzed!Q43/Analyzed!$CS43</f>
        <v>0.47163087311263246</v>
      </c>
      <c r="I42" s="3">
        <f>Analyzed!S43/Analyzed!$CS43</f>
        <v>0</v>
      </c>
      <c r="J42" s="3">
        <f>Analyzed!Y43/Analyzed!$CS43</f>
        <v>1.1816561943167962E-2</v>
      </c>
      <c r="K42" s="3">
        <f>Analyzed!AA43/Analyzed!$CS43</f>
        <v>0</v>
      </c>
      <c r="L42" s="3">
        <f>Analyzed!AC43/Analyzed!$CS43</f>
        <v>0</v>
      </c>
      <c r="M42" s="3">
        <f>Analyzed!AE43/Analyzed!$CS43</f>
        <v>0</v>
      </c>
      <c r="N42" s="3">
        <f>Analyzed!AG43/Analyzed!$CS43</f>
        <v>0</v>
      </c>
      <c r="O42" s="3">
        <f>Analyzed!AI43/Analyzed!$CS43</f>
        <v>0.17302822845353089</v>
      </c>
      <c r="P42" s="3">
        <f>Analyzed!AK43/Analyzed!$CS43</f>
        <v>0</v>
      </c>
      <c r="Q42" s="3">
        <f>Analyzed!AM43/Analyzed!$CS43</f>
        <v>1.7537278439463566E-2</v>
      </c>
      <c r="R42" s="3">
        <f>Analyzed!AO43/Analyzed!$CS43</f>
        <v>0</v>
      </c>
      <c r="S42" s="3">
        <f>Analyzed!AQ43/Analyzed!$CS43</f>
        <v>0</v>
      </c>
      <c r="T42" s="3">
        <f>Analyzed!AS43/Analyzed!$CS43</f>
        <v>0</v>
      </c>
      <c r="U42" s="3">
        <f>Analyzed!AU43/Analyzed!$CS43</f>
        <v>0</v>
      </c>
      <c r="V42" s="3">
        <f>Analyzed!AW43/Analyzed!$CS43</f>
        <v>0</v>
      </c>
      <c r="W42" s="3">
        <f>Analyzed!AY43/Analyzed!$CS43</f>
        <v>0</v>
      </c>
      <c r="X42" s="3">
        <f>Analyzed!BA43/Analyzed!$CS43</f>
        <v>0</v>
      </c>
      <c r="Y42" s="3">
        <f>Analyzed!BC43/Analyzed!$CS43</f>
        <v>0</v>
      </c>
      <c r="Z42" s="3">
        <f>Analyzed!BE43/Analyzed!$CS43</f>
        <v>0</v>
      </c>
      <c r="AA42" s="3">
        <f>Analyzed!BG43/Analyzed!$CS43</f>
        <v>0</v>
      </c>
    </row>
    <row r="43" spans="1:27" x14ac:dyDescent="0.25">
      <c r="A43" s="13" t="s">
        <v>136</v>
      </c>
      <c r="B43" s="3">
        <f>Analyzed!E44/Analyzed!$CS44</f>
        <v>2.0138004560665734E-3</v>
      </c>
      <c r="C43" s="3">
        <f>Analyzed!G44/Analyzed!$CS44</f>
        <v>3.7610684988302208E-3</v>
      </c>
      <c r="D43" s="3">
        <f>Analyzed!I44/Analyzed!$CS44</f>
        <v>0</v>
      </c>
      <c r="E43" s="3">
        <f>Analyzed!K44/Analyzed!$CS44</f>
        <v>0</v>
      </c>
      <c r="F43" s="3">
        <f>Analyzed!M44/Analyzed!$CS44</f>
        <v>0</v>
      </c>
      <c r="G43" s="3">
        <f>Analyzed!O44/Analyzed!$CS44</f>
        <v>0</v>
      </c>
      <c r="H43" s="3">
        <f>Analyzed!Q44/Analyzed!$CS44</f>
        <v>0.16936654129771669</v>
      </c>
      <c r="I43" s="3">
        <f>Analyzed!S44/Analyzed!$CS44</f>
        <v>0</v>
      </c>
      <c r="J43" s="3">
        <f>Analyzed!Y44/Analyzed!$CS44</f>
        <v>0</v>
      </c>
      <c r="K43" s="3">
        <f>Analyzed!AA44/Analyzed!$CS44</f>
        <v>0</v>
      </c>
      <c r="L43" s="3">
        <f>Analyzed!AC44/Analyzed!$CS44</f>
        <v>0</v>
      </c>
      <c r="M43" s="3">
        <f>Analyzed!AE44/Analyzed!$CS44</f>
        <v>0</v>
      </c>
      <c r="N43" s="3">
        <f>Analyzed!AG44/Analyzed!$CS44</f>
        <v>3.2872330974027912E-3</v>
      </c>
      <c r="O43" s="3">
        <f>Analyzed!AI44/Analyzed!$CS44</f>
        <v>5.7748689548967943E-3</v>
      </c>
      <c r="P43" s="3">
        <f>Analyzed!AK44/Analyzed!$CS44</f>
        <v>0</v>
      </c>
      <c r="Q43" s="3">
        <f>Analyzed!AM44/Analyzed!$CS44</f>
        <v>8.1440459620339394E-3</v>
      </c>
      <c r="R43" s="3">
        <f>Analyzed!AO44/Analyzed!$CS44</f>
        <v>0</v>
      </c>
      <c r="S43" s="3">
        <f>Analyzed!AQ44/Analyzed!$CS44</f>
        <v>0</v>
      </c>
      <c r="T43" s="3">
        <f>Analyzed!AS44/Analyzed!$CS44</f>
        <v>0</v>
      </c>
      <c r="U43" s="3">
        <f>Analyzed!AU44/Analyzed!$CS44</f>
        <v>0</v>
      </c>
      <c r="V43" s="3">
        <f>Analyzed!AW44/Analyzed!$CS44</f>
        <v>0</v>
      </c>
      <c r="W43" s="3">
        <f>Analyzed!AY44/Analyzed!$CS44</f>
        <v>0</v>
      </c>
      <c r="X43" s="3">
        <f>Analyzed!BA44/Analyzed!$CS44</f>
        <v>0.40382622086652648</v>
      </c>
      <c r="Y43" s="3">
        <f>Analyzed!BC44/Analyzed!$CS44</f>
        <v>0</v>
      </c>
      <c r="Z43" s="3">
        <f>Analyzed!BE44/Analyzed!$CS44</f>
        <v>0</v>
      </c>
      <c r="AA43" s="3">
        <f>Analyzed!BG44/Analyzed!$CS44</f>
        <v>0</v>
      </c>
    </row>
    <row r="44" spans="1:27" x14ac:dyDescent="0.25">
      <c r="A44" s="13" t="s">
        <v>94</v>
      </c>
      <c r="B44" s="3">
        <f>Analyzed!E45/Analyzed!$CS45</f>
        <v>0.19816965857092575</v>
      </c>
      <c r="C44" s="3">
        <f>Analyzed!G45/Analyzed!$CS45</f>
        <v>0</v>
      </c>
      <c r="D44" s="3">
        <f>Analyzed!I45/Analyzed!$CS45</f>
        <v>0</v>
      </c>
      <c r="E44" s="3">
        <f>Analyzed!K45/Analyzed!$CS45</f>
        <v>0</v>
      </c>
      <c r="F44" s="3">
        <f>Analyzed!M45/Analyzed!$CS45</f>
        <v>0</v>
      </c>
      <c r="G44" s="3">
        <f>Analyzed!O45/Analyzed!$CS45</f>
        <v>0</v>
      </c>
      <c r="H44" s="3">
        <f>Analyzed!Q45/Analyzed!$CS45</f>
        <v>0</v>
      </c>
      <c r="I44" s="3">
        <f>Analyzed!S45/Analyzed!$CS45</f>
        <v>0</v>
      </c>
      <c r="J44" s="3">
        <f>Analyzed!Y45/Analyzed!$CS45</f>
        <v>0</v>
      </c>
      <c r="K44" s="3">
        <f>Analyzed!AA45/Analyzed!$CS45</f>
        <v>0</v>
      </c>
      <c r="L44" s="3">
        <f>Analyzed!AC45/Analyzed!$CS45</f>
        <v>0</v>
      </c>
      <c r="M44" s="3">
        <f>Analyzed!AE45/Analyzed!$CS45</f>
        <v>0</v>
      </c>
      <c r="N44" s="3">
        <f>Analyzed!AG45/Analyzed!$CS45</f>
        <v>1.0559662090813078E-3</v>
      </c>
      <c r="O44" s="3">
        <f>Analyzed!AI45/Analyzed!$CS45</f>
        <v>0</v>
      </c>
      <c r="P44" s="3">
        <f>Analyzed!AK45/Analyzed!$CS45</f>
        <v>0</v>
      </c>
      <c r="Q44" s="3">
        <f>Analyzed!AM45/Analyzed!$CS45</f>
        <v>0.80077437521999306</v>
      </c>
      <c r="R44" s="3">
        <f>Analyzed!AO45/Analyzed!$CS45</f>
        <v>0</v>
      </c>
      <c r="S44" s="3">
        <f>Analyzed!AQ45/Analyzed!$CS45</f>
        <v>0</v>
      </c>
      <c r="T44" s="3">
        <f>Analyzed!AS45/Analyzed!$CS45</f>
        <v>0</v>
      </c>
      <c r="U44" s="3">
        <f>Analyzed!AU45/Analyzed!$CS45</f>
        <v>0</v>
      </c>
      <c r="V44" s="3">
        <f>Analyzed!AW45/Analyzed!$CS45</f>
        <v>0</v>
      </c>
      <c r="W44" s="3">
        <f>Analyzed!AY45/Analyzed!$CS45</f>
        <v>0</v>
      </c>
      <c r="X44" s="3">
        <f>Analyzed!BA45/Analyzed!$CS45</f>
        <v>0</v>
      </c>
      <c r="Y44" s="3">
        <f>Analyzed!BC45/Analyzed!$CS45</f>
        <v>0</v>
      </c>
      <c r="Z44" s="3">
        <f>Analyzed!BE45/Analyzed!$CS45</f>
        <v>0</v>
      </c>
      <c r="AA44" s="3">
        <f>Analyzed!BG45/Analyzed!$CS45</f>
        <v>0</v>
      </c>
    </row>
    <row r="45" spans="1:27" x14ac:dyDescent="0.25">
      <c r="A45" s="13" t="s">
        <v>95</v>
      </c>
      <c r="B45" s="3">
        <f>Analyzed!E46/Analyzed!$CS46</f>
        <v>0.14018861907148389</v>
      </c>
      <c r="C45" s="3">
        <f>Analyzed!G46/Analyzed!$CS46</f>
        <v>2.1413276231263385E-2</v>
      </c>
      <c r="D45" s="3">
        <f>Analyzed!I46/Analyzed!$CS46</f>
        <v>0</v>
      </c>
      <c r="E45" s="3">
        <f>Analyzed!K46/Analyzed!$CS46</f>
        <v>0</v>
      </c>
      <c r="F45" s="3">
        <f>Analyzed!M46/Analyzed!$CS46</f>
        <v>0</v>
      </c>
      <c r="G45" s="3">
        <f>Analyzed!O46/Analyzed!$CS46</f>
        <v>0</v>
      </c>
      <c r="H45" s="3">
        <f>Analyzed!Q46/Analyzed!$CS46</f>
        <v>0</v>
      </c>
      <c r="I45" s="3">
        <f>Analyzed!S46/Analyzed!$CS46</f>
        <v>0</v>
      </c>
      <c r="J45" s="3">
        <f>Analyzed!Y46/Analyzed!$CS46</f>
        <v>0</v>
      </c>
      <c r="K45" s="3">
        <f>Analyzed!AA46/Analyzed!$CS46</f>
        <v>0</v>
      </c>
      <c r="L45" s="3">
        <f>Analyzed!AC46/Analyzed!$CS46</f>
        <v>0</v>
      </c>
      <c r="M45" s="3">
        <f>Analyzed!AE46/Analyzed!$CS46</f>
        <v>0</v>
      </c>
      <c r="N45" s="3">
        <f>Analyzed!AG46/Analyzed!$CS46</f>
        <v>0</v>
      </c>
      <c r="O45" s="3">
        <f>Analyzed!AI46/Analyzed!$CS46</f>
        <v>0</v>
      </c>
      <c r="P45" s="3">
        <f>Analyzed!AK46/Analyzed!$CS46</f>
        <v>0</v>
      </c>
      <c r="Q45" s="3">
        <f>Analyzed!AM46/Analyzed!$CS46</f>
        <v>0.83839810469725273</v>
      </c>
      <c r="R45" s="3">
        <f>Analyzed!AO46/Analyzed!$CS46</f>
        <v>0</v>
      </c>
      <c r="S45" s="3">
        <f>Analyzed!AQ46/Analyzed!$CS46</f>
        <v>0</v>
      </c>
      <c r="T45" s="3">
        <f>Analyzed!AS46/Analyzed!$CS46</f>
        <v>0</v>
      </c>
      <c r="U45" s="3">
        <f>Analyzed!AU46/Analyzed!$CS46</f>
        <v>0</v>
      </c>
      <c r="V45" s="3">
        <f>Analyzed!AW46/Analyzed!$CS46</f>
        <v>0</v>
      </c>
      <c r="W45" s="3">
        <f>Analyzed!AY46/Analyzed!$CS46</f>
        <v>0</v>
      </c>
      <c r="X45" s="3">
        <f>Analyzed!BA46/Analyzed!$CS46</f>
        <v>0</v>
      </c>
      <c r="Y45" s="3">
        <f>Analyzed!BC46/Analyzed!$CS46</f>
        <v>0</v>
      </c>
      <c r="Z45" s="3">
        <f>Analyzed!BE46/Analyzed!$CS46</f>
        <v>0</v>
      </c>
      <c r="AA45" s="3">
        <f>Analyzed!BG46/Analyzed!$CS46</f>
        <v>0</v>
      </c>
    </row>
    <row r="46" spans="1:27" x14ac:dyDescent="0.25">
      <c r="A46" s="13" t="s">
        <v>96</v>
      </c>
      <c r="B46" s="3">
        <f>Analyzed!E47/Analyzed!$CS47</f>
        <v>1</v>
      </c>
      <c r="C46" s="3">
        <f>Analyzed!G47/Analyzed!$CS47</f>
        <v>0</v>
      </c>
      <c r="D46" s="3">
        <f>Analyzed!I47/Analyzed!$CS47</f>
        <v>0</v>
      </c>
      <c r="E46" s="3">
        <f>Analyzed!K47/Analyzed!$CS47</f>
        <v>0</v>
      </c>
      <c r="F46" s="3">
        <f>Analyzed!M47/Analyzed!$CS47</f>
        <v>0</v>
      </c>
      <c r="G46" s="3">
        <f>Analyzed!O47/Analyzed!$CS47</f>
        <v>0</v>
      </c>
      <c r="H46" s="3">
        <f>Analyzed!Q47/Analyzed!$CS47</f>
        <v>0</v>
      </c>
      <c r="I46" s="3">
        <f>Analyzed!S47/Analyzed!$CS47</f>
        <v>0</v>
      </c>
      <c r="J46" s="3">
        <f>Analyzed!Y47/Analyzed!$CS47</f>
        <v>0</v>
      </c>
      <c r="K46" s="3">
        <f>Analyzed!AA47/Analyzed!$CS47</f>
        <v>0</v>
      </c>
      <c r="L46" s="3">
        <f>Analyzed!AC47/Analyzed!$CS47</f>
        <v>0</v>
      </c>
      <c r="M46" s="3">
        <f>Analyzed!AE47/Analyzed!$CS47</f>
        <v>0</v>
      </c>
      <c r="N46" s="3">
        <f>Analyzed!AG47/Analyzed!$CS47</f>
        <v>0</v>
      </c>
      <c r="O46" s="3">
        <f>Analyzed!AI47/Analyzed!$CS47</f>
        <v>0</v>
      </c>
      <c r="P46" s="3">
        <f>Analyzed!AK47/Analyzed!$CS47</f>
        <v>0</v>
      </c>
      <c r="Q46" s="3">
        <f>Analyzed!AM47/Analyzed!$CS47</f>
        <v>0</v>
      </c>
      <c r="R46" s="3">
        <f>Analyzed!AO47/Analyzed!$CS47</f>
        <v>0</v>
      </c>
      <c r="S46" s="3">
        <f>Analyzed!AQ47/Analyzed!$CS47</f>
        <v>0</v>
      </c>
      <c r="T46" s="3">
        <f>Analyzed!AS47/Analyzed!$CS47</f>
        <v>0</v>
      </c>
      <c r="U46" s="3">
        <f>Analyzed!AU47/Analyzed!$CS47</f>
        <v>0</v>
      </c>
      <c r="V46" s="3">
        <f>Analyzed!AW47/Analyzed!$CS47</f>
        <v>0</v>
      </c>
      <c r="W46" s="3">
        <f>Analyzed!AY47/Analyzed!$CS47</f>
        <v>0</v>
      </c>
      <c r="X46" s="3">
        <f>Analyzed!BA47/Analyzed!$CS47</f>
        <v>0</v>
      </c>
      <c r="Y46" s="3">
        <f>Analyzed!BC47/Analyzed!$CS47</f>
        <v>0</v>
      </c>
      <c r="Z46" s="3">
        <f>Analyzed!BE47/Analyzed!$CS47</f>
        <v>0</v>
      </c>
      <c r="AA46" s="3">
        <f>Analyzed!BG47/Analyzed!$CS47</f>
        <v>0</v>
      </c>
    </row>
    <row r="47" spans="1:27" x14ac:dyDescent="0.25">
      <c r="A47" s="13" t="s">
        <v>128</v>
      </c>
      <c r="B47" s="3">
        <f>Analyzed!E48/Analyzed!$CS48</f>
        <v>2.440916377928324E-2</v>
      </c>
      <c r="C47" s="3">
        <f>Analyzed!G48/Analyzed!$CS48</f>
        <v>0</v>
      </c>
      <c r="D47" s="3">
        <f>Analyzed!I48/Analyzed!$CS48</f>
        <v>0</v>
      </c>
      <c r="E47" s="3">
        <f>Analyzed!K48/Analyzed!$CS48</f>
        <v>0</v>
      </c>
      <c r="F47" s="3">
        <f>Analyzed!M48/Analyzed!$CS48</f>
        <v>0</v>
      </c>
      <c r="G47" s="3">
        <f>Analyzed!O48/Analyzed!$CS48</f>
        <v>0</v>
      </c>
      <c r="H47" s="3">
        <f>Analyzed!Q48/Analyzed!$CS48</f>
        <v>0</v>
      </c>
      <c r="I47" s="3">
        <f>Analyzed!S48/Analyzed!$CS48</f>
        <v>0</v>
      </c>
      <c r="J47" s="3">
        <f>Analyzed!Y48/Analyzed!$CS48</f>
        <v>4.6542897036768816E-4</v>
      </c>
      <c r="K47" s="3">
        <f>Analyzed!AA48/Analyzed!$CS48</f>
        <v>0</v>
      </c>
      <c r="L47" s="3">
        <f>Analyzed!AC48/Analyzed!$CS48</f>
        <v>0</v>
      </c>
      <c r="M47" s="3">
        <f>Analyzed!AE48/Analyzed!$CS48</f>
        <v>0</v>
      </c>
      <c r="N47" s="3">
        <f>Analyzed!AG48/Analyzed!$CS48</f>
        <v>0</v>
      </c>
      <c r="O47" s="3">
        <f>Analyzed!AI48/Analyzed!$CS48</f>
        <v>0</v>
      </c>
      <c r="P47" s="3">
        <f>Analyzed!AK48/Analyzed!$CS48</f>
        <v>0</v>
      </c>
      <c r="Q47" s="3">
        <f>Analyzed!AM48/Analyzed!$CS48</f>
        <v>0.97295340538863317</v>
      </c>
      <c r="R47" s="3">
        <f>Analyzed!AO48/Analyzed!$CS48</f>
        <v>0</v>
      </c>
      <c r="S47" s="3">
        <f>Analyzed!AQ48/Analyzed!$CS48</f>
        <v>0</v>
      </c>
      <c r="T47" s="3">
        <f>Analyzed!AS48/Analyzed!$CS48</f>
        <v>0</v>
      </c>
      <c r="U47" s="3">
        <f>Analyzed!AU48/Analyzed!$CS48</f>
        <v>0</v>
      </c>
      <c r="V47" s="3">
        <f>Analyzed!AW48/Analyzed!$CS48</f>
        <v>0</v>
      </c>
      <c r="W47" s="3">
        <f>Analyzed!AY48/Analyzed!$CS48</f>
        <v>0</v>
      </c>
      <c r="X47" s="3">
        <f>Analyzed!BA48/Analyzed!$CS48</f>
        <v>0</v>
      </c>
      <c r="Y47" s="3">
        <f>Analyzed!BC48/Analyzed!$CS48</f>
        <v>0</v>
      </c>
      <c r="Z47" s="3">
        <f>Analyzed!BE48/Analyzed!$CS48</f>
        <v>0</v>
      </c>
      <c r="AA47" s="3">
        <f>Analyzed!BG48/Analyzed!$CS48</f>
        <v>2.1720018617158812E-3</v>
      </c>
    </row>
    <row r="48" spans="1:27" x14ac:dyDescent="0.25">
      <c r="A48" s="13" t="s">
        <v>129</v>
      </c>
      <c r="B48" s="3">
        <f>Analyzed!E49/Analyzed!$CS49</f>
        <v>1.973114174680656E-3</v>
      </c>
      <c r="C48" s="3">
        <f>Analyzed!G49/Analyzed!$CS49</f>
        <v>0</v>
      </c>
      <c r="D48" s="3">
        <f>Analyzed!I49/Analyzed!$CS49</f>
        <v>0</v>
      </c>
      <c r="E48" s="3">
        <f>Analyzed!K49/Analyzed!$CS49</f>
        <v>0</v>
      </c>
      <c r="F48" s="3">
        <f>Analyzed!M49/Analyzed!$CS49</f>
        <v>0</v>
      </c>
      <c r="G48" s="3">
        <f>Analyzed!O49/Analyzed!$CS49</f>
        <v>0</v>
      </c>
      <c r="H48" s="3">
        <f>Analyzed!Q49/Analyzed!$CS49</f>
        <v>0</v>
      </c>
      <c r="I48" s="3">
        <f>Analyzed!S49/Analyzed!$CS49</f>
        <v>0</v>
      </c>
      <c r="J48" s="3">
        <f>Analyzed!Y49/Analyzed!$CS49</f>
        <v>1.02945087374643E-4</v>
      </c>
      <c r="K48" s="3">
        <f>Analyzed!AA49/Analyzed!$CS49</f>
        <v>0</v>
      </c>
      <c r="L48" s="3">
        <f>Analyzed!AC49/Analyzed!$CS49</f>
        <v>0</v>
      </c>
      <c r="M48" s="3">
        <f>Analyzed!AE49/Analyzed!$CS49</f>
        <v>0</v>
      </c>
      <c r="N48" s="3">
        <f>Analyzed!AG49/Analyzed!$CS49</f>
        <v>0</v>
      </c>
      <c r="O48" s="3">
        <f>Analyzed!AI49/Analyzed!$CS49</f>
        <v>0</v>
      </c>
      <c r="P48" s="3">
        <f>Analyzed!AK49/Analyzed!$CS49</f>
        <v>0</v>
      </c>
      <c r="Q48" s="3">
        <f>Analyzed!AM49/Analyzed!$CS49</f>
        <v>0.99729769145641567</v>
      </c>
      <c r="R48" s="3">
        <f>Analyzed!AO49/Analyzed!$CS49</f>
        <v>0</v>
      </c>
      <c r="S48" s="3">
        <f>Analyzed!AQ49/Analyzed!$CS49</f>
        <v>0</v>
      </c>
      <c r="T48" s="3">
        <f>Analyzed!AS49/Analyzed!$CS49</f>
        <v>0</v>
      </c>
      <c r="U48" s="3">
        <f>Analyzed!AU49/Analyzed!$CS49</f>
        <v>0</v>
      </c>
      <c r="V48" s="3">
        <f>Analyzed!AW49/Analyzed!$CS49</f>
        <v>0</v>
      </c>
      <c r="W48" s="3">
        <f>Analyzed!AY49/Analyzed!$CS49</f>
        <v>0</v>
      </c>
      <c r="X48" s="3">
        <f>Analyzed!BA49/Analyzed!$CS49</f>
        <v>0</v>
      </c>
      <c r="Y48" s="3">
        <f>Analyzed!BC49/Analyzed!$CS49</f>
        <v>0</v>
      </c>
      <c r="Z48" s="3">
        <f>Analyzed!BE49/Analyzed!$CS49</f>
        <v>0</v>
      </c>
      <c r="AA48" s="3">
        <f>Analyzed!BG49/Analyzed!$CS49</f>
        <v>6.2624928152907767E-4</v>
      </c>
    </row>
    <row r="49" spans="1:27" x14ac:dyDescent="0.25">
      <c r="A49" s="13" t="s">
        <v>130</v>
      </c>
      <c r="B49" s="3">
        <f>Analyzed!E50/Analyzed!$CS50</f>
        <v>2.4220405691795358E-3</v>
      </c>
      <c r="C49" s="3">
        <f>Analyzed!G50/Analyzed!$CS50</f>
        <v>0.53148652739933389</v>
      </c>
      <c r="D49" s="3">
        <f>Analyzed!I50/Analyzed!$CS50</f>
        <v>0</v>
      </c>
      <c r="E49" s="3">
        <f>Analyzed!K50/Analyzed!$CS50</f>
        <v>0</v>
      </c>
      <c r="F49" s="3">
        <f>Analyzed!M50/Analyzed!$CS50</f>
        <v>0</v>
      </c>
      <c r="G49" s="3">
        <f>Analyzed!O50/Analyzed!$CS50</f>
        <v>0</v>
      </c>
      <c r="H49" s="3">
        <f>Analyzed!Q50/Analyzed!$CS50</f>
        <v>0</v>
      </c>
      <c r="I49" s="3">
        <f>Analyzed!S50/Analyzed!$CS50</f>
        <v>0</v>
      </c>
      <c r="J49" s="3">
        <f>Analyzed!Y50/Analyzed!$CS50</f>
        <v>5.6615198304571589E-2</v>
      </c>
      <c r="K49" s="3">
        <f>Analyzed!AA50/Analyzed!$CS50</f>
        <v>0</v>
      </c>
      <c r="L49" s="3">
        <f>Analyzed!AC50/Analyzed!$CS50</f>
        <v>0</v>
      </c>
      <c r="M49" s="3">
        <f>Analyzed!AE50/Analyzed!$CS50</f>
        <v>0</v>
      </c>
      <c r="N49" s="3">
        <f>Analyzed!AG50/Analyzed!$CS50</f>
        <v>0</v>
      </c>
      <c r="O49" s="3">
        <f>Analyzed!AI50/Analyzed!$CS50</f>
        <v>1.2110202845897679E-3</v>
      </c>
      <c r="P49" s="3">
        <f>Analyzed!AK50/Analyzed!$CS50</f>
        <v>0</v>
      </c>
      <c r="Q49" s="3">
        <f>Analyzed!AM50/Analyzed!$CS50</f>
        <v>0.40826521344232514</v>
      </c>
      <c r="R49" s="3">
        <f>Analyzed!AO50/Analyzed!$CS50</f>
        <v>0</v>
      </c>
      <c r="S49" s="3">
        <f>Analyzed!AQ50/Analyzed!$CS50</f>
        <v>0</v>
      </c>
      <c r="T49" s="3">
        <f>Analyzed!AS50/Analyzed!$CS50</f>
        <v>0</v>
      </c>
      <c r="U49" s="3">
        <f>Analyzed!AU50/Analyzed!$CS50</f>
        <v>0</v>
      </c>
      <c r="V49" s="3">
        <f>Analyzed!AW50/Analyzed!$CS50</f>
        <v>0</v>
      </c>
      <c r="W49" s="3">
        <f>Analyzed!AY50/Analyzed!$CS50</f>
        <v>0</v>
      </c>
      <c r="X49" s="3">
        <f>Analyzed!BA50/Analyzed!$CS50</f>
        <v>0</v>
      </c>
      <c r="Y49" s="3">
        <f>Analyzed!BC50/Analyzed!$CS50</f>
        <v>0</v>
      </c>
      <c r="Z49" s="3">
        <f>Analyzed!BE50/Analyzed!$CS50</f>
        <v>0</v>
      </c>
      <c r="AA49" s="3">
        <f>Analyzed!BG50/Analyzed!$CS50</f>
        <v>0</v>
      </c>
    </row>
    <row r="50" spans="1:27" x14ac:dyDescent="0.25">
      <c r="A50" s="13" t="s">
        <v>131</v>
      </c>
      <c r="B50" s="3">
        <f>Analyzed!E51/Analyzed!$CS51</f>
        <v>0</v>
      </c>
      <c r="C50" s="3">
        <f>Analyzed!G51/Analyzed!$CS51</f>
        <v>0.88482328482328498</v>
      </c>
      <c r="D50" s="3">
        <f>Analyzed!I51/Analyzed!$CS51</f>
        <v>0</v>
      </c>
      <c r="E50" s="3">
        <f>Analyzed!K51/Analyzed!$CS51</f>
        <v>0</v>
      </c>
      <c r="F50" s="3">
        <f>Analyzed!M51/Analyzed!$CS51</f>
        <v>0</v>
      </c>
      <c r="G50" s="3">
        <f>Analyzed!O51/Analyzed!$CS51</f>
        <v>0</v>
      </c>
      <c r="H50" s="3">
        <f>Analyzed!Q51/Analyzed!$CS51</f>
        <v>0</v>
      </c>
      <c r="I50" s="3">
        <f>Analyzed!S51/Analyzed!$CS51</f>
        <v>0</v>
      </c>
      <c r="J50" s="3">
        <f>Analyzed!Y51/Analyzed!$CS51</f>
        <v>5.9376299376299374E-2</v>
      </c>
      <c r="K50" s="3">
        <f>Analyzed!AA51/Analyzed!$CS51</f>
        <v>0</v>
      </c>
      <c r="L50" s="3">
        <f>Analyzed!AC51/Analyzed!$CS51</f>
        <v>0</v>
      </c>
      <c r="M50" s="3">
        <f>Analyzed!AE51/Analyzed!$CS51</f>
        <v>0</v>
      </c>
      <c r="N50" s="3">
        <f>Analyzed!AG51/Analyzed!$CS51</f>
        <v>0</v>
      </c>
      <c r="O50" s="3">
        <f>Analyzed!AI51/Analyzed!$CS51</f>
        <v>8.3160083160081397E-5</v>
      </c>
      <c r="P50" s="3">
        <f>Analyzed!AK51/Analyzed!$CS51</f>
        <v>0</v>
      </c>
      <c r="Q50" s="3">
        <f>Analyzed!AM51/Analyzed!$CS51</f>
        <v>5.4137214137214146E-2</v>
      </c>
      <c r="R50" s="3">
        <f>Analyzed!AO51/Analyzed!$CS51</f>
        <v>0</v>
      </c>
      <c r="S50" s="3">
        <f>Analyzed!AQ51/Analyzed!$CS51</f>
        <v>0</v>
      </c>
      <c r="T50" s="3">
        <f>Analyzed!AS51/Analyzed!$CS51</f>
        <v>0</v>
      </c>
      <c r="U50" s="3">
        <f>Analyzed!AU51/Analyzed!$CS51</f>
        <v>0</v>
      </c>
      <c r="V50" s="3">
        <f>Analyzed!AW51/Analyzed!$CS51</f>
        <v>0</v>
      </c>
      <c r="W50" s="3">
        <f>Analyzed!AY51/Analyzed!$CS51</f>
        <v>0</v>
      </c>
      <c r="X50" s="3">
        <f>Analyzed!BA51/Analyzed!$CS51</f>
        <v>0</v>
      </c>
      <c r="Y50" s="3">
        <f>Analyzed!BC51/Analyzed!$CS51</f>
        <v>0</v>
      </c>
      <c r="Z50" s="3">
        <f>Analyzed!BE51/Analyzed!$CS51</f>
        <v>0</v>
      </c>
      <c r="AA50" s="3">
        <f>Analyzed!BG51/Analyzed!$CS51</f>
        <v>0</v>
      </c>
    </row>
    <row r="51" spans="1:27" x14ac:dyDescent="0.25">
      <c r="A51" s="13" t="s">
        <v>132</v>
      </c>
      <c r="B51" s="3">
        <f>Analyzed!E52/Analyzed!$CS52</f>
        <v>2.5258153183270174E-3</v>
      </c>
      <c r="C51" s="3">
        <f>Analyzed!G52/Analyzed!$CS52</f>
        <v>4.2344550924894152E-3</v>
      </c>
      <c r="D51" s="3">
        <f>Analyzed!I52/Analyzed!$CS52</f>
        <v>0</v>
      </c>
      <c r="E51" s="3">
        <f>Analyzed!K52/Analyzed!$CS52</f>
        <v>0</v>
      </c>
      <c r="F51" s="3">
        <f>Analyzed!M52/Analyzed!$CS52</f>
        <v>0</v>
      </c>
      <c r="G51" s="3">
        <f>Analyzed!O52/Analyzed!$CS52</f>
        <v>0</v>
      </c>
      <c r="H51" s="3">
        <f>Analyzed!Q52/Analyzed!$CS52</f>
        <v>0</v>
      </c>
      <c r="I51" s="3">
        <f>Analyzed!S52/Analyzed!$CS52</f>
        <v>0</v>
      </c>
      <c r="J51" s="3">
        <f>Analyzed!Y52/Analyzed!$CS52</f>
        <v>0</v>
      </c>
      <c r="K51" s="3">
        <f>Analyzed!AA52/Analyzed!$CS52</f>
        <v>0</v>
      </c>
      <c r="L51" s="3">
        <f>Analyzed!AC52/Analyzed!$CS52</f>
        <v>0</v>
      </c>
      <c r="M51" s="3">
        <f>Analyzed!AE52/Analyzed!$CS52</f>
        <v>0</v>
      </c>
      <c r="N51" s="3">
        <f>Analyzed!AG52/Analyzed!$CS52</f>
        <v>0</v>
      </c>
      <c r="O51" s="3">
        <f>Analyzed!AI52/Analyzed!$CS52</f>
        <v>0</v>
      </c>
      <c r="P51" s="3">
        <f>Analyzed!AK52/Analyzed!$CS52</f>
        <v>0</v>
      </c>
      <c r="Q51" s="3">
        <f>Analyzed!AM52/Analyzed!$CS52</f>
        <v>0</v>
      </c>
      <c r="R51" s="3">
        <f>Analyzed!AO52/Analyzed!$CS52</f>
        <v>0</v>
      </c>
      <c r="S51" s="3">
        <f>Analyzed!AQ52/Analyzed!$CS52</f>
        <v>0</v>
      </c>
      <c r="T51" s="3">
        <f>Analyzed!AS52/Analyzed!$CS52</f>
        <v>0</v>
      </c>
      <c r="U51" s="3">
        <f>Analyzed!AU52/Analyzed!$CS52</f>
        <v>0</v>
      </c>
      <c r="V51" s="3">
        <f>Analyzed!AW52/Analyzed!$CS52</f>
        <v>0</v>
      </c>
      <c r="W51" s="3">
        <f>Analyzed!AY52/Analyzed!$CS52</f>
        <v>0</v>
      </c>
      <c r="X51" s="3">
        <f>Analyzed!BA52/Analyzed!$CS52</f>
        <v>0.49535695713542827</v>
      </c>
      <c r="Y51" s="3">
        <f>Analyzed!BC52/Analyzed!$CS52</f>
        <v>0</v>
      </c>
      <c r="Z51" s="3">
        <f>Analyzed!BE52/Analyzed!$CS52</f>
        <v>0</v>
      </c>
      <c r="AA51" s="3">
        <f>Analyzed!BG52/Analyzed!$CS52</f>
        <v>0</v>
      </c>
    </row>
    <row r="52" spans="1:27" x14ac:dyDescent="0.25">
      <c r="A52" s="13" t="s">
        <v>25</v>
      </c>
      <c r="B52" s="3">
        <f>Analyzed!E53/Analyzed!$CS53</f>
        <v>0.70436116589962749</v>
      </c>
      <c r="C52" s="3">
        <f>Analyzed!G53/Analyzed!$CS53</f>
        <v>0</v>
      </c>
      <c r="D52" s="3">
        <f>Analyzed!I53/Analyzed!$CS53</f>
        <v>0</v>
      </c>
      <c r="E52" s="3">
        <f>Analyzed!K53/Analyzed!$CS53</f>
        <v>0</v>
      </c>
      <c r="F52" s="3">
        <f>Analyzed!M53/Analyzed!$CS53</f>
        <v>0</v>
      </c>
      <c r="G52" s="3">
        <f>Analyzed!O53/Analyzed!$CS53</f>
        <v>0.19570458031996493</v>
      </c>
      <c r="H52" s="3">
        <f>Analyzed!Q53/Analyzed!$CS53</f>
        <v>0</v>
      </c>
      <c r="I52" s="3">
        <f>Analyzed!S53/Analyzed!$CS53</f>
        <v>0</v>
      </c>
      <c r="J52" s="3">
        <f>Analyzed!Y53/Analyzed!$CS53</f>
        <v>0</v>
      </c>
      <c r="K52" s="3">
        <f>Analyzed!AA53/Analyzed!$CS53</f>
        <v>0</v>
      </c>
      <c r="L52" s="3">
        <f>Analyzed!AC53/Analyzed!$CS53</f>
        <v>0</v>
      </c>
      <c r="M52" s="3">
        <f>Analyzed!AE53/Analyzed!$CS53</f>
        <v>0</v>
      </c>
      <c r="N52" s="3">
        <f>Analyzed!AG53/Analyzed!$CS53</f>
        <v>0</v>
      </c>
      <c r="O52" s="3">
        <f>Analyzed!AI53/Analyzed!$CS53</f>
        <v>0</v>
      </c>
      <c r="P52" s="3">
        <f>Analyzed!AK53/Analyzed!$CS53</f>
        <v>9.4236248082401938E-3</v>
      </c>
      <c r="Q52" s="3">
        <f>Analyzed!AM53/Analyzed!$CS53</f>
        <v>9.0510628972167426E-2</v>
      </c>
      <c r="R52" s="3">
        <f>Analyzed!AO53/Analyzed!$CS53</f>
        <v>0</v>
      </c>
      <c r="S52" s="3">
        <f>Analyzed!AQ53/Analyzed!$CS53</f>
        <v>0</v>
      </c>
      <c r="T52" s="3">
        <f>Analyzed!AS53/Analyzed!$CS53</f>
        <v>0</v>
      </c>
      <c r="U52" s="3">
        <f>Analyzed!AU53/Analyzed!$CS53</f>
        <v>0</v>
      </c>
      <c r="V52" s="3">
        <f>Analyzed!AW53/Analyzed!$CS53</f>
        <v>0</v>
      </c>
      <c r="W52" s="3">
        <f>Analyzed!AY53/Analyzed!$CS53</f>
        <v>0</v>
      </c>
      <c r="X52" s="3">
        <f>Analyzed!BA53/Analyzed!$CS53</f>
        <v>0</v>
      </c>
      <c r="Y52" s="3">
        <f>Analyzed!BC53/Analyzed!$CS53</f>
        <v>0</v>
      </c>
      <c r="Z52" s="3">
        <f>Analyzed!BE53/Analyzed!$CS53</f>
        <v>0</v>
      </c>
      <c r="AA52" s="3">
        <f>Analyzed!BG53/Analyzed!$CS53</f>
        <v>0</v>
      </c>
    </row>
    <row r="53" spans="1:27" x14ac:dyDescent="0.25">
      <c r="A53" s="13" t="s">
        <v>37</v>
      </c>
      <c r="B53" s="3">
        <f>Analyzed!E54/Analyzed!$CS54</f>
        <v>0.90360435875943002</v>
      </c>
      <c r="C53" s="3">
        <f>Analyzed!G54/Analyzed!$CS54</f>
        <v>0</v>
      </c>
      <c r="D53" s="3">
        <f>Analyzed!I54/Analyzed!$CS54</f>
        <v>0</v>
      </c>
      <c r="E53" s="3">
        <f>Analyzed!K54/Analyzed!$CS54</f>
        <v>0</v>
      </c>
      <c r="F53" s="3">
        <f>Analyzed!M54/Analyzed!$CS54</f>
        <v>0</v>
      </c>
      <c r="G53" s="3">
        <f>Analyzed!O54/Analyzed!$CS54</f>
        <v>0</v>
      </c>
      <c r="H53" s="3">
        <f>Analyzed!Q54/Analyzed!$CS54</f>
        <v>0</v>
      </c>
      <c r="I53" s="3">
        <f>Analyzed!S54/Analyzed!$CS54</f>
        <v>0</v>
      </c>
      <c r="J53" s="3">
        <f>Analyzed!Y54/Analyzed!$CS54</f>
        <v>1.2293936853869796E-2</v>
      </c>
      <c r="K53" s="3">
        <f>Analyzed!AA54/Analyzed!$CS54</f>
        <v>0</v>
      </c>
      <c r="L53" s="3">
        <f>Analyzed!AC54/Analyzed!$CS54</f>
        <v>0</v>
      </c>
      <c r="M53" s="3">
        <f>Analyzed!AE54/Analyzed!$CS54</f>
        <v>0</v>
      </c>
      <c r="N53" s="3">
        <f>Analyzed!AG54/Analyzed!$CS54</f>
        <v>0</v>
      </c>
      <c r="O53" s="3">
        <f>Analyzed!AI54/Analyzed!$CS54</f>
        <v>0</v>
      </c>
      <c r="P53" s="3">
        <f>Analyzed!AK54/Analyzed!$CS54</f>
        <v>0</v>
      </c>
      <c r="Q53" s="3">
        <f>Analyzed!AM54/Analyzed!$CS54</f>
        <v>8.4101704386700185E-2</v>
      </c>
      <c r="R53" s="3">
        <f>Analyzed!AO54/Analyzed!$CS54</f>
        <v>0</v>
      </c>
      <c r="S53" s="3">
        <f>Analyzed!AQ54/Analyzed!$CS54</f>
        <v>0</v>
      </c>
      <c r="T53" s="3">
        <f>Analyzed!AS54/Analyzed!$CS54</f>
        <v>0</v>
      </c>
      <c r="U53" s="3">
        <f>Analyzed!AU54/Analyzed!$CS54</f>
        <v>0</v>
      </c>
      <c r="V53" s="3">
        <f>Analyzed!AW54/Analyzed!$CS54</f>
        <v>0</v>
      </c>
      <c r="W53" s="3">
        <f>Analyzed!AY54/Analyzed!$CS54</f>
        <v>0</v>
      </c>
      <c r="X53" s="3">
        <f>Analyzed!BA54/Analyzed!$CS54</f>
        <v>0</v>
      </c>
      <c r="Y53" s="3">
        <f>Analyzed!BC54/Analyzed!$CS54</f>
        <v>0</v>
      </c>
      <c r="Z53" s="3">
        <f>Analyzed!BE54/Analyzed!$CS54</f>
        <v>0</v>
      </c>
      <c r="AA53" s="3">
        <f>Analyzed!BG54/Analyzed!$CS54</f>
        <v>0</v>
      </c>
    </row>
    <row r="54" spans="1:27" x14ac:dyDescent="0.25">
      <c r="A54" s="13" t="s">
        <v>147</v>
      </c>
      <c r="B54" s="3">
        <f>Analyzed!E55/Analyzed!$CS55</f>
        <v>5.5819145967066696E-4</v>
      </c>
      <c r="C54" s="3">
        <f>Analyzed!G55/Analyzed!$CS55</f>
        <v>0</v>
      </c>
      <c r="D54" s="3">
        <f>Analyzed!I55/Analyzed!$CS55</f>
        <v>0</v>
      </c>
      <c r="E54" s="3">
        <f>Analyzed!K55/Analyzed!$CS55</f>
        <v>0</v>
      </c>
      <c r="F54" s="3">
        <f>Analyzed!M55/Analyzed!$CS55</f>
        <v>0</v>
      </c>
      <c r="G54" s="3">
        <f>Analyzed!O55/Analyzed!$CS55</f>
        <v>0</v>
      </c>
      <c r="H54" s="3">
        <f>Analyzed!Q55/Analyzed!$CS55</f>
        <v>0</v>
      </c>
      <c r="I54" s="3">
        <f>Analyzed!S55/Analyzed!$CS55</f>
        <v>0</v>
      </c>
      <c r="J54" s="3">
        <f>Analyzed!Y55/Analyzed!$CS55</f>
        <v>3.198437063912922E-2</v>
      </c>
      <c r="K54" s="3">
        <f>Analyzed!AA55/Analyzed!$CS55</f>
        <v>0</v>
      </c>
      <c r="L54" s="3">
        <f>Analyzed!AC55/Analyzed!$CS55</f>
        <v>0</v>
      </c>
      <c r="M54" s="3">
        <f>Analyzed!AE55/Analyzed!$CS55</f>
        <v>0</v>
      </c>
      <c r="N54" s="3">
        <f>Analyzed!AG55/Analyzed!$CS55</f>
        <v>0</v>
      </c>
      <c r="O54" s="3">
        <f>Analyzed!AI55/Analyzed!$CS55</f>
        <v>1.842031816913201E-3</v>
      </c>
      <c r="P54" s="3">
        <f>Analyzed!AK55/Analyzed!$CS55</f>
        <v>0</v>
      </c>
      <c r="Q54" s="3">
        <f>Analyzed!AM55/Analyzed!$CS55</f>
        <v>0.93703600334914872</v>
      </c>
      <c r="R54" s="3">
        <f>Analyzed!AO55/Analyzed!$CS55</f>
        <v>0</v>
      </c>
      <c r="S54" s="3">
        <f>Analyzed!AQ55/Analyzed!$CS55</f>
        <v>0</v>
      </c>
      <c r="T54" s="3">
        <f>Analyzed!AS55/Analyzed!$CS55</f>
        <v>0</v>
      </c>
      <c r="U54" s="3">
        <f>Analyzed!AU55/Analyzed!$CS55</f>
        <v>2.8579402735138149E-2</v>
      </c>
      <c r="V54" s="3">
        <f>Analyzed!AW55/Analyzed!$CS55</f>
        <v>0</v>
      </c>
      <c r="W54" s="3">
        <f>Analyzed!AY55/Analyzed!$CS55</f>
        <v>0</v>
      </c>
      <c r="X54" s="3">
        <f>Analyzed!BA55/Analyzed!$CS55</f>
        <v>0</v>
      </c>
      <c r="Y54" s="3">
        <f>Analyzed!BC55/Analyzed!$CS55</f>
        <v>0</v>
      </c>
      <c r="Z54" s="3">
        <f>Analyzed!BE55/Analyzed!$CS55</f>
        <v>0</v>
      </c>
      <c r="AA54" s="3">
        <f>Analyzed!BG55/Analyzed!$CS55</f>
        <v>0</v>
      </c>
    </row>
    <row r="55" spans="1:27" x14ac:dyDescent="0.25">
      <c r="A55" s="13" t="s">
        <v>148</v>
      </c>
      <c r="B55" s="3">
        <f>Analyzed!E56/Analyzed!$CS56</f>
        <v>8.7272727272727252E-2</v>
      </c>
      <c r="C55" s="3">
        <f>Analyzed!G56/Analyzed!$CS56</f>
        <v>0</v>
      </c>
      <c r="D55" s="3">
        <f>Analyzed!I56/Analyzed!$CS56</f>
        <v>0</v>
      </c>
      <c r="E55" s="3">
        <f>Analyzed!K56/Analyzed!$CS56</f>
        <v>0</v>
      </c>
      <c r="F55" s="3">
        <f>Analyzed!M56/Analyzed!$CS56</f>
        <v>0</v>
      </c>
      <c r="G55" s="3">
        <f>Analyzed!O56/Analyzed!$CS56</f>
        <v>0</v>
      </c>
      <c r="H55" s="3">
        <f>Analyzed!Q56/Analyzed!$CS56</f>
        <v>0</v>
      </c>
      <c r="I55" s="3">
        <f>Analyzed!S56/Analyzed!$CS56</f>
        <v>0</v>
      </c>
      <c r="J55" s="3">
        <f>Analyzed!Y56/Analyzed!$CS56</f>
        <v>0.89454545454545442</v>
      </c>
      <c r="K55" s="3">
        <f>Analyzed!AA56/Analyzed!$CS56</f>
        <v>0</v>
      </c>
      <c r="L55" s="3">
        <f>Analyzed!AC56/Analyzed!$CS56</f>
        <v>0</v>
      </c>
      <c r="M55" s="3">
        <f>Analyzed!AE56/Analyzed!$CS56</f>
        <v>0</v>
      </c>
      <c r="N55" s="3">
        <f>Analyzed!AG56/Analyzed!$CS56</f>
        <v>0</v>
      </c>
      <c r="O55" s="3">
        <f>Analyzed!AI56/Analyzed!$CS56</f>
        <v>7.2727272727272719E-3</v>
      </c>
      <c r="P55" s="3">
        <f>Analyzed!AK56/Analyzed!$CS56</f>
        <v>1.818181818181818E-3</v>
      </c>
      <c r="Q55" s="3">
        <f>Analyzed!AM56/Analyzed!$CS56</f>
        <v>0</v>
      </c>
      <c r="R55" s="3">
        <f>Analyzed!AO56/Analyzed!$CS56</f>
        <v>0</v>
      </c>
      <c r="S55" s="3">
        <f>Analyzed!AQ56/Analyzed!$CS56</f>
        <v>0</v>
      </c>
      <c r="T55" s="3">
        <f>Analyzed!AS56/Analyzed!$CS56</f>
        <v>0</v>
      </c>
      <c r="U55" s="3">
        <f>Analyzed!AU56/Analyzed!$CS56</f>
        <v>9.0909090909090905E-3</v>
      </c>
      <c r="V55" s="3">
        <f>Analyzed!AW56/Analyzed!$CS56</f>
        <v>0</v>
      </c>
      <c r="W55" s="3">
        <f>Analyzed!AY56/Analyzed!$CS56</f>
        <v>0</v>
      </c>
      <c r="X55" s="3">
        <f>Analyzed!BA56/Analyzed!$CS56</f>
        <v>0</v>
      </c>
      <c r="Y55" s="3">
        <f>Analyzed!BC56/Analyzed!$CS56</f>
        <v>0</v>
      </c>
      <c r="Z55" s="3">
        <f>Analyzed!BE56/Analyzed!$CS56</f>
        <v>0</v>
      </c>
      <c r="AA55" s="3">
        <f>Analyzed!BG56/Analyzed!$CS56</f>
        <v>0</v>
      </c>
    </row>
    <row r="56" spans="1:27" x14ac:dyDescent="0.25">
      <c r="A56" s="13" t="s">
        <v>149</v>
      </c>
      <c r="B56" s="3">
        <f>Analyzed!E57/Analyzed!$CS57</f>
        <v>0.1446234544773323</v>
      </c>
      <c r="C56" s="3">
        <f>Analyzed!G57/Analyzed!$CS57</f>
        <v>0</v>
      </c>
      <c r="D56" s="3">
        <f>Analyzed!I57/Analyzed!$CS57</f>
        <v>0</v>
      </c>
      <c r="E56" s="3">
        <f>Analyzed!K57/Analyzed!$CS57</f>
        <v>0</v>
      </c>
      <c r="F56" s="3">
        <f>Analyzed!M57/Analyzed!$CS57</f>
        <v>0</v>
      </c>
      <c r="G56" s="3">
        <f>Analyzed!O57/Analyzed!$CS57</f>
        <v>0</v>
      </c>
      <c r="H56" s="3">
        <f>Analyzed!Q57/Analyzed!$CS57</f>
        <v>0</v>
      </c>
      <c r="I56" s="3">
        <f>Analyzed!S57/Analyzed!$CS57</f>
        <v>0</v>
      </c>
      <c r="J56" s="3">
        <f>Analyzed!Y57/Analyzed!$CS57</f>
        <v>0.31809666541775944</v>
      </c>
      <c r="K56" s="3">
        <f>Analyzed!AA57/Analyzed!$CS57</f>
        <v>0</v>
      </c>
      <c r="L56" s="3">
        <f>Analyzed!AC57/Analyzed!$CS57</f>
        <v>0</v>
      </c>
      <c r="M56" s="3">
        <f>Analyzed!AE57/Analyzed!$CS57</f>
        <v>0</v>
      </c>
      <c r="N56" s="3">
        <f>Analyzed!AG57/Analyzed!$CS57</f>
        <v>0</v>
      </c>
      <c r="O56" s="3">
        <f>Analyzed!AI57/Analyzed!$CS57</f>
        <v>0.48032971150243536</v>
      </c>
      <c r="P56" s="3">
        <f>Analyzed!AK57/Analyzed!$CS57</f>
        <v>0</v>
      </c>
      <c r="Q56" s="3">
        <f>Analyzed!AM57/Analyzed!$CS57</f>
        <v>0</v>
      </c>
      <c r="R56" s="3">
        <f>Analyzed!AO57/Analyzed!$CS57</f>
        <v>0</v>
      </c>
      <c r="S56" s="3">
        <f>Analyzed!AQ57/Analyzed!$CS57</f>
        <v>0</v>
      </c>
      <c r="T56" s="3">
        <f>Analyzed!AS57/Analyzed!$CS57</f>
        <v>0</v>
      </c>
      <c r="U56" s="3">
        <f>Analyzed!AU57/Analyzed!$CS57</f>
        <v>5.6950168602472831E-2</v>
      </c>
      <c r="V56" s="3">
        <f>Analyzed!AW57/Analyzed!$CS57</f>
        <v>0</v>
      </c>
      <c r="W56" s="3">
        <f>Analyzed!AY57/Analyzed!$CS57</f>
        <v>0</v>
      </c>
      <c r="X56" s="3">
        <f>Analyzed!BA57/Analyzed!$CS57</f>
        <v>0</v>
      </c>
      <c r="Y56" s="3">
        <f>Analyzed!BC57/Analyzed!$CS57</f>
        <v>0</v>
      </c>
      <c r="Z56" s="3">
        <f>Analyzed!BE57/Analyzed!$CS57</f>
        <v>0</v>
      </c>
      <c r="AA56" s="3">
        <f>Analyzed!BG57/Analyzed!$CS57</f>
        <v>0</v>
      </c>
    </row>
    <row r="57" spans="1:27" x14ac:dyDescent="0.25">
      <c r="A57" s="13" t="s">
        <v>38</v>
      </c>
      <c r="B57" s="3">
        <f>Analyzed!E58/Analyzed!$CS58</f>
        <v>0.37045454545454543</v>
      </c>
      <c r="C57" s="3">
        <f>Analyzed!G58/Analyzed!$CS58</f>
        <v>0</v>
      </c>
      <c r="D57" s="3">
        <f>Analyzed!I58/Analyzed!$CS58</f>
        <v>0</v>
      </c>
      <c r="E57" s="3">
        <f>Analyzed!K58/Analyzed!$CS58</f>
        <v>0</v>
      </c>
      <c r="F57" s="3">
        <f>Analyzed!M58/Analyzed!$CS58</f>
        <v>0</v>
      </c>
      <c r="G57" s="3">
        <f>Analyzed!O58/Analyzed!$CS58</f>
        <v>6.7234848484848481E-2</v>
      </c>
      <c r="H57" s="3">
        <f>Analyzed!Q58/Analyzed!$CS58</f>
        <v>0</v>
      </c>
      <c r="I57" s="3">
        <f>Analyzed!S58/Analyzed!$CS58</f>
        <v>0</v>
      </c>
      <c r="J57" s="3">
        <f>Analyzed!Y58/Analyzed!$CS58</f>
        <v>2.1780303030303028E-2</v>
      </c>
      <c r="K57" s="3">
        <f>Analyzed!AA58/Analyzed!$CS58</f>
        <v>0</v>
      </c>
      <c r="L57" s="3">
        <f>Analyzed!AC58/Analyzed!$CS58</f>
        <v>0</v>
      </c>
      <c r="M57" s="3">
        <f>Analyzed!AE58/Analyzed!$CS58</f>
        <v>0</v>
      </c>
      <c r="N57" s="3">
        <f>Analyzed!AG58/Analyzed!$CS58</f>
        <v>0</v>
      </c>
      <c r="O57" s="3">
        <f>Analyzed!AI58/Analyzed!$CS58</f>
        <v>0</v>
      </c>
      <c r="P57" s="3">
        <f>Analyzed!AK58/Analyzed!$CS58</f>
        <v>1.3636363636363636E-2</v>
      </c>
      <c r="Q57" s="3">
        <f>Analyzed!AM58/Analyzed!$CS58</f>
        <v>0.52689393939393936</v>
      </c>
      <c r="R57" s="3">
        <f>Analyzed!AO58/Analyzed!$CS58</f>
        <v>0</v>
      </c>
      <c r="S57" s="3">
        <f>Analyzed!AQ58/Analyzed!$CS58</f>
        <v>0</v>
      </c>
      <c r="T57" s="3">
        <f>Analyzed!AS58/Analyzed!$CS58</f>
        <v>0</v>
      </c>
      <c r="U57" s="3">
        <f>Analyzed!AU58/Analyzed!$CS58</f>
        <v>0</v>
      </c>
      <c r="V57" s="3">
        <f>Analyzed!AW58/Analyzed!$CS58</f>
        <v>0</v>
      </c>
      <c r="W57" s="3">
        <f>Analyzed!AY58/Analyzed!$CS58</f>
        <v>0</v>
      </c>
      <c r="X57" s="3">
        <f>Analyzed!BA58/Analyzed!$CS58</f>
        <v>0</v>
      </c>
      <c r="Y57" s="3">
        <f>Analyzed!BC58/Analyzed!$CS58</f>
        <v>0</v>
      </c>
      <c r="Z57" s="3">
        <f>Analyzed!BE58/Analyzed!$CS58</f>
        <v>0</v>
      </c>
      <c r="AA57" s="3">
        <f>Analyzed!BG58/Analyzed!$CS58</f>
        <v>0</v>
      </c>
    </row>
    <row r="58" spans="1:27" x14ac:dyDescent="0.25">
      <c r="A58" s="13" t="s">
        <v>50</v>
      </c>
      <c r="B58" s="3">
        <f>Analyzed!E59/Analyzed!$CS59</f>
        <v>0.26308199423156159</v>
      </c>
      <c r="C58" s="3">
        <f>Analyzed!G59/Analyzed!$CS59</f>
        <v>0</v>
      </c>
      <c r="D58" s="3">
        <f>Analyzed!I59/Analyzed!$CS59</f>
        <v>0</v>
      </c>
      <c r="E58" s="3">
        <f>Analyzed!K59/Analyzed!$CS59</f>
        <v>0</v>
      </c>
      <c r="F58" s="3">
        <f>Analyzed!M59/Analyzed!$CS59</f>
        <v>0</v>
      </c>
      <c r="G58" s="3">
        <f>Analyzed!O59/Analyzed!$CS59</f>
        <v>0.17068397198187063</v>
      </c>
      <c r="H58" s="3">
        <f>Analyzed!Q59/Analyzed!$CS59</f>
        <v>0</v>
      </c>
      <c r="I58" s="3">
        <f>Analyzed!S59/Analyzed!$CS59</f>
        <v>0</v>
      </c>
      <c r="J58" s="3">
        <f>Analyzed!Y59/Analyzed!$CS59</f>
        <v>1.6790276060980634E-2</v>
      </c>
      <c r="K58" s="3">
        <f>Analyzed!AA59/Analyzed!$CS59</f>
        <v>0</v>
      </c>
      <c r="L58" s="3">
        <f>Analyzed!AC59/Analyzed!$CS59</f>
        <v>0</v>
      </c>
      <c r="M58" s="3">
        <f>Analyzed!AE59/Analyzed!$CS59</f>
        <v>0</v>
      </c>
      <c r="N58" s="3">
        <f>Analyzed!AG59/Analyzed!$CS59</f>
        <v>0</v>
      </c>
      <c r="O58" s="3">
        <f>Analyzed!AI59/Analyzed!$CS59</f>
        <v>0</v>
      </c>
      <c r="P58" s="3">
        <f>Analyzed!AK59/Analyzed!$CS59</f>
        <v>6.6955088586732586E-3</v>
      </c>
      <c r="Q58" s="3">
        <f>Analyzed!AM59/Analyzed!$CS59</f>
        <v>0.54274824886691386</v>
      </c>
      <c r="R58" s="3">
        <f>Analyzed!AO59/Analyzed!$CS59</f>
        <v>0</v>
      </c>
      <c r="S58" s="3">
        <f>Analyzed!AQ59/Analyzed!$CS59</f>
        <v>0</v>
      </c>
      <c r="T58" s="3">
        <f>Analyzed!AS59/Analyzed!$CS59</f>
        <v>0</v>
      </c>
      <c r="U58" s="3">
        <f>Analyzed!AU59/Analyzed!$CS59</f>
        <v>0</v>
      </c>
      <c r="V58" s="3">
        <f>Analyzed!AW59/Analyzed!$CS59</f>
        <v>0</v>
      </c>
      <c r="W58" s="3">
        <f>Analyzed!AY59/Analyzed!$CS59</f>
        <v>0</v>
      </c>
      <c r="X58" s="3">
        <f>Analyzed!BA59/Analyzed!$CS59</f>
        <v>0</v>
      </c>
      <c r="Y58" s="3">
        <f>Analyzed!BC59/Analyzed!$CS59</f>
        <v>0</v>
      </c>
      <c r="Z58" s="3">
        <f>Analyzed!BE59/Analyzed!$CS59</f>
        <v>0</v>
      </c>
      <c r="AA58" s="3">
        <f>Analyzed!BG59/Analyzed!$CS59</f>
        <v>0</v>
      </c>
    </row>
    <row r="59" spans="1:27" x14ac:dyDescent="0.25">
      <c r="A59" s="13" t="s">
        <v>52</v>
      </c>
      <c r="B59" s="3">
        <f>Analyzed!E60/Analyzed!$CS60</f>
        <v>0.30535628885700622</v>
      </c>
      <c r="C59" s="3">
        <f>Analyzed!G60/Analyzed!$CS60</f>
        <v>0</v>
      </c>
      <c r="D59" s="3">
        <f>Analyzed!I60/Analyzed!$CS60</f>
        <v>0</v>
      </c>
      <c r="E59" s="3">
        <f>Analyzed!K60/Analyzed!$CS60</f>
        <v>0</v>
      </c>
      <c r="F59" s="3">
        <f>Analyzed!M60/Analyzed!$CS60</f>
        <v>0</v>
      </c>
      <c r="G59" s="3">
        <f>Analyzed!O60/Analyzed!$CS60</f>
        <v>0.2417503586800574</v>
      </c>
      <c r="H59" s="3">
        <f>Analyzed!Q60/Analyzed!$CS60</f>
        <v>0</v>
      </c>
      <c r="I59" s="3">
        <f>Analyzed!S60/Analyzed!$CS60</f>
        <v>0</v>
      </c>
      <c r="J59" s="3">
        <f>Analyzed!Y60/Analyzed!$CS60</f>
        <v>9.5648015303682443E-4</v>
      </c>
      <c r="K59" s="3">
        <f>Analyzed!AA60/Analyzed!$CS60</f>
        <v>0</v>
      </c>
      <c r="L59" s="3">
        <f>Analyzed!AC60/Analyzed!$CS60</f>
        <v>0</v>
      </c>
      <c r="M59" s="3">
        <f>Analyzed!AE60/Analyzed!$CS60</f>
        <v>0</v>
      </c>
      <c r="N59" s="3">
        <f>Analyzed!AG60/Analyzed!$CS60</f>
        <v>0</v>
      </c>
      <c r="O59" s="3">
        <f>Analyzed!AI60/Analyzed!$CS60</f>
        <v>0</v>
      </c>
      <c r="P59" s="3">
        <f>Analyzed!AK60/Analyzed!$CS60</f>
        <v>8.5126733620277381E-2</v>
      </c>
      <c r="Q59" s="3">
        <f>Analyzed!AM60/Analyzed!$CS60</f>
        <v>0.3668101386896222</v>
      </c>
      <c r="R59" s="3">
        <f>Analyzed!AO60/Analyzed!$CS60</f>
        <v>0</v>
      </c>
      <c r="S59" s="3">
        <f>Analyzed!AQ60/Analyzed!$CS60</f>
        <v>0</v>
      </c>
      <c r="T59" s="3">
        <f>Analyzed!AS60/Analyzed!$CS60</f>
        <v>0</v>
      </c>
      <c r="U59" s="3">
        <f>Analyzed!AU60/Analyzed!$CS60</f>
        <v>0</v>
      </c>
      <c r="V59" s="3">
        <f>Analyzed!AW60/Analyzed!$CS60</f>
        <v>0</v>
      </c>
      <c r="W59" s="3">
        <f>Analyzed!AY60/Analyzed!$CS60</f>
        <v>0</v>
      </c>
      <c r="X59" s="3">
        <f>Analyzed!BA60/Analyzed!$CS60</f>
        <v>0</v>
      </c>
      <c r="Y59" s="3">
        <f>Analyzed!BC60/Analyzed!$CS60</f>
        <v>0</v>
      </c>
      <c r="Z59" s="3">
        <f>Analyzed!BE60/Analyzed!$CS60</f>
        <v>0</v>
      </c>
      <c r="AA59" s="3">
        <f>Analyzed!BG60/Analyzed!$CS60</f>
        <v>0</v>
      </c>
    </row>
    <row r="60" spans="1:27" x14ac:dyDescent="0.25">
      <c r="A60" s="13" t="s">
        <v>53</v>
      </c>
      <c r="B60" s="3">
        <f>Analyzed!E61/Analyzed!$CS61</f>
        <v>0.99719551282051277</v>
      </c>
      <c r="C60" s="3">
        <f>Analyzed!G61/Analyzed!$CS61</f>
        <v>0</v>
      </c>
      <c r="D60" s="3">
        <f>Analyzed!I61/Analyzed!$CS61</f>
        <v>0</v>
      </c>
      <c r="E60" s="3">
        <f>Analyzed!K61/Analyzed!$CS61</f>
        <v>0</v>
      </c>
      <c r="F60" s="3">
        <f>Analyzed!M61/Analyzed!$CS61</f>
        <v>0</v>
      </c>
      <c r="G60" s="3">
        <f>Analyzed!O61/Analyzed!$CS61</f>
        <v>0</v>
      </c>
      <c r="H60" s="3">
        <f>Analyzed!Q61/Analyzed!$CS61</f>
        <v>0</v>
      </c>
      <c r="I60" s="3">
        <f>Analyzed!S61/Analyzed!$CS61</f>
        <v>0</v>
      </c>
      <c r="J60" s="3">
        <f>Analyzed!Y61/Analyzed!$CS61</f>
        <v>2.8044871794871795E-3</v>
      </c>
      <c r="K60" s="3">
        <f>Analyzed!AA61/Analyzed!$CS61</f>
        <v>0</v>
      </c>
      <c r="L60" s="3">
        <f>Analyzed!AC61/Analyzed!$CS61</f>
        <v>0</v>
      </c>
      <c r="M60" s="3">
        <f>Analyzed!AE61/Analyzed!$CS61</f>
        <v>0</v>
      </c>
      <c r="N60" s="3">
        <f>Analyzed!AG61/Analyzed!$CS61</f>
        <v>0</v>
      </c>
      <c r="O60" s="3">
        <f>Analyzed!AI61/Analyzed!$CS61</f>
        <v>0</v>
      </c>
      <c r="P60" s="3">
        <f>Analyzed!AK61/Analyzed!$CS61</f>
        <v>0</v>
      </c>
      <c r="Q60" s="3">
        <f>Analyzed!AM61/Analyzed!$CS61</f>
        <v>0</v>
      </c>
      <c r="R60" s="3">
        <f>Analyzed!AO61/Analyzed!$CS61</f>
        <v>0</v>
      </c>
      <c r="S60" s="3">
        <f>Analyzed!AQ61/Analyzed!$CS61</f>
        <v>0</v>
      </c>
      <c r="T60" s="3">
        <f>Analyzed!AS61/Analyzed!$CS61</f>
        <v>0</v>
      </c>
      <c r="U60" s="3">
        <f>Analyzed!AU61/Analyzed!$CS61</f>
        <v>0</v>
      </c>
      <c r="V60" s="3">
        <f>Analyzed!AW61/Analyzed!$CS61</f>
        <v>0</v>
      </c>
      <c r="W60" s="3">
        <f>Analyzed!AY61/Analyzed!$CS61</f>
        <v>0</v>
      </c>
      <c r="X60" s="3">
        <f>Analyzed!BA61/Analyzed!$CS61</f>
        <v>0</v>
      </c>
      <c r="Y60" s="3">
        <f>Analyzed!BC61/Analyzed!$CS61</f>
        <v>0</v>
      </c>
      <c r="Z60" s="3">
        <f>Analyzed!BE61/Analyzed!$CS61</f>
        <v>0</v>
      </c>
      <c r="AA60" s="3">
        <f>Analyzed!BG61/Analyzed!$CS61</f>
        <v>0</v>
      </c>
    </row>
    <row r="61" spans="1:27" x14ac:dyDescent="0.25">
      <c r="A61" s="13" t="s">
        <v>54</v>
      </c>
      <c r="B61" s="3">
        <f>Analyzed!E62/Analyzed!$CS62</f>
        <v>0.98636926889714993</v>
      </c>
      <c r="C61" s="3">
        <f>Analyzed!G62/Analyzed!$CS62</f>
        <v>0</v>
      </c>
      <c r="D61" s="3">
        <f>Analyzed!I62/Analyzed!$CS62</f>
        <v>0</v>
      </c>
      <c r="E61" s="3">
        <f>Analyzed!K62/Analyzed!$CS62</f>
        <v>0</v>
      </c>
      <c r="F61" s="3">
        <f>Analyzed!M62/Analyzed!$CS62</f>
        <v>0</v>
      </c>
      <c r="G61" s="3">
        <f>Analyzed!O62/Analyzed!$CS62</f>
        <v>0</v>
      </c>
      <c r="H61" s="3">
        <f>Analyzed!Q62/Analyzed!$CS62</f>
        <v>0</v>
      </c>
      <c r="I61" s="3">
        <f>Analyzed!S62/Analyzed!$CS62</f>
        <v>0</v>
      </c>
      <c r="J61" s="3">
        <f>Analyzed!Y62/Analyzed!$CS62</f>
        <v>1.3630731102850062E-2</v>
      </c>
      <c r="K61" s="3">
        <f>Analyzed!AA62/Analyzed!$CS62</f>
        <v>0</v>
      </c>
      <c r="L61" s="3">
        <f>Analyzed!AC62/Analyzed!$CS62</f>
        <v>0</v>
      </c>
      <c r="M61" s="3">
        <f>Analyzed!AE62/Analyzed!$CS62</f>
        <v>0</v>
      </c>
      <c r="N61" s="3">
        <f>Analyzed!AG62/Analyzed!$CS62</f>
        <v>0</v>
      </c>
      <c r="O61" s="3">
        <f>Analyzed!AI62/Analyzed!$CS62</f>
        <v>0</v>
      </c>
      <c r="P61" s="3">
        <f>Analyzed!AK62/Analyzed!$CS62</f>
        <v>0</v>
      </c>
      <c r="Q61" s="3">
        <f>Analyzed!AM62/Analyzed!$CS62</f>
        <v>0</v>
      </c>
      <c r="R61" s="3">
        <f>Analyzed!AO62/Analyzed!$CS62</f>
        <v>0</v>
      </c>
      <c r="S61" s="3">
        <f>Analyzed!AQ62/Analyzed!$CS62</f>
        <v>0</v>
      </c>
      <c r="T61" s="3">
        <f>Analyzed!AS62/Analyzed!$CS62</f>
        <v>0</v>
      </c>
      <c r="U61" s="3">
        <f>Analyzed!AU62/Analyzed!$CS62</f>
        <v>0</v>
      </c>
      <c r="V61" s="3">
        <f>Analyzed!AW62/Analyzed!$CS62</f>
        <v>0</v>
      </c>
      <c r="W61" s="3">
        <f>Analyzed!AY62/Analyzed!$CS62</f>
        <v>0</v>
      </c>
      <c r="X61" s="3">
        <f>Analyzed!BA62/Analyzed!$CS62</f>
        <v>0</v>
      </c>
      <c r="Y61" s="3">
        <f>Analyzed!BC62/Analyzed!$CS62</f>
        <v>0</v>
      </c>
      <c r="Z61" s="3">
        <f>Analyzed!BE62/Analyzed!$CS62</f>
        <v>0</v>
      </c>
      <c r="AA61" s="3">
        <f>Analyzed!BG62/Analyzed!$CS62</f>
        <v>0</v>
      </c>
    </row>
    <row r="62" spans="1:27" x14ac:dyDescent="0.25">
      <c r="A62" s="13" t="s">
        <v>55</v>
      </c>
      <c r="B62" s="3">
        <f>Analyzed!E63/Analyzed!$CS63</f>
        <v>0.83543762037235181</v>
      </c>
      <c r="C62" s="3">
        <f>Analyzed!G63/Analyzed!$CS63</f>
        <v>0</v>
      </c>
      <c r="D62" s="3">
        <f>Analyzed!I63/Analyzed!$CS63</f>
        <v>0</v>
      </c>
      <c r="E62" s="3">
        <f>Analyzed!K63/Analyzed!$CS63</f>
        <v>0</v>
      </c>
      <c r="F62" s="3">
        <f>Analyzed!M63/Analyzed!$CS63</f>
        <v>0</v>
      </c>
      <c r="G62" s="3">
        <f>Analyzed!O63/Analyzed!$CS63</f>
        <v>0</v>
      </c>
      <c r="H62" s="3">
        <f>Analyzed!Q63/Analyzed!$CS63</f>
        <v>0</v>
      </c>
      <c r="I62" s="3">
        <f>Analyzed!S63/Analyzed!$CS63</f>
        <v>0</v>
      </c>
      <c r="J62" s="3">
        <f>Analyzed!Y63/Analyzed!$CS63</f>
        <v>0</v>
      </c>
      <c r="K62" s="3">
        <f>Analyzed!AA63/Analyzed!$CS63</f>
        <v>0</v>
      </c>
      <c r="L62" s="3">
        <f>Analyzed!AC63/Analyzed!$CS63</f>
        <v>0</v>
      </c>
      <c r="M62" s="3">
        <f>Analyzed!AE63/Analyzed!$CS63</f>
        <v>0</v>
      </c>
      <c r="N62" s="3">
        <f>Analyzed!AG63/Analyzed!$CS63</f>
        <v>0</v>
      </c>
      <c r="O62" s="3">
        <f>Analyzed!AI63/Analyzed!$CS63</f>
        <v>0</v>
      </c>
      <c r="P62" s="3">
        <f>Analyzed!AK63/Analyzed!$CS63</f>
        <v>6.8264498181040023E-2</v>
      </c>
      <c r="Q62" s="3">
        <f>Analyzed!AM63/Analyzed!$CS63</f>
        <v>9.6297881446608169E-2</v>
      </c>
      <c r="R62" s="3">
        <f>Analyzed!AO63/Analyzed!$CS63</f>
        <v>0</v>
      </c>
      <c r="S62" s="3">
        <f>Analyzed!AQ63/Analyzed!$CS63</f>
        <v>0</v>
      </c>
      <c r="T62" s="3">
        <f>Analyzed!AS63/Analyzed!$CS63</f>
        <v>0</v>
      </c>
      <c r="U62" s="3">
        <f>Analyzed!AU63/Analyzed!$CS63</f>
        <v>0</v>
      </c>
      <c r="V62" s="3">
        <f>Analyzed!AW63/Analyzed!$CS63</f>
        <v>0</v>
      </c>
      <c r="W62" s="3">
        <f>Analyzed!AY63/Analyzed!$CS63</f>
        <v>0</v>
      </c>
      <c r="X62" s="3">
        <f>Analyzed!BA63/Analyzed!$CS63</f>
        <v>0</v>
      </c>
      <c r="Y62" s="3">
        <f>Analyzed!BC63/Analyzed!$CS63</f>
        <v>0</v>
      </c>
      <c r="Z62" s="3">
        <f>Analyzed!BE63/Analyzed!$CS63</f>
        <v>0</v>
      </c>
      <c r="AA62" s="3">
        <f>Analyzed!BG63/Analyzed!$CS63</f>
        <v>0</v>
      </c>
    </row>
    <row r="63" spans="1:27" x14ac:dyDescent="0.25">
      <c r="A63" s="13" t="s">
        <v>56</v>
      </c>
      <c r="B63" s="3">
        <f>Analyzed!E64/Analyzed!$CS64</f>
        <v>0.7806961349562247</v>
      </c>
      <c r="C63" s="3">
        <f>Analyzed!G64/Analyzed!$CS64</f>
        <v>0</v>
      </c>
      <c r="D63" s="3">
        <f>Analyzed!I64/Analyzed!$CS64</f>
        <v>0</v>
      </c>
      <c r="E63" s="3">
        <f>Analyzed!K64/Analyzed!$CS64</f>
        <v>0</v>
      </c>
      <c r="F63" s="3">
        <f>Analyzed!M64/Analyzed!$CS64</f>
        <v>0</v>
      </c>
      <c r="G63" s="3">
        <f>Analyzed!O64/Analyzed!$CS64</f>
        <v>0</v>
      </c>
      <c r="H63" s="3">
        <f>Analyzed!Q64/Analyzed!$CS64</f>
        <v>0</v>
      </c>
      <c r="I63" s="3">
        <f>Analyzed!S64/Analyzed!$CS64</f>
        <v>0</v>
      </c>
      <c r="J63" s="3">
        <f>Analyzed!Y64/Analyzed!$CS64</f>
        <v>8.5415332052103427E-4</v>
      </c>
      <c r="K63" s="3">
        <f>Analyzed!AA64/Analyzed!$CS64</f>
        <v>0</v>
      </c>
      <c r="L63" s="3">
        <f>Analyzed!AC64/Analyzed!$CS64</f>
        <v>0</v>
      </c>
      <c r="M63" s="3">
        <f>Analyzed!AE64/Analyzed!$CS64</f>
        <v>0</v>
      </c>
      <c r="N63" s="3">
        <f>Analyzed!AG64/Analyzed!$CS64</f>
        <v>0</v>
      </c>
      <c r="O63" s="3">
        <f>Analyzed!AI64/Analyzed!$CS64</f>
        <v>0</v>
      </c>
      <c r="P63" s="3">
        <f>Analyzed!AK64/Analyzed!$CS64</f>
        <v>0</v>
      </c>
      <c r="Q63" s="3">
        <f>Analyzed!AM64/Analyzed!$CS64</f>
        <v>0.16634635917147128</v>
      </c>
      <c r="R63" s="3">
        <f>Analyzed!AO64/Analyzed!$CS64</f>
        <v>0</v>
      </c>
      <c r="S63" s="3">
        <f>Analyzed!AQ64/Analyzed!$CS64</f>
        <v>0</v>
      </c>
      <c r="T63" s="3">
        <f>Analyzed!AS64/Analyzed!$CS64</f>
        <v>5.2103352551783041E-2</v>
      </c>
      <c r="U63" s="3">
        <f>Analyzed!AU64/Analyzed!$CS64</f>
        <v>0</v>
      </c>
      <c r="V63" s="3">
        <f>Analyzed!AW64/Analyzed!$CS64</f>
        <v>0</v>
      </c>
      <c r="W63" s="3">
        <f>Analyzed!AY64/Analyzed!$CS64</f>
        <v>0</v>
      </c>
      <c r="X63" s="3">
        <f>Analyzed!BA64/Analyzed!$CS64</f>
        <v>0</v>
      </c>
      <c r="Y63" s="3">
        <f>Analyzed!BC64/Analyzed!$CS64</f>
        <v>0</v>
      </c>
      <c r="Z63" s="3">
        <f>Analyzed!BE64/Analyzed!$CS64</f>
        <v>0</v>
      </c>
      <c r="AA63" s="3">
        <f>Analyzed!BG64/Analyzed!$CS64</f>
        <v>0</v>
      </c>
    </row>
    <row r="64" spans="1:27" x14ac:dyDescent="0.25">
      <c r="A64" s="13" t="s">
        <v>57</v>
      </c>
      <c r="B64" s="3">
        <f>Analyzed!E65/Analyzed!$CS65</f>
        <v>0.40847072200113699</v>
      </c>
      <c r="C64" s="3">
        <f>Analyzed!G65/Analyzed!$CS65</f>
        <v>0</v>
      </c>
      <c r="D64" s="3">
        <f>Analyzed!I65/Analyzed!$CS65</f>
        <v>0</v>
      </c>
      <c r="E64" s="3">
        <f>Analyzed!K65/Analyzed!$CS65</f>
        <v>0</v>
      </c>
      <c r="F64" s="3">
        <f>Analyzed!M65/Analyzed!$CS65</f>
        <v>0</v>
      </c>
      <c r="G64" s="3">
        <f>Analyzed!O65/Analyzed!$CS65</f>
        <v>0</v>
      </c>
      <c r="H64" s="3">
        <f>Analyzed!Q65/Analyzed!$CS65</f>
        <v>0</v>
      </c>
      <c r="I64" s="3">
        <f>Analyzed!S65/Analyzed!$CS65</f>
        <v>0</v>
      </c>
      <c r="J64" s="3">
        <f>Analyzed!Y65/Analyzed!$CS65</f>
        <v>0</v>
      </c>
      <c r="K64" s="3">
        <f>Analyzed!AA65/Analyzed!$CS65</f>
        <v>0</v>
      </c>
      <c r="L64" s="3">
        <f>Analyzed!AC65/Analyzed!$CS65</f>
        <v>0</v>
      </c>
      <c r="M64" s="3">
        <f>Analyzed!AE65/Analyzed!$CS65</f>
        <v>0</v>
      </c>
      <c r="N64" s="3">
        <f>Analyzed!AG65/Analyzed!$CS65</f>
        <v>0</v>
      </c>
      <c r="O64" s="3">
        <f>Analyzed!AI65/Analyzed!$CS65</f>
        <v>0</v>
      </c>
      <c r="P64" s="3">
        <f>Analyzed!AK65/Analyzed!$CS65</f>
        <v>0</v>
      </c>
      <c r="Q64" s="3">
        <f>Analyzed!AM65/Analyzed!$CS65</f>
        <v>0.59152927799886301</v>
      </c>
      <c r="R64" s="3">
        <f>Analyzed!AO65/Analyzed!$CS65</f>
        <v>0</v>
      </c>
      <c r="S64" s="3">
        <f>Analyzed!AQ65/Analyzed!$CS65</f>
        <v>0</v>
      </c>
      <c r="T64" s="3">
        <f>Analyzed!AS65/Analyzed!$CS65</f>
        <v>0</v>
      </c>
      <c r="U64" s="3">
        <f>Analyzed!AU65/Analyzed!$CS65</f>
        <v>0</v>
      </c>
      <c r="V64" s="3">
        <f>Analyzed!AW65/Analyzed!$CS65</f>
        <v>0</v>
      </c>
      <c r="W64" s="3">
        <f>Analyzed!AY65/Analyzed!$CS65</f>
        <v>0</v>
      </c>
      <c r="X64" s="3">
        <f>Analyzed!BA65/Analyzed!$CS65</f>
        <v>0</v>
      </c>
      <c r="Y64" s="3">
        <f>Analyzed!BC65/Analyzed!$CS65</f>
        <v>0</v>
      </c>
      <c r="Z64" s="3">
        <f>Analyzed!BE65/Analyzed!$CS65</f>
        <v>0</v>
      </c>
      <c r="AA64" s="3">
        <f>Analyzed!BG65/Analyzed!$CS65</f>
        <v>0</v>
      </c>
    </row>
    <row r="65" spans="1:27" x14ac:dyDescent="0.25">
      <c r="A65" s="13" t="s">
        <v>59</v>
      </c>
      <c r="B65" s="3">
        <f>Analyzed!E66/Analyzed!$CS66</f>
        <v>0.8907040062232594</v>
      </c>
      <c r="C65" s="3">
        <f>Analyzed!G66/Analyzed!$CS66</f>
        <v>0</v>
      </c>
      <c r="D65" s="3">
        <f>Analyzed!I66/Analyzed!$CS66</f>
        <v>0</v>
      </c>
      <c r="E65" s="3">
        <f>Analyzed!K66/Analyzed!$CS66</f>
        <v>0</v>
      </c>
      <c r="F65" s="3">
        <f>Analyzed!M66/Analyzed!$CS66</f>
        <v>0</v>
      </c>
      <c r="G65" s="3">
        <f>Analyzed!O66/Analyzed!$CS66</f>
        <v>0</v>
      </c>
      <c r="H65" s="3">
        <f>Analyzed!Q66/Analyzed!$CS66</f>
        <v>0</v>
      </c>
      <c r="I65" s="3">
        <f>Analyzed!S66/Analyzed!$CS66</f>
        <v>0</v>
      </c>
      <c r="J65" s="3">
        <f>Analyzed!Y66/Analyzed!$CS66</f>
        <v>0</v>
      </c>
      <c r="K65" s="3">
        <f>Analyzed!AA66/Analyzed!$CS66</f>
        <v>0</v>
      </c>
      <c r="L65" s="3">
        <f>Analyzed!AC66/Analyzed!$CS66</f>
        <v>0</v>
      </c>
      <c r="M65" s="3">
        <f>Analyzed!AE66/Analyzed!$CS66</f>
        <v>0</v>
      </c>
      <c r="N65" s="3">
        <f>Analyzed!AG66/Analyzed!$CS66</f>
        <v>0</v>
      </c>
      <c r="O65" s="3">
        <f>Analyzed!AI66/Analyzed!$CS66</f>
        <v>0</v>
      </c>
      <c r="P65" s="3">
        <f>Analyzed!AK66/Analyzed!$CS66</f>
        <v>0</v>
      </c>
      <c r="Q65" s="3">
        <f>Analyzed!AM66/Analyzed!$CS66</f>
        <v>0.10929599377674054</v>
      </c>
      <c r="R65" s="3">
        <f>Analyzed!AO66/Analyzed!$CS66</f>
        <v>0</v>
      </c>
      <c r="S65" s="3">
        <f>Analyzed!AQ66/Analyzed!$CS66</f>
        <v>0</v>
      </c>
      <c r="T65" s="3">
        <f>Analyzed!AS66/Analyzed!$CS66</f>
        <v>0</v>
      </c>
      <c r="U65" s="3">
        <f>Analyzed!AU66/Analyzed!$CS66</f>
        <v>0</v>
      </c>
      <c r="V65" s="3">
        <f>Analyzed!AW66/Analyzed!$CS66</f>
        <v>0</v>
      </c>
      <c r="W65" s="3">
        <f>Analyzed!AY66/Analyzed!$CS66</f>
        <v>0</v>
      </c>
      <c r="X65" s="3">
        <f>Analyzed!BA66/Analyzed!$CS66</f>
        <v>0</v>
      </c>
      <c r="Y65" s="3">
        <f>Analyzed!BC66/Analyzed!$CS66</f>
        <v>0</v>
      </c>
      <c r="Z65" s="3">
        <f>Analyzed!BE66/Analyzed!$CS66</f>
        <v>0</v>
      </c>
      <c r="AA65" s="3">
        <f>Analyzed!BG66/Analyzed!$CS66</f>
        <v>0</v>
      </c>
    </row>
    <row r="66" spans="1:27" x14ac:dyDescent="0.25">
      <c r="A66" s="13" t="s">
        <v>60</v>
      </c>
      <c r="B66" s="3">
        <f>Analyzed!E67/Analyzed!$CS67</f>
        <v>0.15600885727705832</v>
      </c>
      <c r="C66" s="3">
        <f>Analyzed!G67/Analyzed!$CS67</f>
        <v>0</v>
      </c>
      <c r="D66" s="3">
        <f>Analyzed!I67/Analyzed!$CS67</f>
        <v>0</v>
      </c>
      <c r="E66" s="3">
        <f>Analyzed!K67/Analyzed!$CS67</f>
        <v>0</v>
      </c>
      <c r="F66" s="3">
        <f>Analyzed!M67/Analyzed!$CS67</f>
        <v>0</v>
      </c>
      <c r="G66" s="3">
        <f>Analyzed!O67/Analyzed!$CS67</f>
        <v>0.26417499832248542</v>
      </c>
      <c r="H66" s="3">
        <f>Analyzed!Q67/Analyzed!$CS67</f>
        <v>0</v>
      </c>
      <c r="I66" s="3">
        <f>Analyzed!S67/Analyzed!$CS67</f>
        <v>0</v>
      </c>
      <c r="J66" s="3">
        <f>Analyzed!Y67/Analyzed!$CS67</f>
        <v>2.0130175132523524E-4</v>
      </c>
      <c r="K66" s="3">
        <f>Analyzed!AA67/Analyzed!$CS67</f>
        <v>0</v>
      </c>
      <c r="L66" s="3">
        <f>Analyzed!AC67/Analyzed!$CS67</f>
        <v>0</v>
      </c>
      <c r="M66" s="3">
        <f>Analyzed!AE67/Analyzed!$CS67</f>
        <v>0</v>
      </c>
      <c r="N66" s="3">
        <f>Analyzed!AG67/Analyzed!$CS67</f>
        <v>0</v>
      </c>
      <c r="O66" s="3">
        <f>Analyzed!AI67/Analyzed!$CS67</f>
        <v>0</v>
      </c>
      <c r="P66" s="3">
        <f>Analyzed!AK67/Analyzed!$CS67</f>
        <v>0</v>
      </c>
      <c r="Q66" s="3">
        <f>Analyzed!AM67/Analyzed!$CS67</f>
        <v>0.5796148426491311</v>
      </c>
      <c r="R66" s="3">
        <f>Analyzed!AO67/Analyzed!$CS67</f>
        <v>0</v>
      </c>
      <c r="S66" s="3">
        <f>Analyzed!AQ67/Analyzed!$CS67</f>
        <v>0</v>
      </c>
      <c r="T66" s="3">
        <f>Analyzed!AS67/Analyzed!$CS67</f>
        <v>0</v>
      </c>
      <c r="U66" s="3">
        <f>Analyzed!AU67/Analyzed!$CS67</f>
        <v>0</v>
      </c>
      <c r="V66" s="3">
        <f>Analyzed!AW67/Analyzed!$CS67</f>
        <v>0</v>
      </c>
      <c r="W66" s="3">
        <f>Analyzed!AY67/Analyzed!$CS67</f>
        <v>0</v>
      </c>
      <c r="X66" s="3">
        <f>Analyzed!BA67/Analyzed!$CS67</f>
        <v>0</v>
      </c>
      <c r="Y66" s="3">
        <f>Analyzed!BC67/Analyzed!$CS67</f>
        <v>0</v>
      </c>
      <c r="Z66" s="3">
        <f>Analyzed!BE67/Analyzed!$CS67</f>
        <v>0</v>
      </c>
      <c r="AA66" s="3">
        <f>Analyzed!BG67/Analyzed!$CS67</f>
        <v>0</v>
      </c>
    </row>
    <row r="67" spans="1:27" x14ac:dyDescent="0.25">
      <c r="A67" s="13" t="s">
        <v>61</v>
      </c>
      <c r="B67" s="3">
        <f>Analyzed!E68/Analyzed!$CS68</f>
        <v>0.99451442503047538</v>
      </c>
      <c r="C67" s="3">
        <f>Analyzed!G68/Analyzed!$CS68</f>
        <v>0</v>
      </c>
      <c r="D67" s="3">
        <f>Analyzed!I68/Analyzed!$CS68</f>
        <v>0</v>
      </c>
      <c r="E67" s="3">
        <f>Analyzed!K68/Analyzed!$CS68</f>
        <v>0</v>
      </c>
      <c r="F67" s="3">
        <f>Analyzed!M68/Analyzed!$CS68</f>
        <v>0</v>
      </c>
      <c r="G67" s="3">
        <f>Analyzed!O68/Analyzed!$CS68</f>
        <v>0</v>
      </c>
      <c r="H67" s="3">
        <f>Analyzed!Q68/Analyzed!$CS68</f>
        <v>0</v>
      </c>
      <c r="I67" s="3">
        <f>Analyzed!S68/Analyzed!$CS68</f>
        <v>0</v>
      </c>
      <c r="J67" s="3">
        <f>Analyzed!Y68/Analyzed!$CS68</f>
        <v>5.4855749695245839E-3</v>
      </c>
      <c r="K67" s="3">
        <f>Analyzed!AA68/Analyzed!$CS68</f>
        <v>0</v>
      </c>
      <c r="L67" s="3">
        <f>Analyzed!AC68/Analyzed!$CS68</f>
        <v>0</v>
      </c>
      <c r="M67" s="3">
        <f>Analyzed!AE68/Analyzed!$CS68</f>
        <v>0</v>
      </c>
      <c r="N67" s="3">
        <f>Analyzed!AG68/Analyzed!$CS68</f>
        <v>0</v>
      </c>
      <c r="O67" s="3">
        <f>Analyzed!AI68/Analyzed!$CS68</f>
        <v>0</v>
      </c>
      <c r="P67" s="3">
        <f>Analyzed!AK68/Analyzed!$CS68</f>
        <v>0</v>
      </c>
      <c r="Q67" s="3">
        <f>Analyzed!AM68/Analyzed!$CS68</f>
        <v>0</v>
      </c>
      <c r="R67" s="3">
        <f>Analyzed!AO68/Analyzed!$CS68</f>
        <v>0</v>
      </c>
      <c r="S67" s="3">
        <f>Analyzed!AQ68/Analyzed!$CS68</f>
        <v>0</v>
      </c>
      <c r="T67" s="3">
        <f>Analyzed!AS68/Analyzed!$CS68</f>
        <v>0</v>
      </c>
      <c r="U67" s="3">
        <f>Analyzed!AU68/Analyzed!$CS68</f>
        <v>0</v>
      </c>
      <c r="V67" s="3">
        <f>Analyzed!AW68/Analyzed!$CS68</f>
        <v>0</v>
      </c>
      <c r="W67" s="3">
        <f>Analyzed!AY68/Analyzed!$CS68</f>
        <v>0</v>
      </c>
      <c r="X67" s="3">
        <f>Analyzed!BA68/Analyzed!$CS68</f>
        <v>0</v>
      </c>
      <c r="Y67" s="3">
        <f>Analyzed!BC68/Analyzed!$CS68</f>
        <v>0</v>
      </c>
      <c r="Z67" s="3">
        <f>Analyzed!BE68/Analyzed!$CS68</f>
        <v>0</v>
      </c>
      <c r="AA67" s="3">
        <f>Analyzed!BG68/Analyzed!$CS68</f>
        <v>0</v>
      </c>
    </row>
    <row r="68" spans="1:27" x14ac:dyDescent="0.25">
      <c r="A68" s="13" t="s">
        <v>62</v>
      </c>
      <c r="B68" s="3">
        <f>Analyzed!E69/Analyzed!$CS69</f>
        <v>0.52944901836605451</v>
      </c>
      <c r="C68" s="3">
        <f>Analyzed!G69/Analyzed!$CS69</f>
        <v>0</v>
      </c>
      <c r="D68" s="3">
        <f>Analyzed!I69/Analyzed!$CS69</f>
        <v>0</v>
      </c>
      <c r="E68" s="3">
        <f>Analyzed!K69/Analyzed!$CS69</f>
        <v>0</v>
      </c>
      <c r="F68" s="3">
        <f>Analyzed!M69/Analyzed!$CS69</f>
        <v>0</v>
      </c>
      <c r="G68" s="3">
        <f>Analyzed!O69/Analyzed!$CS69</f>
        <v>0.31676166350010554</v>
      </c>
      <c r="H68" s="3">
        <f>Analyzed!Q69/Analyzed!$CS69</f>
        <v>0</v>
      </c>
      <c r="I68" s="3">
        <f>Analyzed!S69/Analyzed!$CS69</f>
        <v>0</v>
      </c>
      <c r="J68" s="3">
        <f>Analyzed!Y69/Analyzed!$CS69</f>
        <v>1.0555203715431708E-4</v>
      </c>
      <c r="K68" s="3">
        <f>Analyzed!AA69/Analyzed!$CS69</f>
        <v>0</v>
      </c>
      <c r="L68" s="3">
        <f>Analyzed!AC69/Analyzed!$CS69</f>
        <v>0</v>
      </c>
      <c r="M68" s="3">
        <f>Analyzed!AE69/Analyzed!$CS69</f>
        <v>0</v>
      </c>
      <c r="N68" s="3">
        <f>Analyzed!AG69/Analyzed!$CS69</f>
        <v>0</v>
      </c>
      <c r="O68" s="3">
        <f>Analyzed!AI69/Analyzed!$CS69</f>
        <v>0</v>
      </c>
      <c r="P68" s="3">
        <f>Analyzed!AK69/Analyzed!$CS69</f>
        <v>0</v>
      </c>
      <c r="Q68" s="3">
        <f>Analyzed!AM69/Analyzed!$CS69</f>
        <v>0.12624023643656324</v>
      </c>
      <c r="R68" s="3">
        <f>Analyzed!AO69/Analyzed!$CS69</f>
        <v>0</v>
      </c>
      <c r="S68" s="3">
        <f>Analyzed!AQ69/Analyzed!$CS69</f>
        <v>0</v>
      </c>
      <c r="T68" s="3">
        <f>Analyzed!AS69/Analyzed!$CS69</f>
        <v>0</v>
      </c>
      <c r="U68" s="3">
        <f>Analyzed!AU69/Analyzed!$CS69</f>
        <v>2.7443529660122441E-2</v>
      </c>
      <c r="V68" s="3">
        <f>Analyzed!AW69/Analyzed!$CS69</f>
        <v>0</v>
      </c>
      <c r="W68" s="3">
        <f>Analyzed!AY69/Analyzed!$CS69</f>
        <v>0</v>
      </c>
      <c r="X68" s="3">
        <f>Analyzed!BA69/Analyzed!$CS69</f>
        <v>0</v>
      </c>
      <c r="Y68" s="3">
        <f>Analyzed!BC69/Analyzed!$CS69</f>
        <v>0</v>
      </c>
      <c r="Z68" s="3">
        <f>Analyzed!BE69/Analyzed!$CS69</f>
        <v>0</v>
      </c>
      <c r="AA68" s="3">
        <f>Analyzed!BG69/Analyzed!$CS69</f>
        <v>0</v>
      </c>
    </row>
    <row r="69" spans="1:27" x14ac:dyDescent="0.25">
      <c r="A69" s="13" t="s">
        <v>70</v>
      </c>
      <c r="B69" s="3">
        <f>Analyzed!E70/Analyzed!$CS70</f>
        <v>5.4358974358974348E-2</v>
      </c>
      <c r="C69" s="3">
        <f>Analyzed!G70/Analyzed!$CS70</f>
        <v>0</v>
      </c>
      <c r="D69" s="3">
        <f>Analyzed!I70/Analyzed!$CS70</f>
        <v>0</v>
      </c>
      <c r="E69" s="3">
        <f>Analyzed!K70/Analyzed!$CS70</f>
        <v>0</v>
      </c>
      <c r="F69" s="3">
        <f>Analyzed!M70/Analyzed!$CS70</f>
        <v>0</v>
      </c>
      <c r="G69" s="3">
        <f>Analyzed!O70/Analyzed!$CS70</f>
        <v>8.974358974358973E-2</v>
      </c>
      <c r="H69" s="3">
        <f>Analyzed!Q70/Analyzed!$CS70</f>
        <v>0</v>
      </c>
      <c r="I69" s="3">
        <f>Analyzed!S70/Analyzed!$CS70</f>
        <v>0</v>
      </c>
      <c r="J69" s="3">
        <f>Analyzed!Y70/Analyzed!$CS70</f>
        <v>5.8608058608058651E-4</v>
      </c>
      <c r="K69" s="3">
        <f>Analyzed!AA70/Analyzed!$CS70</f>
        <v>0</v>
      </c>
      <c r="L69" s="3">
        <f>Analyzed!AC70/Analyzed!$CS70</f>
        <v>0</v>
      </c>
      <c r="M69" s="3">
        <f>Analyzed!AE70/Analyzed!$CS70</f>
        <v>0</v>
      </c>
      <c r="N69" s="3">
        <f>Analyzed!AG70/Analyzed!$CS70</f>
        <v>0</v>
      </c>
      <c r="O69" s="3">
        <f>Analyzed!AI70/Analyzed!$CS70</f>
        <v>5.7582417582417562E-2</v>
      </c>
      <c r="P69" s="3">
        <f>Analyzed!AK70/Analyzed!$CS70</f>
        <v>0</v>
      </c>
      <c r="Q69" s="3">
        <f>Analyzed!AM70/Analyzed!$CS70</f>
        <v>0.79772893772893771</v>
      </c>
      <c r="R69" s="3">
        <f>Analyzed!AO70/Analyzed!$CS70</f>
        <v>0</v>
      </c>
      <c r="S69" s="3">
        <f>Analyzed!AQ70/Analyzed!$CS70</f>
        <v>0</v>
      </c>
      <c r="T69" s="3">
        <f>Analyzed!AS70/Analyzed!$CS70</f>
        <v>0</v>
      </c>
      <c r="U69" s="3">
        <f>Analyzed!AU70/Analyzed!$CS70</f>
        <v>0</v>
      </c>
      <c r="V69" s="3">
        <f>Analyzed!AW70/Analyzed!$CS70</f>
        <v>0</v>
      </c>
      <c r="W69" s="3">
        <f>Analyzed!AY70/Analyzed!$CS70</f>
        <v>0</v>
      </c>
      <c r="X69" s="3">
        <f>Analyzed!BA70/Analyzed!$CS70</f>
        <v>0</v>
      </c>
      <c r="Y69" s="3">
        <f>Analyzed!BC70/Analyzed!$CS70</f>
        <v>0</v>
      </c>
      <c r="Z69" s="3">
        <f>Analyzed!BE70/Analyzed!$CS70</f>
        <v>0</v>
      </c>
      <c r="AA69" s="3">
        <f>Analyzed!BG70/Analyzed!$CS70</f>
        <v>0</v>
      </c>
    </row>
    <row r="70" spans="1:27" x14ac:dyDescent="0.25">
      <c r="A70" s="13" t="s">
        <v>71</v>
      </c>
      <c r="B70" s="3">
        <f>Analyzed!E71/Analyzed!$CS71</f>
        <v>1.1349306431273649E-2</v>
      </c>
      <c r="C70" s="3">
        <f>Analyzed!G71/Analyzed!$CS71</f>
        <v>0</v>
      </c>
      <c r="D70" s="3">
        <f>Analyzed!I71/Analyzed!$CS71</f>
        <v>0</v>
      </c>
      <c r="E70" s="3">
        <f>Analyzed!K71/Analyzed!$CS71</f>
        <v>0</v>
      </c>
      <c r="F70" s="3">
        <f>Analyzed!M71/Analyzed!$CS71</f>
        <v>0</v>
      </c>
      <c r="G70" s="3">
        <f>Analyzed!O71/Analyzed!$CS71</f>
        <v>0.14590163934426231</v>
      </c>
      <c r="H70" s="3">
        <f>Analyzed!Q71/Analyzed!$CS71</f>
        <v>0</v>
      </c>
      <c r="I70" s="3">
        <f>Analyzed!S71/Analyzed!$CS71</f>
        <v>0</v>
      </c>
      <c r="J70" s="3">
        <f>Analyzed!Y71/Analyzed!$CS71</f>
        <v>0</v>
      </c>
      <c r="K70" s="3">
        <f>Analyzed!AA71/Analyzed!$CS71</f>
        <v>0</v>
      </c>
      <c r="L70" s="3">
        <f>Analyzed!AC71/Analyzed!$CS71</f>
        <v>0</v>
      </c>
      <c r="M70" s="3">
        <f>Analyzed!AE71/Analyzed!$CS71</f>
        <v>0</v>
      </c>
      <c r="N70" s="3">
        <f>Analyzed!AG71/Analyzed!$CS71</f>
        <v>0</v>
      </c>
      <c r="O70" s="3">
        <f>Analyzed!AI71/Analyzed!$CS71</f>
        <v>2.522068095838588E-2</v>
      </c>
      <c r="P70" s="3">
        <f>Analyzed!AK71/Analyzed!$CS71</f>
        <v>3.8587641866330388E-2</v>
      </c>
      <c r="Q70" s="3">
        <f>Analyzed!AM71/Analyzed!$CS71</f>
        <v>0.77894073139974773</v>
      </c>
      <c r="R70" s="3">
        <f>Analyzed!AO71/Analyzed!$CS71</f>
        <v>0</v>
      </c>
      <c r="S70" s="3">
        <f>Analyzed!AQ71/Analyzed!$CS71</f>
        <v>0</v>
      </c>
      <c r="T70" s="3">
        <f>Analyzed!AS71/Analyzed!$CS71</f>
        <v>0</v>
      </c>
      <c r="U70" s="3">
        <f>Analyzed!AU71/Analyzed!$CS71</f>
        <v>0</v>
      </c>
      <c r="V70" s="3">
        <f>Analyzed!AW71/Analyzed!$CS71</f>
        <v>0</v>
      </c>
      <c r="W70" s="3">
        <f>Analyzed!AY71/Analyzed!$CS71</f>
        <v>0</v>
      </c>
      <c r="X70" s="3">
        <f>Analyzed!BA71/Analyzed!$CS71</f>
        <v>0</v>
      </c>
      <c r="Y70" s="3">
        <f>Analyzed!BC71/Analyzed!$CS71</f>
        <v>0</v>
      </c>
      <c r="Z70" s="3">
        <f>Analyzed!BE71/Analyzed!$CS71</f>
        <v>0</v>
      </c>
      <c r="AA70" s="3">
        <f>Analyzed!BG71/Analyzed!$CS71</f>
        <v>0</v>
      </c>
    </row>
    <row r="71" spans="1:27" x14ac:dyDescent="0.25">
      <c r="A71" s="13" t="s">
        <v>72</v>
      </c>
      <c r="B71" s="3">
        <f>Analyzed!E72/Analyzed!$CS72</f>
        <v>0.1459677419354839</v>
      </c>
      <c r="C71" s="3">
        <f>Analyzed!G72/Analyzed!$CS72</f>
        <v>0</v>
      </c>
      <c r="D71" s="3">
        <f>Analyzed!I72/Analyzed!$CS72</f>
        <v>0</v>
      </c>
      <c r="E71" s="3">
        <f>Analyzed!K72/Analyzed!$CS72</f>
        <v>0</v>
      </c>
      <c r="F71" s="3">
        <f>Analyzed!M72/Analyzed!$CS72</f>
        <v>0</v>
      </c>
      <c r="G71" s="3">
        <f>Analyzed!O72/Analyzed!$CS72</f>
        <v>8.4193548387096792E-2</v>
      </c>
      <c r="H71" s="3">
        <f>Analyzed!Q72/Analyzed!$CS72</f>
        <v>0</v>
      </c>
      <c r="I71" s="3">
        <f>Analyzed!S72/Analyzed!$CS72</f>
        <v>0</v>
      </c>
      <c r="J71" s="3">
        <f>Analyzed!Y72/Analyzed!$CS72</f>
        <v>0</v>
      </c>
      <c r="K71" s="3">
        <f>Analyzed!AA72/Analyzed!$CS72</f>
        <v>0</v>
      </c>
      <c r="L71" s="3">
        <f>Analyzed!AC72/Analyzed!$CS72</f>
        <v>0</v>
      </c>
      <c r="M71" s="3">
        <f>Analyzed!AE72/Analyzed!$CS72</f>
        <v>0</v>
      </c>
      <c r="N71" s="3">
        <f>Analyzed!AG72/Analyzed!$CS72</f>
        <v>0</v>
      </c>
      <c r="O71" s="3">
        <f>Analyzed!AI72/Analyzed!$CS72</f>
        <v>0</v>
      </c>
      <c r="P71" s="3">
        <f>Analyzed!AK72/Analyzed!$CS72</f>
        <v>0.41870967741935489</v>
      </c>
      <c r="Q71" s="3">
        <f>Analyzed!AM72/Analyzed!$CS72</f>
        <v>0.35112903225806447</v>
      </c>
      <c r="R71" s="3">
        <f>Analyzed!AO72/Analyzed!$CS72</f>
        <v>0</v>
      </c>
      <c r="S71" s="3">
        <f>Analyzed!AQ72/Analyzed!$CS72</f>
        <v>0</v>
      </c>
      <c r="T71" s="3">
        <f>Analyzed!AS72/Analyzed!$CS72</f>
        <v>0</v>
      </c>
      <c r="U71" s="3">
        <f>Analyzed!AU72/Analyzed!$CS72</f>
        <v>0</v>
      </c>
      <c r="V71" s="3">
        <f>Analyzed!AW72/Analyzed!$CS72</f>
        <v>0</v>
      </c>
      <c r="W71" s="3">
        <f>Analyzed!AY72/Analyzed!$CS72</f>
        <v>0</v>
      </c>
      <c r="X71" s="3">
        <f>Analyzed!BA72/Analyzed!$CS72</f>
        <v>0</v>
      </c>
      <c r="Y71" s="3">
        <f>Analyzed!BC72/Analyzed!$CS72</f>
        <v>0</v>
      </c>
      <c r="Z71" s="3">
        <f>Analyzed!BE72/Analyzed!$CS72</f>
        <v>0</v>
      </c>
      <c r="AA71" s="3">
        <f>Analyzed!BG72/Analyzed!$CS72</f>
        <v>0</v>
      </c>
    </row>
    <row r="72" spans="1:27" x14ac:dyDescent="0.25">
      <c r="A72" s="13" t="s">
        <v>77</v>
      </c>
      <c r="B72" s="3">
        <f>Analyzed!E73/Analyzed!$CS73</f>
        <v>6.6498079985014544E-2</v>
      </c>
      <c r="C72" s="3">
        <f>Analyzed!G73/Analyzed!$CS73</f>
        <v>0</v>
      </c>
      <c r="D72" s="3">
        <f>Analyzed!I73/Analyzed!$CS73</f>
        <v>0</v>
      </c>
      <c r="E72" s="3">
        <f>Analyzed!K73/Analyzed!$CS73</f>
        <v>0</v>
      </c>
      <c r="F72" s="3">
        <f>Analyzed!M73/Analyzed!$CS73</f>
        <v>0</v>
      </c>
      <c r="G72" s="3">
        <f>Analyzed!O73/Analyzed!$CS73</f>
        <v>6.9307858012550363E-3</v>
      </c>
      <c r="H72" s="3">
        <f>Analyzed!Q73/Analyzed!$CS73</f>
        <v>0</v>
      </c>
      <c r="I72" s="3">
        <f>Analyzed!S73/Analyzed!$CS73</f>
        <v>0</v>
      </c>
      <c r="J72" s="3">
        <f>Analyzed!Y73/Analyzed!$CS73</f>
        <v>1.2175704785988566E-3</v>
      </c>
      <c r="K72" s="3">
        <f>Analyzed!AA73/Analyzed!$CS73</f>
        <v>0</v>
      </c>
      <c r="L72" s="3">
        <f>Analyzed!AC73/Analyzed!$CS73</f>
        <v>0</v>
      </c>
      <c r="M72" s="3">
        <f>Analyzed!AE73/Analyzed!$CS73</f>
        <v>0</v>
      </c>
      <c r="N72" s="3">
        <f>Analyzed!AG73/Analyzed!$CS73</f>
        <v>0</v>
      </c>
      <c r="O72" s="3">
        <f>Analyzed!AI73/Analyzed!$CS73</f>
        <v>0</v>
      </c>
      <c r="P72" s="3">
        <f>Analyzed!AK73/Analyzed!$CS73</f>
        <v>0.13102931535075396</v>
      </c>
      <c r="Q72" s="3">
        <f>Analyzed!AM73/Analyzed!$CS73</f>
        <v>0.78392806968249495</v>
      </c>
      <c r="R72" s="3">
        <f>Analyzed!AO73/Analyzed!$CS73</f>
        <v>0</v>
      </c>
      <c r="S72" s="3">
        <f>Analyzed!AQ73/Analyzed!$CS73</f>
        <v>0</v>
      </c>
      <c r="T72" s="3">
        <f>Analyzed!AS73/Analyzed!$CS73</f>
        <v>0</v>
      </c>
      <c r="U72" s="3">
        <f>Analyzed!AU73/Analyzed!$CS73</f>
        <v>1.0396178701882553E-2</v>
      </c>
      <c r="V72" s="3">
        <f>Analyzed!AW73/Analyzed!$CS73</f>
        <v>0</v>
      </c>
      <c r="W72" s="3">
        <f>Analyzed!AY73/Analyzed!$CS73</f>
        <v>0</v>
      </c>
      <c r="X72" s="3">
        <f>Analyzed!BA73/Analyzed!$CS73</f>
        <v>0</v>
      </c>
      <c r="Y72" s="3">
        <f>Analyzed!BC73/Analyzed!$CS73</f>
        <v>0</v>
      </c>
      <c r="Z72" s="3">
        <f>Analyzed!BE73/Analyzed!$CS73</f>
        <v>0</v>
      </c>
      <c r="AA72" s="3">
        <f>Analyzed!BG73/Analyzed!$CS73</f>
        <v>0</v>
      </c>
    </row>
    <row r="73" spans="1:27" x14ac:dyDescent="0.25">
      <c r="A73" s="13" t="s">
        <v>78</v>
      </c>
      <c r="B73" s="3">
        <f>Analyzed!E74/Analyzed!$CS74</f>
        <v>0.31498539654010332</v>
      </c>
      <c r="C73" s="3">
        <f>Analyzed!G74/Analyzed!$CS74</f>
        <v>0</v>
      </c>
      <c r="D73" s="3">
        <f>Analyzed!I74/Analyzed!$CS74</f>
        <v>0</v>
      </c>
      <c r="E73" s="3">
        <f>Analyzed!K74/Analyzed!$CS74</f>
        <v>0</v>
      </c>
      <c r="F73" s="3">
        <f>Analyzed!M74/Analyzed!$CS74</f>
        <v>0</v>
      </c>
      <c r="G73" s="3">
        <f>Analyzed!O74/Analyzed!$CS74</f>
        <v>0</v>
      </c>
      <c r="H73" s="3">
        <f>Analyzed!Q74/Analyzed!$CS74</f>
        <v>0</v>
      </c>
      <c r="I73" s="3">
        <f>Analyzed!S74/Analyzed!$CS74</f>
        <v>0</v>
      </c>
      <c r="J73" s="3">
        <f>Analyzed!Y74/Analyzed!$CS74</f>
        <v>4.4933722758930608E-4</v>
      </c>
      <c r="K73" s="3">
        <f>Analyzed!AA74/Analyzed!$CS74</f>
        <v>0</v>
      </c>
      <c r="L73" s="3">
        <f>Analyzed!AC74/Analyzed!$CS74</f>
        <v>0</v>
      </c>
      <c r="M73" s="3">
        <f>Analyzed!AE74/Analyzed!$CS74</f>
        <v>0</v>
      </c>
      <c r="N73" s="3">
        <f>Analyzed!AG74/Analyzed!$CS74</f>
        <v>0</v>
      </c>
      <c r="O73" s="3">
        <f>Analyzed!AI74/Analyzed!$CS74</f>
        <v>0</v>
      </c>
      <c r="P73" s="3">
        <f>Analyzed!AK74/Analyzed!$CS74</f>
        <v>0.41069422601662542</v>
      </c>
      <c r="Q73" s="3">
        <f>Analyzed!AM74/Analyzed!$CS74</f>
        <v>0.27387104021568187</v>
      </c>
      <c r="R73" s="3">
        <f>Analyzed!AO74/Analyzed!$CS74</f>
        <v>0</v>
      </c>
      <c r="S73" s="3">
        <f>Analyzed!AQ74/Analyzed!$CS74</f>
        <v>0</v>
      </c>
      <c r="T73" s="3">
        <f>Analyzed!AS74/Analyzed!$CS74</f>
        <v>0</v>
      </c>
      <c r="U73" s="3">
        <f>Analyzed!AU74/Analyzed!$CS74</f>
        <v>0</v>
      </c>
      <c r="V73" s="3">
        <f>Analyzed!AW74/Analyzed!$CS74</f>
        <v>0</v>
      </c>
      <c r="W73" s="3">
        <f>Analyzed!AY74/Analyzed!$CS74</f>
        <v>0</v>
      </c>
      <c r="X73" s="3">
        <f>Analyzed!BA74/Analyzed!$CS74</f>
        <v>0</v>
      </c>
      <c r="Y73" s="3">
        <f>Analyzed!BC74/Analyzed!$CS74</f>
        <v>0</v>
      </c>
      <c r="Z73" s="3">
        <f>Analyzed!BE74/Analyzed!$CS74</f>
        <v>0</v>
      </c>
      <c r="AA73" s="3">
        <f>Analyzed!BG74/Analyzed!$CS74</f>
        <v>0</v>
      </c>
    </row>
    <row r="74" spans="1:27" x14ac:dyDescent="0.25">
      <c r="A74" s="13" t="s">
        <v>79</v>
      </c>
      <c r="B74" s="3">
        <f>Analyzed!E75/Analyzed!$CS75</f>
        <v>3.9016327757187219E-2</v>
      </c>
      <c r="C74" s="3">
        <f>Analyzed!G75/Analyzed!$CS75</f>
        <v>0</v>
      </c>
      <c r="D74" s="3">
        <f>Analyzed!I75/Analyzed!$CS75</f>
        <v>0</v>
      </c>
      <c r="E74" s="3">
        <f>Analyzed!K75/Analyzed!$CS75</f>
        <v>0</v>
      </c>
      <c r="F74" s="3">
        <f>Analyzed!M75/Analyzed!$CS75</f>
        <v>0.9356405890013022</v>
      </c>
      <c r="G74" s="3">
        <f>Analyzed!O75/Analyzed!$CS75</f>
        <v>0</v>
      </c>
      <c r="H74" s="3">
        <f>Analyzed!Q75/Analyzed!$CS75</f>
        <v>0</v>
      </c>
      <c r="I74" s="3">
        <f>Analyzed!S75/Analyzed!$CS75</f>
        <v>0</v>
      </c>
      <c r="J74" s="3">
        <f>Analyzed!Y75/Analyzed!$CS75</f>
        <v>0</v>
      </c>
      <c r="K74" s="3">
        <f>Analyzed!AA75/Analyzed!$CS75</f>
        <v>0</v>
      </c>
      <c r="L74" s="3">
        <f>Analyzed!AC75/Analyzed!$CS75</f>
        <v>0</v>
      </c>
      <c r="M74" s="3">
        <f>Analyzed!AE75/Analyzed!$CS75</f>
        <v>0</v>
      </c>
      <c r="N74" s="3">
        <f>Analyzed!AG75/Analyzed!$CS75</f>
        <v>0</v>
      </c>
      <c r="O74" s="3">
        <f>Analyzed!AI75/Analyzed!$CS75</f>
        <v>0</v>
      </c>
      <c r="P74" s="3">
        <f>Analyzed!AK75/Analyzed!$CS75</f>
        <v>2.5343083241510567E-2</v>
      </c>
      <c r="Q74" s="3">
        <f>Analyzed!AM75/Analyzed!$CS75</f>
        <v>0</v>
      </c>
      <c r="R74" s="3">
        <f>Analyzed!AO75/Analyzed!$CS75</f>
        <v>0</v>
      </c>
      <c r="S74" s="3">
        <f>Analyzed!AQ75/Analyzed!$CS75</f>
        <v>0</v>
      </c>
      <c r="T74" s="3">
        <f>Analyzed!AS75/Analyzed!$CS75</f>
        <v>0</v>
      </c>
      <c r="U74" s="3">
        <f>Analyzed!AU75/Analyzed!$CS75</f>
        <v>0</v>
      </c>
      <c r="V74" s="3">
        <f>Analyzed!AW75/Analyzed!$CS75</f>
        <v>0</v>
      </c>
      <c r="W74" s="3">
        <f>Analyzed!AY75/Analyzed!$CS75</f>
        <v>0</v>
      </c>
      <c r="X74" s="3">
        <f>Analyzed!BA75/Analyzed!$CS75</f>
        <v>0</v>
      </c>
      <c r="Y74" s="3">
        <f>Analyzed!BC75/Analyzed!$CS75</f>
        <v>0</v>
      </c>
      <c r="Z74" s="3">
        <f>Analyzed!BE75/Analyzed!$CS75</f>
        <v>0</v>
      </c>
      <c r="AA74" s="3">
        <f>Analyzed!BG75/Analyzed!$CS75</f>
        <v>0</v>
      </c>
    </row>
    <row r="75" spans="1:27" x14ac:dyDescent="0.25">
      <c r="A75" s="13" t="s">
        <v>80</v>
      </c>
      <c r="B75" s="3">
        <f>Analyzed!E76/Analyzed!$CS76</f>
        <v>1.9423692636072576E-2</v>
      </c>
      <c r="C75" s="3">
        <f>Analyzed!G76/Analyzed!$CS76</f>
        <v>0</v>
      </c>
      <c r="D75" s="3">
        <f>Analyzed!I76/Analyzed!$CS76</f>
        <v>0</v>
      </c>
      <c r="E75" s="3">
        <f>Analyzed!K76/Analyzed!$CS76</f>
        <v>0</v>
      </c>
      <c r="F75" s="3">
        <f>Analyzed!M76/Analyzed!$CS76</f>
        <v>0</v>
      </c>
      <c r="G75" s="3">
        <f>Analyzed!O76/Analyzed!$CS76</f>
        <v>0</v>
      </c>
      <c r="H75" s="3">
        <f>Analyzed!Q76/Analyzed!$CS76</f>
        <v>0</v>
      </c>
      <c r="I75" s="3">
        <f>Analyzed!S76/Analyzed!$CS76</f>
        <v>0</v>
      </c>
      <c r="J75" s="3">
        <f>Analyzed!Y76/Analyzed!$CS76</f>
        <v>2.1344717182497351E-4</v>
      </c>
      <c r="K75" s="3">
        <f>Analyzed!AA76/Analyzed!$CS76</f>
        <v>0</v>
      </c>
      <c r="L75" s="3">
        <f>Analyzed!AC76/Analyzed!$CS76</f>
        <v>0</v>
      </c>
      <c r="M75" s="3">
        <f>Analyzed!AE76/Analyzed!$CS76</f>
        <v>0</v>
      </c>
      <c r="N75" s="3">
        <f>Analyzed!AG76/Analyzed!$CS76</f>
        <v>0</v>
      </c>
      <c r="O75" s="3">
        <f>Analyzed!AI76/Analyzed!$CS76</f>
        <v>0</v>
      </c>
      <c r="P75" s="3">
        <f>Analyzed!AK76/Analyzed!$CS76</f>
        <v>0</v>
      </c>
      <c r="Q75" s="3">
        <f>Analyzed!AM76/Analyzed!$CS76</f>
        <v>0.9803628601921025</v>
      </c>
      <c r="R75" s="3">
        <f>Analyzed!AO76/Analyzed!$CS76</f>
        <v>0</v>
      </c>
      <c r="S75" s="3">
        <f>Analyzed!AQ76/Analyzed!$CS76</f>
        <v>0</v>
      </c>
      <c r="T75" s="3">
        <f>Analyzed!AS76/Analyzed!$CS76</f>
        <v>0</v>
      </c>
      <c r="U75" s="3">
        <f>Analyzed!AU76/Analyzed!$CS76</f>
        <v>0</v>
      </c>
      <c r="V75" s="3">
        <f>Analyzed!AW76/Analyzed!$CS76</f>
        <v>0</v>
      </c>
      <c r="W75" s="3">
        <f>Analyzed!AY76/Analyzed!$CS76</f>
        <v>0</v>
      </c>
      <c r="X75" s="3">
        <f>Analyzed!BA76/Analyzed!$CS76</f>
        <v>0</v>
      </c>
      <c r="Y75" s="3">
        <f>Analyzed!BC76/Analyzed!$CS76</f>
        <v>0</v>
      </c>
      <c r="Z75" s="3">
        <f>Analyzed!BE76/Analyzed!$CS76</f>
        <v>0</v>
      </c>
      <c r="AA75" s="3">
        <f>Analyzed!BG76/Analyzed!$CS76</f>
        <v>0</v>
      </c>
    </row>
    <row r="76" spans="1:27" x14ac:dyDescent="0.25">
      <c r="A76" s="13" t="s">
        <v>97</v>
      </c>
      <c r="B76" s="3">
        <f>Analyzed!E77/Analyzed!$CS77</f>
        <v>3.9631070759475431E-2</v>
      </c>
      <c r="C76" s="3">
        <f>Analyzed!G77/Analyzed!$CS77</f>
        <v>0</v>
      </c>
      <c r="D76" s="3">
        <f>Analyzed!I77/Analyzed!$CS77</f>
        <v>0</v>
      </c>
      <c r="E76" s="3">
        <f>Analyzed!K77/Analyzed!$CS77</f>
        <v>0</v>
      </c>
      <c r="F76" s="3">
        <f>Analyzed!M77/Analyzed!$CS77</f>
        <v>0</v>
      </c>
      <c r="G76" s="3">
        <f>Analyzed!O77/Analyzed!$CS77</f>
        <v>4.5179420665801995E-2</v>
      </c>
      <c r="H76" s="3">
        <f>Analyzed!Q77/Analyzed!$CS77</f>
        <v>0</v>
      </c>
      <c r="I76" s="3">
        <f>Analyzed!S77/Analyzed!$CS77</f>
        <v>0</v>
      </c>
      <c r="J76" s="3">
        <f>Analyzed!Y77/Analyzed!$CS77</f>
        <v>7.2056492289953786E-5</v>
      </c>
      <c r="K76" s="3">
        <f>Analyzed!AA77/Analyzed!$CS77</f>
        <v>0</v>
      </c>
      <c r="L76" s="3">
        <f>Analyzed!AC77/Analyzed!$CS77</f>
        <v>0</v>
      </c>
      <c r="M76" s="3">
        <f>Analyzed!AE77/Analyzed!$CS77</f>
        <v>0</v>
      </c>
      <c r="N76" s="3">
        <f>Analyzed!AG77/Analyzed!$CS77</f>
        <v>0</v>
      </c>
      <c r="O76" s="3">
        <f>Analyzed!AI77/Analyzed!$CS77</f>
        <v>0</v>
      </c>
      <c r="P76" s="3">
        <f>Analyzed!AK77/Analyzed!$CS77</f>
        <v>4.3954460296872777E-3</v>
      </c>
      <c r="Q76" s="3">
        <f>Analyzed!AM77/Analyzed!$CS77</f>
        <v>0.91072200605274534</v>
      </c>
      <c r="R76" s="3">
        <f>Analyzed!AO77/Analyzed!$CS77</f>
        <v>0</v>
      </c>
      <c r="S76" s="3">
        <f>Analyzed!AQ77/Analyzed!$CS77</f>
        <v>0</v>
      </c>
      <c r="T76" s="3">
        <f>Analyzed!AS77/Analyzed!$CS77</f>
        <v>0</v>
      </c>
      <c r="U76" s="3">
        <f>Analyzed!AU77/Analyzed!$CS77</f>
        <v>0</v>
      </c>
      <c r="V76" s="3">
        <f>Analyzed!AW77/Analyzed!$CS77</f>
        <v>0</v>
      </c>
      <c r="W76" s="3">
        <f>Analyzed!AY77/Analyzed!$CS77</f>
        <v>0</v>
      </c>
      <c r="X76" s="3">
        <f>Analyzed!BA77/Analyzed!$CS77</f>
        <v>0</v>
      </c>
      <c r="Y76" s="3">
        <f>Analyzed!BC77/Analyzed!$CS77</f>
        <v>0</v>
      </c>
      <c r="Z76" s="3">
        <f>Analyzed!BE77/Analyzed!$CS77</f>
        <v>0</v>
      </c>
      <c r="AA76" s="3">
        <f>Analyzed!BG77/Analyzed!$CS77</f>
        <v>0</v>
      </c>
    </row>
    <row r="77" spans="1:27" x14ac:dyDescent="0.25">
      <c r="A77" s="13" t="s">
        <v>99</v>
      </c>
      <c r="B77" s="3">
        <f>Analyzed!E78/Analyzed!$CS78</f>
        <v>1.4502923976608182E-2</v>
      </c>
      <c r="C77" s="3">
        <f>Analyzed!G78/Analyzed!$CS78</f>
        <v>0</v>
      </c>
      <c r="D77" s="3">
        <f>Analyzed!I78/Analyzed!$CS78</f>
        <v>0</v>
      </c>
      <c r="E77" s="3">
        <f>Analyzed!K78/Analyzed!$CS78</f>
        <v>0</v>
      </c>
      <c r="F77" s="3">
        <f>Analyzed!M78/Analyzed!$CS78</f>
        <v>0</v>
      </c>
      <c r="G77" s="3">
        <f>Analyzed!O78/Analyzed!$CS78</f>
        <v>0</v>
      </c>
      <c r="H77" s="3">
        <f>Analyzed!Q78/Analyzed!$CS78</f>
        <v>0</v>
      </c>
      <c r="I77" s="3">
        <f>Analyzed!S78/Analyzed!$CS78</f>
        <v>0</v>
      </c>
      <c r="J77" s="3">
        <f>Analyzed!Y78/Analyzed!$CS78</f>
        <v>3.1189083820662791E-4</v>
      </c>
      <c r="K77" s="3">
        <f>Analyzed!AA78/Analyzed!$CS78</f>
        <v>0</v>
      </c>
      <c r="L77" s="3">
        <f>Analyzed!AC78/Analyzed!$CS78</f>
        <v>0</v>
      </c>
      <c r="M77" s="3">
        <f>Analyzed!AE78/Analyzed!$CS78</f>
        <v>0</v>
      </c>
      <c r="N77" s="3">
        <f>Analyzed!AG78/Analyzed!$CS78</f>
        <v>0</v>
      </c>
      <c r="O77" s="3">
        <f>Analyzed!AI78/Analyzed!$CS78</f>
        <v>0</v>
      </c>
      <c r="P77" s="3">
        <f>Analyzed!AK78/Analyzed!$CS78</f>
        <v>1.7153996101364522E-2</v>
      </c>
      <c r="Q77" s="3">
        <f>Analyzed!AM78/Analyzed!$CS78</f>
        <v>0.96803118908382069</v>
      </c>
      <c r="R77" s="3">
        <f>Analyzed!AO78/Analyzed!$CS78</f>
        <v>0</v>
      </c>
      <c r="S77" s="3">
        <f>Analyzed!AQ78/Analyzed!$CS78</f>
        <v>0</v>
      </c>
      <c r="T77" s="3">
        <f>Analyzed!AS78/Analyzed!$CS78</f>
        <v>0</v>
      </c>
      <c r="U77" s="3">
        <f>Analyzed!AU78/Analyzed!$CS78</f>
        <v>0</v>
      </c>
      <c r="V77" s="3">
        <f>Analyzed!AW78/Analyzed!$CS78</f>
        <v>0</v>
      </c>
      <c r="W77" s="3">
        <f>Analyzed!AY78/Analyzed!$CS78</f>
        <v>0</v>
      </c>
      <c r="X77" s="3">
        <f>Analyzed!BA78/Analyzed!$CS78</f>
        <v>0</v>
      </c>
      <c r="Y77" s="3">
        <f>Analyzed!BC78/Analyzed!$CS78</f>
        <v>0</v>
      </c>
      <c r="Z77" s="3">
        <f>Analyzed!BE78/Analyzed!$CS78</f>
        <v>0</v>
      </c>
      <c r="AA77" s="3">
        <f>Analyzed!BG78/Analyzed!$CS78</f>
        <v>0</v>
      </c>
    </row>
    <row r="78" spans="1:27" x14ac:dyDescent="0.25">
      <c r="A78" s="13" t="s">
        <v>100</v>
      </c>
      <c r="B78" s="3">
        <f>Analyzed!E79/Analyzed!$CS79</f>
        <v>1.6640851503236818E-2</v>
      </c>
      <c r="C78" s="3">
        <f>Analyzed!G79/Analyzed!$CS79</f>
        <v>0</v>
      </c>
      <c r="D78" s="3">
        <f>Analyzed!I79/Analyzed!$CS79</f>
        <v>0</v>
      </c>
      <c r="E78" s="3">
        <f>Analyzed!K79/Analyzed!$CS79</f>
        <v>0</v>
      </c>
      <c r="F78" s="3">
        <f>Analyzed!M79/Analyzed!$CS79</f>
        <v>0</v>
      </c>
      <c r="G78" s="3">
        <f>Analyzed!O79/Analyzed!$CS79</f>
        <v>0.15691647801739542</v>
      </c>
      <c r="H78" s="3">
        <f>Analyzed!Q79/Analyzed!$CS79</f>
        <v>0</v>
      </c>
      <c r="I78" s="3">
        <f>Analyzed!S79/Analyzed!$CS79</f>
        <v>0</v>
      </c>
      <c r="J78" s="3">
        <f>Analyzed!Y79/Analyzed!$CS79</f>
        <v>2.7800945232137996E-4</v>
      </c>
      <c r="K78" s="3">
        <f>Analyzed!AA79/Analyzed!$CS79</f>
        <v>0</v>
      </c>
      <c r="L78" s="3">
        <f>Analyzed!AC79/Analyzed!$CS79</f>
        <v>0</v>
      </c>
      <c r="M78" s="3">
        <f>Analyzed!AE79/Analyzed!$CS79</f>
        <v>0</v>
      </c>
      <c r="N78" s="3">
        <f>Analyzed!AG79/Analyzed!$CS79</f>
        <v>0</v>
      </c>
      <c r="O78" s="3">
        <f>Analyzed!AI79/Analyzed!$CS79</f>
        <v>0</v>
      </c>
      <c r="P78" s="3">
        <f>Analyzed!AK79/Analyzed!$CS79</f>
        <v>0</v>
      </c>
      <c r="Q78" s="3">
        <f>Analyzed!AM79/Analyzed!$CS79</f>
        <v>0.82616466102704633</v>
      </c>
      <c r="R78" s="3">
        <f>Analyzed!AO79/Analyzed!$CS79</f>
        <v>0</v>
      </c>
      <c r="S78" s="3">
        <f>Analyzed!AQ79/Analyzed!$CS79</f>
        <v>0</v>
      </c>
      <c r="T78" s="3">
        <f>Analyzed!AS79/Analyzed!$CS79</f>
        <v>0</v>
      </c>
      <c r="U78" s="3">
        <f>Analyzed!AU79/Analyzed!$CS79</f>
        <v>0</v>
      </c>
      <c r="V78" s="3">
        <f>Analyzed!AW79/Analyzed!$CS79</f>
        <v>0</v>
      </c>
      <c r="W78" s="3">
        <f>Analyzed!AY79/Analyzed!$CS79</f>
        <v>0</v>
      </c>
      <c r="X78" s="3">
        <f>Analyzed!BA79/Analyzed!$CS79</f>
        <v>0</v>
      </c>
      <c r="Y78" s="3">
        <f>Analyzed!BC79/Analyzed!$CS79</f>
        <v>0</v>
      </c>
      <c r="Z78" s="3">
        <f>Analyzed!BE79/Analyzed!$CS79</f>
        <v>0</v>
      </c>
      <c r="AA78" s="3">
        <f>Analyzed!BG79/Analyzed!$CS79</f>
        <v>0</v>
      </c>
    </row>
    <row r="79" spans="1:27" x14ac:dyDescent="0.25">
      <c r="A79" s="13" t="s">
        <v>101</v>
      </c>
      <c r="B79" s="3">
        <f>Analyzed!E80/Analyzed!$CS80</f>
        <v>1.6895339607665275E-2</v>
      </c>
      <c r="C79" s="3">
        <f>Analyzed!G80/Analyzed!$CS80</f>
        <v>0</v>
      </c>
      <c r="D79" s="3">
        <f>Analyzed!I80/Analyzed!$CS80</f>
        <v>0</v>
      </c>
      <c r="E79" s="3">
        <f>Analyzed!K80/Analyzed!$CS80</f>
        <v>0</v>
      </c>
      <c r="F79" s="3">
        <f>Analyzed!M80/Analyzed!$CS80</f>
        <v>0</v>
      </c>
      <c r="G79" s="3">
        <f>Analyzed!O80/Analyzed!$CS80</f>
        <v>0.19900215443927882</v>
      </c>
      <c r="H79" s="3">
        <f>Analyzed!Q80/Analyzed!$CS80</f>
        <v>0</v>
      </c>
      <c r="I79" s="3">
        <f>Analyzed!S80/Analyzed!$CS80</f>
        <v>0</v>
      </c>
      <c r="J79" s="3">
        <f>Analyzed!Y80/Analyzed!$CS80</f>
        <v>1.0205238689193772E-3</v>
      </c>
      <c r="K79" s="3">
        <f>Analyzed!AA80/Analyzed!$CS80</f>
        <v>0</v>
      </c>
      <c r="L79" s="3">
        <f>Analyzed!AC80/Analyzed!$CS80</f>
        <v>0</v>
      </c>
      <c r="M79" s="3">
        <f>Analyzed!AE80/Analyzed!$CS80</f>
        <v>0</v>
      </c>
      <c r="N79" s="3">
        <f>Analyzed!AG80/Analyzed!$CS80</f>
        <v>0</v>
      </c>
      <c r="O79" s="3">
        <f>Analyzed!AI80/Analyzed!$CS80</f>
        <v>0</v>
      </c>
      <c r="P79" s="3">
        <f>Analyzed!AK80/Analyzed!$CS80</f>
        <v>6.4406395282911907E-2</v>
      </c>
      <c r="Q79" s="3">
        <f>Analyzed!AM80/Analyzed!$CS80</f>
        <v>0.71867558680122468</v>
      </c>
      <c r="R79" s="3">
        <f>Analyzed!AO80/Analyzed!$CS80</f>
        <v>0</v>
      </c>
      <c r="S79" s="3">
        <f>Analyzed!AQ80/Analyzed!$CS80</f>
        <v>0</v>
      </c>
      <c r="T79" s="3">
        <f>Analyzed!AS80/Analyzed!$CS80</f>
        <v>0</v>
      </c>
      <c r="U79" s="3">
        <f>Analyzed!AU80/Analyzed!$CS80</f>
        <v>0</v>
      </c>
      <c r="V79" s="3">
        <f>Analyzed!AW80/Analyzed!$CS80</f>
        <v>0</v>
      </c>
      <c r="W79" s="3">
        <f>Analyzed!AY80/Analyzed!$CS80</f>
        <v>0</v>
      </c>
      <c r="X79" s="3">
        <f>Analyzed!BA80/Analyzed!$CS80</f>
        <v>0</v>
      </c>
      <c r="Y79" s="3">
        <f>Analyzed!BC80/Analyzed!$CS80</f>
        <v>0</v>
      </c>
      <c r="Z79" s="3">
        <f>Analyzed!BE80/Analyzed!$CS80</f>
        <v>0</v>
      </c>
      <c r="AA79" s="3">
        <f>Analyzed!BG80/Analyzed!$CS80</f>
        <v>0</v>
      </c>
    </row>
    <row r="80" spans="1:27" x14ac:dyDescent="0.25">
      <c r="A80" s="13" t="s">
        <v>103</v>
      </c>
      <c r="B80" s="3">
        <f>Analyzed!E81/Analyzed!$CS81</f>
        <v>1.2818764489294967E-2</v>
      </c>
      <c r="C80" s="3">
        <f>Analyzed!G81/Analyzed!$CS81</f>
        <v>0</v>
      </c>
      <c r="D80" s="3">
        <f>Analyzed!I81/Analyzed!$CS81</f>
        <v>0</v>
      </c>
      <c r="E80" s="3">
        <f>Analyzed!K81/Analyzed!$CS81</f>
        <v>0</v>
      </c>
      <c r="F80" s="3">
        <f>Analyzed!M81/Analyzed!$CS81</f>
        <v>0</v>
      </c>
      <c r="G80" s="3">
        <f>Analyzed!O81/Analyzed!$CS81</f>
        <v>0.27969453156961682</v>
      </c>
      <c r="H80" s="3">
        <f>Analyzed!Q81/Analyzed!$CS81</f>
        <v>0</v>
      </c>
      <c r="I80" s="3">
        <f>Analyzed!S81/Analyzed!$CS81</f>
        <v>0</v>
      </c>
      <c r="J80" s="3">
        <f>Analyzed!Y81/Analyzed!$CS81</f>
        <v>8.114005182053732E-3</v>
      </c>
      <c r="K80" s="3">
        <f>Analyzed!AA81/Analyzed!$CS81</f>
        <v>0</v>
      </c>
      <c r="L80" s="3">
        <f>Analyzed!AC81/Analyzed!$CS81</f>
        <v>0</v>
      </c>
      <c r="M80" s="3">
        <f>Analyzed!AE81/Analyzed!$CS81</f>
        <v>0</v>
      </c>
      <c r="N80" s="3">
        <f>Analyzed!AG81/Analyzed!$CS81</f>
        <v>0</v>
      </c>
      <c r="O80" s="3">
        <f>Analyzed!AI81/Analyzed!$CS81</f>
        <v>9.723169234965226E-2</v>
      </c>
      <c r="P80" s="3">
        <f>Analyzed!AK81/Analyzed!$CS81</f>
        <v>0</v>
      </c>
      <c r="Q80" s="3">
        <f>Analyzed!AM81/Analyzed!$CS81</f>
        <v>0.60214100640938228</v>
      </c>
      <c r="R80" s="3">
        <f>Analyzed!AO81/Analyzed!$CS81</f>
        <v>0</v>
      </c>
      <c r="S80" s="3">
        <f>Analyzed!AQ81/Analyzed!$CS81</f>
        <v>0</v>
      </c>
      <c r="T80" s="3">
        <f>Analyzed!AS81/Analyzed!$CS81</f>
        <v>0</v>
      </c>
      <c r="U80" s="3">
        <f>Analyzed!AU81/Analyzed!$CS81</f>
        <v>0</v>
      </c>
      <c r="V80" s="3">
        <f>Analyzed!AW81/Analyzed!$CS81</f>
        <v>0</v>
      </c>
      <c r="W80" s="3">
        <f>Analyzed!AY81/Analyzed!$CS81</f>
        <v>0</v>
      </c>
      <c r="X80" s="3">
        <f>Analyzed!BA81/Analyzed!$CS81</f>
        <v>0</v>
      </c>
      <c r="Y80" s="3">
        <f>Analyzed!BC81/Analyzed!$CS81</f>
        <v>0</v>
      </c>
      <c r="Z80" s="3">
        <f>Analyzed!BE81/Analyzed!$CS81</f>
        <v>0</v>
      </c>
      <c r="AA80" s="3">
        <f>Analyzed!BG81/Analyzed!$CS81</f>
        <v>0</v>
      </c>
    </row>
    <row r="81" spans="1:27" x14ac:dyDescent="0.25">
      <c r="A81" s="13" t="s">
        <v>104</v>
      </c>
      <c r="B81" s="3">
        <f>Analyzed!E82/Analyzed!$CS82</f>
        <v>3.4988577612119758E-2</v>
      </c>
      <c r="C81" s="3">
        <f>Analyzed!G82/Analyzed!$CS82</f>
        <v>0</v>
      </c>
      <c r="D81" s="3">
        <f>Analyzed!I82/Analyzed!$CS82</f>
        <v>0</v>
      </c>
      <c r="E81" s="3">
        <f>Analyzed!K82/Analyzed!$CS82</f>
        <v>0</v>
      </c>
      <c r="F81" s="3">
        <f>Analyzed!M82/Analyzed!$CS82</f>
        <v>0</v>
      </c>
      <c r="G81" s="3">
        <f>Analyzed!O82/Analyzed!$CS82</f>
        <v>0.16971263676806542</v>
      </c>
      <c r="H81" s="3">
        <f>Analyzed!Q82/Analyzed!$CS82</f>
        <v>0</v>
      </c>
      <c r="I81" s="3">
        <f>Analyzed!S82/Analyzed!$CS82</f>
        <v>0</v>
      </c>
      <c r="J81" s="3">
        <f>Analyzed!Y82/Analyzed!$CS82</f>
        <v>2.4047132379463769E-4</v>
      </c>
      <c r="K81" s="3">
        <f>Analyzed!AA82/Analyzed!$CS82</f>
        <v>0</v>
      </c>
      <c r="L81" s="3">
        <f>Analyzed!AC82/Analyzed!$CS82</f>
        <v>0</v>
      </c>
      <c r="M81" s="3">
        <f>Analyzed!AE82/Analyzed!$CS82</f>
        <v>0</v>
      </c>
      <c r="N81" s="3">
        <f>Analyzed!AG82/Analyzed!$CS82</f>
        <v>0</v>
      </c>
      <c r="O81" s="3">
        <f>Analyzed!AI82/Analyzed!$CS82</f>
        <v>1.2444391006372494E-2</v>
      </c>
      <c r="P81" s="3">
        <f>Analyzed!AK82/Analyzed!$CS82</f>
        <v>0</v>
      </c>
      <c r="Q81" s="3">
        <f>Analyzed!AM82/Analyzed!$CS82</f>
        <v>0.78261392328964774</v>
      </c>
      <c r="R81" s="3">
        <f>Analyzed!AO82/Analyzed!$CS82</f>
        <v>0</v>
      </c>
      <c r="S81" s="3">
        <f>Analyzed!AQ82/Analyzed!$CS82</f>
        <v>0</v>
      </c>
      <c r="T81" s="3">
        <f>Analyzed!AS82/Analyzed!$CS82</f>
        <v>0</v>
      </c>
      <c r="U81" s="3">
        <f>Analyzed!AU82/Analyzed!$CS82</f>
        <v>0</v>
      </c>
      <c r="V81" s="3">
        <f>Analyzed!AW82/Analyzed!$CS82</f>
        <v>0</v>
      </c>
      <c r="W81" s="3">
        <f>Analyzed!AY82/Analyzed!$CS82</f>
        <v>0</v>
      </c>
      <c r="X81" s="3">
        <f>Analyzed!BA82/Analyzed!$CS82</f>
        <v>0</v>
      </c>
      <c r="Y81" s="3">
        <f>Analyzed!BC82/Analyzed!$CS82</f>
        <v>0</v>
      </c>
      <c r="Z81" s="3">
        <f>Analyzed!BE82/Analyzed!$CS82</f>
        <v>0</v>
      </c>
      <c r="AA81" s="3">
        <f>Analyzed!BG82/Analyzed!$CS82</f>
        <v>0</v>
      </c>
    </row>
    <row r="82" spans="1:27" x14ac:dyDescent="0.25">
      <c r="A82" s="13" t="s">
        <v>105</v>
      </c>
      <c r="B82" s="3">
        <f>Analyzed!E83/Analyzed!$CS83</f>
        <v>6.7078328540010154E-2</v>
      </c>
      <c r="C82" s="3">
        <f>Analyzed!G83/Analyzed!$CS83</f>
        <v>0</v>
      </c>
      <c r="D82" s="3">
        <f>Analyzed!I83/Analyzed!$CS83</f>
        <v>0</v>
      </c>
      <c r="E82" s="3">
        <f>Analyzed!K83/Analyzed!$CS83</f>
        <v>0</v>
      </c>
      <c r="F82" s="3">
        <f>Analyzed!M83/Analyzed!$CS83</f>
        <v>0</v>
      </c>
      <c r="G82" s="3">
        <f>Analyzed!O83/Analyzed!$CS83</f>
        <v>0.33615293520554895</v>
      </c>
      <c r="H82" s="3">
        <f>Analyzed!Q83/Analyzed!$CS83</f>
        <v>0</v>
      </c>
      <c r="I82" s="3">
        <f>Analyzed!S83/Analyzed!$CS83</f>
        <v>0</v>
      </c>
      <c r="J82" s="3">
        <f>Analyzed!Y83/Analyzed!$CS83</f>
        <v>6.7670444933175125E-4</v>
      </c>
      <c r="K82" s="3">
        <f>Analyzed!AA83/Analyzed!$CS83</f>
        <v>0</v>
      </c>
      <c r="L82" s="3">
        <f>Analyzed!AC83/Analyzed!$CS83</f>
        <v>0</v>
      </c>
      <c r="M82" s="3">
        <f>Analyzed!AE83/Analyzed!$CS83</f>
        <v>0</v>
      </c>
      <c r="N82" s="3">
        <f>Analyzed!AG83/Analyzed!$CS83</f>
        <v>0</v>
      </c>
      <c r="O82" s="3">
        <f>Analyzed!AI83/Analyzed!$CS83</f>
        <v>0</v>
      </c>
      <c r="P82" s="3">
        <f>Analyzed!AK83/Analyzed!$CS83</f>
        <v>0</v>
      </c>
      <c r="Q82" s="3">
        <f>Analyzed!AM83/Analyzed!$CS83</f>
        <v>0.59499238707494517</v>
      </c>
      <c r="R82" s="3">
        <f>Analyzed!AO83/Analyzed!$CS83</f>
        <v>0</v>
      </c>
      <c r="S82" s="3">
        <f>Analyzed!AQ83/Analyzed!$CS83</f>
        <v>0</v>
      </c>
      <c r="T82" s="3">
        <f>Analyzed!AS83/Analyzed!$CS83</f>
        <v>0</v>
      </c>
      <c r="U82" s="3">
        <f>Analyzed!AU83/Analyzed!$CS83</f>
        <v>0</v>
      </c>
      <c r="V82" s="3">
        <f>Analyzed!AW83/Analyzed!$CS83</f>
        <v>0</v>
      </c>
      <c r="W82" s="3">
        <f>Analyzed!AY83/Analyzed!$CS83</f>
        <v>0</v>
      </c>
      <c r="X82" s="3">
        <f>Analyzed!BA83/Analyzed!$CS83</f>
        <v>0</v>
      </c>
      <c r="Y82" s="3">
        <f>Analyzed!BC83/Analyzed!$CS83</f>
        <v>0</v>
      </c>
      <c r="Z82" s="3">
        <f>Analyzed!BE83/Analyzed!$CS83</f>
        <v>1.0996447301641001E-3</v>
      </c>
      <c r="AA82" s="3">
        <f>Analyzed!BG83/Analyzed!$CS83</f>
        <v>0</v>
      </c>
    </row>
    <row r="83" spans="1:27" x14ac:dyDescent="0.25">
      <c r="A83" s="13" t="s">
        <v>107</v>
      </c>
      <c r="B83" s="3">
        <f>Analyzed!E84/Analyzed!$CS84</f>
        <v>2.9738579633904135E-2</v>
      </c>
      <c r="C83" s="3">
        <f>Analyzed!G84/Analyzed!$CS84</f>
        <v>0</v>
      </c>
      <c r="D83" s="3">
        <f>Analyzed!I84/Analyzed!$CS84</f>
        <v>0</v>
      </c>
      <c r="E83" s="3">
        <f>Analyzed!K84/Analyzed!$CS84</f>
        <v>0</v>
      </c>
      <c r="F83" s="3">
        <f>Analyzed!M84/Analyzed!$CS84</f>
        <v>0</v>
      </c>
      <c r="G83" s="3">
        <f>Analyzed!O84/Analyzed!$CS84</f>
        <v>0.80347844758172748</v>
      </c>
      <c r="H83" s="3">
        <f>Analyzed!Q84/Analyzed!$CS84</f>
        <v>0</v>
      </c>
      <c r="I83" s="3">
        <f>Analyzed!S84/Analyzed!$CS84</f>
        <v>0</v>
      </c>
      <c r="J83" s="3">
        <f>Analyzed!Y84/Analyzed!$CS84</f>
        <v>1.4439851843899299E-2</v>
      </c>
      <c r="K83" s="3">
        <f>Analyzed!AA84/Analyzed!$CS84</f>
        <v>0</v>
      </c>
      <c r="L83" s="3">
        <f>Analyzed!AC84/Analyzed!$CS84</f>
        <v>0</v>
      </c>
      <c r="M83" s="3">
        <f>Analyzed!AE84/Analyzed!$CS84</f>
        <v>0</v>
      </c>
      <c r="N83" s="3">
        <f>Analyzed!AG84/Analyzed!$CS84</f>
        <v>0</v>
      </c>
      <c r="O83" s="3">
        <f>Analyzed!AI84/Analyzed!$CS84</f>
        <v>0</v>
      </c>
      <c r="P83" s="3">
        <f>Analyzed!AK84/Analyzed!$CS84</f>
        <v>0</v>
      </c>
      <c r="Q83" s="3">
        <f>Analyzed!AM84/Analyzed!$CS84</f>
        <v>0.14772666273015195</v>
      </c>
      <c r="R83" s="3">
        <f>Analyzed!AO84/Analyzed!$CS84</f>
        <v>0</v>
      </c>
      <c r="S83" s="3">
        <f>Analyzed!AQ84/Analyzed!$CS84</f>
        <v>0</v>
      </c>
      <c r="T83" s="3">
        <f>Analyzed!AS84/Analyzed!$CS84</f>
        <v>0</v>
      </c>
      <c r="U83" s="3">
        <f>Analyzed!AU84/Analyzed!$CS84</f>
        <v>0</v>
      </c>
      <c r="V83" s="3">
        <f>Analyzed!AW84/Analyzed!$CS84</f>
        <v>0</v>
      </c>
      <c r="W83" s="3">
        <f>Analyzed!AY84/Analyzed!$CS84</f>
        <v>0</v>
      </c>
      <c r="X83" s="3">
        <f>Analyzed!BA84/Analyzed!$CS84</f>
        <v>0</v>
      </c>
      <c r="Y83" s="3">
        <f>Analyzed!BC84/Analyzed!$CS84</f>
        <v>0</v>
      </c>
      <c r="Z83" s="3">
        <f>Analyzed!BE84/Analyzed!$CS84</f>
        <v>5.3679746631596185E-4</v>
      </c>
      <c r="AA83" s="3">
        <f>Analyzed!BG84/Analyzed!$CS84</f>
        <v>4.0796607440012874E-3</v>
      </c>
    </row>
    <row r="84" spans="1:27" x14ac:dyDescent="0.25">
      <c r="A84" s="13" t="s">
        <v>108</v>
      </c>
      <c r="B84" s="3">
        <f>Analyzed!E85/Analyzed!$CS85</f>
        <v>2.6352481873954264E-2</v>
      </c>
      <c r="C84" s="3">
        <f>Analyzed!G85/Analyzed!$CS85</f>
        <v>0</v>
      </c>
      <c r="D84" s="3">
        <f>Analyzed!I85/Analyzed!$CS85</f>
        <v>0</v>
      </c>
      <c r="E84" s="3">
        <f>Analyzed!K85/Analyzed!$CS85</f>
        <v>0</v>
      </c>
      <c r="F84" s="3">
        <f>Analyzed!M85/Analyzed!$CS85</f>
        <v>0</v>
      </c>
      <c r="G84" s="3">
        <f>Analyzed!O85/Analyzed!$CS85</f>
        <v>0</v>
      </c>
      <c r="H84" s="3">
        <f>Analyzed!Q85/Analyzed!$CS85</f>
        <v>0</v>
      </c>
      <c r="I84" s="3">
        <f>Analyzed!S85/Analyzed!$CS85</f>
        <v>0</v>
      </c>
      <c r="J84" s="3">
        <f>Analyzed!Y85/Analyzed!$CS85</f>
        <v>1.1851645287228104E-3</v>
      </c>
      <c r="K84" s="3">
        <f>Analyzed!AA85/Analyzed!$CS85</f>
        <v>0</v>
      </c>
      <c r="L84" s="3">
        <f>Analyzed!AC85/Analyzed!$CS85</f>
        <v>0</v>
      </c>
      <c r="M84" s="3">
        <f>Analyzed!AE85/Analyzed!$CS85</f>
        <v>0</v>
      </c>
      <c r="N84" s="3">
        <f>Analyzed!AG85/Analyzed!$CS85</f>
        <v>0</v>
      </c>
      <c r="O84" s="3">
        <f>Analyzed!AI85/Analyzed!$CS85</f>
        <v>0</v>
      </c>
      <c r="P84" s="3">
        <f>Analyzed!AK85/Analyzed!$CS85</f>
        <v>9.8229224762967096E-2</v>
      </c>
      <c r="Q84" s="3">
        <f>Analyzed!AM85/Analyzed!$CS85</f>
        <v>0.87423312883435589</v>
      </c>
      <c r="R84" s="3">
        <f>Analyzed!AO85/Analyzed!$CS85</f>
        <v>0</v>
      </c>
      <c r="S84" s="3">
        <f>Analyzed!AQ85/Analyzed!$CS85</f>
        <v>0</v>
      </c>
      <c r="T84" s="3">
        <f>Analyzed!AS85/Analyzed!$CS85</f>
        <v>0</v>
      </c>
      <c r="U84" s="3">
        <f>Analyzed!AU85/Analyzed!$CS85</f>
        <v>0</v>
      </c>
      <c r="V84" s="3">
        <f>Analyzed!AW85/Analyzed!$CS85</f>
        <v>0</v>
      </c>
      <c r="W84" s="3">
        <f>Analyzed!AY85/Analyzed!$CS85</f>
        <v>0</v>
      </c>
      <c r="X84" s="3">
        <f>Analyzed!BA85/Analyzed!$CS85</f>
        <v>0</v>
      </c>
      <c r="Y84" s="3">
        <f>Analyzed!BC85/Analyzed!$CS85</f>
        <v>0</v>
      </c>
      <c r="Z84" s="3">
        <f>Analyzed!BE85/Analyzed!$CS85</f>
        <v>0</v>
      </c>
      <c r="AA84" s="3">
        <f>Analyzed!BG85/Analyzed!$CS85</f>
        <v>0</v>
      </c>
    </row>
    <row r="85" spans="1:27" x14ac:dyDescent="0.25">
      <c r="A85" s="13" t="s">
        <v>109</v>
      </c>
      <c r="B85" s="3">
        <f>Analyzed!E86/Analyzed!$CS86</f>
        <v>6.7102740498477496E-3</v>
      </c>
      <c r="C85" s="3">
        <f>Analyzed!G86/Analyzed!$CS86</f>
        <v>0</v>
      </c>
      <c r="D85" s="3">
        <f>Analyzed!I86/Analyzed!$CS86</f>
        <v>0</v>
      </c>
      <c r="E85" s="3">
        <f>Analyzed!K86/Analyzed!$CS86</f>
        <v>0</v>
      </c>
      <c r="F85" s="3">
        <f>Analyzed!M86/Analyzed!$CS86</f>
        <v>0</v>
      </c>
      <c r="G85" s="3">
        <f>Analyzed!O86/Analyzed!$CS86</f>
        <v>0</v>
      </c>
      <c r="H85" s="3">
        <f>Analyzed!Q86/Analyzed!$CS86</f>
        <v>0</v>
      </c>
      <c r="I85" s="3">
        <f>Analyzed!S86/Analyzed!$CS86</f>
        <v>0</v>
      </c>
      <c r="J85" s="3">
        <f>Analyzed!Y86/Analyzed!$CS86</f>
        <v>3.3833314537047256E-4</v>
      </c>
      <c r="K85" s="3">
        <f>Analyzed!AA86/Analyzed!$CS86</f>
        <v>0</v>
      </c>
      <c r="L85" s="3">
        <f>Analyzed!AC86/Analyzed!$CS86</f>
        <v>0</v>
      </c>
      <c r="M85" s="3">
        <f>Analyzed!AE86/Analyzed!$CS86</f>
        <v>0</v>
      </c>
      <c r="N85" s="3">
        <f>Analyzed!AG86/Analyzed!$CS86</f>
        <v>0</v>
      </c>
      <c r="O85" s="3">
        <f>Analyzed!AI86/Analyzed!$CS86</f>
        <v>0</v>
      </c>
      <c r="P85" s="3">
        <f>Analyzed!AK86/Analyzed!$CS86</f>
        <v>0.11446938085034397</v>
      </c>
      <c r="Q85" s="3">
        <f>Analyzed!AM86/Analyzed!$CS86</f>
        <v>0.87848201195443776</v>
      </c>
      <c r="R85" s="3">
        <f>Analyzed!AO86/Analyzed!$CS86</f>
        <v>0</v>
      </c>
      <c r="S85" s="3">
        <f>Analyzed!AQ86/Analyzed!$CS86</f>
        <v>0</v>
      </c>
      <c r="T85" s="3">
        <f>Analyzed!AS86/Analyzed!$CS86</f>
        <v>0</v>
      </c>
      <c r="U85" s="3">
        <f>Analyzed!AU86/Analyzed!$CS86</f>
        <v>0</v>
      </c>
      <c r="V85" s="3">
        <f>Analyzed!AW86/Analyzed!$CS86</f>
        <v>0</v>
      </c>
      <c r="W85" s="3">
        <f>Analyzed!AY86/Analyzed!$CS86</f>
        <v>0</v>
      </c>
      <c r="X85" s="3">
        <f>Analyzed!BA86/Analyzed!$CS86</f>
        <v>0</v>
      </c>
      <c r="Y85" s="3">
        <f>Analyzed!BC86/Analyzed!$CS86</f>
        <v>0</v>
      </c>
      <c r="Z85" s="3">
        <f>Analyzed!BE86/Analyzed!$CS86</f>
        <v>0</v>
      </c>
      <c r="AA85" s="3">
        <f>Analyzed!BG86/Analyzed!$CS86</f>
        <v>0</v>
      </c>
    </row>
    <row r="86" spans="1:27" x14ac:dyDescent="0.25">
      <c r="A86" s="13" t="s">
        <v>110</v>
      </c>
      <c r="B86" s="3">
        <f>Analyzed!E87/Analyzed!$CS87</f>
        <v>0</v>
      </c>
      <c r="C86" s="3">
        <f>Analyzed!G87/Analyzed!$CS87</f>
        <v>0</v>
      </c>
      <c r="D86" s="3">
        <f>Analyzed!I87/Analyzed!$CS87</f>
        <v>0</v>
      </c>
      <c r="E86" s="3">
        <f>Analyzed!K87/Analyzed!$CS87</f>
        <v>0</v>
      </c>
      <c r="F86" s="3">
        <f>Analyzed!M87/Analyzed!$CS87</f>
        <v>0.71134602444159845</v>
      </c>
      <c r="G86" s="3">
        <f>Analyzed!O87/Analyzed!$CS87</f>
        <v>0</v>
      </c>
      <c r="H86" s="3">
        <f>Analyzed!Q87/Analyzed!$CS87</f>
        <v>0</v>
      </c>
      <c r="I86" s="3">
        <f>Analyzed!S87/Analyzed!$CS87</f>
        <v>0</v>
      </c>
      <c r="J86" s="3">
        <f>Analyzed!Y87/Analyzed!$CS87</f>
        <v>0</v>
      </c>
      <c r="K86" s="3">
        <f>Analyzed!AA87/Analyzed!$CS87</f>
        <v>0</v>
      </c>
      <c r="L86" s="3">
        <f>Analyzed!AC87/Analyzed!$CS87</f>
        <v>0</v>
      </c>
      <c r="M86" s="3">
        <f>Analyzed!AE87/Analyzed!$CS87</f>
        <v>0</v>
      </c>
      <c r="N86" s="3">
        <f>Analyzed!AG87/Analyzed!$CS87</f>
        <v>0</v>
      </c>
      <c r="O86" s="3">
        <f>Analyzed!AI87/Analyzed!$CS87</f>
        <v>0</v>
      </c>
      <c r="P86" s="3">
        <f>Analyzed!AK87/Analyzed!$CS87</f>
        <v>0</v>
      </c>
      <c r="Q86" s="3">
        <f>Analyzed!AM87/Analyzed!$CS87</f>
        <v>0.28865397555840155</v>
      </c>
      <c r="R86" s="3">
        <f>Analyzed!AO87/Analyzed!$CS87</f>
        <v>0</v>
      </c>
      <c r="S86" s="3">
        <f>Analyzed!AQ87/Analyzed!$CS87</f>
        <v>0</v>
      </c>
      <c r="T86" s="3">
        <f>Analyzed!AS87/Analyzed!$CS87</f>
        <v>0</v>
      </c>
      <c r="U86" s="3">
        <f>Analyzed!AU87/Analyzed!$CS87</f>
        <v>0</v>
      </c>
      <c r="V86" s="3">
        <f>Analyzed!AW87/Analyzed!$CS87</f>
        <v>0</v>
      </c>
      <c r="W86" s="3">
        <f>Analyzed!AY87/Analyzed!$CS87</f>
        <v>0</v>
      </c>
      <c r="X86" s="3">
        <f>Analyzed!BA87/Analyzed!$CS87</f>
        <v>0</v>
      </c>
      <c r="Y86" s="3">
        <f>Analyzed!BC87/Analyzed!$CS87</f>
        <v>0</v>
      </c>
      <c r="Z86" s="3">
        <f>Analyzed!BE87/Analyzed!$CS87</f>
        <v>0</v>
      </c>
      <c r="AA86" s="3">
        <f>Analyzed!BG87/Analyzed!$CS87</f>
        <v>0</v>
      </c>
    </row>
    <row r="87" spans="1:27" x14ac:dyDescent="0.25">
      <c r="A87" s="13" t="s">
        <v>113</v>
      </c>
      <c r="B87" s="3">
        <f>Analyzed!E88/Analyzed!$CS88</f>
        <v>2.5523226135783566E-3</v>
      </c>
      <c r="C87" s="3">
        <f>Analyzed!G88/Analyzed!$CS88</f>
        <v>0</v>
      </c>
      <c r="D87" s="3">
        <f>Analyzed!I88/Analyzed!$CS88</f>
        <v>0</v>
      </c>
      <c r="E87" s="3">
        <f>Analyzed!K88/Analyzed!$CS88</f>
        <v>0</v>
      </c>
      <c r="F87" s="3">
        <f>Analyzed!M88/Analyzed!$CS88</f>
        <v>0</v>
      </c>
      <c r="G87" s="3">
        <f>Analyzed!O88/Analyzed!$CS88</f>
        <v>1.1944869831546709E-2</v>
      </c>
      <c r="H87" s="3">
        <f>Analyzed!Q88/Analyzed!$CS88</f>
        <v>0</v>
      </c>
      <c r="I87" s="3">
        <f>Analyzed!S88/Analyzed!$CS88</f>
        <v>0</v>
      </c>
      <c r="J87" s="3">
        <f>Analyzed!Y88/Analyzed!$CS88</f>
        <v>1.0209290454313391E-3</v>
      </c>
      <c r="K87" s="3">
        <f>Analyzed!AA88/Analyzed!$CS88</f>
        <v>0</v>
      </c>
      <c r="L87" s="3">
        <f>Analyzed!AC88/Analyzed!$CS88</f>
        <v>0</v>
      </c>
      <c r="M87" s="3">
        <f>Analyzed!AE88/Analyzed!$CS88</f>
        <v>0</v>
      </c>
      <c r="N87" s="3">
        <f>Analyzed!AG88/Analyzed!$CS88</f>
        <v>0</v>
      </c>
      <c r="O87" s="3">
        <f>Analyzed!AI88/Analyzed!$CS88</f>
        <v>0</v>
      </c>
      <c r="P87" s="3">
        <f>Analyzed!AK88/Analyzed!$CS88</f>
        <v>5.1046452271566955E-4</v>
      </c>
      <c r="Q87" s="3">
        <f>Analyzed!AM88/Analyzed!$CS88</f>
        <v>0.98397141398672794</v>
      </c>
      <c r="R87" s="3">
        <f>Analyzed!AO88/Analyzed!$CS88</f>
        <v>0</v>
      </c>
      <c r="S87" s="3">
        <f>Analyzed!AQ88/Analyzed!$CS88</f>
        <v>0</v>
      </c>
      <c r="T87" s="3">
        <f>Analyzed!AS88/Analyzed!$CS88</f>
        <v>0</v>
      </c>
      <c r="U87" s="3">
        <f>Analyzed!AU88/Analyzed!$CS88</f>
        <v>0</v>
      </c>
      <c r="V87" s="3">
        <f>Analyzed!AW88/Analyzed!$CS88</f>
        <v>0</v>
      </c>
      <c r="W87" s="3">
        <f>Analyzed!AY88/Analyzed!$CS88</f>
        <v>0</v>
      </c>
      <c r="X87" s="3">
        <f>Analyzed!BA88/Analyzed!$CS88</f>
        <v>0</v>
      </c>
      <c r="Y87" s="3">
        <f>Analyzed!BC88/Analyzed!$CS88</f>
        <v>0</v>
      </c>
      <c r="Z87" s="3">
        <f>Analyzed!BE88/Analyzed!$CS88</f>
        <v>0</v>
      </c>
      <c r="AA87" s="3">
        <f>Analyzed!BG88/Analyzed!$CS88</f>
        <v>0</v>
      </c>
    </row>
    <row r="88" spans="1:27" x14ac:dyDescent="0.25">
      <c r="A88" s="13" t="s">
        <v>114</v>
      </c>
      <c r="B88" s="3">
        <f>Analyzed!E89/Analyzed!$CS89</f>
        <v>4.9166257969592932E-2</v>
      </c>
      <c r="C88" s="3">
        <f>Analyzed!G89/Analyzed!$CS89</f>
        <v>0</v>
      </c>
      <c r="D88" s="3">
        <f>Analyzed!I89/Analyzed!$CS89</f>
        <v>0</v>
      </c>
      <c r="E88" s="3">
        <f>Analyzed!K89/Analyzed!$CS89</f>
        <v>0</v>
      </c>
      <c r="F88" s="3">
        <f>Analyzed!M89/Analyzed!$CS89</f>
        <v>0</v>
      </c>
      <c r="G88" s="3">
        <f>Analyzed!O89/Analyzed!$CS89</f>
        <v>0.11862432564982836</v>
      </c>
      <c r="H88" s="3">
        <f>Analyzed!Q89/Analyzed!$CS89</f>
        <v>0</v>
      </c>
      <c r="I88" s="3">
        <f>Analyzed!S89/Analyzed!$CS89</f>
        <v>0</v>
      </c>
      <c r="J88" s="3">
        <f>Analyzed!Y89/Analyzed!$CS89</f>
        <v>1.1647866601275159E-3</v>
      </c>
      <c r="K88" s="3">
        <f>Analyzed!AA89/Analyzed!$CS89</f>
        <v>0</v>
      </c>
      <c r="L88" s="3">
        <f>Analyzed!AC89/Analyzed!$CS89</f>
        <v>0</v>
      </c>
      <c r="M88" s="3">
        <f>Analyzed!AE89/Analyzed!$CS89</f>
        <v>0</v>
      </c>
      <c r="N88" s="3">
        <f>Analyzed!AG89/Analyzed!$CS89</f>
        <v>0</v>
      </c>
      <c r="O88" s="3">
        <f>Analyzed!AI89/Analyzed!$CS89</f>
        <v>0</v>
      </c>
      <c r="P88" s="3">
        <f>Analyzed!AK89/Analyzed!$CS89</f>
        <v>1.5203531142717022E-2</v>
      </c>
      <c r="Q88" s="3">
        <f>Analyzed!AM89/Analyzed!$CS89</f>
        <v>0.81547327121137814</v>
      </c>
      <c r="R88" s="3">
        <f>Analyzed!AO89/Analyzed!$CS89</f>
        <v>0</v>
      </c>
      <c r="S88" s="3">
        <f>Analyzed!AQ89/Analyzed!$CS89</f>
        <v>0</v>
      </c>
      <c r="T88" s="3">
        <f>Analyzed!AS89/Analyzed!$CS89</f>
        <v>0</v>
      </c>
      <c r="U88" s="3">
        <f>Analyzed!AU89/Analyzed!$CS89</f>
        <v>0</v>
      </c>
      <c r="V88" s="3">
        <f>Analyzed!AW89/Analyzed!$CS89</f>
        <v>0</v>
      </c>
      <c r="W88" s="3">
        <f>Analyzed!AY89/Analyzed!$CS89</f>
        <v>0</v>
      </c>
      <c r="X88" s="3">
        <f>Analyzed!BA89/Analyzed!$CS89</f>
        <v>0</v>
      </c>
      <c r="Y88" s="3">
        <f>Analyzed!BC89/Analyzed!$CS89</f>
        <v>0</v>
      </c>
      <c r="Z88" s="3">
        <f>Analyzed!BE89/Analyzed!$CS89</f>
        <v>0</v>
      </c>
      <c r="AA88" s="3">
        <f>Analyzed!BG89/Analyzed!$CS89</f>
        <v>3.6782736635605453E-4</v>
      </c>
    </row>
    <row r="89" spans="1:27" x14ac:dyDescent="0.25">
      <c r="A89" s="13" t="s">
        <v>134</v>
      </c>
      <c r="B89" s="3">
        <f>Analyzed!E90/Analyzed!$CS90</f>
        <v>0</v>
      </c>
      <c r="C89" s="3">
        <f>Analyzed!G90/Analyzed!$CS90</f>
        <v>0</v>
      </c>
      <c r="D89" s="3">
        <f>Analyzed!I90/Analyzed!$CS90</f>
        <v>0</v>
      </c>
      <c r="E89" s="3">
        <f>Analyzed!K90/Analyzed!$CS90</f>
        <v>0</v>
      </c>
      <c r="F89" s="3">
        <f>Analyzed!M90/Analyzed!$CS90</f>
        <v>0.13483809586299664</v>
      </c>
      <c r="G89" s="3">
        <f>Analyzed!O90/Analyzed!$CS90</f>
        <v>0</v>
      </c>
      <c r="H89" s="3">
        <f>Analyzed!Q90/Analyzed!$CS90</f>
        <v>0</v>
      </c>
      <c r="I89" s="3">
        <f>Analyzed!S90/Analyzed!$CS90</f>
        <v>0</v>
      </c>
      <c r="J89" s="3">
        <f>Analyzed!Y90/Analyzed!$CS90</f>
        <v>1.705980774908961E-3</v>
      </c>
      <c r="K89" s="3">
        <f>Analyzed!AA90/Analyzed!$CS90</f>
        <v>0</v>
      </c>
      <c r="L89" s="3">
        <f>Analyzed!AC90/Analyzed!$CS90</f>
        <v>0</v>
      </c>
      <c r="M89" s="3">
        <f>Analyzed!AE90/Analyzed!$CS90</f>
        <v>0</v>
      </c>
      <c r="N89" s="3">
        <f>Analyzed!AG90/Analyzed!$CS90</f>
        <v>0</v>
      </c>
      <c r="O89" s="3">
        <f>Analyzed!AI90/Analyzed!$CS90</f>
        <v>0</v>
      </c>
      <c r="P89" s="3">
        <f>Analyzed!AK90/Analyzed!$CS90</f>
        <v>0</v>
      </c>
      <c r="Q89" s="3">
        <f>Analyzed!AM90/Analyzed!$CS90</f>
        <v>0.86345592336209442</v>
      </c>
      <c r="R89" s="3">
        <f>Analyzed!AO90/Analyzed!$CS90</f>
        <v>0</v>
      </c>
      <c r="S89" s="3">
        <f>Analyzed!AQ90/Analyzed!$CS90</f>
        <v>0</v>
      </c>
      <c r="T89" s="3">
        <f>Analyzed!AS90/Analyzed!$CS90</f>
        <v>0</v>
      </c>
      <c r="U89" s="3">
        <f>Analyzed!AU90/Analyzed!$CS90</f>
        <v>0</v>
      </c>
      <c r="V89" s="3">
        <f>Analyzed!AW90/Analyzed!$CS90</f>
        <v>0</v>
      </c>
      <c r="W89" s="3">
        <f>Analyzed!AY90/Analyzed!$CS90</f>
        <v>0</v>
      </c>
      <c r="X89" s="3">
        <f>Analyzed!BA90/Analyzed!$CS90</f>
        <v>0</v>
      </c>
      <c r="Y89" s="3">
        <f>Analyzed!BC90/Analyzed!$CS90</f>
        <v>0</v>
      </c>
      <c r="Z89" s="3">
        <f>Analyzed!BE90/Analyzed!$CS90</f>
        <v>0</v>
      </c>
      <c r="AA89" s="3">
        <f>Analyzed!BG90/Analyzed!$CS90</f>
        <v>0</v>
      </c>
    </row>
    <row r="90" spans="1:27" x14ac:dyDescent="0.25">
      <c r="A90" s="13" t="s">
        <v>135</v>
      </c>
      <c r="B90" s="3">
        <f>Analyzed!E91/Analyzed!$CS91</f>
        <v>0</v>
      </c>
      <c r="C90" s="3">
        <f>Analyzed!G91/Analyzed!$CS91</f>
        <v>0</v>
      </c>
      <c r="D90" s="3">
        <f>Analyzed!I91/Analyzed!$CS91</f>
        <v>0</v>
      </c>
      <c r="E90" s="3">
        <f>Analyzed!K91/Analyzed!$CS91</f>
        <v>0</v>
      </c>
      <c r="F90" s="3">
        <f>Analyzed!M91/Analyzed!$CS91</f>
        <v>0.19997046226554421</v>
      </c>
      <c r="G90" s="3">
        <f>Analyzed!O91/Analyzed!$CS91</f>
        <v>0.11704327278097772</v>
      </c>
      <c r="H90" s="3">
        <f>Analyzed!Q91/Analyzed!$CS91</f>
        <v>0</v>
      </c>
      <c r="I90" s="3">
        <f>Analyzed!S91/Analyzed!$CS91</f>
        <v>0</v>
      </c>
      <c r="J90" s="3">
        <f>Analyzed!Y91/Analyzed!$CS91</f>
        <v>8.2114901787032943E-2</v>
      </c>
      <c r="K90" s="3">
        <f>Analyzed!AA91/Analyzed!$CS91</f>
        <v>1.8977994387830457E-2</v>
      </c>
      <c r="L90" s="3">
        <f>Analyzed!AC91/Analyzed!$CS91</f>
        <v>0</v>
      </c>
      <c r="M90" s="3">
        <f>Analyzed!AE91/Analyzed!$CS91</f>
        <v>0</v>
      </c>
      <c r="N90" s="3">
        <f>Analyzed!AG91/Analyzed!$CS91</f>
        <v>0</v>
      </c>
      <c r="O90" s="3">
        <f>Analyzed!AI91/Analyzed!$CS91</f>
        <v>0</v>
      </c>
      <c r="P90" s="3">
        <f>Analyzed!AK91/Analyzed!$CS91</f>
        <v>4.231280460788657E-2</v>
      </c>
      <c r="Q90" s="3">
        <f>Analyzed!AM91/Analyzed!$CS91</f>
        <v>0.53958056417072808</v>
      </c>
      <c r="R90" s="3">
        <f>Analyzed!AO91/Analyzed!$CS91</f>
        <v>0</v>
      </c>
      <c r="S90" s="3">
        <f>Analyzed!AQ91/Analyzed!$CS91</f>
        <v>0</v>
      </c>
      <c r="T90" s="3">
        <f>Analyzed!AS91/Analyzed!$CS91</f>
        <v>0</v>
      </c>
      <c r="U90" s="3">
        <f>Analyzed!AU91/Analyzed!$CS91</f>
        <v>0</v>
      </c>
      <c r="V90" s="3">
        <f>Analyzed!AW91/Analyzed!$CS91</f>
        <v>0</v>
      </c>
      <c r="W90" s="3">
        <f>Analyzed!AY91/Analyzed!$CS91</f>
        <v>0</v>
      </c>
      <c r="X90" s="3">
        <f>Analyzed!BA91/Analyzed!$CS91</f>
        <v>0</v>
      </c>
      <c r="Y90" s="3">
        <f>Analyzed!BC91/Analyzed!$CS91</f>
        <v>0</v>
      </c>
      <c r="Z90" s="3">
        <f>Analyzed!BE91/Analyzed!$CS91</f>
        <v>0</v>
      </c>
      <c r="AA90" s="3">
        <f>Analyzed!BG91/Analyzed!$CS91</f>
        <v>0</v>
      </c>
    </row>
    <row r="91" spans="1:27" x14ac:dyDescent="0.25">
      <c r="A91" s="13" t="s">
        <v>137</v>
      </c>
      <c r="B91" s="3">
        <f>Analyzed!E92/Analyzed!$CS92</f>
        <v>0</v>
      </c>
      <c r="C91" s="3">
        <f>Analyzed!G92/Analyzed!$CS92</f>
        <v>0</v>
      </c>
      <c r="D91" s="3">
        <f>Analyzed!I92/Analyzed!$CS92</f>
        <v>0</v>
      </c>
      <c r="E91" s="3">
        <f>Analyzed!K92/Analyzed!$CS92</f>
        <v>0</v>
      </c>
      <c r="F91" s="3">
        <f>Analyzed!M92/Analyzed!$CS92</f>
        <v>0</v>
      </c>
      <c r="G91" s="3">
        <f>Analyzed!O92/Analyzed!$CS92</f>
        <v>0.49546868659542814</v>
      </c>
      <c r="H91" s="3">
        <f>Analyzed!Q92/Analyzed!$CS92</f>
        <v>0</v>
      </c>
      <c r="I91" s="3">
        <f>Analyzed!S92/Analyzed!$CS92</f>
        <v>0</v>
      </c>
      <c r="J91" s="3">
        <f>Analyzed!Y92/Analyzed!$CS92</f>
        <v>4.1615943009152806E-2</v>
      </c>
      <c r="K91" s="3">
        <f>Analyzed!AA92/Analyzed!$CS92</f>
        <v>0</v>
      </c>
      <c r="L91" s="3">
        <f>Analyzed!AC92/Analyzed!$CS92</f>
        <v>0</v>
      </c>
      <c r="M91" s="3">
        <f>Analyzed!AE92/Analyzed!$CS92</f>
        <v>0</v>
      </c>
      <c r="N91" s="3">
        <f>Analyzed!AG92/Analyzed!$CS92</f>
        <v>0</v>
      </c>
      <c r="O91" s="3">
        <f>Analyzed!AI92/Analyzed!$CS92</f>
        <v>0</v>
      </c>
      <c r="P91" s="3">
        <f>Analyzed!AK92/Analyzed!$CS92</f>
        <v>0</v>
      </c>
      <c r="Q91" s="3">
        <f>Analyzed!AM92/Analyzed!$CS92</f>
        <v>0.46205870417962946</v>
      </c>
      <c r="R91" s="3">
        <f>Analyzed!AO92/Analyzed!$CS92</f>
        <v>0</v>
      </c>
      <c r="S91" s="3">
        <f>Analyzed!AQ92/Analyzed!$CS92</f>
        <v>0</v>
      </c>
      <c r="T91" s="3">
        <f>Analyzed!AS92/Analyzed!$CS92</f>
        <v>0</v>
      </c>
      <c r="U91" s="3">
        <f>Analyzed!AU92/Analyzed!$CS92</f>
        <v>8.5666621578971115E-4</v>
      </c>
      <c r="V91" s="3">
        <f>Analyzed!AW92/Analyzed!$CS92</f>
        <v>0</v>
      </c>
      <c r="W91" s="3">
        <f>Analyzed!AY92/Analyzed!$CS92</f>
        <v>0</v>
      </c>
      <c r="X91" s="3">
        <f>Analyzed!BA92/Analyzed!$CS92</f>
        <v>0</v>
      </c>
      <c r="Y91" s="3">
        <f>Analyzed!BC92/Analyzed!$CS92</f>
        <v>0</v>
      </c>
      <c r="Z91" s="3">
        <f>Analyzed!BE92/Analyzed!$CS92</f>
        <v>0</v>
      </c>
      <c r="AA91" s="3">
        <f>Analyzed!BG92/Analyzed!$CS92</f>
        <v>0</v>
      </c>
    </row>
    <row r="92" spans="1:27" x14ac:dyDescent="0.25">
      <c r="A92" s="13" t="s">
        <v>138</v>
      </c>
      <c r="B92" s="3">
        <f>Analyzed!E93/Analyzed!$CS93</f>
        <v>0</v>
      </c>
      <c r="C92" s="3">
        <f>Analyzed!G93/Analyzed!$CS93</f>
        <v>0</v>
      </c>
      <c r="D92" s="3">
        <f>Analyzed!I93/Analyzed!$CS93</f>
        <v>0</v>
      </c>
      <c r="E92" s="3">
        <f>Analyzed!K93/Analyzed!$CS93</f>
        <v>0</v>
      </c>
      <c r="F92" s="3">
        <f>Analyzed!M93/Analyzed!$CS93</f>
        <v>0</v>
      </c>
      <c r="G92" s="3">
        <f>Analyzed!O93/Analyzed!$CS93</f>
        <v>0.22313564298297126</v>
      </c>
      <c r="H92" s="3">
        <f>Analyzed!Q93/Analyzed!$CS93</f>
        <v>0</v>
      </c>
      <c r="I92" s="3">
        <f>Analyzed!S93/Analyzed!$CS93</f>
        <v>0</v>
      </c>
      <c r="J92" s="3">
        <f>Analyzed!Y93/Analyzed!$CS93</f>
        <v>3.590302826944048E-2</v>
      </c>
      <c r="K92" s="3">
        <f>Analyzed!AA93/Analyzed!$CS93</f>
        <v>0</v>
      </c>
      <c r="L92" s="3">
        <f>Analyzed!AC93/Analyzed!$CS93</f>
        <v>0</v>
      </c>
      <c r="M92" s="3">
        <f>Analyzed!AE93/Analyzed!$CS93</f>
        <v>0</v>
      </c>
      <c r="N92" s="3">
        <f>Analyzed!AG93/Analyzed!$CS93</f>
        <v>0</v>
      </c>
      <c r="O92" s="3">
        <f>Analyzed!AI93/Analyzed!$CS93</f>
        <v>0</v>
      </c>
      <c r="P92" s="3">
        <f>Analyzed!AK93/Analyzed!$CS93</f>
        <v>0</v>
      </c>
      <c r="Q92" s="3">
        <f>Analyzed!AM93/Analyzed!$CS93</f>
        <v>0.74096132874758824</v>
      </c>
      <c r="R92" s="3">
        <f>Analyzed!AO93/Analyzed!$CS93</f>
        <v>0</v>
      </c>
      <c r="S92" s="3">
        <f>Analyzed!AQ93/Analyzed!$CS93</f>
        <v>0</v>
      </c>
      <c r="T92" s="3">
        <f>Analyzed!AS93/Analyzed!$CS93</f>
        <v>0</v>
      </c>
      <c r="U92" s="3">
        <f>Analyzed!AU93/Analyzed!$CS93</f>
        <v>0</v>
      </c>
      <c r="V92" s="3">
        <f>Analyzed!AW93/Analyzed!$CS93</f>
        <v>0</v>
      </c>
      <c r="W92" s="3">
        <f>Analyzed!AY93/Analyzed!$CS93</f>
        <v>0</v>
      </c>
      <c r="X92" s="3">
        <f>Analyzed!BA93/Analyzed!$CS93</f>
        <v>0</v>
      </c>
      <c r="Y92" s="3">
        <f>Analyzed!BC93/Analyzed!$CS93</f>
        <v>0</v>
      </c>
      <c r="Z92" s="3">
        <f>Analyzed!BE93/Analyzed!$CS93</f>
        <v>0</v>
      </c>
      <c r="AA92" s="3">
        <f>Analyzed!BG93/Analyzed!$CS93</f>
        <v>0</v>
      </c>
    </row>
    <row r="93" spans="1:27" x14ac:dyDescent="0.25">
      <c r="A93" s="13" t="s">
        <v>139</v>
      </c>
      <c r="B93" s="3">
        <f>Analyzed!E94/Analyzed!$CS94</f>
        <v>0</v>
      </c>
      <c r="C93" s="3">
        <f>Analyzed!G94/Analyzed!$CS94</f>
        <v>0</v>
      </c>
      <c r="D93" s="3">
        <f>Analyzed!I94/Analyzed!$CS94</f>
        <v>0</v>
      </c>
      <c r="E93" s="3">
        <f>Analyzed!K94/Analyzed!$CS94</f>
        <v>0</v>
      </c>
      <c r="F93" s="3">
        <f>Analyzed!M94/Analyzed!$CS94</f>
        <v>0</v>
      </c>
      <c r="G93" s="3">
        <f>Analyzed!O94/Analyzed!$CS94</f>
        <v>3.1069715715576558E-2</v>
      </c>
      <c r="H93" s="3">
        <f>Analyzed!Q94/Analyzed!$CS94</f>
        <v>0</v>
      </c>
      <c r="I93" s="3">
        <f>Analyzed!S94/Analyzed!$CS94</f>
        <v>0</v>
      </c>
      <c r="J93" s="3">
        <f>Analyzed!Y94/Analyzed!$CS94</f>
        <v>1.4735525126850628E-2</v>
      </c>
      <c r="K93" s="3">
        <f>Analyzed!AA94/Analyzed!$CS94</f>
        <v>0</v>
      </c>
      <c r="L93" s="3">
        <f>Analyzed!AC94/Analyzed!$CS94</f>
        <v>0</v>
      </c>
      <c r="M93" s="3">
        <f>Analyzed!AE94/Analyzed!$CS94</f>
        <v>0</v>
      </c>
      <c r="N93" s="3">
        <f>Analyzed!AG94/Analyzed!$CS94</f>
        <v>0</v>
      </c>
      <c r="O93" s="3">
        <f>Analyzed!AI94/Analyzed!$CS94</f>
        <v>0</v>
      </c>
      <c r="P93" s="3">
        <f>Analyzed!AK94/Analyzed!$CS94</f>
        <v>0</v>
      </c>
      <c r="Q93" s="3">
        <f>Analyzed!AM94/Analyzed!$CS94</f>
        <v>0.95419475915757279</v>
      </c>
      <c r="R93" s="3">
        <f>Analyzed!AO94/Analyzed!$CS94</f>
        <v>0</v>
      </c>
      <c r="S93" s="3">
        <f>Analyzed!AQ94/Analyzed!$CS94</f>
        <v>0</v>
      </c>
      <c r="T93" s="3">
        <f>Analyzed!AS94/Analyzed!$CS94</f>
        <v>0</v>
      </c>
      <c r="U93" s="3">
        <f>Analyzed!AU94/Analyzed!$CS94</f>
        <v>0</v>
      </c>
      <c r="V93" s="3">
        <f>Analyzed!AW94/Analyzed!$CS94</f>
        <v>0</v>
      </c>
      <c r="W93" s="3">
        <f>Analyzed!AY94/Analyzed!$CS94</f>
        <v>0</v>
      </c>
      <c r="X93" s="3">
        <f>Analyzed!BA94/Analyzed!$CS94</f>
        <v>0</v>
      </c>
      <c r="Y93" s="3">
        <f>Analyzed!BC94/Analyzed!$CS94</f>
        <v>0</v>
      </c>
      <c r="Z93" s="3">
        <f>Analyzed!BE94/Analyzed!$CS94</f>
        <v>0</v>
      </c>
      <c r="AA93" s="3">
        <f>Analyzed!BG94/Analyzed!$CS94</f>
        <v>0</v>
      </c>
    </row>
    <row r="94" spans="1:27" x14ac:dyDescent="0.25">
      <c r="A94" s="13" t="s">
        <v>140</v>
      </c>
      <c r="B94" s="3">
        <f>Analyzed!E95/Analyzed!$CS95</f>
        <v>0</v>
      </c>
      <c r="C94" s="3">
        <f>Analyzed!G95/Analyzed!$CS95</f>
        <v>0</v>
      </c>
      <c r="D94" s="3">
        <f>Analyzed!I95/Analyzed!$CS95</f>
        <v>0</v>
      </c>
      <c r="E94" s="3">
        <f>Analyzed!K95/Analyzed!$CS95</f>
        <v>0</v>
      </c>
      <c r="F94" s="3">
        <f>Analyzed!M95/Analyzed!$CS95</f>
        <v>0</v>
      </c>
      <c r="G94" s="3">
        <f>Analyzed!O95/Analyzed!$CS95</f>
        <v>0</v>
      </c>
      <c r="H94" s="3">
        <f>Analyzed!Q95/Analyzed!$CS95</f>
        <v>0</v>
      </c>
      <c r="I94" s="3">
        <f>Analyzed!S95/Analyzed!$CS95</f>
        <v>0</v>
      </c>
      <c r="J94" s="3">
        <f>Analyzed!Y95/Analyzed!$CS95</f>
        <v>0.12281003091721059</v>
      </c>
      <c r="K94" s="3">
        <f>Analyzed!AA95/Analyzed!$CS95</f>
        <v>0</v>
      </c>
      <c r="L94" s="3">
        <f>Analyzed!AC95/Analyzed!$CS95</f>
        <v>0</v>
      </c>
      <c r="M94" s="3">
        <f>Analyzed!AE95/Analyzed!$CS95</f>
        <v>0</v>
      </c>
      <c r="N94" s="3">
        <f>Analyzed!AG95/Analyzed!$CS95</f>
        <v>0</v>
      </c>
      <c r="O94" s="3">
        <f>Analyzed!AI95/Analyzed!$CS95</f>
        <v>0</v>
      </c>
      <c r="P94" s="3">
        <f>Analyzed!AK95/Analyzed!$CS95</f>
        <v>0</v>
      </c>
      <c r="Q94" s="3">
        <f>Analyzed!AM95/Analyzed!$CS95</f>
        <v>0.83424939883201654</v>
      </c>
      <c r="R94" s="3">
        <f>Analyzed!AO95/Analyzed!$CS95</f>
        <v>0</v>
      </c>
      <c r="S94" s="3">
        <f>Analyzed!AQ95/Analyzed!$CS95</f>
        <v>0</v>
      </c>
      <c r="T94" s="3">
        <f>Analyzed!AS95/Analyzed!$CS95</f>
        <v>0</v>
      </c>
      <c r="U94" s="3">
        <f>Analyzed!AU95/Analyzed!$CS95</f>
        <v>2.8684300927516317E-2</v>
      </c>
      <c r="V94" s="3">
        <f>Analyzed!AW95/Analyzed!$CS95</f>
        <v>0</v>
      </c>
      <c r="W94" s="3">
        <f>Analyzed!AY95/Analyzed!$CS95</f>
        <v>0</v>
      </c>
      <c r="X94" s="3">
        <f>Analyzed!BA95/Analyzed!$CS95</f>
        <v>0</v>
      </c>
      <c r="Y94" s="3">
        <f>Analyzed!BC95/Analyzed!$CS95</f>
        <v>0</v>
      </c>
      <c r="Z94" s="3">
        <f>Analyzed!BE95/Analyzed!$CS95</f>
        <v>0</v>
      </c>
      <c r="AA94" s="3">
        <f>Analyzed!BG95/Analyzed!$CS95</f>
        <v>1.4256269323256613E-2</v>
      </c>
    </row>
    <row r="95" spans="1:27" x14ac:dyDescent="0.25">
      <c r="A95" s="13" t="s">
        <v>141</v>
      </c>
      <c r="B95" s="3">
        <f>Analyzed!E96/Analyzed!$CS96</f>
        <v>0</v>
      </c>
      <c r="C95" s="3">
        <f>Analyzed!G96/Analyzed!$CS96</f>
        <v>0</v>
      </c>
      <c r="D95" s="3">
        <f>Analyzed!I96/Analyzed!$CS96</f>
        <v>0</v>
      </c>
      <c r="E95" s="3">
        <f>Analyzed!K96/Analyzed!$CS96</f>
        <v>0</v>
      </c>
      <c r="F95" s="3">
        <f>Analyzed!M96/Analyzed!$CS96</f>
        <v>0</v>
      </c>
      <c r="G95" s="3">
        <f>Analyzed!O96/Analyzed!$CS96</f>
        <v>0.19111111111111109</v>
      </c>
      <c r="H95" s="3">
        <f>Analyzed!Q96/Analyzed!$CS96</f>
        <v>0</v>
      </c>
      <c r="I95" s="3">
        <f>Analyzed!S96/Analyzed!$CS96</f>
        <v>0</v>
      </c>
      <c r="J95" s="3">
        <f>Analyzed!Y96/Analyzed!$CS96</f>
        <v>0</v>
      </c>
      <c r="K95" s="3">
        <f>Analyzed!AA96/Analyzed!$CS96</f>
        <v>0</v>
      </c>
      <c r="L95" s="3">
        <f>Analyzed!AC96/Analyzed!$CS96</f>
        <v>0</v>
      </c>
      <c r="M95" s="3">
        <f>Analyzed!AE96/Analyzed!$CS96</f>
        <v>0</v>
      </c>
      <c r="N95" s="3">
        <f>Analyzed!AG96/Analyzed!$CS96</f>
        <v>0</v>
      </c>
      <c r="O95" s="3">
        <f>Analyzed!AI96/Analyzed!$CS96</f>
        <v>0</v>
      </c>
      <c r="P95" s="3">
        <f>Analyzed!AK96/Analyzed!$CS96</f>
        <v>0</v>
      </c>
      <c r="Q95" s="3">
        <f>Analyzed!AM96/Analyzed!$CS96</f>
        <v>0.80888888888888888</v>
      </c>
      <c r="R95" s="3">
        <f>Analyzed!AO96/Analyzed!$CS96</f>
        <v>0</v>
      </c>
      <c r="S95" s="3">
        <f>Analyzed!AQ96/Analyzed!$CS96</f>
        <v>0</v>
      </c>
      <c r="T95" s="3">
        <f>Analyzed!AS96/Analyzed!$CS96</f>
        <v>0</v>
      </c>
      <c r="U95" s="3">
        <f>Analyzed!AU96/Analyzed!$CS96</f>
        <v>0</v>
      </c>
      <c r="V95" s="3">
        <f>Analyzed!AW96/Analyzed!$CS96</f>
        <v>0</v>
      </c>
      <c r="W95" s="3">
        <f>Analyzed!AY96/Analyzed!$CS96</f>
        <v>0</v>
      </c>
      <c r="X95" s="3">
        <f>Analyzed!BA96/Analyzed!$CS96</f>
        <v>0</v>
      </c>
      <c r="Y95" s="3">
        <f>Analyzed!BC96/Analyzed!$CS96</f>
        <v>0</v>
      </c>
      <c r="Z95" s="3">
        <f>Analyzed!BE96/Analyzed!$CS96</f>
        <v>0</v>
      </c>
      <c r="AA95" s="3">
        <f>Analyzed!BG96/Analyzed!$CS96</f>
        <v>0</v>
      </c>
    </row>
    <row r="96" spans="1:27" x14ac:dyDescent="0.25">
      <c r="A96" s="13" t="s">
        <v>142</v>
      </c>
      <c r="B96" s="3">
        <f>Analyzed!E97/Analyzed!$CS97</f>
        <v>0</v>
      </c>
      <c r="C96" s="3">
        <f>Analyzed!G97/Analyzed!$CS97</f>
        <v>0</v>
      </c>
      <c r="D96" s="3">
        <f>Analyzed!I97/Analyzed!$CS97</f>
        <v>0</v>
      </c>
      <c r="E96" s="3">
        <f>Analyzed!K97/Analyzed!$CS97</f>
        <v>0</v>
      </c>
      <c r="F96" s="3">
        <f>Analyzed!M97/Analyzed!$CS97</f>
        <v>0</v>
      </c>
      <c r="G96" s="3">
        <f>Analyzed!O97/Analyzed!$CS97</f>
        <v>8.0313418217433888E-2</v>
      </c>
      <c r="H96" s="3">
        <f>Analyzed!Q97/Analyzed!$CS97</f>
        <v>0</v>
      </c>
      <c r="I96" s="3">
        <f>Analyzed!S97/Analyzed!$CS97</f>
        <v>0</v>
      </c>
      <c r="J96" s="3">
        <f>Analyzed!Y97/Analyzed!$CS97</f>
        <v>7.166176950701926E-2</v>
      </c>
      <c r="K96" s="3">
        <f>Analyzed!AA97/Analyzed!$CS97</f>
        <v>0</v>
      </c>
      <c r="L96" s="3">
        <f>Analyzed!AC97/Analyzed!$CS97</f>
        <v>0</v>
      </c>
      <c r="M96" s="3">
        <f>Analyzed!AE97/Analyzed!$CS97</f>
        <v>0</v>
      </c>
      <c r="N96" s="3">
        <f>Analyzed!AG97/Analyzed!$CS97</f>
        <v>0</v>
      </c>
      <c r="O96" s="3">
        <f>Analyzed!AI97/Analyzed!$CS97</f>
        <v>0</v>
      </c>
      <c r="P96" s="3">
        <f>Analyzed!AK97/Analyzed!$CS97</f>
        <v>0</v>
      </c>
      <c r="Q96" s="3">
        <f>Analyzed!AM97/Analyzed!$CS97</f>
        <v>0.84802481227554682</v>
      </c>
      <c r="R96" s="3">
        <f>Analyzed!AO97/Analyzed!$CS97</f>
        <v>0</v>
      </c>
      <c r="S96" s="3">
        <f>Analyzed!AQ97/Analyzed!$CS97</f>
        <v>0</v>
      </c>
      <c r="T96" s="3">
        <f>Analyzed!AS97/Analyzed!$CS97</f>
        <v>0</v>
      </c>
      <c r="U96" s="3">
        <f>Analyzed!AU97/Analyzed!$CS97</f>
        <v>0</v>
      </c>
      <c r="V96" s="3">
        <f>Analyzed!AW97/Analyzed!$CS97</f>
        <v>0</v>
      </c>
      <c r="W96" s="3">
        <f>Analyzed!AY97/Analyzed!$CS97</f>
        <v>0</v>
      </c>
      <c r="X96" s="3">
        <f>Analyzed!BA97/Analyzed!$CS97</f>
        <v>0</v>
      </c>
      <c r="Y96" s="3">
        <f>Analyzed!BC97/Analyzed!$CS97</f>
        <v>0</v>
      </c>
      <c r="Z96" s="3">
        <f>Analyzed!BE97/Analyzed!$CS97</f>
        <v>0</v>
      </c>
      <c r="AA96" s="3">
        <f>Analyzed!BG97/Analyzed!$CS97</f>
        <v>0</v>
      </c>
    </row>
    <row r="97" spans="1:27" x14ac:dyDescent="0.25">
      <c r="A97" s="13" t="s">
        <v>143</v>
      </c>
      <c r="B97" s="3">
        <f>Analyzed!E98/Analyzed!$CS98</f>
        <v>0</v>
      </c>
      <c r="C97" s="3">
        <f>Analyzed!G98/Analyzed!$CS98</f>
        <v>0</v>
      </c>
      <c r="D97" s="3">
        <f>Analyzed!I98/Analyzed!$CS98</f>
        <v>0</v>
      </c>
      <c r="E97" s="3">
        <f>Analyzed!K98/Analyzed!$CS98</f>
        <v>0</v>
      </c>
      <c r="F97" s="3">
        <f>Analyzed!M98/Analyzed!$CS98</f>
        <v>2.8370201368911815E-2</v>
      </c>
      <c r="G97" s="3">
        <f>Analyzed!O98/Analyzed!$CS98</f>
        <v>7.5637337565717694E-2</v>
      </c>
      <c r="H97" s="3">
        <f>Analyzed!Q98/Analyzed!$CS98</f>
        <v>0</v>
      </c>
      <c r="I97" s="3">
        <f>Analyzed!S98/Analyzed!$CS98</f>
        <v>0</v>
      </c>
      <c r="J97" s="3">
        <f>Analyzed!Y98/Analyzed!$CS98</f>
        <v>3.1544489633964889E-2</v>
      </c>
      <c r="K97" s="3">
        <f>Analyzed!AA98/Analyzed!$CS98</f>
        <v>0</v>
      </c>
      <c r="L97" s="3">
        <f>Analyzed!AC98/Analyzed!$CS98</f>
        <v>0</v>
      </c>
      <c r="M97" s="3">
        <f>Analyzed!AE98/Analyzed!$CS98</f>
        <v>0</v>
      </c>
      <c r="N97" s="3">
        <f>Analyzed!AG98/Analyzed!$CS98</f>
        <v>0</v>
      </c>
      <c r="O97" s="3">
        <f>Analyzed!AI98/Analyzed!$CS98</f>
        <v>0</v>
      </c>
      <c r="P97" s="3">
        <f>Analyzed!AK98/Analyzed!$CS98</f>
        <v>0</v>
      </c>
      <c r="Q97" s="3">
        <f>Analyzed!AM98/Analyzed!$CS98</f>
        <v>0.77239361174486665</v>
      </c>
      <c r="R97" s="3">
        <f>Analyzed!AO98/Analyzed!$CS98</f>
        <v>0</v>
      </c>
      <c r="S97" s="3">
        <f>Analyzed!AQ98/Analyzed!$CS98</f>
        <v>0</v>
      </c>
      <c r="T97" s="3">
        <f>Analyzed!AS98/Analyzed!$CS98</f>
        <v>0</v>
      </c>
      <c r="U97" s="3">
        <f>Analyzed!AU98/Analyzed!$CS98</f>
        <v>8.6251363951988902E-2</v>
      </c>
      <c r="V97" s="3">
        <f>Analyzed!AW98/Analyzed!$CS98</f>
        <v>0</v>
      </c>
      <c r="W97" s="3">
        <f>Analyzed!AY98/Analyzed!$CS98</f>
        <v>0</v>
      </c>
      <c r="X97" s="3">
        <f>Analyzed!BA98/Analyzed!$CS98</f>
        <v>0</v>
      </c>
      <c r="Y97" s="3">
        <f>Analyzed!BC98/Analyzed!$CS98</f>
        <v>0</v>
      </c>
      <c r="Z97" s="3">
        <f>Analyzed!BE98/Analyzed!$CS98</f>
        <v>0</v>
      </c>
      <c r="AA97" s="3">
        <f>Analyzed!BG98/Analyzed!$CS98</f>
        <v>5.8029957345501438E-3</v>
      </c>
    </row>
    <row r="98" spans="1:27" x14ac:dyDescent="0.25">
      <c r="A98" s="13" t="s">
        <v>144</v>
      </c>
      <c r="B98" s="3">
        <f>Analyzed!E99/Analyzed!$CS99</f>
        <v>0</v>
      </c>
      <c r="C98" s="3">
        <f>Analyzed!G99/Analyzed!$CS99</f>
        <v>0</v>
      </c>
      <c r="D98" s="3">
        <f>Analyzed!I99/Analyzed!$CS99</f>
        <v>0</v>
      </c>
      <c r="E98" s="3">
        <f>Analyzed!K99/Analyzed!$CS99</f>
        <v>0</v>
      </c>
      <c r="F98" s="3">
        <f>Analyzed!M99/Analyzed!$CS99</f>
        <v>0</v>
      </c>
      <c r="G98" s="3">
        <f>Analyzed!O99/Analyzed!$CS99</f>
        <v>0</v>
      </c>
      <c r="H98" s="3">
        <f>Analyzed!Q99/Analyzed!$CS99</f>
        <v>0</v>
      </c>
      <c r="I98" s="3">
        <f>Analyzed!S99/Analyzed!$CS99</f>
        <v>0</v>
      </c>
      <c r="J98" s="3">
        <f>Analyzed!Y99/Analyzed!$CS99</f>
        <v>5.4138963980419383E-2</v>
      </c>
      <c r="K98" s="3">
        <f>Analyzed!AA99/Analyzed!$CS99</f>
        <v>0</v>
      </c>
      <c r="L98" s="3">
        <f>Analyzed!AC99/Analyzed!$CS99</f>
        <v>0</v>
      </c>
      <c r="M98" s="3">
        <f>Analyzed!AE99/Analyzed!$CS99</f>
        <v>0</v>
      </c>
      <c r="N98" s="3">
        <f>Analyzed!AG99/Analyzed!$CS99</f>
        <v>0</v>
      </c>
      <c r="O98" s="3">
        <f>Analyzed!AI99/Analyzed!$CS99</f>
        <v>0</v>
      </c>
      <c r="P98" s="3">
        <f>Analyzed!AK99/Analyzed!$CS99</f>
        <v>0</v>
      </c>
      <c r="Q98" s="3">
        <f>Analyzed!AM99/Analyzed!$CS99</f>
        <v>0.76605538101848469</v>
      </c>
      <c r="R98" s="3">
        <f>Analyzed!AO99/Analyzed!$CS99</f>
        <v>0</v>
      </c>
      <c r="S98" s="3">
        <f>Analyzed!AQ99/Analyzed!$CS99</f>
        <v>0</v>
      </c>
      <c r="T98" s="3">
        <f>Analyzed!AS99/Analyzed!$CS99</f>
        <v>0</v>
      </c>
      <c r="U98" s="3">
        <f>Analyzed!AU99/Analyzed!$CS99</f>
        <v>0.17980565500109594</v>
      </c>
      <c r="V98" s="3">
        <f>Analyzed!AW99/Analyzed!$CS99</f>
        <v>0</v>
      </c>
      <c r="W98" s="3">
        <f>Analyzed!AY99/Analyzed!$CS99</f>
        <v>0</v>
      </c>
      <c r="X98" s="3">
        <f>Analyzed!BA99/Analyzed!$CS99</f>
        <v>0</v>
      </c>
      <c r="Y98" s="3">
        <f>Analyzed!BC99/Analyzed!$CS99</f>
        <v>0</v>
      </c>
      <c r="Z98" s="3">
        <f>Analyzed!BE99/Analyzed!$CS99</f>
        <v>0</v>
      </c>
      <c r="AA98" s="3">
        <f>Analyzed!BG99/Analyzed!$CS99</f>
        <v>0</v>
      </c>
    </row>
    <row r="99" spans="1:27" x14ac:dyDescent="0.25">
      <c r="A99" s="13" t="s">
        <v>145</v>
      </c>
      <c r="B99" s="3">
        <f>Analyzed!E100/Analyzed!$CS100</f>
        <v>0</v>
      </c>
      <c r="C99" s="3">
        <f>Analyzed!G100/Analyzed!$CS100</f>
        <v>0</v>
      </c>
      <c r="D99" s="3">
        <f>Analyzed!I100/Analyzed!$CS100</f>
        <v>0</v>
      </c>
      <c r="E99" s="3">
        <f>Analyzed!K100/Analyzed!$CS100</f>
        <v>0</v>
      </c>
      <c r="F99" s="3">
        <f>Analyzed!M100/Analyzed!$CS100</f>
        <v>0</v>
      </c>
      <c r="G99" s="3">
        <f>Analyzed!O100/Analyzed!$CS100</f>
        <v>9.3642671900189253E-2</v>
      </c>
      <c r="H99" s="3">
        <f>Analyzed!Q100/Analyzed!$CS100</f>
        <v>0</v>
      </c>
      <c r="I99" s="3">
        <f>Analyzed!S100/Analyzed!$CS100</f>
        <v>0</v>
      </c>
      <c r="J99" s="3">
        <f>Analyzed!Y100/Analyzed!$CS100</f>
        <v>3.3153430994602939E-2</v>
      </c>
      <c r="K99" s="3">
        <f>Analyzed!AA100/Analyzed!$CS100</f>
        <v>0</v>
      </c>
      <c r="L99" s="3">
        <f>Analyzed!AC100/Analyzed!$CS100</f>
        <v>0</v>
      </c>
      <c r="M99" s="3">
        <f>Analyzed!AE100/Analyzed!$CS100</f>
        <v>0</v>
      </c>
      <c r="N99" s="3">
        <f>Analyzed!AG100/Analyzed!$CS100</f>
        <v>0</v>
      </c>
      <c r="O99" s="3">
        <f>Analyzed!AI100/Analyzed!$CS100</f>
        <v>0</v>
      </c>
      <c r="P99" s="3">
        <f>Analyzed!AK100/Analyzed!$CS100</f>
        <v>0</v>
      </c>
      <c r="Q99" s="3">
        <f>Analyzed!AM100/Analyzed!$CS100</f>
        <v>0.85841452302516297</v>
      </c>
      <c r="R99" s="3">
        <f>Analyzed!AO100/Analyzed!$CS100</f>
        <v>0</v>
      </c>
      <c r="S99" s="3">
        <f>Analyzed!AQ100/Analyzed!$CS100</f>
        <v>0</v>
      </c>
      <c r="T99" s="3">
        <f>Analyzed!AS100/Analyzed!$CS100</f>
        <v>0</v>
      </c>
      <c r="U99" s="3">
        <f>Analyzed!AU100/Analyzed!$CS100</f>
        <v>1.4789374080044859E-2</v>
      </c>
      <c r="V99" s="3">
        <f>Analyzed!AW100/Analyzed!$CS100</f>
        <v>0</v>
      </c>
      <c r="W99" s="3">
        <f>Analyzed!AY100/Analyzed!$CS100</f>
        <v>0</v>
      </c>
      <c r="X99" s="3">
        <f>Analyzed!BA100/Analyzed!$CS100</f>
        <v>0</v>
      </c>
      <c r="Y99" s="3">
        <f>Analyzed!BC100/Analyzed!$CS100</f>
        <v>0</v>
      </c>
      <c r="Z99" s="3">
        <f>Analyzed!BE100/Analyzed!$CS100</f>
        <v>0</v>
      </c>
      <c r="AA99" s="3">
        <f>Analyzed!BG100/Analyzed!$CS100</f>
        <v>0</v>
      </c>
    </row>
    <row r="100" spans="1:27" x14ac:dyDescent="0.25">
      <c r="A100" s="13" t="s">
        <v>146</v>
      </c>
      <c r="B100" s="3">
        <f>Analyzed!E101/Analyzed!$CS101</f>
        <v>2.0755500207555002E-4</v>
      </c>
      <c r="C100" s="3">
        <f>Analyzed!G101/Analyzed!$CS101</f>
        <v>0</v>
      </c>
      <c r="D100" s="3">
        <f>Analyzed!I101/Analyzed!$CS101</f>
        <v>0</v>
      </c>
      <c r="E100" s="3">
        <f>Analyzed!K101/Analyzed!$CS101</f>
        <v>0</v>
      </c>
      <c r="F100" s="3">
        <f>Analyzed!M101/Analyzed!$CS101</f>
        <v>0</v>
      </c>
      <c r="G100" s="3">
        <f>Analyzed!O101/Analyzed!$CS101</f>
        <v>0</v>
      </c>
      <c r="H100" s="3">
        <f>Analyzed!Q101/Analyzed!$CS101</f>
        <v>0</v>
      </c>
      <c r="I100" s="3">
        <f>Analyzed!S101/Analyzed!$CS101</f>
        <v>0</v>
      </c>
      <c r="J100" s="3">
        <f>Analyzed!Y101/Analyzed!$CS101</f>
        <v>0.14881693648816938</v>
      </c>
      <c r="K100" s="3">
        <f>Analyzed!AA101/Analyzed!$CS101</f>
        <v>0</v>
      </c>
      <c r="L100" s="3">
        <f>Analyzed!AC101/Analyzed!$CS101</f>
        <v>0</v>
      </c>
      <c r="M100" s="3">
        <f>Analyzed!AE101/Analyzed!$CS101</f>
        <v>0</v>
      </c>
      <c r="N100" s="3">
        <f>Analyzed!AG101/Analyzed!$CS101</f>
        <v>0</v>
      </c>
      <c r="O100" s="3">
        <f>Analyzed!AI101/Analyzed!$CS101</f>
        <v>2.0755500207555002E-4</v>
      </c>
      <c r="P100" s="3">
        <f>Analyzed!AK101/Analyzed!$CS101</f>
        <v>0</v>
      </c>
      <c r="Q100" s="3">
        <f>Analyzed!AM101/Analyzed!$CS101</f>
        <v>0.76650062266500629</v>
      </c>
      <c r="R100" s="3">
        <f>Analyzed!AO101/Analyzed!$CS101</f>
        <v>0</v>
      </c>
      <c r="S100" s="3">
        <f>Analyzed!AQ101/Analyzed!$CS101</f>
        <v>0</v>
      </c>
      <c r="T100" s="3">
        <f>Analyzed!AS101/Analyzed!$CS101</f>
        <v>0</v>
      </c>
      <c r="U100" s="3">
        <f>Analyzed!AU101/Analyzed!$CS101</f>
        <v>8.4267330842673294E-2</v>
      </c>
      <c r="V100" s="3">
        <f>Analyzed!AW101/Analyzed!$CS101</f>
        <v>0</v>
      </c>
      <c r="W100" s="3">
        <f>Analyzed!AY101/Analyzed!$CS101</f>
        <v>0</v>
      </c>
      <c r="X100" s="3">
        <f>Analyzed!BA101/Analyzed!$CS101</f>
        <v>0</v>
      </c>
      <c r="Y100" s="3">
        <f>Analyzed!BC101/Analyzed!$CS101</f>
        <v>0</v>
      </c>
      <c r="Z100" s="3">
        <f>Analyzed!BE101/Analyzed!$CS101</f>
        <v>0</v>
      </c>
      <c r="AA100" s="3">
        <f>Analyzed!BG101/Analyzed!$CS101</f>
        <v>0</v>
      </c>
    </row>
    <row r="101" spans="1:27" x14ac:dyDescent="0.25">
      <c r="B101" s="3">
        <f>Analyzed!E102/Analyzed!$CS102</f>
        <v>0.51578823805610985</v>
      </c>
      <c r="C101" s="3">
        <f>Analyzed!G102/Analyzed!$CS102</f>
        <v>0.46484329146613462</v>
      </c>
      <c r="D101" s="3">
        <f>Analyzed!I102/Analyzed!$CS102</f>
        <v>0</v>
      </c>
      <c r="E101" s="3">
        <f>Analyzed!K102/Analyzed!$CS102</f>
        <v>0</v>
      </c>
      <c r="F101" s="3">
        <f>Analyzed!M102/Analyzed!$CS102</f>
        <v>0</v>
      </c>
      <c r="G101" s="3">
        <f>Analyzed!O102/Analyzed!$CS102</f>
        <v>0</v>
      </c>
      <c r="H101" s="3">
        <f>Analyzed!Q102/Analyzed!$CS102</f>
        <v>0</v>
      </c>
      <c r="I101" s="3">
        <f>Analyzed!S102/Analyzed!$CS102</f>
        <v>0</v>
      </c>
      <c r="J101" s="3">
        <f>Analyzed!Y102/Analyzed!$CS102</f>
        <v>1.0329850921469657E-2</v>
      </c>
      <c r="K101" s="3">
        <f>Analyzed!AA102/Analyzed!$CS102</f>
        <v>0</v>
      </c>
      <c r="L101" s="3">
        <f>Analyzed!AC102/Analyzed!$CS102</f>
        <v>0</v>
      </c>
      <c r="M101" s="3">
        <f>Analyzed!AE102/Analyzed!$CS102</f>
        <v>0</v>
      </c>
      <c r="N101" s="3">
        <f>Analyzed!AG102/Analyzed!$CS102</f>
        <v>0</v>
      </c>
      <c r="O101" s="3">
        <f>Analyzed!AI102/Analyzed!$CS102</f>
        <v>0</v>
      </c>
      <c r="P101" s="3">
        <f>Analyzed!AK102/Analyzed!$CS102</f>
        <v>0</v>
      </c>
      <c r="Q101" s="3">
        <f>Analyzed!AM102/Analyzed!$CS102</f>
        <v>9.0386195562859456E-3</v>
      </c>
      <c r="R101" s="3">
        <f>Analyzed!AO102/Analyzed!$CS102</f>
        <v>0</v>
      </c>
      <c r="S101" s="3">
        <f>Analyzed!AQ102/Analyzed!$CS102</f>
        <v>0</v>
      </c>
      <c r="T101" s="3">
        <f>Analyzed!AS102/Analyzed!$CS102</f>
        <v>0</v>
      </c>
      <c r="U101" s="3">
        <f>Analyzed!AU102/Analyzed!$CS102</f>
        <v>0</v>
      </c>
      <c r="V101" s="3">
        <f>Analyzed!AW102/Analyzed!$CS102</f>
        <v>0</v>
      </c>
      <c r="W101" s="3">
        <f>Analyzed!AY102/Analyzed!$CS102</f>
        <v>0</v>
      </c>
      <c r="X101" s="3">
        <f>Analyzed!BA102/Analyzed!$CS102</f>
        <v>0</v>
      </c>
      <c r="Y101" s="3">
        <f>Analyzed!BC102/Analyzed!$CS102</f>
        <v>0</v>
      </c>
      <c r="Z101" s="3">
        <f>Analyzed!BE102/Analyzed!$CS102</f>
        <v>0</v>
      </c>
      <c r="AA101" s="3">
        <f>Analyzed!BG102/Analyzed!$CS102</f>
        <v>0</v>
      </c>
    </row>
    <row r="102" spans="1:27" x14ac:dyDescent="0.25">
      <c r="B102" s="3">
        <f>Analyzed!E103/Analyzed!$CS103</f>
        <v>0.63427425574579666</v>
      </c>
      <c r="C102" s="3">
        <f>Analyzed!G103/Analyzed!$CS103</f>
        <v>0.22489588153632581</v>
      </c>
      <c r="D102" s="3">
        <f>Analyzed!I103/Analyzed!$CS103</f>
        <v>2.3137436372049967E-3</v>
      </c>
      <c r="E102" s="3">
        <f>Analyzed!K103/Analyzed!$CS103</f>
        <v>0</v>
      </c>
      <c r="F102" s="3">
        <f>Analyzed!M103/Analyzed!$CS103</f>
        <v>0</v>
      </c>
      <c r="G102" s="3">
        <f>Analyzed!O103/Analyzed!$CS103</f>
        <v>0</v>
      </c>
      <c r="H102" s="3">
        <f>Analyzed!Q103/Analyzed!$CS103</f>
        <v>0</v>
      </c>
      <c r="I102" s="3">
        <f>Analyzed!S103/Analyzed!$CS103</f>
        <v>0</v>
      </c>
      <c r="J102" s="3">
        <f>Analyzed!Y103/Analyzed!$CS103</f>
        <v>0</v>
      </c>
      <c r="K102" s="3">
        <f>Analyzed!AA103/Analyzed!$CS103</f>
        <v>0</v>
      </c>
      <c r="L102" s="3">
        <f>Analyzed!AC103/Analyzed!$CS103</f>
        <v>0</v>
      </c>
      <c r="M102" s="3">
        <f>Analyzed!AE103/Analyzed!$CS103</f>
        <v>0</v>
      </c>
      <c r="N102" s="3">
        <f>Analyzed!AG103/Analyzed!$CS103</f>
        <v>0</v>
      </c>
      <c r="O102" s="3">
        <f>Analyzed!AI103/Analyzed!$CS103</f>
        <v>0</v>
      </c>
      <c r="P102" s="3">
        <f>Analyzed!AK103/Analyzed!$CS103</f>
        <v>0</v>
      </c>
      <c r="Q102" s="3">
        <f>Analyzed!AM103/Analyzed!$CS103</f>
        <v>0.13681937374672223</v>
      </c>
      <c r="R102" s="3">
        <f>Analyzed!AO103/Analyzed!$CS103</f>
        <v>0</v>
      </c>
      <c r="S102" s="3">
        <f>Analyzed!AQ103/Analyzed!$CS103</f>
        <v>0</v>
      </c>
      <c r="T102" s="3">
        <f>Analyzed!AS103/Analyzed!$CS103</f>
        <v>0</v>
      </c>
      <c r="U102" s="3">
        <f>Analyzed!AU103/Analyzed!$CS103</f>
        <v>0</v>
      </c>
      <c r="V102" s="3">
        <f>Analyzed!AW103/Analyzed!$CS103</f>
        <v>0</v>
      </c>
      <c r="W102" s="3">
        <f>Analyzed!AY103/Analyzed!$CS103</f>
        <v>0</v>
      </c>
      <c r="X102" s="3">
        <f>Analyzed!BA103/Analyzed!$CS103</f>
        <v>0</v>
      </c>
      <c r="Y102" s="3">
        <f>Analyzed!BC103/Analyzed!$CS103</f>
        <v>0</v>
      </c>
      <c r="Z102" s="3">
        <f>Analyzed!BE103/Analyzed!$CS103</f>
        <v>0</v>
      </c>
      <c r="AA102" s="3">
        <f>Analyzed!BG103/Analyzed!$CS103</f>
        <v>0</v>
      </c>
    </row>
    <row r="103" spans="1:27" x14ac:dyDescent="0.25">
      <c r="B103" s="3">
        <f>Analyzed!E104/Analyzed!$CS104</f>
        <v>0.75990166621141764</v>
      </c>
      <c r="C103" s="3">
        <f>Analyzed!G104/Analyzed!$CS104</f>
        <v>0</v>
      </c>
      <c r="D103" s="3">
        <f>Analyzed!I104/Analyzed!$CS104</f>
        <v>8.1944823818628828E-3</v>
      </c>
      <c r="E103" s="3">
        <f>Analyzed!K104/Analyzed!$CS104</f>
        <v>0</v>
      </c>
      <c r="F103" s="3">
        <f>Analyzed!M104/Analyzed!$CS104</f>
        <v>0</v>
      </c>
      <c r="G103" s="3">
        <f>Analyzed!O104/Analyzed!$CS104</f>
        <v>0</v>
      </c>
      <c r="H103" s="3">
        <f>Analyzed!Q104/Analyzed!$CS104</f>
        <v>0</v>
      </c>
      <c r="I103" s="3">
        <f>Analyzed!S104/Analyzed!$CS104</f>
        <v>0</v>
      </c>
      <c r="J103" s="3">
        <f>Analyzed!Y104/Analyzed!$CS104</f>
        <v>0</v>
      </c>
      <c r="K103" s="3">
        <f>Analyzed!AA104/Analyzed!$CS104</f>
        <v>2.5493945188017871E-3</v>
      </c>
      <c r="L103" s="3">
        <f>Analyzed!AC104/Analyzed!$CS104</f>
        <v>0</v>
      </c>
      <c r="M103" s="3">
        <f>Analyzed!AE104/Analyzed!$CS104</f>
        <v>0</v>
      </c>
      <c r="N103" s="3">
        <f>Analyzed!AG104/Analyzed!$CS104</f>
        <v>0</v>
      </c>
      <c r="O103" s="3">
        <f>Analyzed!AI104/Analyzed!$CS104</f>
        <v>1.8209960848584112E-3</v>
      </c>
      <c r="P103" s="3">
        <f>Analyzed!AK104/Analyzed!$CS104</f>
        <v>0</v>
      </c>
      <c r="Q103" s="3">
        <f>Analyzed!AM104/Analyzed!$CS104</f>
        <v>0.12528453063825912</v>
      </c>
      <c r="R103" s="3">
        <f>Analyzed!AO104/Analyzed!$CS104</f>
        <v>0</v>
      </c>
      <c r="S103" s="3">
        <f>Analyzed!AQ104/Analyzed!$CS104</f>
        <v>0</v>
      </c>
      <c r="T103" s="3">
        <f>Analyzed!AS104/Analyzed!$CS104</f>
        <v>0</v>
      </c>
      <c r="U103" s="3">
        <f>Analyzed!AU104/Analyzed!$CS104</f>
        <v>0</v>
      </c>
      <c r="V103" s="3">
        <f>Analyzed!AW104/Analyzed!$CS104</f>
        <v>0</v>
      </c>
      <c r="W103" s="3">
        <f>Analyzed!AY104/Analyzed!$CS104</f>
        <v>0</v>
      </c>
      <c r="X103" s="3">
        <f>Analyzed!BA104/Analyzed!$CS104</f>
        <v>0</v>
      </c>
      <c r="Y103" s="3">
        <f>Analyzed!BC104/Analyzed!$CS104</f>
        <v>0</v>
      </c>
      <c r="Z103" s="3">
        <f>Analyzed!BE104/Analyzed!$CS104</f>
        <v>0</v>
      </c>
      <c r="AA103" s="3">
        <f>Analyzed!BG104/Analyzed!$CS104</f>
        <v>0</v>
      </c>
    </row>
    <row r="104" spans="1:27" x14ac:dyDescent="0.25">
      <c r="B104" s="3">
        <f>Analyzed!E105/Analyzed!$CS105</f>
        <v>0.10899653979238756</v>
      </c>
      <c r="C104" s="3">
        <f>Analyzed!G105/Analyzed!$CS105</f>
        <v>0</v>
      </c>
      <c r="D104" s="3">
        <f>Analyzed!I105/Analyzed!$CS105</f>
        <v>1.7301038062283753E-3</v>
      </c>
      <c r="E104" s="3">
        <f>Analyzed!K105/Analyzed!$CS105</f>
        <v>1.5570934256055415E-3</v>
      </c>
      <c r="F104" s="3">
        <f>Analyzed!M105/Analyzed!$CS105</f>
        <v>0</v>
      </c>
      <c r="G104" s="3">
        <f>Analyzed!O105/Analyzed!$CS105</f>
        <v>0</v>
      </c>
      <c r="H104" s="3">
        <f>Analyzed!Q105/Analyzed!$CS105</f>
        <v>1.2975778546712757E-3</v>
      </c>
      <c r="I104" s="3">
        <f>Analyzed!S105/Analyzed!$CS105</f>
        <v>8.6505190311418764E-5</v>
      </c>
      <c r="J104" s="3">
        <f>Analyzed!Y105/Analyzed!$CS105</f>
        <v>0</v>
      </c>
      <c r="K104" s="3">
        <f>Analyzed!AA105/Analyzed!$CS105</f>
        <v>3.6591695501730109E-2</v>
      </c>
      <c r="L104" s="3">
        <f>Analyzed!AC105/Analyzed!$CS105</f>
        <v>1.2110726643598589E-3</v>
      </c>
      <c r="M104" s="3">
        <f>Analyzed!AE105/Analyzed!$CS105</f>
        <v>6.8339100346020767E-3</v>
      </c>
      <c r="N104" s="3">
        <f>Analyzed!AG105/Analyzed!$CS105</f>
        <v>0</v>
      </c>
      <c r="O104" s="3">
        <f>Analyzed!AI105/Analyzed!$CS105</f>
        <v>0</v>
      </c>
      <c r="P104" s="3">
        <f>Analyzed!AK105/Analyzed!$CS105</f>
        <v>0</v>
      </c>
      <c r="Q104" s="3">
        <f>Analyzed!AM105/Analyzed!$CS105</f>
        <v>0.7145328719723183</v>
      </c>
      <c r="R104" s="3">
        <f>Analyzed!AO105/Analyzed!$CS105</f>
        <v>0</v>
      </c>
      <c r="S104" s="3">
        <f>Analyzed!AQ105/Analyzed!$CS105</f>
        <v>0</v>
      </c>
      <c r="T104" s="3">
        <f>Analyzed!AS105/Analyzed!$CS105</f>
        <v>0</v>
      </c>
      <c r="U104" s="3">
        <f>Analyzed!AU105/Analyzed!$CS105</f>
        <v>0</v>
      </c>
      <c r="V104" s="3">
        <f>Analyzed!AW105/Analyzed!$CS105</f>
        <v>0</v>
      </c>
      <c r="W104" s="3">
        <f>Analyzed!AY105/Analyzed!$CS105</f>
        <v>0</v>
      </c>
      <c r="X104" s="3">
        <f>Analyzed!BA105/Analyzed!$CS105</f>
        <v>0</v>
      </c>
      <c r="Y104" s="3">
        <f>Analyzed!BC105/Analyzed!$CS105</f>
        <v>0</v>
      </c>
      <c r="Z104" s="3">
        <f>Analyzed!BE105/Analyzed!$CS105</f>
        <v>0</v>
      </c>
      <c r="AA104" s="3">
        <f>Analyzed!BG105/Analyzed!$CS105</f>
        <v>0</v>
      </c>
    </row>
    <row r="105" spans="1:27" x14ac:dyDescent="0.25">
      <c r="B105" s="3">
        <f>Analyzed!E106/Analyzed!$CS106</f>
        <v>0.6805273833671398</v>
      </c>
      <c r="C105" s="3">
        <f>Analyzed!G106/Analyzed!$CS106</f>
        <v>0</v>
      </c>
      <c r="D105" s="3">
        <f>Analyzed!I106/Analyzed!$CS106</f>
        <v>1.3793103448275855E-2</v>
      </c>
      <c r="E105" s="3">
        <f>Analyzed!K106/Analyzed!$CS106</f>
        <v>6.085192697768768E-4</v>
      </c>
      <c r="F105" s="3">
        <f>Analyzed!M106/Analyzed!$CS106</f>
        <v>0</v>
      </c>
      <c r="G105" s="3">
        <f>Analyzed!O106/Analyzed!$CS106</f>
        <v>0</v>
      </c>
      <c r="H105" s="3">
        <f>Analyzed!Q106/Analyzed!$CS106</f>
        <v>6.0851926977687765E-3</v>
      </c>
      <c r="I105" s="3">
        <f>Analyzed!S106/Analyzed!$CS106</f>
        <v>8.11359026369169E-4</v>
      </c>
      <c r="J105" s="3">
        <f>Analyzed!Y106/Analyzed!$CS106</f>
        <v>0</v>
      </c>
      <c r="K105" s="3">
        <f>Analyzed!AA106/Analyzed!$CS106</f>
        <v>2.0486815415821494E-2</v>
      </c>
      <c r="L105" s="3">
        <f>Analyzed!AC106/Analyzed!$CS106</f>
        <v>0</v>
      </c>
      <c r="M105" s="3">
        <f>Analyzed!AE106/Analyzed!$CS106</f>
        <v>0</v>
      </c>
      <c r="N105" s="3">
        <f>Analyzed!AG106/Analyzed!$CS106</f>
        <v>0</v>
      </c>
      <c r="O105" s="3">
        <f>Analyzed!AI106/Analyzed!$CS106</f>
        <v>4.0567951318458452E-3</v>
      </c>
      <c r="P105" s="3">
        <f>Analyzed!AK106/Analyzed!$CS106</f>
        <v>0</v>
      </c>
      <c r="Q105" s="3">
        <f>Analyzed!AM106/Analyzed!$CS106</f>
        <v>0.26673427991886406</v>
      </c>
      <c r="R105" s="3">
        <f>Analyzed!AO106/Analyzed!$CS106</f>
        <v>0</v>
      </c>
      <c r="S105" s="3">
        <f>Analyzed!AQ106/Analyzed!$CS106</f>
        <v>0</v>
      </c>
      <c r="T105" s="3">
        <f>Analyzed!AS106/Analyzed!$CS106</f>
        <v>0</v>
      </c>
      <c r="U105" s="3">
        <f>Analyzed!AU106/Analyzed!$CS106</f>
        <v>0</v>
      </c>
      <c r="V105" s="3">
        <f>Analyzed!AW106/Analyzed!$CS106</f>
        <v>0</v>
      </c>
      <c r="W105" s="3">
        <f>Analyzed!AY106/Analyzed!$CS106</f>
        <v>0</v>
      </c>
      <c r="X105" s="3">
        <f>Analyzed!BA106/Analyzed!$CS106</f>
        <v>0</v>
      </c>
      <c r="Y105" s="3">
        <f>Analyzed!BC106/Analyzed!$CS106</f>
        <v>0</v>
      </c>
      <c r="Z105" s="3">
        <f>Analyzed!BE106/Analyzed!$CS106</f>
        <v>0</v>
      </c>
      <c r="AA105" s="3">
        <f>Analyzed!BG106/Analyzed!$CS106</f>
        <v>0</v>
      </c>
    </row>
    <row r="106" spans="1:27" x14ac:dyDescent="0.25">
      <c r="B106" s="3">
        <f>Analyzed!E107/Analyzed!$CS107</f>
        <v>6.8823124569855534E-4</v>
      </c>
      <c r="C106" s="3">
        <f>Analyzed!G107/Analyzed!$CS107</f>
        <v>3.6568020188116536E-2</v>
      </c>
      <c r="D106" s="3">
        <f>Analyzed!I107/Analyzed!$CS107</f>
        <v>0</v>
      </c>
      <c r="E106" s="3">
        <f>Analyzed!K107/Analyzed!$CS107</f>
        <v>0</v>
      </c>
      <c r="F106" s="3">
        <f>Analyzed!M107/Analyzed!$CS107</f>
        <v>0</v>
      </c>
      <c r="G106" s="3">
        <f>Analyzed!O107/Analyzed!$CS107</f>
        <v>0</v>
      </c>
      <c r="H106" s="3">
        <f>Analyzed!Q107/Analyzed!$CS107</f>
        <v>8.8552420279880729E-3</v>
      </c>
      <c r="I106" s="3">
        <f>Analyzed!S107/Analyzed!$CS107</f>
        <v>0</v>
      </c>
      <c r="J106" s="3">
        <f>Analyzed!Y107/Analyzed!$CS107</f>
        <v>7.7540720348703825E-3</v>
      </c>
      <c r="K106" s="3">
        <f>Analyzed!AA107/Analyzed!$CS107</f>
        <v>0</v>
      </c>
      <c r="L106" s="3">
        <f>Analyzed!AC107/Analyzed!$CS107</f>
        <v>0</v>
      </c>
      <c r="M106" s="3">
        <f>Analyzed!AE107/Analyzed!$CS107</f>
        <v>0</v>
      </c>
      <c r="N106" s="3">
        <f>Analyzed!AG107/Analyzed!$CS107</f>
        <v>0</v>
      </c>
      <c r="O106" s="3">
        <f>Analyzed!AI107/Analyzed!$CS107</f>
        <v>4.3129158063776089E-2</v>
      </c>
      <c r="P106" s="3">
        <f>Analyzed!AK107/Analyzed!$CS107</f>
        <v>0</v>
      </c>
      <c r="Q106" s="3">
        <f>Analyzed!AM107/Analyzed!$CS107</f>
        <v>0.88006423491626518</v>
      </c>
      <c r="R106" s="3">
        <f>Analyzed!AO107/Analyzed!$CS107</f>
        <v>0</v>
      </c>
      <c r="S106" s="3">
        <f>Analyzed!AQ107/Analyzed!$CS107</f>
        <v>0</v>
      </c>
      <c r="T106" s="3">
        <f>Analyzed!AS107/Analyzed!$CS107</f>
        <v>0</v>
      </c>
      <c r="U106" s="3">
        <f>Analyzed!AU107/Analyzed!$CS107</f>
        <v>0</v>
      </c>
      <c r="V106" s="3">
        <f>Analyzed!AW107/Analyzed!$CS107</f>
        <v>0</v>
      </c>
      <c r="W106" s="3">
        <f>Analyzed!AY107/Analyzed!$CS107</f>
        <v>0</v>
      </c>
      <c r="X106" s="3">
        <f>Analyzed!BA107/Analyzed!$CS107</f>
        <v>0</v>
      </c>
      <c r="Y106" s="3">
        <f>Analyzed!BC107/Analyzed!$CS107</f>
        <v>0</v>
      </c>
      <c r="Z106" s="3">
        <f>Analyzed!BE107/Analyzed!$CS107</f>
        <v>0</v>
      </c>
      <c r="AA106" s="3">
        <f>Analyzed!BG107/Analyzed!$CS107</f>
        <v>0</v>
      </c>
    </row>
    <row r="107" spans="1:27" x14ac:dyDescent="0.25">
      <c r="B107" s="3">
        <f>Analyzed!E108/Analyzed!$CS108</f>
        <v>3.8377894332864164E-4</v>
      </c>
      <c r="C107" s="3">
        <f>Analyzed!G108/Analyzed!$CS108</f>
        <v>2.6352820775233474E-2</v>
      </c>
      <c r="D107" s="3">
        <f>Analyzed!I108/Analyzed!$CS108</f>
        <v>2.7504157605219405E-3</v>
      </c>
      <c r="E107" s="3">
        <f>Analyzed!K108/Analyzed!$CS108</f>
        <v>2.1107841883075324E-3</v>
      </c>
      <c r="F107" s="3">
        <f>Analyzed!M108/Analyzed!$CS108</f>
        <v>0</v>
      </c>
      <c r="G107" s="3">
        <f>Analyzed!O108/Analyzed!$CS108</f>
        <v>0</v>
      </c>
      <c r="H107" s="3">
        <f>Analyzed!Q108/Analyzed!$CS108</f>
        <v>7.0999104515798925E-3</v>
      </c>
      <c r="I107" s="3">
        <f>Analyzed!S108/Analyzed!$CS108</f>
        <v>0</v>
      </c>
      <c r="J107" s="3">
        <f>Analyzed!Y108/Analyzed!$CS108</f>
        <v>6.677753613918383E-2</v>
      </c>
      <c r="K107" s="3">
        <f>Analyzed!AA108/Analyzed!$CS108</f>
        <v>0</v>
      </c>
      <c r="L107" s="3">
        <f>Analyzed!AC108/Analyzed!$CS108</f>
        <v>0</v>
      </c>
      <c r="M107" s="3">
        <f>Analyzed!AE108/Analyzed!$CS108</f>
        <v>0</v>
      </c>
      <c r="N107" s="3">
        <f>Analyzed!AG108/Analyzed!$CS108</f>
        <v>0</v>
      </c>
      <c r="O107" s="3">
        <f>Analyzed!AI108/Analyzed!$CS108</f>
        <v>0.51132147882819501</v>
      </c>
      <c r="P107" s="3">
        <f>Analyzed!AK108/Analyzed!$CS108</f>
        <v>0</v>
      </c>
      <c r="Q107" s="3">
        <f>Analyzed!AM108/Analyzed!$CS108</f>
        <v>0.34303441217858516</v>
      </c>
      <c r="R107" s="3">
        <f>Analyzed!AO108/Analyzed!$CS108</f>
        <v>0</v>
      </c>
      <c r="S107" s="3">
        <f>Analyzed!AQ108/Analyzed!$CS108</f>
        <v>0</v>
      </c>
      <c r="T107" s="3">
        <f>Analyzed!AS108/Analyzed!$CS108</f>
        <v>0</v>
      </c>
      <c r="U107" s="3">
        <f>Analyzed!AU108/Analyzed!$CS108</f>
        <v>0</v>
      </c>
      <c r="V107" s="3">
        <f>Analyzed!AW108/Analyzed!$CS108</f>
        <v>0</v>
      </c>
      <c r="W107" s="3">
        <f>Analyzed!AY108/Analyzed!$CS108</f>
        <v>0</v>
      </c>
      <c r="X107" s="3">
        <f>Analyzed!BA108/Analyzed!$CS108</f>
        <v>0</v>
      </c>
      <c r="Y107" s="3">
        <f>Analyzed!BC108/Analyzed!$CS108</f>
        <v>2.5585262888576062E-4</v>
      </c>
      <c r="Z107" s="3">
        <f>Analyzed!BE108/Analyzed!$CS108</f>
        <v>0</v>
      </c>
      <c r="AA107" s="3">
        <f>Analyzed!BG108/Analyzed!$CS108</f>
        <v>0</v>
      </c>
    </row>
    <row r="108" spans="1:27" x14ac:dyDescent="0.25">
      <c r="B108" s="3">
        <f>Analyzed!E109/Analyzed!$CS109</f>
        <v>1.3007284079084199E-4</v>
      </c>
      <c r="C108" s="3">
        <f>Analyzed!G109/Analyzed!$CS109</f>
        <v>2.0378078390565408E-3</v>
      </c>
      <c r="D108" s="3">
        <f>Analyzed!I109/Analyzed!$CS109</f>
        <v>0</v>
      </c>
      <c r="E108" s="3">
        <f>Analyzed!K109/Analyzed!$CS109</f>
        <v>3.4686090877558084E-3</v>
      </c>
      <c r="F108" s="3">
        <f>Analyzed!M109/Analyzed!$CS109</f>
        <v>0</v>
      </c>
      <c r="G108" s="3">
        <f>Analyzed!O109/Analyzed!$CS109</f>
        <v>0</v>
      </c>
      <c r="H108" s="3">
        <f>Analyzed!Q109/Analyzed!$CS109</f>
        <v>0</v>
      </c>
      <c r="I108" s="3">
        <f>Analyzed!S109/Analyzed!$CS109</f>
        <v>0</v>
      </c>
      <c r="J108" s="3">
        <f>Analyzed!Y109/Analyzed!$CS109</f>
        <v>2.1678806798473807E-3</v>
      </c>
      <c r="K108" s="3">
        <f>Analyzed!AA109/Analyzed!$CS109</f>
        <v>0</v>
      </c>
      <c r="L108" s="3">
        <f>Analyzed!AC109/Analyzed!$CS109</f>
        <v>0</v>
      </c>
      <c r="M108" s="3">
        <f>Analyzed!AE109/Analyzed!$CS109</f>
        <v>0</v>
      </c>
      <c r="N108" s="3">
        <f>Analyzed!AG109/Analyzed!$CS109</f>
        <v>0</v>
      </c>
      <c r="O108" s="3">
        <f>Analyzed!AI109/Analyzed!$CS109</f>
        <v>0.10388484217828647</v>
      </c>
      <c r="P108" s="3">
        <f>Analyzed!AK109/Analyzed!$CS109</f>
        <v>0</v>
      </c>
      <c r="Q108" s="3">
        <f>Analyzed!AM109/Analyzed!$CS109</f>
        <v>0.88054977454040906</v>
      </c>
      <c r="R108" s="3">
        <f>Analyzed!AO109/Analyzed!$CS109</f>
        <v>0</v>
      </c>
      <c r="S108" s="3">
        <f>Analyzed!AQ109/Analyzed!$CS109</f>
        <v>0</v>
      </c>
      <c r="T108" s="3">
        <f>Analyzed!AS109/Analyzed!$CS109</f>
        <v>0</v>
      </c>
      <c r="U108" s="3">
        <f>Analyzed!AU109/Analyzed!$CS109</f>
        <v>0</v>
      </c>
      <c r="V108" s="3">
        <f>Analyzed!AW109/Analyzed!$CS109</f>
        <v>0</v>
      </c>
      <c r="W108" s="3">
        <f>Analyzed!AY109/Analyzed!$CS109</f>
        <v>0</v>
      </c>
      <c r="X108" s="3">
        <f>Analyzed!BA109/Analyzed!$CS109</f>
        <v>0</v>
      </c>
      <c r="Y108" s="3">
        <f>Analyzed!BC109/Analyzed!$CS109</f>
        <v>2.7315296566076991E-3</v>
      </c>
      <c r="Z108" s="3">
        <f>Analyzed!BE109/Analyzed!$CS109</f>
        <v>0</v>
      </c>
      <c r="AA108" s="3">
        <f>Analyzed!BG109/Analyzed!$CS109</f>
        <v>0</v>
      </c>
    </row>
    <row r="109" spans="1:27" x14ac:dyDescent="0.25">
      <c r="B109" s="3">
        <f>Analyzed!E110/Analyzed!$CS110</f>
        <v>3.1650903642663167E-2</v>
      </c>
      <c r="C109" s="3">
        <f>Analyzed!G110/Analyzed!$CS110</f>
        <v>0</v>
      </c>
      <c r="D109" s="3">
        <f>Analyzed!I110/Analyzed!$CS110</f>
        <v>0</v>
      </c>
      <c r="E109" s="3">
        <f>Analyzed!K110/Analyzed!$CS110</f>
        <v>0</v>
      </c>
      <c r="F109" s="3">
        <f>Analyzed!M110/Analyzed!$CS110</f>
        <v>0</v>
      </c>
      <c r="G109" s="3">
        <f>Analyzed!O110/Analyzed!$CS110</f>
        <v>0</v>
      </c>
      <c r="H109" s="3">
        <f>Analyzed!Q110/Analyzed!$CS110</f>
        <v>0</v>
      </c>
      <c r="I109" s="3">
        <f>Analyzed!S110/Analyzed!$CS110</f>
        <v>0</v>
      </c>
      <c r="J109" s="3">
        <f>Analyzed!Y110/Analyzed!$CS110</f>
        <v>7.3040546867684216E-3</v>
      </c>
      <c r="K109" s="3">
        <f>Analyzed!AA110/Analyzed!$CS110</f>
        <v>0</v>
      </c>
      <c r="L109" s="3">
        <f>Analyzed!AC110/Analyzed!$CS110</f>
        <v>0</v>
      </c>
      <c r="M109" s="3">
        <f>Analyzed!AE110/Analyzed!$CS110</f>
        <v>0</v>
      </c>
      <c r="N109" s="3">
        <f>Analyzed!AG110/Analyzed!$CS110</f>
        <v>0</v>
      </c>
      <c r="O109" s="3">
        <f>Analyzed!AI110/Analyzed!$CS110</f>
        <v>9.3641726753443483E-5</v>
      </c>
      <c r="P109" s="3">
        <f>Analyzed!AK110/Analyzed!$CS110</f>
        <v>0</v>
      </c>
      <c r="Q109" s="3">
        <f>Analyzed!AM110/Analyzed!$CS110</f>
        <v>0.95186815244873113</v>
      </c>
      <c r="R109" s="3">
        <f>Analyzed!AO110/Analyzed!$CS110</f>
        <v>0</v>
      </c>
      <c r="S109" s="3">
        <f>Analyzed!AQ110/Analyzed!$CS110</f>
        <v>0</v>
      </c>
      <c r="T109" s="3">
        <f>Analyzed!AS110/Analyzed!$CS110</f>
        <v>0</v>
      </c>
      <c r="U109" s="3">
        <f>Analyzed!AU110/Analyzed!$CS110</f>
        <v>0</v>
      </c>
      <c r="V109" s="3">
        <f>Analyzed!AW110/Analyzed!$CS110</f>
        <v>0</v>
      </c>
      <c r="W109" s="3">
        <f>Analyzed!AY110/Analyzed!$CS110</f>
        <v>0</v>
      </c>
      <c r="X109" s="3">
        <f>Analyzed!BA110/Analyzed!$CS110</f>
        <v>0</v>
      </c>
      <c r="Y109" s="3">
        <f>Analyzed!BC110/Analyzed!$CS110</f>
        <v>3.6520273433842086E-3</v>
      </c>
      <c r="Z109" s="3">
        <f>Analyzed!BE110/Analyzed!$CS110</f>
        <v>1.6855510815619453E-3</v>
      </c>
      <c r="AA109" s="3">
        <f>Analyzed!BG110/Analyzed!$CS110</f>
        <v>0</v>
      </c>
    </row>
    <row r="110" spans="1:27" x14ac:dyDescent="0.25">
      <c r="B110" s="3">
        <f>Analyzed!E111/Analyzed!$CS111</f>
        <v>0.19991383024558373</v>
      </c>
      <c r="C110" s="3">
        <f>Analyzed!G111/Analyzed!$CS111</f>
        <v>0</v>
      </c>
      <c r="D110" s="3">
        <f>Analyzed!I111/Analyzed!$CS111</f>
        <v>1.0771219302024948E-3</v>
      </c>
      <c r="E110" s="3">
        <f>Analyzed!K111/Analyzed!$CS111</f>
        <v>9.4786729857819878E-3</v>
      </c>
      <c r="F110" s="3">
        <f>Analyzed!M111/Analyzed!$CS111</f>
        <v>0</v>
      </c>
      <c r="G110" s="3">
        <f>Analyzed!O111/Analyzed!$CS111</f>
        <v>0</v>
      </c>
      <c r="H110" s="3">
        <f>Analyzed!Q111/Analyzed!$CS111</f>
        <v>0.21176217147781129</v>
      </c>
      <c r="I110" s="3">
        <f>Analyzed!S111/Analyzed!$CS111</f>
        <v>0</v>
      </c>
      <c r="J110" s="3">
        <f>Analyzed!Y111/Analyzed!$CS111</f>
        <v>2.2404136148211976E-2</v>
      </c>
      <c r="K110" s="3">
        <f>Analyzed!AA111/Analyzed!$CS111</f>
        <v>2.1542438604049994E-4</v>
      </c>
      <c r="L110" s="3">
        <f>Analyzed!AC111/Analyzed!$CS111</f>
        <v>0</v>
      </c>
      <c r="M110" s="3">
        <f>Analyzed!AE111/Analyzed!$CS111</f>
        <v>0</v>
      </c>
      <c r="N110" s="3">
        <f>Analyzed!AG111/Analyzed!$CS111</f>
        <v>4.0930633347694943E-3</v>
      </c>
      <c r="O110" s="3">
        <f>Analyzed!AI111/Analyzed!$CS111</f>
        <v>0.47091770788453241</v>
      </c>
      <c r="P110" s="3">
        <f>Analyzed!AK111/Analyzed!$CS111</f>
        <v>0</v>
      </c>
      <c r="Q110" s="3">
        <f>Analyzed!AM111/Analyzed!$CS111</f>
        <v>1.6803102111158985E-2</v>
      </c>
      <c r="R110" s="3">
        <f>Analyzed!AO111/Analyzed!$CS111</f>
        <v>0</v>
      </c>
      <c r="S110" s="3">
        <f>Analyzed!AQ111/Analyzed!$CS111</f>
        <v>0</v>
      </c>
      <c r="T110" s="3">
        <f>Analyzed!AS111/Analyzed!$CS111</f>
        <v>0</v>
      </c>
      <c r="U110" s="3">
        <f>Analyzed!AU111/Analyzed!$CS111</f>
        <v>0</v>
      </c>
      <c r="V110" s="3">
        <f>Analyzed!AW111/Analyzed!$CS111</f>
        <v>5.7087462300732458E-3</v>
      </c>
      <c r="W110" s="3">
        <f>Analyzed!AY111/Analyzed!$CS111</f>
        <v>0</v>
      </c>
      <c r="X110" s="3">
        <f>Analyzed!BA111/Analyzed!$CS111</f>
        <v>0</v>
      </c>
      <c r="Y110" s="3">
        <f>Analyzed!BC111/Analyzed!$CS111</f>
        <v>0</v>
      </c>
      <c r="Z110" s="3">
        <f>Analyzed!BE111/Analyzed!$CS111</f>
        <v>0</v>
      </c>
      <c r="AA110" s="3">
        <f>Analyzed!BG111/Analyzed!$CS111</f>
        <v>0</v>
      </c>
    </row>
    <row r="111" spans="1:27" x14ac:dyDescent="0.25">
      <c r="B111" s="3">
        <f>Analyzed!E112/Analyzed!$CS112</f>
        <v>0.32743617818244686</v>
      </c>
      <c r="C111" s="3">
        <f>Analyzed!G112/Analyzed!$CS112</f>
        <v>1.8325361608943696E-2</v>
      </c>
      <c r="D111" s="3">
        <f>Analyzed!I112/Analyzed!$CS112</f>
        <v>5.7626923298565092E-5</v>
      </c>
      <c r="E111" s="3">
        <f>Analyzed!K112/Analyzed!$CS112</f>
        <v>2.1898230853454781E-3</v>
      </c>
      <c r="F111" s="3">
        <f>Analyzed!M112/Analyzed!$CS112</f>
        <v>0</v>
      </c>
      <c r="G111" s="3">
        <f>Analyzed!O112/Analyzed!$CS112</f>
        <v>2.3050769319426568E-4</v>
      </c>
      <c r="H111" s="3">
        <f>Analyzed!Q112/Analyzed!$CS112</f>
        <v>8.1945484930559573E-2</v>
      </c>
      <c r="I111" s="3">
        <f>Analyzed!S112/Analyzed!$CS112</f>
        <v>6.9152307958278685E-4</v>
      </c>
      <c r="J111" s="3">
        <f>Analyzed!Y112/Analyzed!$CS112</f>
        <v>3.11185385812252E-3</v>
      </c>
      <c r="K111" s="3">
        <f>Analyzed!AA112/Analyzed!$CS112</f>
        <v>1.3830461591655633E-3</v>
      </c>
      <c r="L111" s="3">
        <f>Analyzed!AC112/Analyzed!$CS112</f>
        <v>0</v>
      </c>
      <c r="M111" s="3">
        <f>Analyzed!AE112/Analyzed!$CS112</f>
        <v>1.7288076989569465E-3</v>
      </c>
      <c r="N111" s="3">
        <f>Analyzed!AG112/Analyzed!$CS112</f>
        <v>0</v>
      </c>
      <c r="O111" s="3">
        <f>Analyzed!AI112/Analyzed!$CS112</f>
        <v>0.36304961678096004</v>
      </c>
      <c r="P111" s="3">
        <f>Analyzed!AK112/Analyzed!$CS112</f>
        <v>0</v>
      </c>
      <c r="Q111" s="3">
        <f>Analyzed!AM112/Analyzed!$CS112</f>
        <v>7.0304846424249345E-3</v>
      </c>
      <c r="R111" s="3">
        <f>Analyzed!AO112/Analyzed!$CS112</f>
        <v>0</v>
      </c>
      <c r="S111" s="3">
        <f>Analyzed!AQ112/Analyzed!$CS112</f>
        <v>0</v>
      </c>
      <c r="T111" s="3">
        <f>Analyzed!AS112/Analyzed!$CS112</f>
        <v>0</v>
      </c>
      <c r="U111" s="3">
        <f>Analyzed!AU112/Analyzed!$CS112</f>
        <v>0</v>
      </c>
      <c r="V111" s="3">
        <f>Analyzed!AW112/Analyzed!$CS112</f>
        <v>3.3423615513167655E-3</v>
      </c>
      <c r="W111" s="3">
        <f>Analyzed!AY112/Analyzed!$CS112</f>
        <v>0</v>
      </c>
      <c r="X111" s="3">
        <f>Analyzed!BA112/Analyzed!$CS112</f>
        <v>1.3830461591655633E-3</v>
      </c>
      <c r="Y111" s="3">
        <f>Analyzed!BC112/Analyzed!$CS112</f>
        <v>0</v>
      </c>
      <c r="Z111" s="3">
        <f>Analyzed!BE112/Analyzed!$CS112</f>
        <v>0</v>
      </c>
      <c r="AA111" s="3">
        <f>Analyzed!BG112/Analyzed!$CS112</f>
        <v>0</v>
      </c>
    </row>
    <row r="112" spans="1:27" x14ac:dyDescent="0.25">
      <c r="B112" s="3">
        <f>Analyzed!E113/Analyzed!$CS113</f>
        <v>0.40609137055837569</v>
      </c>
      <c r="C112" s="3">
        <f>Analyzed!G113/Analyzed!$CS113</f>
        <v>9.5985233041070622E-2</v>
      </c>
      <c r="D112" s="3">
        <f>Analyzed!I113/Analyzed!$CS113</f>
        <v>6.2067374250115361E-2</v>
      </c>
      <c r="E112" s="3">
        <f>Analyzed!K113/Analyzed!$CS113</f>
        <v>6.4605445316105485E-3</v>
      </c>
      <c r="F112" s="3">
        <f>Analyzed!M113/Analyzed!$CS113</f>
        <v>0</v>
      </c>
      <c r="G112" s="3">
        <f>Analyzed!O113/Analyzed!$CS113</f>
        <v>2.2381172127364995E-2</v>
      </c>
      <c r="H112" s="3">
        <f>Analyzed!Q113/Analyzed!$CS113</f>
        <v>9.8292570373788649E-2</v>
      </c>
      <c r="I112" s="3">
        <f>Analyzed!S113/Analyzed!$CS113</f>
        <v>0</v>
      </c>
      <c r="J112" s="3">
        <f>Analyzed!Y113/Analyzed!$CS113</f>
        <v>4.1532071988924718E-3</v>
      </c>
      <c r="K112" s="3">
        <f>Analyzed!AA113/Analyzed!$CS113</f>
        <v>6.9220119981539831E-4</v>
      </c>
      <c r="L112" s="3">
        <f>Analyzed!AC113/Analyzed!$CS113</f>
        <v>0</v>
      </c>
      <c r="M112" s="3">
        <f>Analyzed!AE113/Analyzed!$CS113</f>
        <v>0</v>
      </c>
      <c r="N112" s="3">
        <f>Analyzed!AG113/Analyzed!$CS113</f>
        <v>5.4453161052145815E-2</v>
      </c>
      <c r="O112" s="3">
        <f>Analyzed!AI113/Analyzed!$CS113</f>
        <v>6.7143516382095078E-2</v>
      </c>
      <c r="P112" s="3">
        <f>Analyzed!AK113/Analyzed!$CS113</f>
        <v>0</v>
      </c>
      <c r="Q112" s="3">
        <f>Analyzed!AM113/Analyzed!$CS113</f>
        <v>0.10936778957083527</v>
      </c>
      <c r="R112" s="3">
        <f>Analyzed!AO113/Analyzed!$CS113</f>
        <v>0</v>
      </c>
      <c r="S112" s="3">
        <f>Analyzed!AQ113/Analyzed!$CS113</f>
        <v>0</v>
      </c>
      <c r="T112" s="3">
        <f>Analyzed!AS113/Analyzed!$CS113</f>
        <v>0</v>
      </c>
      <c r="U112" s="3">
        <f>Analyzed!AU113/Analyzed!$CS113</f>
        <v>0</v>
      </c>
      <c r="V112" s="3">
        <f>Analyzed!AW113/Analyzed!$CS113</f>
        <v>2.07660359944624E-2</v>
      </c>
      <c r="W112" s="3">
        <f>Analyzed!AY113/Analyzed!$CS113</f>
        <v>0</v>
      </c>
      <c r="X112" s="3">
        <f>Analyzed!BA113/Analyzed!$CS113</f>
        <v>2.5380710659898349E-3</v>
      </c>
      <c r="Y112" s="3">
        <f>Analyzed!BC113/Analyzed!$CS113</f>
        <v>0</v>
      </c>
      <c r="Z112" s="3">
        <f>Analyzed!BE113/Analyzed!$CS113</f>
        <v>0</v>
      </c>
      <c r="AA112" s="3">
        <f>Analyzed!BG113/Analyzed!$CS113</f>
        <v>0</v>
      </c>
    </row>
    <row r="113" spans="2:27" x14ac:dyDescent="0.25">
      <c r="B113" s="3">
        <f>Analyzed!E114/Analyzed!$CS114</f>
        <v>0.60957109364225615</v>
      </c>
      <c r="C113" s="3">
        <f>Analyzed!G114/Analyzed!$CS114</f>
        <v>2.2479657978209899E-2</v>
      </c>
      <c r="D113" s="3">
        <f>Analyzed!I114/Analyzed!$CS114</f>
        <v>0.14577299682802372</v>
      </c>
      <c r="E113" s="3">
        <f>Analyzed!K114/Analyzed!$CS114</f>
        <v>6.8956006068128593E-4</v>
      </c>
      <c r="F113" s="3">
        <f>Analyzed!M114/Analyzed!$CS114</f>
        <v>0</v>
      </c>
      <c r="G113" s="3">
        <f>Analyzed!O114/Analyzed!$CS114</f>
        <v>0</v>
      </c>
      <c r="H113" s="3">
        <f>Analyzed!Q114/Analyzed!$CS114</f>
        <v>8.495379947593433E-2</v>
      </c>
      <c r="I113" s="3">
        <f>Analyzed!S114/Analyzed!$CS114</f>
        <v>0</v>
      </c>
      <c r="J113" s="3">
        <f>Analyzed!Y114/Analyzed!$CS114</f>
        <v>1.5170321334988289E-3</v>
      </c>
      <c r="K113" s="3">
        <f>Analyzed!AA114/Analyzed!$CS114</f>
        <v>0</v>
      </c>
      <c r="L113" s="3">
        <f>Analyzed!AC114/Analyzed!$CS114</f>
        <v>0</v>
      </c>
      <c r="M113" s="3">
        <f>Analyzed!AE114/Analyzed!$CS114</f>
        <v>0</v>
      </c>
      <c r="N113" s="3">
        <f>Analyzed!AG114/Analyzed!$CS114</f>
        <v>4.5510964004964842E-3</v>
      </c>
      <c r="O113" s="3">
        <f>Analyzed!AI114/Analyzed!$CS114</f>
        <v>5.240656461177768E-2</v>
      </c>
      <c r="P113" s="3">
        <f>Analyzed!AK114/Analyzed!$CS114</f>
        <v>0</v>
      </c>
      <c r="Q113" s="3">
        <f>Analyzed!AM114/Analyzed!$CS114</f>
        <v>6.0405461315680593E-2</v>
      </c>
      <c r="R113" s="3">
        <f>Analyzed!AO114/Analyzed!$CS114</f>
        <v>0</v>
      </c>
      <c r="S113" s="3">
        <f>Analyzed!AQ114/Analyzed!$CS114</f>
        <v>0</v>
      </c>
      <c r="T113" s="3">
        <f>Analyzed!AS114/Analyzed!$CS114</f>
        <v>0</v>
      </c>
      <c r="U113" s="3">
        <f>Analyzed!AU114/Analyzed!$CS114</f>
        <v>0</v>
      </c>
      <c r="V113" s="3">
        <f>Analyzed!AW114/Analyzed!$CS114</f>
        <v>0</v>
      </c>
      <c r="W113" s="3">
        <f>Analyzed!AY114/Analyzed!$CS114</f>
        <v>0</v>
      </c>
      <c r="X113" s="3">
        <f>Analyzed!BA114/Analyzed!$CS114</f>
        <v>0</v>
      </c>
      <c r="Y113" s="3">
        <f>Analyzed!BC114/Analyzed!$CS114</f>
        <v>0</v>
      </c>
      <c r="Z113" s="3">
        <f>Analyzed!BE114/Analyzed!$CS114</f>
        <v>0</v>
      </c>
      <c r="AA113" s="3">
        <f>Analyzed!BG114/Analyzed!$CS114</f>
        <v>0</v>
      </c>
    </row>
    <row r="114" spans="2:27" x14ac:dyDescent="0.25">
      <c r="B114" s="3">
        <f>Analyzed!E115/Analyzed!$CS115</f>
        <v>0.73941496491366376</v>
      </c>
      <c r="C114" s="3">
        <f>Analyzed!G115/Analyzed!$CS115</f>
        <v>0.10439170543246863</v>
      </c>
      <c r="D114" s="3">
        <f>Analyzed!I115/Analyzed!$CS115</f>
        <v>8.3734132303082839E-2</v>
      </c>
      <c r="E114" s="3">
        <f>Analyzed!K115/Analyzed!$CS115</f>
        <v>0</v>
      </c>
      <c r="F114" s="3">
        <f>Analyzed!M115/Analyzed!$CS115</f>
        <v>0</v>
      </c>
      <c r="G114" s="3">
        <f>Analyzed!O115/Analyzed!$CS115</f>
        <v>0</v>
      </c>
      <c r="H114" s="3">
        <f>Analyzed!Q115/Analyzed!$CS115</f>
        <v>3.6111330126941558E-2</v>
      </c>
      <c r="I114" s="3">
        <f>Analyzed!S115/Analyzed!$CS115</f>
        <v>0</v>
      </c>
      <c r="J114" s="3">
        <f>Analyzed!Y115/Analyzed!$CS115</f>
        <v>4.8884333359615227E-3</v>
      </c>
      <c r="K114" s="3">
        <f>Analyzed!AA115/Analyzed!$CS115</f>
        <v>0</v>
      </c>
      <c r="L114" s="3">
        <f>Analyzed!AC115/Analyzed!$CS115</f>
        <v>0</v>
      </c>
      <c r="M114" s="3">
        <f>Analyzed!AE115/Analyzed!$CS115</f>
        <v>0</v>
      </c>
      <c r="N114" s="3">
        <f>Analyzed!AG115/Analyzed!$CS115</f>
        <v>1.4034534416147595E-2</v>
      </c>
      <c r="O114" s="3">
        <f>Analyzed!AI115/Analyzed!$CS115</f>
        <v>7.72687849877789E-3</v>
      </c>
      <c r="P114" s="3">
        <f>Analyzed!AK115/Analyzed!$CS115</f>
        <v>0</v>
      </c>
      <c r="Q114" s="3">
        <f>Analyzed!AM115/Analyzed!$CS115</f>
        <v>7.0961129070409188E-3</v>
      </c>
      <c r="R114" s="3">
        <f>Analyzed!AO115/Analyzed!$CS115</f>
        <v>0</v>
      </c>
      <c r="S114" s="3">
        <f>Analyzed!AQ115/Analyzed!$CS115</f>
        <v>0</v>
      </c>
      <c r="T114" s="3">
        <f>Analyzed!AS115/Analyzed!$CS115</f>
        <v>0</v>
      </c>
      <c r="U114" s="3">
        <f>Analyzed!AU115/Analyzed!$CS115</f>
        <v>0</v>
      </c>
      <c r="V114" s="3">
        <f>Analyzed!AW115/Analyzed!$CS115</f>
        <v>0</v>
      </c>
      <c r="W114" s="3">
        <f>Analyzed!AY115/Analyzed!$CS115</f>
        <v>0</v>
      </c>
      <c r="X114" s="3">
        <f>Analyzed!BA115/Analyzed!$CS115</f>
        <v>0</v>
      </c>
      <c r="Y114" s="3">
        <f>Analyzed!BC115/Analyzed!$CS115</f>
        <v>0</v>
      </c>
      <c r="Z114" s="3">
        <f>Analyzed!BE115/Analyzed!$CS115</f>
        <v>0</v>
      </c>
      <c r="AA114" s="3">
        <f>Analyzed!BG115/Analyzed!$CS115</f>
        <v>0</v>
      </c>
    </row>
    <row r="115" spans="2:27" x14ac:dyDescent="0.25">
      <c r="B115" s="3">
        <f>Analyzed!E116/Analyzed!$CS116</f>
        <v>0.39105339105339093</v>
      </c>
      <c r="C115" s="3">
        <f>Analyzed!G116/Analyzed!$CS116</f>
        <v>0.55135773317591474</v>
      </c>
      <c r="D115" s="3">
        <f>Analyzed!I116/Analyzed!$CS116</f>
        <v>1.6135379771743404E-2</v>
      </c>
      <c r="E115" s="3">
        <f>Analyzed!K116/Analyzed!$CS116</f>
        <v>1.311819493637676E-4</v>
      </c>
      <c r="F115" s="3">
        <f>Analyzed!M116/Analyzed!$CS116</f>
        <v>0</v>
      </c>
      <c r="G115" s="3">
        <f>Analyzed!O116/Analyzed!$CS116</f>
        <v>0</v>
      </c>
      <c r="H115" s="3">
        <f>Analyzed!Q116/Analyzed!$CS116</f>
        <v>2.0202020202020193E-2</v>
      </c>
      <c r="I115" s="3">
        <f>Analyzed!S116/Analyzed!$CS116</f>
        <v>0</v>
      </c>
      <c r="J115" s="3">
        <f>Analyzed!Y116/Analyzed!$CS116</f>
        <v>2.623638987275352E-4</v>
      </c>
      <c r="K115" s="3">
        <f>Analyzed!AA116/Analyzed!$CS116</f>
        <v>0</v>
      </c>
      <c r="L115" s="3">
        <f>Analyzed!AC116/Analyzed!$CS116</f>
        <v>0</v>
      </c>
      <c r="M115" s="3">
        <f>Analyzed!AE116/Analyzed!$CS116</f>
        <v>0</v>
      </c>
      <c r="N115" s="3">
        <f>Analyzed!AG116/Analyzed!$CS116</f>
        <v>5.3784599239144687E-3</v>
      </c>
      <c r="O115" s="3">
        <f>Analyzed!AI116/Analyzed!$CS116</f>
        <v>1.5741833923652083E-3</v>
      </c>
      <c r="P115" s="3">
        <f>Analyzed!AK116/Analyzed!$CS116</f>
        <v>0</v>
      </c>
      <c r="Q115" s="3">
        <f>Analyzed!AM116/Analyzed!$CS116</f>
        <v>3.8042765315492578E-3</v>
      </c>
      <c r="R115" s="3">
        <f>Analyzed!AO116/Analyzed!$CS116</f>
        <v>0</v>
      </c>
      <c r="S115" s="3">
        <f>Analyzed!AQ116/Analyzed!$CS116</f>
        <v>0</v>
      </c>
      <c r="T115" s="3">
        <f>Analyzed!AS116/Analyzed!$CS116</f>
        <v>0</v>
      </c>
      <c r="U115" s="3">
        <f>Analyzed!AU116/Analyzed!$CS116</f>
        <v>0</v>
      </c>
      <c r="V115" s="3">
        <f>Analyzed!AW116/Analyzed!$CS116</f>
        <v>0</v>
      </c>
      <c r="W115" s="3">
        <f>Analyzed!AY116/Analyzed!$CS116</f>
        <v>0</v>
      </c>
      <c r="X115" s="3">
        <f>Analyzed!BA116/Analyzed!$CS116</f>
        <v>0</v>
      </c>
      <c r="Y115" s="3">
        <f>Analyzed!BC116/Analyzed!$CS116</f>
        <v>0</v>
      </c>
      <c r="Z115" s="3">
        <f>Analyzed!BE116/Analyzed!$CS116</f>
        <v>0</v>
      </c>
      <c r="AA115" s="3">
        <f>Analyzed!BG116/Analyzed!$CS116</f>
        <v>0</v>
      </c>
    </row>
    <row r="116" spans="2:27" x14ac:dyDescent="0.25">
      <c r="B116" s="3">
        <f>Analyzed!E117/Analyzed!$CS117</f>
        <v>0.83077660594439118</v>
      </c>
      <c r="C116" s="3">
        <f>Analyzed!G117/Analyzed!$CS117</f>
        <v>9.5877277085331552E-4</v>
      </c>
      <c r="D116" s="3">
        <f>Analyzed!I117/Analyzed!$CS117</f>
        <v>3.8350910834132265E-3</v>
      </c>
      <c r="E116" s="3">
        <f>Analyzed!K117/Analyzed!$CS117</f>
        <v>4.7938638542665776E-4</v>
      </c>
      <c r="F116" s="3">
        <f>Analyzed!M117/Analyzed!$CS117</f>
        <v>0</v>
      </c>
      <c r="G116" s="3">
        <f>Analyzed!O117/Analyzed!$CS117</f>
        <v>0</v>
      </c>
      <c r="H116" s="3">
        <f>Analyzed!Q117/Analyzed!$CS117</f>
        <v>0</v>
      </c>
      <c r="I116" s="3">
        <f>Analyzed!S117/Analyzed!$CS117</f>
        <v>0</v>
      </c>
      <c r="J116" s="3">
        <f>Analyzed!Y117/Analyzed!$CS117</f>
        <v>0</v>
      </c>
      <c r="K116" s="3">
        <f>Analyzed!AA117/Analyzed!$CS117</f>
        <v>0.10115052732502396</v>
      </c>
      <c r="L116" s="3">
        <f>Analyzed!AC117/Analyzed!$CS117</f>
        <v>0</v>
      </c>
      <c r="M116" s="3">
        <f>Analyzed!AE117/Analyzed!$CS117</f>
        <v>5.4330457015020813E-3</v>
      </c>
      <c r="N116" s="3">
        <f>Analyzed!AG117/Analyzed!$CS117</f>
        <v>0</v>
      </c>
      <c r="O116" s="3">
        <f>Analyzed!AI117/Analyzed!$CS117</f>
        <v>0</v>
      </c>
      <c r="P116" s="3">
        <f>Analyzed!AK117/Analyzed!$CS117</f>
        <v>0</v>
      </c>
      <c r="Q116" s="3">
        <f>Analyzed!AM117/Analyzed!$CS117</f>
        <v>5.3371684244167439E-2</v>
      </c>
      <c r="R116" s="3">
        <f>Analyzed!AO117/Analyzed!$CS117</f>
        <v>0</v>
      </c>
      <c r="S116" s="3">
        <f>Analyzed!AQ117/Analyzed!$CS117</f>
        <v>0</v>
      </c>
      <c r="T116" s="3">
        <f>Analyzed!AS117/Analyzed!$CS117</f>
        <v>0</v>
      </c>
      <c r="U116" s="3">
        <f>Analyzed!AU117/Analyzed!$CS117</f>
        <v>0</v>
      </c>
      <c r="V116" s="3">
        <f>Analyzed!AW117/Analyzed!$CS117</f>
        <v>0</v>
      </c>
      <c r="W116" s="3">
        <f>Analyzed!AY117/Analyzed!$CS117</f>
        <v>0</v>
      </c>
      <c r="X116" s="3">
        <f>Analyzed!BA117/Analyzed!$CS117</f>
        <v>0</v>
      </c>
      <c r="Y116" s="3">
        <f>Analyzed!BC117/Analyzed!$CS117</f>
        <v>0</v>
      </c>
      <c r="Z116" s="3">
        <f>Analyzed!BE117/Analyzed!$CS117</f>
        <v>0</v>
      </c>
      <c r="AA116" s="3">
        <f>Analyzed!BG117/Analyzed!$CS117</f>
        <v>0</v>
      </c>
    </row>
    <row r="117" spans="2:27" x14ac:dyDescent="0.25">
      <c r="B117" s="3">
        <f>Analyzed!E118/Analyzed!$CS118</f>
        <v>0.62842185625477143</v>
      </c>
      <c r="C117" s="3">
        <f>Analyzed!G118/Analyzed!$CS118</f>
        <v>2.1812629512488231E-4</v>
      </c>
      <c r="D117" s="3">
        <f>Analyzed!I118/Analyzed!$CS118</f>
        <v>0</v>
      </c>
      <c r="E117" s="3">
        <f>Analyzed!K118/Analyzed!$CS118</f>
        <v>0</v>
      </c>
      <c r="F117" s="3">
        <f>Analyzed!M118/Analyzed!$CS118</f>
        <v>0</v>
      </c>
      <c r="G117" s="3">
        <f>Analyzed!O118/Analyzed!$CS118</f>
        <v>0</v>
      </c>
      <c r="H117" s="3">
        <f>Analyzed!Q118/Analyzed!$CS118</f>
        <v>5.9112225978841741E-2</v>
      </c>
      <c r="I117" s="3">
        <f>Analyzed!S118/Analyzed!$CS118</f>
        <v>0</v>
      </c>
      <c r="J117" s="3">
        <f>Analyzed!Y118/Analyzed!$CS118</f>
        <v>9.9247464281819169E-3</v>
      </c>
      <c r="K117" s="3">
        <f>Analyzed!AA118/Analyzed!$CS118</f>
        <v>0</v>
      </c>
      <c r="L117" s="3">
        <f>Analyzed!AC118/Analyzed!$CS118</f>
        <v>0</v>
      </c>
      <c r="M117" s="3">
        <f>Analyzed!AE118/Analyzed!$CS118</f>
        <v>0</v>
      </c>
      <c r="N117" s="3">
        <f>Analyzed!AG118/Analyzed!$CS118</f>
        <v>0</v>
      </c>
      <c r="O117" s="3">
        <f>Analyzed!AI118/Analyzed!$CS118</f>
        <v>0.16468535281928234</v>
      </c>
      <c r="P117" s="3">
        <f>Analyzed!AK118/Analyzed!$CS118</f>
        <v>0</v>
      </c>
      <c r="Q117" s="3">
        <f>Analyzed!AM118/Analyzed!$CS118</f>
        <v>0</v>
      </c>
      <c r="R117" s="3">
        <f>Analyzed!AO118/Analyzed!$CS118</f>
        <v>0</v>
      </c>
      <c r="S117" s="3">
        <f>Analyzed!AQ118/Analyzed!$CS118</f>
        <v>0</v>
      </c>
      <c r="T117" s="3">
        <f>Analyzed!AS118/Analyzed!$CS118</f>
        <v>0</v>
      </c>
      <c r="U117" s="3">
        <f>Analyzed!AU118/Analyzed!$CS118</f>
        <v>0</v>
      </c>
      <c r="V117" s="3">
        <f>Analyzed!AW118/Analyzed!$CS118</f>
        <v>0</v>
      </c>
      <c r="W117" s="3">
        <f>Analyzed!AY118/Analyzed!$CS118</f>
        <v>0</v>
      </c>
      <c r="X117" s="3">
        <f>Analyzed!BA118/Analyzed!$CS118</f>
        <v>0</v>
      </c>
      <c r="Y117" s="3">
        <f>Analyzed!BC118/Analyzed!$CS118</f>
        <v>0</v>
      </c>
      <c r="Z117" s="3">
        <f>Analyzed!BE118/Analyzed!$CS118</f>
        <v>0</v>
      </c>
      <c r="AA117" s="3">
        <f>Analyzed!BG118/Analyzed!$CS118</f>
        <v>0</v>
      </c>
    </row>
    <row r="118" spans="2:27" x14ac:dyDescent="0.25">
      <c r="B118" s="3">
        <f>Analyzed!E119/Analyzed!$CS119</f>
        <v>0.54446992864424049</v>
      </c>
      <c r="C118" s="3">
        <f>Analyzed!G119/Analyzed!$CS119</f>
        <v>0.15787461773700304</v>
      </c>
      <c r="D118" s="3">
        <f>Analyzed!I119/Analyzed!$CS119</f>
        <v>8.0275229357798135E-3</v>
      </c>
      <c r="E118" s="3">
        <f>Analyzed!K119/Analyzed!$CS119</f>
        <v>1.7838939857288435E-3</v>
      </c>
      <c r="F118" s="3">
        <f>Analyzed!M119/Analyzed!$CS119</f>
        <v>0</v>
      </c>
      <c r="G118" s="3">
        <f>Analyzed!O119/Analyzed!$CS119</f>
        <v>0</v>
      </c>
      <c r="H118" s="3">
        <f>Analyzed!Q119/Analyzed!$CS119</f>
        <v>3.988277268093781E-2</v>
      </c>
      <c r="I118" s="3">
        <f>Analyzed!S119/Analyzed!$CS119</f>
        <v>0</v>
      </c>
      <c r="J118" s="3">
        <f>Analyzed!Y119/Analyzed!$CS119</f>
        <v>0</v>
      </c>
      <c r="K118" s="3">
        <f>Analyzed!AA119/Analyzed!$CS119</f>
        <v>0</v>
      </c>
      <c r="L118" s="3">
        <f>Analyzed!AC119/Analyzed!$CS119</f>
        <v>0</v>
      </c>
      <c r="M118" s="3">
        <f>Analyzed!AE119/Analyzed!$CS119</f>
        <v>0</v>
      </c>
      <c r="N118" s="3">
        <f>Analyzed!AG119/Analyzed!$CS119</f>
        <v>8.5372069317023423E-3</v>
      </c>
      <c r="O118" s="3">
        <f>Analyzed!AI119/Analyzed!$CS119</f>
        <v>8.537206931702343E-2</v>
      </c>
      <c r="P118" s="3">
        <f>Analyzed!AK119/Analyzed!$CS119</f>
        <v>0</v>
      </c>
      <c r="Q118" s="3">
        <f>Analyzed!AM119/Analyzed!$CS119</f>
        <v>0.13761467889908255</v>
      </c>
      <c r="R118" s="3">
        <f>Analyzed!AO119/Analyzed!$CS119</f>
        <v>0</v>
      </c>
      <c r="S118" s="3">
        <f>Analyzed!AQ119/Analyzed!$CS119</f>
        <v>0</v>
      </c>
      <c r="T118" s="3">
        <f>Analyzed!AS119/Analyzed!$CS119</f>
        <v>0</v>
      </c>
      <c r="U118" s="3">
        <f>Analyzed!AU119/Analyzed!$CS119</f>
        <v>0</v>
      </c>
      <c r="V118" s="3">
        <f>Analyzed!AW119/Analyzed!$CS119</f>
        <v>0</v>
      </c>
      <c r="W118" s="3">
        <f>Analyzed!AY119/Analyzed!$CS119</f>
        <v>0</v>
      </c>
      <c r="X118" s="3">
        <f>Analyzed!BA119/Analyzed!$CS119</f>
        <v>0</v>
      </c>
      <c r="Y118" s="3">
        <f>Analyzed!BC119/Analyzed!$CS119</f>
        <v>0</v>
      </c>
      <c r="Z118" s="3">
        <f>Analyzed!BE119/Analyzed!$CS119</f>
        <v>0</v>
      </c>
      <c r="AA118" s="3">
        <f>Analyzed!BG119/Analyzed!$CS119</f>
        <v>0</v>
      </c>
    </row>
    <row r="119" spans="2:27" x14ac:dyDescent="0.25">
      <c r="B119" s="3">
        <f>Analyzed!E120/Analyzed!$CS120</f>
        <v>0.53916148352914084</v>
      </c>
      <c r="C119" s="3">
        <f>Analyzed!G120/Analyzed!$CS120</f>
        <v>2.0502188435844275E-2</v>
      </c>
      <c r="D119" s="3">
        <f>Analyzed!I120/Analyzed!$CS120</f>
        <v>2.3957613453121397E-2</v>
      </c>
      <c r="E119" s="3">
        <f>Analyzed!K120/Analyzed!$CS120</f>
        <v>1.7277125086385616E-3</v>
      </c>
      <c r="F119" s="3">
        <f>Analyzed!M120/Analyzed!$CS120</f>
        <v>0</v>
      </c>
      <c r="G119" s="3">
        <f>Analyzed!O120/Analyzed!$CS120</f>
        <v>0</v>
      </c>
      <c r="H119" s="3">
        <f>Analyzed!Q120/Analyzed!$CS120</f>
        <v>4.2501727712508638E-2</v>
      </c>
      <c r="I119" s="3">
        <f>Analyzed!S120/Analyzed!$CS120</f>
        <v>0</v>
      </c>
      <c r="J119" s="3">
        <f>Analyzed!Y120/Analyzed!$CS120</f>
        <v>4.6072333563695048E-4</v>
      </c>
      <c r="K119" s="3">
        <f>Analyzed!AA120/Analyzed!$CS120</f>
        <v>0</v>
      </c>
      <c r="L119" s="3">
        <f>Analyzed!AC120/Analyzed!$CS120</f>
        <v>0</v>
      </c>
      <c r="M119" s="3">
        <f>Analyzed!AE120/Analyzed!$CS120</f>
        <v>0</v>
      </c>
      <c r="N119" s="3">
        <f>Analyzed!AG120/Analyzed!$CS120</f>
        <v>7.2563925362819619E-3</v>
      </c>
      <c r="O119" s="3">
        <f>Analyzed!AI120/Analyzed!$CS120</f>
        <v>7.7401520387007594E-2</v>
      </c>
      <c r="P119" s="3">
        <f>Analyzed!AK120/Analyzed!$CS120</f>
        <v>0</v>
      </c>
      <c r="Q119" s="3">
        <f>Analyzed!AM120/Analyzed!$CS120</f>
        <v>0.2636489288182447</v>
      </c>
      <c r="R119" s="3">
        <f>Analyzed!AO120/Analyzed!$CS120</f>
        <v>0</v>
      </c>
      <c r="S119" s="3">
        <f>Analyzed!AQ120/Analyzed!$CS120</f>
        <v>0</v>
      </c>
      <c r="T119" s="3">
        <f>Analyzed!AS120/Analyzed!$CS120</f>
        <v>0</v>
      </c>
      <c r="U119" s="3">
        <f>Analyzed!AU120/Analyzed!$CS120</f>
        <v>0</v>
      </c>
      <c r="V119" s="3">
        <f>Analyzed!AW120/Analyzed!$CS120</f>
        <v>0</v>
      </c>
      <c r="W119" s="3">
        <f>Analyzed!AY120/Analyzed!$CS120</f>
        <v>0</v>
      </c>
      <c r="X119" s="3">
        <f>Analyzed!BA120/Analyzed!$CS120</f>
        <v>0</v>
      </c>
      <c r="Y119" s="3">
        <f>Analyzed!BC120/Analyzed!$CS120</f>
        <v>0</v>
      </c>
      <c r="Z119" s="3">
        <f>Analyzed!BE120/Analyzed!$CS120</f>
        <v>0</v>
      </c>
      <c r="AA119" s="3">
        <f>Analyzed!BG120/Analyzed!$CS120</f>
        <v>0</v>
      </c>
    </row>
    <row r="120" spans="2:27" x14ac:dyDescent="0.25">
      <c r="B120" s="3">
        <f>Analyzed!E121/Analyzed!$CS121</f>
        <v>0.50499015547559245</v>
      </c>
      <c r="C120" s="3">
        <f>Analyzed!G121/Analyzed!$CS121</f>
        <v>2.579944327517143E-3</v>
      </c>
      <c r="D120" s="3">
        <f>Analyzed!I121/Analyzed!$CS121</f>
        <v>0</v>
      </c>
      <c r="E120" s="3">
        <f>Analyzed!K121/Analyzed!$CS121</f>
        <v>6.7893271776766999E-4</v>
      </c>
      <c r="F120" s="3">
        <f>Analyzed!M121/Analyzed!$CS121</f>
        <v>0</v>
      </c>
      <c r="G120" s="3">
        <f>Analyzed!O121/Analyzed!$CS121</f>
        <v>0</v>
      </c>
      <c r="H120" s="3">
        <f>Analyzed!Q121/Analyzed!$CS121</f>
        <v>2.6071016362278505E-2</v>
      </c>
      <c r="I120" s="3">
        <f>Analyzed!S121/Analyzed!$CS121</f>
        <v>0</v>
      </c>
      <c r="J120" s="3">
        <f>Analyzed!Y121/Analyzed!$CS121</f>
        <v>0</v>
      </c>
      <c r="K120" s="3">
        <f>Analyzed!AA121/Analyzed!$CS121</f>
        <v>0</v>
      </c>
      <c r="L120" s="3">
        <f>Analyzed!AC121/Analyzed!$CS121</f>
        <v>0</v>
      </c>
      <c r="M120" s="3">
        <f>Analyzed!AE121/Analyzed!$CS121</f>
        <v>0</v>
      </c>
      <c r="N120" s="3">
        <f>Analyzed!AG121/Analyzed!$CS121</f>
        <v>1.2628148550478648E-2</v>
      </c>
      <c r="O120" s="3">
        <f>Analyzed!AI121/Analyzed!$CS121</f>
        <v>2.2404779686333094E-2</v>
      </c>
      <c r="P120" s="3">
        <f>Analyzed!AK121/Analyzed!$CS121</f>
        <v>0</v>
      </c>
      <c r="Q120" s="3">
        <f>Analyzed!AM121/Analyzed!$CS121</f>
        <v>0.41700047525290257</v>
      </c>
      <c r="R120" s="3">
        <f>Analyzed!AO121/Analyzed!$CS121</f>
        <v>0</v>
      </c>
      <c r="S120" s="3">
        <f>Analyzed!AQ121/Analyzed!$CS121</f>
        <v>0</v>
      </c>
      <c r="T120" s="3">
        <f>Analyzed!AS121/Analyzed!$CS121</f>
        <v>0</v>
      </c>
      <c r="U120" s="3">
        <f>Analyzed!AU121/Analyzed!$CS121</f>
        <v>0</v>
      </c>
      <c r="V120" s="3">
        <f>Analyzed!AW121/Analyzed!$CS121</f>
        <v>0</v>
      </c>
      <c r="W120" s="3">
        <f>Analyzed!AY121/Analyzed!$CS121</f>
        <v>0</v>
      </c>
      <c r="X120" s="3">
        <f>Analyzed!BA121/Analyzed!$CS121</f>
        <v>0</v>
      </c>
      <c r="Y120" s="3">
        <f>Analyzed!BC121/Analyzed!$CS121</f>
        <v>0</v>
      </c>
      <c r="Z120" s="3">
        <f>Analyzed!BE121/Analyzed!$CS121</f>
        <v>0</v>
      </c>
      <c r="AA120" s="3">
        <f>Analyzed!BG121/Analyzed!$CS121</f>
        <v>0</v>
      </c>
    </row>
    <row r="121" spans="2:27" x14ac:dyDescent="0.25">
      <c r="B121" s="3">
        <f>Analyzed!E122/Analyzed!$CS122</f>
        <v>0.54723731283953891</v>
      </c>
      <c r="C121" s="3">
        <f>Analyzed!G122/Analyzed!$CS122</f>
        <v>0.22366503246323047</v>
      </c>
      <c r="D121" s="3">
        <f>Analyzed!I122/Analyzed!$CS122</f>
        <v>5.6976281966344272E-3</v>
      </c>
      <c r="E121" s="3">
        <f>Analyzed!K122/Analyzed!$CS122</f>
        <v>1.3250298131708271E-4</v>
      </c>
      <c r="F121" s="3">
        <f>Analyzed!M122/Analyzed!$CS122</f>
        <v>0</v>
      </c>
      <c r="G121" s="3">
        <f>Analyzed!O122/Analyzed!$CS122</f>
        <v>0</v>
      </c>
      <c r="H121" s="3">
        <f>Analyzed!Q122/Analyzed!$CS122</f>
        <v>0.10282231350205383</v>
      </c>
      <c r="I121" s="3">
        <f>Analyzed!S122/Analyzed!$CS122</f>
        <v>0</v>
      </c>
      <c r="J121" s="3">
        <f>Analyzed!Y122/Analyzed!$CS122</f>
        <v>4.7833576255465762E-2</v>
      </c>
      <c r="K121" s="3">
        <f>Analyzed!AA122/Analyzed!$CS122</f>
        <v>0</v>
      </c>
      <c r="L121" s="3">
        <f>Analyzed!AC122/Analyzed!$CS122</f>
        <v>0</v>
      </c>
      <c r="M121" s="3">
        <f>Analyzed!AE122/Analyzed!$CS122</f>
        <v>0</v>
      </c>
      <c r="N121" s="3">
        <f>Analyzed!AG122/Analyzed!$CS122</f>
        <v>6.492646084536903E-3</v>
      </c>
      <c r="O121" s="3">
        <f>Analyzed!AI122/Analyzed!$CS122</f>
        <v>1.6562872664634957E-2</v>
      </c>
      <c r="P121" s="3">
        <f>Analyzed!AK122/Analyzed!$CS122</f>
        <v>0</v>
      </c>
      <c r="Q121" s="3">
        <f>Analyzed!AM122/Analyzed!$CS122</f>
        <v>1.8152908440439909E-2</v>
      </c>
      <c r="R121" s="3">
        <f>Analyzed!AO122/Analyzed!$CS122</f>
        <v>0</v>
      </c>
      <c r="S121" s="3">
        <f>Analyzed!AQ122/Analyzed!$CS122</f>
        <v>0</v>
      </c>
      <c r="T121" s="3">
        <f>Analyzed!AS122/Analyzed!$CS122</f>
        <v>0</v>
      </c>
      <c r="U121" s="3">
        <f>Analyzed!AU122/Analyzed!$CS122</f>
        <v>0</v>
      </c>
      <c r="V121" s="3">
        <f>Analyzed!AW122/Analyzed!$CS122</f>
        <v>0</v>
      </c>
      <c r="W121" s="3">
        <f>Analyzed!AY122/Analyzed!$CS122</f>
        <v>0</v>
      </c>
      <c r="X121" s="3">
        <f>Analyzed!BA122/Analyzed!$CS122</f>
        <v>0</v>
      </c>
      <c r="Y121" s="3">
        <f>Analyzed!BC122/Analyzed!$CS122</f>
        <v>0</v>
      </c>
      <c r="Z121" s="3">
        <f>Analyzed!BE122/Analyzed!$CS122</f>
        <v>0</v>
      </c>
      <c r="AA121" s="3">
        <f>Analyzed!BG122/Analyzed!$CS122</f>
        <v>0</v>
      </c>
    </row>
    <row r="122" spans="2:27" x14ac:dyDescent="0.25">
      <c r="B122" s="3">
        <f>Analyzed!E123/Analyzed!$CS123</f>
        <v>0.50415477323184266</v>
      </c>
      <c r="C122" s="3">
        <f>Analyzed!G123/Analyzed!$CS123</f>
        <v>0.25233111322549956</v>
      </c>
      <c r="D122" s="3">
        <f>Analyzed!I123/Analyzed!$CS123</f>
        <v>0</v>
      </c>
      <c r="E122" s="3">
        <f>Analyzed!K123/Analyzed!$CS123</f>
        <v>1.2686330478908989E-4</v>
      </c>
      <c r="F122" s="3">
        <f>Analyzed!M123/Analyzed!$CS123</f>
        <v>0</v>
      </c>
      <c r="G122" s="3">
        <f>Analyzed!O123/Analyzed!$CS123</f>
        <v>1.5857913098636215E-2</v>
      </c>
      <c r="H122" s="3">
        <f>Analyzed!Q123/Analyzed!$CS123</f>
        <v>5.7976530288614034E-2</v>
      </c>
      <c r="I122" s="3">
        <f>Analyzed!S123/Analyzed!$CS123</f>
        <v>0</v>
      </c>
      <c r="J122" s="3">
        <f>Analyzed!Y123/Analyzed!$CS123</f>
        <v>1.7760862670472572E-2</v>
      </c>
      <c r="K122" s="3">
        <f>Analyzed!AA123/Analyzed!$CS123</f>
        <v>0</v>
      </c>
      <c r="L122" s="3">
        <f>Analyzed!AC123/Analyzed!$CS123</f>
        <v>0</v>
      </c>
      <c r="M122" s="3">
        <f>Analyzed!AE123/Analyzed!$CS123</f>
        <v>0</v>
      </c>
      <c r="N122" s="3">
        <f>Analyzed!AG123/Analyzed!$CS123</f>
        <v>1.0275927687916266E-2</v>
      </c>
      <c r="O122" s="3">
        <f>Analyzed!AI123/Analyzed!$CS123</f>
        <v>2.2581668252457977E-2</v>
      </c>
      <c r="P122" s="3">
        <f>Analyzed!AK123/Analyzed!$CS123</f>
        <v>0</v>
      </c>
      <c r="Q122" s="3">
        <f>Analyzed!AM123/Analyzed!$CS123</f>
        <v>2.1439898509356178E-2</v>
      </c>
      <c r="R122" s="3">
        <f>Analyzed!AO123/Analyzed!$CS123</f>
        <v>0</v>
      </c>
      <c r="S122" s="3">
        <f>Analyzed!AQ123/Analyzed!$CS123</f>
        <v>0</v>
      </c>
      <c r="T122" s="3">
        <f>Analyzed!AS123/Analyzed!$CS123</f>
        <v>0</v>
      </c>
      <c r="U122" s="3">
        <f>Analyzed!AU123/Analyzed!$CS123</f>
        <v>0</v>
      </c>
      <c r="V122" s="3">
        <f>Analyzed!AW123/Analyzed!$CS123</f>
        <v>0</v>
      </c>
      <c r="W122" s="3">
        <f>Analyzed!AY123/Analyzed!$CS123</f>
        <v>0</v>
      </c>
      <c r="X122" s="3">
        <f>Analyzed!BA123/Analyzed!$CS123</f>
        <v>0</v>
      </c>
      <c r="Y122" s="3">
        <f>Analyzed!BC123/Analyzed!$CS123</f>
        <v>0</v>
      </c>
      <c r="Z122" s="3">
        <f>Analyzed!BE123/Analyzed!$CS123</f>
        <v>0</v>
      </c>
      <c r="AA122" s="3">
        <f>Analyzed!BG123/Analyzed!$CS123</f>
        <v>0</v>
      </c>
    </row>
    <row r="123" spans="2:27" x14ac:dyDescent="0.25">
      <c r="B123" s="3">
        <f>Analyzed!E124/Analyzed!$CS124</f>
        <v>0.47887564611901406</v>
      </c>
      <c r="C123" s="3">
        <f>Analyzed!G124/Analyzed!$CS124</f>
        <v>6.5359477124182996E-2</v>
      </c>
      <c r="D123" s="3">
        <f>Analyzed!I124/Analyzed!$CS124</f>
        <v>3.6396257849545047E-2</v>
      </c>
      <c r="E123" s="3">
        <f>Analyzed!K124/Analyzed!$CS124</f>
        <v>4.2718612499466016E-5</v>
      </c>
      <c r="F123" s="3">
        <f>Analyzed!M124/Analyzed!$CS124</f>
        <v>0</v>
      </c>
      <c r="G123" s="3">
        <f>Analyzed!O124/Analyzed!$CS124</f>
        <v>0</v>
      </c>
      <c r="H123" s="3">
        <f>Analyzed!Q124/Analyzed!$CS124</f>
        <v>8.5010038873937377E-2</v>
      </c>
      <c r="I123" s="3">
        <f>Analyzed!S124/Analyzed!$CS124</f>
        <v>0</v>
      </c>
      <c r="J123" s="3">
        <f>Analyzed!Y124/Analyzed!$CS124</f>
        <v>7.94566192490068E-3</v>
      </c>
      <c r="K123" s="3">
        <f>Analyzed!AA124/Analyzed!$CS124</f>
        <v>0</v>
      </c>
      <c r="L123" s="3">
        <f>Analyzed!AC124/Analyzed!$CS124</f>
        <v>0</v>
      </c>
      <c r="M123" s="3">
        <f>Analyzed!AE124/Analyzed!$CS124</f>
        <v>0</v>
      </c>
      <c r="N123" s="3">
        <f>Analyzed!AG124/Analyzed!$CS124</f>
        <v>2.195736682472553E-2</v>
      </c>
      <c r="O123" s="3">
        <f>Analyzed!AI124/Analyzed!$CS124</f>
        <v>8.3044982698961947E-2</v>
      </c>
      <c r="P123" s="3">
        <f>Analyzed!AK124/Analyzed!$CS124</f>
        <v>0</v>
      </c>
      <c r="Q123" s="3">
        <f>Analyzed!AM124/Analyzed!$CS124</f>
        <v>8.8769276773890377E-2</v>
      </c>
      <c r="R123" s="3">
        <f>Analyzed!AO124/Analyzed!$CS124</f>
        <v>0</v>
      </c>
      <c r="S123" s="3">
        <f>Analyzed!AQ124/Analyzed!$CS124</f>
        <v>0</v>
      </c>
      <c r="T123" s="3">
        <f>Analyzed!AS124/Analyzed!$CS124</f>
        <v>0</v>
      </c>
      <c r="U123" s="3">
        <f>Analyzed!AU124/Analyzed!$CS124</f>
        <v>0</v>
      </c>
      <c r="V123" s="3">
        <f>Analyzed!AW124/Analyzed!$CS124</f>
        <v>0</v>
      </c>
      <c r="W123" s="3">
        <f>Analyzed!AY124/Analyzed!$CS124</f>
        <v>0</v>
      </c>
      <c r="X123" s="3">
        <f>Analyzed!BA124/Analyzed!$CS124</f>
        <v>0</v>
      </c>
      <c r="Y123" s="3">
        <f>Analyzed!BC124/Analyzed!$CS124</f>
        <v>0</v>
      </c>
      <c r="Z123" s="3">
        <f>Analyzed!BE124/Analyzed!$CS124</f>
        <v>0</v>
      </c>
      <c r="AA123" s="3">
        <f>Analyzed!BG124/Analyzed!$CS124</f>
        <v>0</v>
      </c>
    </row>
    <row r="124" spans="2:27" x14ac:dyDescent="0.25">
      <c r="B124" s="3">
        <f>Analyzed!E125/Analyzed!$CS125</f>
        <v>0.29744633918724028</v>
      </c>
      <c r="C124" s="3">
        <f>Analyzed!G125/Analyzed!$CS125</f>
        <v>1.8664630525154827E-2</v>
      </c>
      <c r="D124" s="3">
        <f>Analyzed!I125/Analyzed!$CS125</f>
        <v>4.530414863833037E-2</v>
      </c>
      <c r="E124" s="3">
        <f>Analyzed!K125/Analyzed!$CS125</f>
        <v>8.4839229659794673E-5</v>
      </c>
      <c r="F124" s="3">
        <f>Analyzed!M125/Analyzed!$CS125</f>
        <v>0</v>
      </c>
      <c r="G124" s="3">
        <f>Analyzed!O125/Analyzed!$CS125</f>
        <v>0</v>
      </c>
      <c r="H124" s="3">
        <f>Analyzed!Q125/Analyzed!$CS125</f>
        <v>0.2105709680156104</v>
      </c>
      <c r="I124" s="3">
        <f>Analyzed!S125/Analyzed!$CS125</f>
        <v>0</v>
      </c>
      <c r="J124" s="3">
        <f>Analyzed!Y125/Analyzed!$CS125</f>
        <v>3.5632476457113757E-3</v>
      </c>
      <c r="K124" s="3">
        <f>Analyzed!AA125/Analyzed!$CS125</f>
        <v>0</v>
      </c>
      <c r="L124" s="3">
        <f>Analyzed!AC125/Analyzed!$CS125</f>
        <v>0</v>
      </c>
      <c r="M124" s="3">
        <f>Analyzed!AE125/Analyzed!$CS125</f>
        <v>0</v>
      </c>
      <c r="N124" s="3">
        <f>Analyzed!AG125/Analyzed!$CS125</f>
        <v>2.5451768897938425E-3</v>
      </c>
      <c r="O124" s="3">
        <f>Analyzed!AI125/Analyzed!$CS125</f>
        <v>0.20598964961398147</v>
      </c>
      <c r="P124" s="3">
        <f>Analyzed!AK125/Analyzed!$CS125</f>
        <v>0</v>
      </c>
      <c r="Q124" s="3">
        <f>Analyzed!AM125/Analyzed!$CS125</f>
        <v>0.14694154577076435</v>
      </c>
      <c r="R124" s="3">
        <f>Analyzed!AO125/Analyzed!$CS125</f>
        <v>0</v>
      </c>
      <c r="S124" s="3">
        <f>Analyzed!AQ125/Analyzed!$CS125</f>
        <v>0</v>
      </c>
      <c r="T124" s="3">
        <f>Analyzed!AS125/Analyzed!$CS125</f>
        <v>0</v>
      </c>
      <c r="U124" s="3">
        <f>Analyzed!AU125/Analyzed!$CS125</f>
        <v>0</v>
      </c>
      <c r="V124" s="3">
        <f>Analyzed!AW125/Analyzed!$CS125</f>
        <v>0</v>
      </c>
      <c r="W124" s="3">
        <f>Analyzed!AY125/Analyzed!$CS125</f>
        <v>0</v>
      </c>
      <c r="X124" s="3">
        <f>Analyzed!BA125/Analyzed!$CS125</f>
        <v>0</v>
      </c>
      <c r="Y124" s="3">
        <f>Analyzed!BC125/Analyzed!$CS125</f>
        <v>0</v>
      </c>
      <c r="Z124" s="3">
        <f>Analyzed!BE125/Analyzed!$CS125</f>
        <v>0</v>
      </c>
      <c r="AA124" s="3">
        <f>Analyzed!BG125/Analyzed!$CS125</f>
        <v>0</v>
      </c>
    </row>
    <row r="125" spans="2:27" x14ac:dyDescent="0.25">
      <c r="B125" s="3">
        <f>Analyzed!E126/Analyzed!$CS126</f>
        <v>3.2418952618453916E-3</v>
      </c>
      <c r="C125" s="3">
        <f>Analyzed!G126/Analyzed!$CS126</f>
        <v>0</v>
      </c>
      <c r="D125" s="3">
        <f>Analyzed!I126/Analyzed!$CS126</f>
        <v>0</v>
      </c>
      <c r="E125" s="3">
        <f>Analyzed!K126/Analyzed!$CS126</f>
        <v>0</v>
      </c>
      <c r="F125" s="3">
        <f>Analyzed!M126/Analyzed!$CS126</f>
        <v>0</v>
      </c>
      <c r="G125" s="3">
        <f>Analyzed!O126/Analyzed!$CS126</f>
        <v>0</v>
      </c>
      <c r="H125" s="3">
        <f>Analyzed!Q126/Analyzed!$CS126</f>
        <v>0</v>
      </c>
      <c r="I125" s="3">
        <f>Analyzed!S126/Analyzed!$CS126</f>
        <v>0</v>
      </c>
      <c r="J125" s="3">
        <f>Analyzed!Y126/Analyzed!$CS126</f>
        <v>0.26533665835411474</v>
      </c>
      <c r="K125" s="3">
        <f>Analyzed!AA126/Analyzed!$CS126</f>
        <v>0</v>
      </c>
      <c r="L125" s="3">
        <f>Analyzed!AC126/Analyzed!$CS126</f>
        <v>0</v>
      </c>
      <c r="M125" s="3">
        <f>Analyzed!AE126/Analyzed!$CS126</f>
        <v>0</v>
      </c>
      <c r="N125" s="3">
        <f>Analyzed!AG126/Analyzed!$CS126</f>
        <v>0</v>
      </c>
      <c r="O125" s="3">
        <f>Analyzed!AI126/Analyzed!$CS126</f>
        <v>0</v>
      </c>
      <c r="P125" s="3">
        <f>Analyzed!AK126/Analyzed!$CS126</f>
        <v>0</v>
      </c>
      <c r="Q125" s="3">
        <f>Analyzed!AM126/Analyzed!$CS126</f>
        <v>0.71138819617622606</v>
      </c>
      <c r="R125" s="3">
        <f>Analyzed!AO126/Analyzed!$CS126</f>
        <v>0</v>
      </c>
      <c r="S125" s="3">
        <f>Analyzed!AQ126/Analyzed!$CS126</f>
        <v>0</v>
      </c>
      <c r="T125" s="3">
        <f>Analyzed!AS126/Analyzed!$CS126</f>
        <v>0</v>
      </c>
      <c r="U125" s="3">
        <f>Analyzed!AU126/Analyzed!$CS126</f>
        <v>0</v>
      </c>
      <c r="V125" s="3">
        <f>Analyzed!AW126/Analyzed!$CS126</f>
        <v>0</v>
      </c>
      <c r="W125" s="3">
        <f>Analyzed!AY126/Analyzed!$CS126</f>
        <v>0</v>
      </c>
      <c r="X125" s="3">
        <f>Analyzed!BA126/Analyzed!$CS126</f>
        <v>0</v>
      </c>
      <c r="Y125" s="3">
        <f>Analyzed!BC126/Analyzed!$CS126</f>
        <v>0</v>
      </c>
      <c r="Z125" s="3">
        <f>Analyzed!BE126/Analyzed!$CS126</f>
        <v>0</v>
      </c>
      <c r="AA125" s="3">
        <f>Analyzed!BG126/Analyzed!$CS126</f>
        <v>0</v>
      </c>
    </row>
    <row r="126" spans="2:27" x14ac:dyDescent="0.25">
      <c r="B126" s="3">
        <f>Analyzed!E127/Analyzed!$CS127</f>
        <v>6.6950699939135718E-3</v>
      </c>
      <c r="C126" s="3">
        <f>Analyzed!G127/Analyzed!$CS127</f>
        <v>0</v>
      </c>
      <c r="D126" s="3">
        <f>Analyzed!I127/Analyzed!$CS127</f>
        <v>0</v>
      </c>
      <c r="E126" s="3">
        <f>Analyzed!K127/Analyzed!$CS127</f>
        <v>0</v>
      </c>
      <c r="F126" s="3">
        <f>Analyzed!M127/Analyzed!$CS127</f>
        <v>0</v>
      </c>
      <c r="G126" s="3">
        <f>Analyzed!O127/Analyzed!$CS127</f>
        <v>0</v>
      </c>
      <c r="H126" s="3">
        <f>Analyzed!Q127/Analyzed!$CS127</f>
        <v>0</v>
      </c>
      <c r="I126" s="3">
        <f>Analyzed!S127/Analyzed!$CS127</f>
        <v>0</v>
      </c>
      <c r="J126" s="3">
        <f>Analyzed!Y127/Analyzed!$CS127</f>
        <v>0.96469872185027394</v>
      </c>
      <c r="K126" s="3">
        <f>Analyzed!AA127/Analyzed!$CS127</f>
        <v>0</v>
      </c>
      <c r="L126" s="3">
        <f>Analyzed!AC127/Analyzed!$CS127</f>
        <v>0</v>
      </c>
      <c r="M126" s="3">
        <f>Analyzed!AE127/Analyzed!$CS127</f>
        <v>0</v>
      </c>
      <c r="N126" s="3">
        <f>Analyzed!AG127/Analyzed!$CS127</f>
        <v>0</v>
      </c>
      <c r="O126" s="3">
        <f>Analyzed!AI127/Analyzed!$CS127</f>
        <v>6.0864272671941626E-4</v>
      </c>
      <c r="P126" s="3">
        <f>Analyzed!AK127/Analyzed!$CS127</f>
        <v>0</v>
      </c>
      <c r="Q126" s="3">
        <f>Analyzed!AM127/Analyzed!$CS127</f>
        <v>0</v>
      </c>
      <c r="R126" s="3">
        <f>Analyzed!AO127/Analyzed!$CS127</f>
        <v>0</v>
      </c>
      <c r="S126" s="3">
        <f>Analyzed!AQ127/Analyzed!$CS127</f>
        <v>0</v>
      </c>
      <c r="T126" s="3">
        <f>Analyzed!AS127/Analyzed!$CS127</f>
        <v>0</v>
      </c>
      <c r="U126" s="3">
        <f>Analyzed!AU127/Analyzed!$CS127</f>
        <v>0</v>
      </c>
      <c r="V126" s="3">
        <f>Analyzed!AW127/Analyzed!$CS127</f>
        <v>0</v>
      </c>
      <c r="W126" s="3">
        <f>Analyzed!AY127/Analyzed!$CS127</f>
        <v>0</v>
      </c>
      <c r="X126" s="3">
        <f>Analyzed!BA127/Analyzed!$CS127</f>
        <v>0</v>
      </c>
      <c r="Y126" s="3">
        <f>Analyzed!BC127/Analyzed!$CS127</f>
        <v>0</v>
      </c>
      <c r="Z126" s="3">
        <f>Analyzed!BE127/Analyzed!$CS127</f>
        <v>0</v>
      </c>
      <c r="AA126" s="3">
        <f>Analyzed!BG127/Analyzed!$CS127</f>
        <v>0</v>
      </c>
    </row>
    <row r="127" spans="2:27" x14ac:dyDescent="0.25">
      <c r="B127" s="3">
        <f>Analyzed!E128/Analyzed!$CS128</f>
        <v>1.9114063171978799E-4</v>
      </c>
      <c r="C127" s="3">
        <f>Analyzed!G128/Analyzed!$CS128</f>
        <v>0.13943709083958522</v>
      </c>
      <c r="D127" s="3">
        <f>Analyzed!I128/Analyzed!$CS128</f>
        <v>0</v>
      </c>
      <c r="E127" s="3">
        <f>Analyzed!K128/Analyzed!$CS128</f>
        <v>3.0582501075166035E-3</v>
      </c>
      <c r="F127" s="3">
        <f>Analyzed!M128/Analyzed!$CS128</f>
        <v>0</v>
      </c>
      <c r="G127" s="3">
        <f>Analyzed!O128/Analyzed!$CS128</f>
        <v>0</v>
      </c>
      <c r="H127" s="3">
        <f>Analyzed!Q128/Analyzed!$CS128</f>
        <v>1.3427629378315094E-2</v>
      </c>
      <c r="I127" s="3">
        <f>Analyzed!S128/Analyzed!$CS128</f>
        <v>1.9639699909208195E-2</v>
      </c>
      <c r="J127" s="3">
        <f>Analyzed!Y128/Analyzed!$CS128</f>
        <v>3.0295790127586365E-2</v>
      </c>
      <c r="K127" s="3">
        <f>Analyzed!AA128/Analyzed!$CS128</f>
        <v>0</v>
      </c>
      <c r="L127" s="3">
        <f>Analyzed!AC128/Analyzed!$CS128</f>
        <v>0</v>
      </c>
      <c r="M127" s="3">
        <f>Analyzed!AE128/Analyzed!$CS128</f>
        <v>0</v>
      </c>
      <c r="N127" s="3">
        <f>Analyzed!AG128/Analyzed!$CS128</f>
        <v>0</v>
      </c>
      <c r="O127" s="3">
        <f>Analyzed!AI128/Analyzed!$CS128</f>
        <v>0.10617862092034214</v>
      </c>
      <c r="P127" s="3">
        <f>Analyzed!AK128/Analyzed!$CS128</f>
        <v>0</v>
      </c>
      <c r="Q127" s="3">
        <f>Analyzed!AM128/Analyzed!$CS128</f>
        <v>0.43900224590242271</v>
      </c>
      <c r="R127" s="3">
        <f>Analyzed!AO128/Analyzed!$CS128</f>
        <v>0</v>
      </c>
      <c r="S127" s="3">
        <f>Analyzed!AQ128/Analyzed!$CS128</f>
        <v>0</v>
      </c>
      <c r="T127" s="3">
        <f>Analyzed!AS128/Analyzed!$CS128</f>
        <v>0</v>
      </c>
      <c r="U127" s="3">
        <f>Analyzed!AU128/Analyzed!$CS128</f>
        <v>0</v>
      </c>
      <c r="V127" s="3">
        <f>Analyzed!AW128/Analyzed!$CS128</f>
        <v>0</v>
      </c>
      <c r="W127" s="3">
        <f>Analyzed!AY128/Analyzed!$CS128</f>
        <v>0</v>
      </c>
      <c r="X127" s="3">
        <f>Analyzed!BA128/Analyzed!$CS128</f>
        <v>2.4035934438763316E-2</v>
      </c>
      <c r="Y127" s="3">
        <f>Analyzed!BC128/Analyzed!$CS128</f>
        <v>0</v>
      </c>
      <c r="Z127" s="3">
        <f>Analyzed!BE128/Analyzed!$CS128</f>
        <v>0</v>
      </c>
      <c r="AA127" s="3">
        <f>Analyzed!BG128/Analyzed!$CS128</f>
        <v>0</v>
      </c>
    </row>
    <row r="128" spans="2:27" x14ac:dyDescent="0.25">
      <c r="B128" s="3">
        <f>Analyzed!E129/Analyzed!$CS129</f>
        <v>1.0302905419328263E-4</v>
      </c>
      <c r="C128" s="3">
        <f>Analyzed!G129/Analyzed!$CS129</f>
        <v>0.10277148155779933</v>
      </c>
      <c r="D128" s="3">
        <f>Analyzed!I129/Analyzed!$CS129</f>
        <v>0</v>
      </c>
      <c r="E128" s="3">
        <f>Analyzed!K129/Analyzed!$CS129</f>
        <v>0</v>
      </c>
      <c r="F128" s="3">
        <f>Analyzed!M129/Analyzed!$CS129</f>
        <v>0</v>
      </c>
      <c r="G128" s="3">
        <f>Analyzed!O129/Analyzed!$CS129</f>
        <v>0</v>
      </c>
      <c r="H128" s="3">
        <f>Analyzed!Q129/Analyzed!$CS129</f>
        <v>4.1211621677312996E-3</v>
      </c>
      <c r="I128" s="3">
        <f>Analyzed!S129/Analyzed!$CS129</f>
        <v>1.9678549350916962E-2</v>
      </c>
      <c r="J128" s="3">
        <f>Analyzed!Y129/Analyzed!$CS129</f>
        <v>1.1745312178034206E-2</v>
      </c>
      <c r="K128" s="3">
        <f>Analyzed!AA129/Analyzed!$CS129</f>
        <v>0</v>
      </c>
      <c r="L128" s="3">
        <f>Analyzed!AC129/Analyzed!$CS129</f>
        <v>0</v>
      </c>
      <c r="M128" s="3">
        <f>Analyzed!AE129/Analyzed!$CS129</f>
        <v>0</v>
      </c>
      <c r="N128" s="3">
        <f>Analyzed!AG129/Analyzed!$CS129</f>
        <v>0</v>
      </c>
      <c r="O128" s="3">
        <f>Analyzed!AI129/Analyzed!$CS129</f>
        <v>2.3902740572841544E-2</v>
      </c>
      <c r="P128" s="3">
        <f>Analyzed!AK129/Analyzed!$CS129</f>
        <v>0</v>
      </c>
      <c r="Q128" s="3">
        <f>Analyzed!AM129/Analyzed!$CS129</f>
        <v>0.43565835565629507</v>
      </c>
      <c r="R128" s="3">
        <f>Analyzed!AO129/Analyzed!$CS129</f>
        <v>0</v>
      </c>
      <c r="S128" s="3">
        <f>Analyzed!AQ129/Analyzed!$CS129</f>
        <v>0</v>
      </c>
      <c r="T128" s="3">
        <f>Analyzed!AS129/Analyzed!$CS129</f>
        <v>0</v>
      </c>
      <c r="U128" s="3">
        <f>Analyzed!AU129/Analyzed!$CS129</f>
        <v>0</v>
      </c>
      <c r="V128" s="3">
        <f>Analyzed!AW129/Analyzed!$CS129</f>
        <v>0</v>
      </c>
      <c r="W128" s="3">
        <f>Analyzed!AY129/Analyzed!$CS129</f>
        <v>0</v>
      </c>
      <c r="X128" s="3">
        <f>Analyzed!BA129/Analyzed!$CS129</f>
        <v>8.7059550793323701E-3</v>
      </c>
      <c r="Y128" s="3">
        <f>Analyzed!BC129/Analyzed!$CS129</f>
        <v>0</v>
      </c>
      <c r="Z128" s="3">
        <f>Analyzed!BE129/Analyzed!$CS129</f>
        <v>0</v>
      </c>
      <c r="AA128" s="3">
        <f>Analyzed!BG129/Analyzed!$CS129</f>
        <v>0</v>
      </c>
    </row>
    <row r="129" spans="2:27" x14ac:dyDescent="0.25">
      <c r="B129" s="3">
        <f>Analyzed!E130/Analyzed!$CS130</f>
        <v>0</v>
      </c>
      <c r="C129" s="3">
        <f>Analyzed!G130/Analyzed!$CS130</f>
        <v>0.71697280113034267</v>
      </c>
      <c r="D129" s="3">
        <f>Analyzed!I130/Analyzed!$CS130</f>
        <v>0</v>
      </c>
      <c r="E129" s="3">
        <f>Analyzed!K130/Analyzed!$CS130</f>
        <v>0</v>
      </c>
      <c r="F129" s="3">
        <f>Analyzed!M130/Analyzed!$CS130</f>
        <v>0</v>
      </c>
      <c r="G129" s="3">
        <f>Analyzed!O130/Analyzed!$CS130</f>
        <v>0</v>
      </c>
      <c r="H129" s="3">
        <f>Analyzed!Q130/Analyzed!$CS130</f>
        <v>0</v>
      </c>
      <c r="I129" s="3">
        <f>Analyzed!S130/Analyzed!$CS130</f>
        <v>1.2804662663369834E-2</v>
      </c>
      <c r="J129" s="3">
        <f>Analyzed!Y130/Analyzed!$CS130</f>
        <v>3.8546450017661611E-2</v>
      </c>
      <c r="K129" s="3">
        <f>Analyzed!AA130/Analyzed!$CS130</f>
        <v>0</v>
      </c>
      <c r="L129" s="3">
        <f>Analyzed!AC130/Analyzed!$CS130</f>
        <v>0</v>
      </c>
      <c r="M129" s="3">
        <f>Analyzed!AE130/Analyzed!$CS130</f>
        <v>0</v>
      </c>
      <c r="N129" s="3">
        <f>Analyzed!AG130/Analyzed!$CS130</f>
        <v>0</v>
      </c>
      <c r="O129" s="3">
        <f>Analyzed!AI130/Analyzed!$CS130</f>
        <v>1.819145178382197E-2</v>
      </c>
      <c r="P129" s="3">
        <f>Analyzed!AK130/Analyzed!$CS130</f>
        <v>0</v>
      </c>
      <c r="Q129" s="3">
        <f>Analyzed!AM130/Analyzed!$CS130</f>
        <v>0</v>
      </c>
      <c r="R129" s="3">
        <f>Analyzed!AO130/Analyzed!$CS130</f>
        <v>0</v>
      </c>
      <c r="S129" s="3">
        <f>Analyzed!AQ130/Analyzed!$CS130</f>
        <v>0</v>
      </c>
      <c r="T129" s="3">
        <f>Analyzed!AS130/Analyzed!$CS130</f>
        <v>0</v>
      </c>
      <c r="U129" s="3">
        <f>Analyzed!AU130/Analyzed!$CS130</f>
        <v>0</v>
      </c>
      <c r="V129" s="3">
        <f>Analyzed!AW130/Analyzed!$CS130</f>
        <v>0</v>
      </c>
      <c r="W129" s="3">
        <f>Analyzed!AY130/Analyzed!$CS130</f>
        <v>0</v>
      </c>
      <c r="X129" s="3">
        <f>Analyzed!BA130/Analyzed!$CS130</f>
        <v>0</v>
      </c>
      <c r="Y129" s="3">
        <f>Analyzed!BC130/Analyzed!$CS130</f>
        <v>1.1921582479689137E-3</v>
      </c>
      <c r="Z129" s="3">
        <f>Analyzed!BE130/Analyzed!$CS130</f>
        <v>0</v>
      </c>
      <c r="AA129" s="3">
        <f>Analyzed!BG130/Analyzed!$CS130</f>
        <v>0</v>
      </c>
    </row>
    <row r="130" spans="2:27" x14ac:dyDescent="0.25">
      <c r="B130" s="3">
        <f>Analyzed!E131/Analyzed!$CS131</f>
        <v>0.38793103448275862</v>
      </c>
      <c r="C130" s="3">
        <f>Analyzed!G131/Analyzed!$CS131</f>
        <v>0</v>
      </c>
      <c r="D130" s="3">
        <f>Analyzed!I131/Analyzed!$CS131</f>
        <v>0</v>
      </c>
      <c r="E130" s="3">
        <f>Analyzed!K131/Analyzed!$CS131</f>
        <v>8.4482758620689699E-2</v>
      </c>
      <c r="F130" s="3">
        <f>Analyzed!M131/Analyzed!$CS131</f>
        <v>0</v>
      </c>
      <c r="G130" s="3">
        <f>Analyzed!O131/Analyzed!$CS131</f>
        <v>0</v>
      </c>
      <c r="H130" s="3">
        <f>Analyzed!Q131/Analyzed!$CS131</f>
        <v>0</v>
      </c>
      <c r="I130" s="3">
        <f>Analyzed!S131/Analyzed!$CS131</f>
        <v>0</v>
      </c>
      <c r="J130" s="3">
        <f>Analyzed!Y131/Analyzed!$CS131</f>
        <v>0</v>
      </c>
      <c r="K130" s="3">
        <f>Analyzed!AA131/Analyzed!$CS131</f>
        <v>0</v>
      </c>
      <c r="L130" s="3">
        <f>Analyzed!AC131/Analyzed!$CS131</f>
        <v>0</v>
      </c>
      <c r="M130" s="3">
        <f>Analyzed!AE131/Analyzed!$CS131</f>
        <v>0</v>
      </c>
      <c r="N130" s="3">
        <f>Analyzed!AG131/Analyzed!$CS131</f>
        <v>0.23620689655172408</v>
      </c>
      <c r="O130" s="3">
        <f>Analyzed!AI131/Analyzed!$CS131</f>
        <v>0</v>
      </c>
      <c r="P130" s="3">
        <f>Analyzed!AK131/Analyzed!$CS131</f>
        <v>0</v>
      </c>
      <c r="Q130" s="3">
        <f>Analyzed!AM131/Analyzed!$CS131</f>
        <v>0</v>
      </c>
      <c r="R130" s="3">
        <f>Analyzed!AO131/Analyzed!$CS131</f>
        <v>0</v>
      </c>
      <c r="S130" s="3">
        <f>Analyzed!AQ131/Analyzed!$CS131</f>
        <v>0</v>
      </c>
      <c r="T130" s="3">
        <f>Analyzed!AS131/Analyzed!$CS131</f>
        <v>0</v>
      </c>
      <c r="U130" s="3">
        <f>Analyzed!AU131/Analyzed!$CS131</f>
        <v>0</v>
      </c>
      <c r="V130" s="3">
        <f>Analyzed!AW131/Analyzed!$CS131</f>
        <v>0</v>
      </c>
      <c r="W130" s="3">
        <f>Analyzed!AY131/Analyzed!$CS131</f>
        <v>0</v>
      </c>
      <c r="X130" s="3">
        <f>Analyzed!BA131/Analyzed!$CS131</f>
        <v>3.103448275862072E-2</v>
      </c>
      <c r="Y130" s="3">
        <f>Analyzed!BC131/Analyzed!$CS131</f>
        <v>0</v>
      </c>
      <c r="Z130" s="3">
        <f>Analyzed!BE131/Analyzed!$CS131</f>
        <v>0</v>
      </c>
      <c r="AA130" s="3">
        <f>Analyzed!BG131/Analyzed!$CS131</f>
        <v>0</v>
      </c>
    </row>
    <row r="131" spans="2:27" x14ac:dyDescent="0.25">
      <c r="B131" s="3">
        <f>Analyzed!E132/Analyzed!$CS132</f>
        <v>0</v>
      </c>
      <c r="C131" s="3">
        <f>Analyzed!G132/Analyzed!$CS132</f>
        <v>0</v>
      </c>
      <c r="D131" s="3">
        <f>Analyzed!I132/Analyzed!$CS132</f>
        <v>0</v>
      </c>
      <c r="E131" s="3">
        <f>Analyzed!K132/Analyzed!$CS132</f>
        <v>0</v>
      </c>
      <c r="F131" s="3">
        <f>Analyzed!M132/Analyzed!$CS132</f>
        <v>0.79165279627163798</v>
      </c>
      <c r="G131" s="3">
        <f>Analyzed!O132/Analyzed!$CS132</f>
        <v>0</v>
      </c>
      <c r="H131" s="3">
        <f>Analyzed!Q132/Analyzed!$CS132</f>
        <v>0</v>
      </c>
      <c r="I131" s="3">
        <f>Analyzed!S132/Analyzed!$CS132</f>
        <v>1.6894141145139815E-2</v>
      </c>
      <c r="J131" s="3">
        <f>Analyzed!Y132/Analyzed!$CS132</f>
        <v>7.9976697736351535E-2</v>
      </c>
      <c r="K131" s="3">
        <f>Analyzed!AA132/Analyzed!$CS132</f>
        <v>0</v>
      </c>
      <c r="L131" s="3">
        <f>Analyzed!AC132/Analyzed!$CS132</f>
        <v>0</v>
      </c>
      <c r="M131" s="3">
        <f>Analyzed!AE132/Analyzed!$CS132</f>
        <v>0</v>
      </c>
      <c r="N131" s="3">
        <f>Analyzed!AG132/Analyzed!$CS132</f>
        <v>0</v>
      </c>
      <c r="O131" s="3">
        <f>Analyzed!AI132/Analyzed!$CS132</f>
        <v>1.2899467376830897E-3</v>
      </c>
      <c r="P131" s="3">
        <f>Analyzed!AK132/Analyzed!$CS132</f>
        <v>0</v>
      </c>
      <c r="Q131" s="3">
        <f>Analyzed!AM132/Analyzed!$CS132</f>
        <v>0.10357023968042611</v>
      </c>
      <c r="R131" s="3">
        <f>Analyzed!AO132/Analyzed!$CS132</f>
        <v>0</v>
      </c>
      <c r="S131" s="3">
        <f>Analyzed!AQ132/Analyzed!$CS132</f>
        <v>0</v>
      </c>
      <c r="T131" s="3">
        <f>Analyzed!AS132/Analyzed!$CS132</f>
        <v>0</v>
      </c>
      <c r="U131" s="3">
        <f>Analyzed!AU132/Analyzed!$CS132</f>
        <v>0</v>
      </c>
      <c r="V131" s="3">
        <f>Analyzed!AW132/Analyzed!$CS132</f>
        <v>0</v>
      </c>
      <c r="W131" s="3">
        <f>Analyzed!AY132/Analyzed!$CS132</f>
        <v>0</v>
      </c>
      <c r="X131" s="3">
        <f>Analyzed!BA132/Analyzed!$CS132</f>
        <v>0</v>
      </c>
      <c r="Y131" s="3">
        <f>Analyzed!BC132/Analyzed!$CS132</f>
        <v>0</v>
      </c>
      <c r="Z131" s="3">
        <f>Analyzed!BE132/Analyzed!$CS132</f>
        <v>0</v>
      </c>
      <c r="AA131" s="3">
        <f>Analyzed!BG132/Analyzed!$CS132</f>
        <v>3.1208388814913464E-3</v>
      </c>
    </row>
    <row r="132" spans="2:27" x14ac:dyDescent="0.25">
      <c r="B132" s="3">
        <f>Analyzed!E133/Analyzed!$CS133</f>
        <v>0</v>
      </c>
      <c r="C132" s="3">
        <f>Analyzed!G133/Analyzed!$CS133</f>
        <v>0</v>
      </c>
      <c r="D132" s="3">
        <f>Analyzed!I133/Analyzed!$CS133</f>
        <v>0</v>
      </c>
      <c r="E132" s="3">
        <f>Analyzed!K133/Analyzed!$CS133</f>
        <v>0</v>
      </c>
      <c r="F132" s="3">
        <f>Analyzed!M133/Analyzed!$CS133</f>
        <v>0.67110058309037901</v>
      </c>
      <c r="G132" s="3">
        <f>Analyzed!O133/Analyzed!$CS133</f>
        <v>0</v>
      </c>
      <c r="H132" s="3">
        <f>Analyzed!Q133/Analyzed!$CS133</f>
        <v>0</v>
      </c>
      <c r="I132" s="3">
        <f>Analyzed!S133/Analyzed!$CS133</f>
        <v>0</v>
      </c>
      <c r="J132" s="3">
        <f>Analyzed!Y133/Analyzed!$CS133</f>
        <v>0.17456268221574345</v>
      </c>
      <c r="K132" s="3">
        <f>Analyzed!AA133/Analyzed!$CS133</f>
        <v>0</v>
      </c>
      <c r="L132" s="3">
        <f>Analyzed!AC133/Analyzed!$CS133</f>
        <v>0</v>
      </c>
      <c r="M132" s="3">
        <f>Analyzed!AE133/Analyzed!$CS133</f>
        <v>0</v>
      </c>
      <c r="N132" s="3">
        <f>Analyzed!AG133/Analyzed!$CS133</f>
        <v>3.4620991253644308E-3</v>
      </c>
      <c r="O132" s="3">
        <f>Analyzed!AI133/Analyzed!$CS133</f>
        <v>0</v>
      </c>
      <c r="P132" s="3">
        <f>Analyzed!AK133/Analyzed!$CS133</f>
        <v>0</v>
      </c>
      <c r="Q132" s="3">
        <f>Analyzed!AM133/Analyzed!$CS133</f>
        <v>8.9103498542274048E-2</v>
      </c>
      <c r="R132" s="3">
        <f>Analyzed!AO133/Analyzed!$CS133</f>
        <v>0</v>
      </c>
      <c r="S132" s="3">
        <f>Analyzed!AQ133/Analyzed!$CS133</f>
        <v>0</v>
      </c>
      <c r="T132" s="3">
        <f>Analyzed!AS133/Analyzed!$CS133</f>
        <v>0</v>
      </c>
      <c r="U132" s="3">
        <f>Analyzed!AU133/Analyzed!$CS133</f>
        <v>0</v>
      </c>
      <c r="V132" s="3">
        <f>Analyzed!AW133/Analyzed!$CS133</f>
        <v>0</v>
      </c>
      <c r="W132" s="3">
        <f>Analyzed!AY133/Analyzed!$CS133</f>
        <v>0</v>
      </c>
      <c r="X132" s="3">
        <f>Analyzed!BA133/Analyzed!$CS133</f>
        <v>0</v>
      </c>
      <c r="Y132" s="3">
        <f>Analyzed!BC133/Analyzed!$CS133</f>
        <v>0</v>
      </c>
      <c r="Z132" s="3">
        <f>Analyzed!BE133/Analyzed!$CS133</f>
        <v>0</v>
      </c>
      <c r="AA132" s="3">
        <f>Analyzed!BG133/Analyzed!$CS133</f>
        <v>4.5553935860058311E-3</v>
      </c>
    </row>
    <row r="133" spans="2:27" x14ac:dyDescent="0.25">
      <c r="B133" s="3">
        <f>Analyzed!E134/Analyzed!$CS134</f>
        <v>1.0606107870355938E-3</v>
      </c>
      <c r="C133" s="3">
        <f>Analyzed!G134/Analyzed!$CS134</f>
        <v>0</v>
      </c>
      <c r="D133" s="3">
        <f>Analyzed!I134/Analyzed!$CS134</f>
        <v>0</v>
      </c>
      <c r="E133" s="3">
        <f>Analyzed!K134/Analyzed!$CS134</f>
        <v>0</v>
      </c>
      <c r="F133" s="3">
        <f>Analyzed!M134/Analyzed!$CS134</f>
        <v>0.54128583460710611</v>
      </c>
      <c r="G133" s="3">
        <f>Analyzed!O134/Analyzed!$CS134</f>
        <v>0</v>
      </c>
      <c r="H133" s="3">
        <f>Analyzed!Q134/Analyzed!$CS134</f>
        <v>0</v>
      </c>
      <c r="I133" s="3">
        <f>Analyzed!S134/Analyzed!$CS134</f>
        <v>3.1194434912811554E-5</v>
      </c>
      <c r="J133" s="3">
        <f>Analyzed!Y134/Analyzed!$CS134</f>
        <v>3.2816545528277764E-2</v>
      </c>
      <c r="K133" s="3">
        <f>Analyzed!AA134/Analyzed!$CS134</f>
        <v>0</v>
      </c>
      <c r="L133" s="3">
        <f>Analyzed!AC134/Analyzed!$CS134</f>
        <v>0</v>
      </c>
      <c r="M133" s="3">
        <f>Analyzed!AE134/Analyzed!$CS134</f>
        <v>0</v>
      </c>
      <c r="N133" s="3">
        <f>Analyzed!AG134/Analyzed!$CS134</f>
        <v>7.486664379074753E-4</v>
      </c>
      <c r="O133" s="3">
        <f>Analyzed!AI134/Analyzed!$CS134</f>
        <v>8.7344417755872295E-4</v>
      </c>
      <c r="P133" s="3">
        <f>Analyzed!AK134/Analyzed!$CS134</f>
        <v>0</v>
      </c>
      <c r="Q133" s="3">
        <f>Analyzed!AM134/Analyzed!$CS134</f>
        <v>0.41663287269551114</v>
      </c>
      <c r="R133" s="3">
        <f>Analyzed!AO134/Analyzed!$CS134</f>
        <v>0</v>
      </c>
      <c r="S133" s="3">
        <f>Analyzed!AQ134/Analyzed!$CS134</f>
        <v>0</v>
      </c>
      <c r="T133" s="3">
        <f>Analyzed!AS134/Analyzed!$CS134</f>
        <v>0</v>
      </c>
      <c r="U133" s="3">
        <f>Analyzed!AU134/Analyzed!$CS134</f>
        <v>0</v>
      </c>
      <c r="V133" s="3">
        <f>Analyzed!AW134/Analyzed!$CS134</f>
        <v>0</v>
      </c>
      <c r="W133" s="3">
        <f>Analyzed!AY134/Analyzed!$CS134</f>
        <v>0</v>
      </c>
      <c r="X133" s="3">
        <f>Analyzed!BA134/Analyzed!$CS134</f>
        <v>0</v>
      </c>
      <c r="Y133" s="3">
        <f>Analyzed!BC134/Analyzed!$CS134</f>
        <v>0</v>
      </c>
      <c r="Z133" s="3">
        <f>Analyzed!BE134/Analyzed!$CS134</f>
        <v>0</v>
      </c>
      <c r="AA133" s="3">
        <f>Analyzed!BG134/Analyzed!$CS134</f>
        <v>1.8716660947686937E-3</v>
      </c>
    </row>
  </sheetData>
  <phoneticPr fontId="1" type="noConversion"/>
  <pageMargins left="0.7" right="0.7" top="0.75" bottom="0.75" header="0.3" footer="0.3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E5C054-E373-4F49-88C9-1DBCCD639132}">
  <dimension ref="A1:AA132"/>
  <sheetViews>
    <sheetView topLeftCell="A98" workbookViewId="0">
      <selection activeCell="N135" sqref="N135"/>
    </sheetView>
  </sheetViews>
  <sheetFormatPr defaultRowHeight="15" x14ac:dyDescent="0.25"/>
  <sheetData>
    <row r="1" spans="1:27" x14ac:dyDescent="0.25">
      <c r="A1" t="s">
        <v>0</v>
      </c>
      <c r="B1" t="s">
        <v>4</v>
      </c>
      <c r="C1" t="s">
        <v>26</v>
      </c>
      <c r="D1" t="s">
        <v>9</v>
      </c>
      <c r="E1" t="s">
        <v>5</v>
      </c>
      <c r="F1" t="s">
        <v>6</v>
      </c>
      <c r="G1" t="s">
        <v>7</v>
      </c>
      <c r="H1" t="s">
        <v>69</v>
      </c>
      <c r="I1" t="s">
        <v>8</v>
      </c>
      <c r="J1" t="s">
        <v>10</v>
      </c>
      <c r="K1" t="s">
        <v>39</v>
      </c>
      <c r="L1" t="s">
        <v>28</v>
      </c>
      <c r="M1" t="s">
        <v>29</v>
      </c>
      <c r="N1" t="s">
        <v>30</v>
      </c>
      <c r="O1" t="s">
        <v>36</v>
      </c>
      <c r="P1" t="s">
        <v>58</v>
      </c>
      <c r="Q1" t="s">
        <v>68</v>
      </c>
      <c r="R1" t="s">
        <v>81</v>
      </c>
      <c r="S1" t="s">
        <v>82</v>
      </c>
      <c r="T1" t="s">
        <v>98</v>
      </c>
      <c r="U1" t="s">
        <v>102</v>
      </c>
      <c r="V1" t="s">
        <v>112</v>
      </c>
      <c r="X1" t="s">
        <v>119</v>
      </c>
      <c r="Y1" t="s">
        <v>126</v>
      </c>
      <c r="Z1" t="s">
        <v>127</v>
      </c>
    </row>
    <row r="2" spans="1:27" x14ac:dyDescent="0.25">
      <c r="A2" t="s">
        <v>11</v>
      </c>
      <c r="B2" s="3">
        <f>p_B!B2^2</f>
        <v>0.20933180717308941</v>
      </c>
      <c r="C2" s="3">
        <f>p_B!C2^2</f>
        <v>0.28284515399413701</v>
      </c>
      <c r="D2" s="3">
        <f>p_B!D2^2</f>
        <v>0</v>
      </c>
      <c r="E2" s="3">
        <f>p_B!E2^2</f>
        <v>0</v>
      </c>
      <c r="F2" s="3">
        <f>p_B!F2^2</f>
        <v>0</v>
      </c>
      <c r="G2" s="3">
        <f>p_B!G2^2</f>
        <v>0</v>
      </c>
      <c r="H2" s="3">
        <f>p_B!H2^2</f>
        <v>0</v>
      </c>
      <c r="I2" s="3">
        <f>p_B!I2^2</f>
        <v>0</v>
      </c>
      <c r="J2" s="3">
        <f>p_B!J2^2</f>
        <v>1.132135247015086E-4</v>
      </c>
      <c r="K2" s="3">
        <f>p_B!K2^2</f>
        <v>0</v>
      </c>
      <c r="L2" s="3">
        <f>p_B!L2^2</f>
        <v>0</v>
      </c>
      <c r="M2" s="3">
        <f>p_B!M2^2</f>
        <v>0</v>
      </c>
      <c r="N2" s="3">
        <f>p_B!N2^2</f>
        <v>0</v>
      </c>
      <c r="O2" s="3">
        <f>p_B!O2^2</f>
        <v>0</v>
      </c>
      <c r="P2" s="3">
        <f>p_B!P2^2</f>
        <v>0</v>
      </c>
      <c r="Q2" s="3">
        <f>p_B!Q2^2</f>
        <v>0</v>
      </c>
      <c r="R2" s="3">
        <f>p_B!R2^2</f>
        <v>0</v>
      </c>
      <c r="S2" s="3">
        <f>p_B!S2^2</f>
        <v>0</v>
      </c>
      <c r="T2" s="3">
        <f>p_B!T2^2</f>
        <v>0</v>
      </c>
      <c r="U2" s="3">
        <f>p_B!U2^2</f>
        <v>0</v>
      </c>
      <c r="V2" s="3">
        <f>p_B!V2^2</f>
        <v>0</v>
      </c>
      <c r="W2" s="3">
        <f>p_B!W2^2</f>
        <v>0</v>
      </c>
      <c r="X2" s="3">
        <f>p_B!X2^2</f>
        <v>0</v>
      </c>
      <c r="Y2" s="3">
        <f>p_B!Y2^2</f>
        <v>0</v>
      </c>
      <c r="Z2" s="3">
        <f>p_B!Z2^2</f>
        <v>0</v>
      </c>
      <c r="AA2" s="3">
        <f>p_B!AA2^2</f>
        <v>0</v>
      </c>
    </row>
    <row r="3" spans="1:27" x14ac:dyDescent="0.25">
      <c r="A3" t="s">
        <v>12</v>
      </c>
      <c r="B3" s="3">
        <f>p_B!B3^2</f>
        <v>5.742743429339818E-2</v>
      </c>
      <c r="C3" s="3">
        <f>p_B!C3^2</f>
        <v>0.57814699741578812</v>
      </c>
      <c r="D3" s="3">
        <f>p_B!D3^2</f>
        <v>0</v>
      </c>
      <c r="E3" s="3">
        <f>p_B!E3^2</f>
        <v>0</v>
      </c>
      <c r="F3" s="3">
        <f>p_B!F3^2</f>
        <v>0</v>
      </c>
      <c r="G3" s="3">
        <f>p_B!G3^2</f>
        <v>0</v>
      </c>
      <c r="H3" s="3">
        <f>p_B!H3^2</f>
        <v>0</v>
      </c>
      <c r="I3" s="3">
        <f>p_B!I3^2</f>
        <v>0</v>
      </c>
      <c r="J3" s="3">
        <f>p_B!J3^2</f>
        <v>0</v>
      </c>
      <c r="K3" s="3">
        <f>p_B!K3^2</f>
        <v>0</v>
      </c>
      <c r="L3" s="3">
        <f>p_B!L3^2</f>
        <v>0</v>
      </c>
      <c r="M3" s="3">
        <f>p_B!M3^2</f>
        <v>0</v>
      </c>
      <c r="N3" s="3">
        <f>p_B!N3^2</f>
        <v>0</v>
      </c>
      <c r="O3" s="3">
        <f>p_B!O3^2</f>
        <v>0</v>
      </c>
      <c r="P3" s="3">
        <f>p_B!P3^2</f>
        <v>0</v>
      </c>
      <c r="Q3" s="3">
        <f>p_B!Q3^2</f>
        <v>0</v>
      </c>
      <c r="R3" s="3">
        <f>p_B!R3^2</f>
        <v>0</v>
      </c>
      <c r="S3" s="3">
        <f>p_B!S3^2</f>
        <v>0</v>
      </c>
      <c r="T3" s="3">
        <f>p_B!T3^2</f>
        <v>0</v>
      </c>
      <c r="U3" s="3">
        <f>p_B!U3^2</f>
        <v>0</v>
      </c>
      <c r="V3" s="3">
        <f>p_B!V3^2</f>
        <v>0</v>
      </c>
      <c r="W3" s="3">
        <f>p_B!W3^2</f>
        <v>0</v>
      </c>
      <c r="X3" s="3">
        <f>p_B!X3^2</f>
        <v>0</v>
      </c>
      <c r="Y3" s="3">
        <f>p_B!Y3^2</f>
        <v>0</v>
      </c>
      <c r="Z3" s="3">
        <f>p_B!Z3^2</f>
        <v>0</v>
      </c>
      <c r="AA3" s="3">
        <f>p_B!AA3^2</f>
        <v>0</v>
      </c>
    </row>
    <row r="4" spans="1:27" x14ac:dyDescent="0.25">
      <c r="A4" t="s">
        <v>13</v>
      </c>
      <c r="B4" s="3">
        <f>p_B!B4^2</f>
        <v>0.32731766977745386</v>
      </c>
      <c r="C4" s="3">
        <f>p_B!C4^2</f>
        <v>0.18051623890055357</v>
      </c>
      <c r="D4" s="3">
        <f>p_B!D4^2</f>
        <v>0</v>
      </c>
      <c r="E4" s="3">
        <f>p_B!E4^2</f>
        <v>0</v>
      </c>
      <c r="F4" s="3">
        <f>p_B!F4^2</f>
        <v>0</v>
      </c>
      <c r="G4" s="3">
        <f>p_B!G4^2</f>
        <v>0</v>
      </c>
      <c r="H4" s="3">
        <f>p_B!H4^2</f>
        <v>0</v>
      </c>
      <c r="I4" s="3">
        <f>p_B!I4^2</f>
        <v>0</v>
      </c>
      <c r="J4" s="3">
        <f>p_B!J4^2</f>
        <v>9.0669714619793356E-6</v>
      </c>
      <c r="K4" s="3">
        <f>p_B!K4^2</f>
        <v>0</v>
      </c>
      <c r="L4" s="3">
        <f>p_B!L4^2</f>
        <v>0</v>
      </c>
      <c r="M4" s="3">
        <f>p_B!M4^2</f>
        <v>0</v>
      </c>
      <c r="N4" s="3">
        <f>p_B!N4^2</f>
        <v>0</v>
      </c>
      <c r="O4" s="3">
        <f>p_B!O4^2</f>
        <v>0</v>
      </c>
      <c r="P4" s="3">
        <f>p_B!P4^2</f>
        <v>0</v>
      </c>
      <c r="Q4" s="3">
        <f>p_B!Q4^2</f>
        <v>0</v>
      </c>
      <c r="R4" s="3">
        <f>p_B!R4^2</f>
        <v>0</v>
      </c>
      <c r="S4" s="3">
        <f>p_B!S4^2</f>
        <v>0</v>
      </c>
      <c r="T4" s="3">
        <f>p_B!T4^2</f>
        <v>0</v>
      </c>
      <c r="U4" s="3">
        <f>p_B!U4^2</f>
        <v>0</v>
      </c>
      <c r="V4" s="3">
        <f>p_B!V4^2</f>
        <v>0</v>
      </c>
      <c r="W4" s="3">
        <f>p_B!W4^2</f>
        <v>0</v>
      </c>
      <c r="X4" s="3">
        <f>p_B!X4^2</f>
        <v>0</v>
      </c>
      <c r="Y4" s="3">
        <f>p_B!Y4^2</f>
        <v>0</v>
      </c>
      <c r="Z4" s="3">
        <f>p_B!Z4^2</f>
        <v>0</v>
      </c>
      <c r="AA4" s="3">
        <f>p_B!AA4^2</f>
        <v>0</v>
      </c>
    </row>
    <row r="5" spans="1:27" x14ac:dyDescent="0.25">
      <c r="A5" t="s">
        <v>14</v>
      </c>
      <c r="B5" s="3">
        <f>p_B!B5^2</f>
        <v>0.81602294263184105</v>
      </c>
      <c r="C5" s="3">
        <f>p_B!C5^2</f>
        <v>1.7847700140110619E-4</v>
      </c>
      <c r="D5" s="3">
        <f>p_B!D5^2</f>
        <v>8.1673299084070243E-5</v>
      </c>
      <c r="E5" s="3">
        <f>p_B!E5^2</f>
        <v>0</v>
      </c>
      <c r="F5" s="3">
        <f>p_B!F5^2</f>
        <v>0</v>
      </c>
      <c r="G5" s="3">
        <f>p_B!G5^2</f>
        <v>0</v>
      </c>
      <c r="H5" s="3">
        <f>p_B!H5^2</f>
        <v>0</v>
      </c>
      <c r="I5" s="3">
        <f>p_B!I5^2</f>
        <v>0</v>
      </c>
      <c r="J5" s="3">
        <f>p_B!J5^2</f>
        <v>0</v>
      </c>
      <c r="K5" s="3">
        <f>p_B!K5^2</f>
        <v>0</v>
      </c>
      <c r="L5" s="3">
        <f>p_B!L5^2</f>
        <v>0</v>
      </c>
      <c r="M5" s="3">
        <f>p_B!M5^2</f>
        <v>5.3989292923834623E-3</v>
      </c>
      <c r="N5" s="3">
        <f>p_B!N5^2</f>
        <v>0</v>
      </c>
      <c r="O5" s="3">
        <f>p_B!O5^2</f>
        <v>0</v>
      </c>
      <c r="P5" s="3">
        <f>p_B!P5^2</f>
        <v>0</v>
      </c>
      <c r="Q5" s="3">
        <f>p_B!Q5^2</f>
        <v>0</v>
      </c>
      <c r="R5" s="3">
        <f>p_B!R5^2</f>
        <v>6.1756747889656129E-7</v>
      </c>
      <c r="S5" s="3">
        <f>p_B!S5^2</f>
        <v>0</v>
      </c>
      <c r="T5" s="3">
        <f>p_B!T5^2</f>
        <v>0</v>
      </c>
      <c r="U5" s="3">
        <f>p_B!U5^2</f>
        <v>0</v>
      </c>
      <c r="V5" s="3">
        <f>p_B!V5^2</f>
        <v>0</v>
      </c>
      <c r="W5" s="3">
        <f>p_B!W5^2</f>
        <v>0</v>
      </c>
      <c r="X5" s="3">
        <f>p_B!X5^2</f>
        <v>0</v>
      </c>
      <c r="Y5" s="3">
        <f>p_B!Y5^2</f>
        <v>0</v>
      </c>
      <c r="Z5" s="3">
        <f>p_B!Z5^2</f>
        <v>0</v>
      </c>
      <c r="AA5" s="3">
        <f>p_B!AA5^2</f>
        <v>0</v>
      </c>
    </row>
    <row r="6" spans="1:27" x14ac:dyDescent="0.25">
      <c r="A6" t="s">
        <v>15</v>
      </c>
      <c r="B6" s="3">
        <f>p_B!B6^2</f>
        <v>0.99072504623552693</v>
      </c>
      <c r="C6" s="3">
        <f>p_B!C6^2</f>
        <v>2.1606508225981806E-5</v>
      </c>
      <c r="D6" s="3">
        <f>p_B!D6^2</f>
        <v>0</v>
      </c>
      <c r="E6" s="3">
        <f>p_B!E6^2</f>
        <v>0</v>
      </c>
      <c r="F6" s="3">
        <f>p_B!F6^2</f>
        <v>0</v>
      </c>
      <c r="G6" s="3">
        <f>p_B!G6^2</f>
        <v>0</v>
      </c>
      <c r="H6" s="3">
        <f>p_B!H6^2</f>
        <v>0</v>
      </c>
      <c r="I6" s="3">
        <f>p_B!I6^2</f>
        <v>0</v>
      </c>
      <c r="J6" s="3">
        <f>p_B!J6^2</f>
        <v>0</v>
      </c>
      <c r="K6" s="3">
        <f>p_B!K6^2</f>
        <v>0</v>
      </c>
      <c r="L6" s="3">
        <f>p_B!L6^2</f>
        <v>0</v>
      </c>
      <c r="M6" s="3">
        <f>p_B!M6^2</f>
        <v>0</v>
      </c>
      <c r="N6" s="3">
        <f>p_B!N6^2</f>
        <v>0</v>
      </c>
      <c r="O6" s="3">
        <f>p_B!O6^2</f>
        <v>0</v>
      </c>
      <c r="P6" s="3">
        <f>p_B!P6^2</f>
        <v>0</v>
      </c>
      <c r="Q6" s="3">
        <f>p_B!Q6^2</f>
        <v>0</v>
      </c>
      <c r="R6" s="3">
        <f>p_B!R6^2</f>
        <v>0</v>
      </c>
      <c r="S6" s="3">
        <f>p_B!S6^2</f>
        <v>0</v>
      </c>
      <c r="T6" s="3">
        <f>p_B!T6^2</f>
        <v>0</v>
      </c>
      <c r="U6" s="3">
        <f>p_B!U6^2</f>
        <v>0</v>
      </c>
      <c r="V6" s="3">
        <f>p_B!V6^2</f>
        <v>0</v>
      </c>
      <c r="W6" s="3">
        <f>p_B!W6^2</f>
        <v>0</v>
      </c>
      <c r="X6" s="3">
        <f>p_B!X6^2</f>
        <v>0</v>
      </c>
      <c r="Y6" s="3">
        <f>p_B!Y6^2</f>
        <v>0</v>
      </c>
      <c r="Z6" s="3">
        <f>p_B!Z6^2</f>
        <v>0</v>
      </c>
      <c r="AA6" s="3">
        <f>p_B!AA6^2</f>
        <v>0</v>
      </c>
    </row>
    <row r="7" spans="1:27" x14ac:dyDescent="0.25">
      <c r="A7" t="s">
        <v>16</v>
      </c>
      <c r="B7" s="3">
        <f>p_B!B7^2</f>
        <v>0.19210429305762883</v>
      </c>
      <c r="C7" s="3">
        <f>p_B!C7^2</f>
        <v>0.3155102181115822</v>
      </c>
      <c r="D7" s="3">
        <f>p_B!D7^2</f>
        <v>0</v>
      </c>
      <c r="E7" s="3">
        <f>p_B!E7^2</f>
        <v>0</v>
      </c>
      <c r="F7" s="3">
        <f>p_B!F7^2</f>
        <v>0</v>
      </c>
      <c r="G7" s="3">
        <f>p_B!G7^2</f>
        <v>0</v>
      </c>
      <c r="H7" s="3">
        <f>p_B!H7^2</f>
        <v>0</v>
      </c>
      <c r="I7" s="3">
        <f>p_B!I7^2</f>
        <v>0</v>
      </c>
      <c r="J7" s="3">
        <f>p_B!J7^2</f>
        <v>0</v>
      </c>
      <c r="K7" s="3">
        <f>p_B!K7^2</f>
        <v>0</v>
      </c>
      <c r="L7" s="3">
        <f>p_B!L7^2</f>
        <v>0</v>
      </c>
      <c r="M7" s="3">
        <f>p_B!M7^2</f>
        <v>0</v>
      </c>
      <c r="N7" s="3">
        <f>p_B!N7^2</f>
        <v>0</v>
      </c>
      <c r="O7" s="3">
        <f>p_B!O7^2</f>
        <v>0</v>
      </c>
      <c r="P7" s="3">
        <f>p_B!P7^2</f>
        <v>0</v>
      </c>
      <c r="Q7" s="3">
        <f>p_B!Q7^2</f>
        <v>0</v>
      </c>
      <c r="R7" s="3">
        <f>p_B!R7^2</f>
        <v>0</v>
      </c>
      <c r="S7" s="3">
        <f>p_B!S7^2</f>
        <v>0</v>
      </c>
      <c r="T7" s="3">
        <f>p_B!T7^2</f>
        <v>0</v>
      </c>
      <c r="U7" s="3">
        <f>p_B!U7^2</f>
        <v>0</v>
      </c>
      <c r="V7" s="3">
        <f>p_B!V7^2</f>
        <v>0</v>
      </c>
      <c r="W7" s="3">
        <f>p_B!W7^2</f>
        <v>0</v>
      </c>
      <c r="X7" s="3">
        <f>p_B!X7^2</f>
        <v>0</v>
      </c>
      <c r="Y7" s="3">
        <f>p_B!Y7^2</f>
        <v>0</v>
      </c>
      <c r="Z7" s="3">
        <f>p_B!Z7^2</f>
        <v>0</v>
      </c>
      <c r="AA7" s="3">
        <f>p_B!AA7^2</f>
        <v>0</v>
      </c>
    </row>
    <row r="8" spans="1:27" x14ac:dyDescent="0.25">
      <c r="A8" t="s">
        <v>17</v>
      </c>
      <c r="B8" s="3">
        <f>p_B!B8^2</f>
        <v>0.80261962844811408</v>
      </c>
      <c r="C8" s="3">
        <f>p_B!C8^2</f>
        <v>3.0024394820791894E-5</v>
      </c>
      <c r="D8" s="3">
        <f>p_B!D8^2</f>
        <v>0</v>
      </c>
      <c r="E8" s="3">
        <f>p_B!E8^2</f>
        <v>0</v>
      </c>
      <c r="F8" s="3">
        <f>p_B!F8^2</f>
        <v>0</v>
      </c>
      <c r="G8" s="3">
        <f>p_B!G8^2</f>
        <v>0</v>
      </c>
      <c r="H8" s="3">
        <f>p_B!H8^2</f>
        <v>0</v>
      </c>
      <c r="I8" s="3">
        <f>p_B!I8^2</f>
        <v>0</v>
      </c>
      <c r="J8" s="3">
        <f>p_B!J8^2</f>
        <v>1.9215612685306808E-5</v>
      </c>
      <c r="K8" s="3">
        <f>p_B!K8^2</f>
        <v>0</v>
      </c>
      <c r="L8" s="3">
        <f>p_B!L8^2</f>
        <v>0</v>
      </c>
      <c r="M8" s="3">
        <f>p_B!M8^2</f>
        <v>0</v>
      </c>
      <c r="N8" s="3">
        <f>p_B!N8^2</f>
        <v>0</v>
      </c>
      <c r="O8" s="3">
        <f>p_B!O8^2</f>
        <v>7.3067367235879139E-3</v>
      </c>
      <c r="P8" s="3">
        <f>p_B!P8^2</f>
        <v>0</v>
      </c>
      <c r="Q8" s="3">
        <f>p_B!Q8^2</f>
        <v>0</v>
      </c>
      <c r="R8" s="3">
        <f>p_B!R8^2</f>
        <v>0</v>
      </c>
      <c r="S8" s="3">
        <f>p_B!S8^2</f>
        <v>7.6862450741227231E-5</v>
      </c>
      <c r="T8" s="3">
        <f>p_B!T8^2</f>
        <v>0</v>
      </c>
      <c r="U8" s="3">
        <f>p_B!U8^2</f>
        <v>0</v>
      </c>
      <c r="V8" s="3">
        <f>p_B!V8^2</f>
        <v>0</v>
      </c>
      <c r="W8" s="3">
        <f>p_B!W8^2</f>
        <v>0</v>
      </c>
      <c r="X8" s="3">
        <f>p_B!X8^2</f>
        <v>0</v>
      </c>
      <c r="Y8" s="3">
        <f>p_B!Y8^2</f>
        <v>0</v>
      </c>
      <c r="Z8" s="3">
        <f>p_B!Z8^2</f>
        <v>0</v>
      </c>
      <c r="AA8" s="3">
        <f>p_B!AA8^2</f>
        <v>0</v>
      </c>
    </row>
    <row r="9" spans="1:27" x14ac:dyDescent="0.25">
      <c r="A9" t="s">
        <v>73</v>
      </c>
      <c r="B9" s="3">
        <f>p_B!B9^2</f>
        <v>0.12265148482795374</v>
      </c>
      <c r="C9" s="3">
        <f>p_B!C9^2</f>
        <v>0.19635116600389932</v>
      </c>
      <c r="D9" s="3">
        <f>p_B!D9^2</f>
        <v>0</v>
      </c>
      <c r="E9" s="3">
        <f>p_B!E9^2</f>
        <v>0</v>
      </c>
      <c r="F9" s="3">
        <f>p_B!F9^2</f>
        <v>0</v>
      </c>
      <c r="G9" s="3">
        <f>p_B!G9^2</f>
        <v>0</v>
      </c>
      <c r="H9" s="3">
        <f>p_B!H9^2</f>
        <v>0</v>
      </c>
      <c r="I9" s="3">
        <f>p_B!I9^2</f>
        <v>0</v>
      </c>
      <c r="J9" s="3">
        <f>p_B!J9^2</f>
        <v>0</v>
      </c>
      <c r="K9" s="3">
        <f>p_B!K9^2</f>
        <v>0</v>
      </c>
      <c r="L9" s="3">
        <f>p_B!L9^2</f>
        <v>0</v>
      </c>
      <c r="M9" s="3">
        <f>p_B!M9^2</f>
        <v>0</v>
      </c>
      <c r="N9" s="3">
        <f>p_B!N9^2</f>
        <v>0</v>
      </c>
      <c r="O9" s="3">
        <f>p_B!O9^2</f>
        <v>0</v>
      </c>
      <c r="P9" s="3">
        <f>p_B!P9^2</f>
        <v>0</v>
      </c>
      <c r="Q9" s="3">
        <f>p_B!Q9^2</f>
        <v>0</v>
      </c>
      <c r="R9" s="3">
        <f>p_B!R9^2</f>
        <v>0</v>
      </c>
      <c r="S9" s="3">
        <f>p_B!S9^2</f>
        <v>0</v>
      </c>
      <c r="T9" s="3">
        <f>p_B!T9^2</f>
        <v>0</v>
      </c>
      <c r="U9" s="3">
        <f>p_B!U9^2</f>
        <v>0</v>
      </c>
      <c r="V9" s="3">
        <f>p_B!V9^2</f>
        <v>3.9918595798249155E-2</v>
      </c>
      <c r="W9" s="3">
        <f>p_B!W9^2</f>
        <v>4.7224076168483325E-5</v>
      </c>
      <c r="X9" s="3">
        <f>p_B!X9^2</f>
        <v>0</v>
      </c>
      <c r="Y9" s="3">
        <f>p_B!Y9^2</f>
        <v>0</v>
      </c>
      <c r="Z9" s="3">
        <f>p_B!Z9^2</f>
        <v>0</v>
      </c>
      <c r="AA9" s="3">
        <f>p_B!AA9^2</f>
        <v>0</v>
      </c>
    </row>
    <row r="10" spans="1:27" x14ac:dyDescent="0.25">
      <c r="A10" t="s">
        <v>74</v>
      </c>
      <c r="B10" s="3">
        <f>p_B!B10^2</f>
        <v>0.10205779886763852</v>
      </c>
      <c r="C10" s="3">
        <f>p_B!C10^2</f>
        <v>0.13218280923135103</v>
      </c>
      <c r="D10" s="3">
        <f>p_B!D10^2</f>
        <v>0</v>
      </c>
      <c r="E10" s="3">
        <f>p_B!E10^2</f>
        <v>0</v>
      </c>
      <c r="F10" s="3">
        <f>p_B!F10^2</f>
        <v>0</v>
      </c>
      <c r="G10" s="3">
        <f>p_B!G10^2</f>
        <v>0</v>
      </c>
      <c r="H10" s="3">
        <f>p_B!H10^2</f>
        <v>0</v>
      </c>
      <c r="I10" s="3">
        <f>p_B!I10^2</f>
        <v>0</v>
      </c>
      <c r="J10" s="3">
        <f>p_B!J10^2</f>
        <v>2.3537190619947573E-5</v>
      </c>
      <c r="K10" s="3">
        <f>p_B!K10^2</f>
        <v>0</v>
      </c>
      <c r="L10" s="3">
        <f>p_B!L10^2</f>
        <v>0</v>
      </c>
      <c r="M10" s="3">
        <f>p_B!M10^2</f>
        <v>0</v>
      </c>
      <c r="N10" s="3">
        <f>p_B!N10^2</f>
        <v>0</v>
      </c>
      <c r="O10" s="3">
        <f>p_B!O10^2</f>
        <v>9.741520148915854E-2</v>
      </c>
      <c r="P10" s="3">
        <f>p_B!P10^2</f>
        <v>0</v>
      </c>
      <c r="Q10" s="3">
        <f>p_B!Q10^2</f>
        <v>0</v>
      </c>
      <c r="R10" s="3">
        <f>p_B!R10^2</f>
        <v>0</v>
      </c>
      <c r="S10" s="3">
        <f>p_B!S10^2</f>
        <v>0</v>
      </c>
      <c r="T10" s="3">
        <f>p_B!T10^2</f>
        <v>0</v>
      </c>
      <c r="U10" s="3">
        <f>p_B!U10^2</f>
        <v>0</v>
      </c>
      <c r="V10" s="3">
        <f>p_B!V10^2</f>
        <v>0</v>
      </c>
      <c r="W10" s="3">
        <f>p_B!W10^2</f>
        <v>0</v>
      </c>
      <c r="X10" s="3">
        <f>p_B!X10^2</f>
        <v>0</v>
      </c>
      <c r="Y10" s="3">
        <f>p_B!Y10^2</f>
        <v>0</v>
      </c>
      <c r="Z10" s="3">
        <f>p_B!Z10^2</f>
        <v>0</v>
      </c>
      <c r="AA10" s="3">
        <f>p_B!AA10^2</f>
        <v>0</v>
      </c>
    </row>
    <row r="11" spans="1:27" x14ac:dyDescent="0.25">
      <c r="A11" t="s">
        <v>75</v>
      </c>
      <c r="B11" s="3">
        <f>p_B!B11^2</f>
        <v>5.5648912342780216E-2</v>
      </c>
      <c r="C11" s="3">
        <f>p_B!C11^2</f>
        <v>0.2889645501209292</v>
      </c>
      <c r="D11" s="3">
        <f>p_B!D11^2</f>
        <v>0</v>
      </c>
      <c r="E11" s="3">
        <f>p_B!E11^2</f>
        <v>0</v>
      </c>
      <c r="F11" s="3">
        <f>p_B!F11^2</f>
        <v>0</v>
      </c>
      <c r="G11" s="3">
        <f>p_B!G11^2</f>
        <v>0</v>
      </c>
      <c r="H11" s="3">
        <f>p_B!H11^2</f>
        <v>0</v>
      </c>
      <c r="I11" s="3">
        <f>p_B!I11^2</f>
        <v>0</v>
      </c>
      <c r="J11" s="3">
        <f>p_B!J11^2</f>
        <v>0</v>
      </c>
      <c r="K11" s="3">
        <f>p_B!K11^2</f>
        <v>0</v>
      </c>
      <c r="L11" s="3">
        <f>p_B!L11^2</f>
        <v>0</v>
      </c>
      <c r="M11" s="3">
        <f>p_B!M11^2</f>
        <v>0</v>
      </c>
      <c r="N11" s="3">
        <f>p_B!N11^2</f>
        <v>0</v>
      </c>
      <c r="O11" s="3">
        <f>p_B!O11^2</f>
        <v>5.1322887649926346E-2</v>
      </c>
      <c r="P11" s="3">
        <f>p_B!P11^2</f>
        <v>0</v>
      </c>
      <c r="Q11" s="3">
        <f>p_B!Q11^2</f>
        <v>0</v>
      </c>
      <c r="R11" s="3">
        <f>p_B!R11^2</f>
        <v>0</v>
      </c>
      <c r="S11" s="3">
        <f>p_B!S11^2</f>
        <v>0</v>
      </c>
      <c r="T11" s="3">
        <f>p_B!T11^2</f>
        <v>0</v>
      </c>
      <c r="U11" s="3">
        <f>p_B!U11^2</f>
        <v>0</v>
      </c>
      <c r="V11" s="3">
        <f>p_B!V11^2</f>
        <v>0</v>
      </c>
      <c r="W11" s="3">
        <f>p_B!W11^2</f>
        <v>0</v>
      </c>
      <c r="X11" s="3">
        <f>p_B!X11^2</f>
        <v>0</v>
      </c>
      <c r="Y11" s="3">
        <f>p_B!Y11^2</f>
        <v>0</v>
      </c>
      <c r="Z11" s="3">
        <f>p_B!Z11^2</f>
        <v>0</v>
      </c>
      <c r="AA11" s="3">
        <f>p_B!AA11^2</f>
        <v>0</v>
      </c>
    </row>
    <row r="12" spans="1:27" x14ac:dyDescent="0.25">
      <c r="A12" t="s">
        <v>76</v>
      </c>
      <c r="B12" s="3">
        <f>p_B!B12^2</f>
        <v>5.3065871108895282E-2</v>
      </c>
      <c r="C12" s="3">
        <f>p_B!C12^2</f>
        <v>7.0023225476921233E-2</v>
      </c>
      <c r="D12" s="3">
        <f>p_B!D12^2</f>
        <v>0</v>
      </c>
      <c r="E12" s="3">
        <f>p_B!E12^2</f>
        <v>0</v>
      </c>
      <c r="F12" s="3">
        <f>p_B!F12^2</f>
        <v>0</v>
      </c>
      <c r="G12" s="3">
        <f>p_B!G12^2</f>
        <v>0</v>
      </c>
      <c r="H12" s="3">
        <f>p_B!H12^2</f>
        <v>0</v>
      </c>
      <c r="I12" s="3">
        <f>p_B!I12^2</f>
        <v>0</v>
      </c>
      <c r="J12" s="3">
        <f>p_B!J12^2</f>
        <v>0</v>
      </c>
      <c r="K12" s="3">
        <f>p_B!K12^2</f>
        <v>0</v>
      </c>
      <c r="L12" s="3">
        <f>p_B!L12^2</f>
        <v>0</v>
      </c>
      <c r="M12" s="3">
        <f>p_B!M12^2</f>
        <v>0</v>
      </c>
      <c r="N12" s="3">
        <f>p_B!N12^2</f>
        <v>0</v>
      </c>
      <c r="O12" s="3">
        <f>p_B!O12^2</f>
        <v>0</v>
      </c>
      <c r="P12" s="3">
        <f>p_B!P12^2</f>
        <v>0</v>
      </c>
      <c r="Q12" s="3">
        <f>p_B!Q12^2</f>
        <v>0.2550458805218947</v>
      </c>
      <c r="R12" s="3">
        <f>p_B!R12^2</f>
        <v>0</v>
      </c>
      <c r="S12" s="3">
        <f>p_B!S12^2</f>
        <v>0</v>
      </c>
      <c r="T12" s="3">
        <f>p_B!T12^2</f>
        <v>0</v>
      </c>
      <c r="U12" s="3">
        <f>p_B!U12^2</f>
        <v>0</v>
      </c>
      <c r="V12" s="3">
        <f>p_B!V12^2</f>
        <v>0</v>
      </c>
      <c r="W12" s="3">
        <f>p_B!W12^2</f>
        <v>0</v>
      </c>
      <c r="X12" s="3">
        <f>p_B!X12^2</f>
        <v>0</v>
      </c>
      <c r="Y12" s="3">
        <f>p_B!Y12^2</f>
        <v>0</v>
      </c>
      <c r="Z12" s="3">
        <f>p_B!Z12^2</f>
        <v>0</v>
      </c>
      <c r="AA12" s="3">
        <f>p_B!AA12^2</f>
        <v>0</v>
      </c>
    </row>
    <row r="13" spans="1:27" x14ac:dyDescent="0.25">
      <c r="A13" t="s">
        <v>83</v>
      </c>
      <c r="B13" s="3">
        <f>p_B!B13^2</f>
        <v>0.14329443196905373</v>
      </c>
      <c r="C13" s="3">
        <f>p_B!C13^2</f>
        <v>0.21802976245763378</v>
      </c>
      <c r="D13" s="3">
        <f>p_B!D13^2</f>
        <v>0</v>
      </c>
      <c r="E13" s="3">
        <f>p_B!E13^2</f>
        <v>0</v>
      </c>
      <c r="F13" s="3">
        <f>p_B!F13^2</f>
        <v>0</v>
      </c>
      <c r="G13" s="3">
        <f>p_B!G13^2</f>
        <v>0</v>
      </c>
      <c r="H13" s="3">
        <f>p_B!H13^2</f>
        <v>0</v>
      </c>
      <c r="I13" s="3">
        <f>p_B!I13^2</f>
        <v>0</v>
      </c>
      <c r="J13" s="3">
        <f>p_B!J13^2</f>
        <v>0</v>
      </c>
      <c r="K13" s="3">
        <f>p_B!K13^2</f>
        <v>0</v>
      </c>
      <c r="L13" s="3">
        <f>p_B!L13^2</f>
        <v>0</v>
      </c>
      <c r="M13" s="3">
        <f>p_B!M13^2</f>
        <v>0</v>
      </c>
      <c r="N13" s="3">
        <f>p_B!N13^2</f>
        <v>0</v>
      </c>
      <c r="O13" s="3">
        <f>p_B!O13^2</f>
        <v>0</v>
      </c>
      <c r="P13" s="3">
        <f>p_B!P13^2</f>
        <v>0</v>
      </c>
      <c r="Q13" s="3">
        <f>p_B!Q13^2</f>
        <v>2.3876714000302328E-2</v>
      </c>
      <c r="R13" s="3">
        <f>p_B!R13^2</f>
        <v>0</v>
      </c>
      <c r="S13" s="3">
        <f>p_B!S13^2</f>
        <v>0</v>
      </c>
      <c r="T13" s="3">
        <f>p_B!T13^2</f>
        <v>0</v>
      </c>
      <c r="U13" s="3">
        <f>p_B!U13^2</f>
        <v>0</v>
      </c>
      <c r="V13" s="3">
        <f>p_B!V13^2</f>
        <v>0</v>
      </c>
      <c r="W13" s="3">
        <f>p_B!W13^2</f>
        <v>0</v>
      </c>
      <c r="X13" s="3">
        <f>p_B!X13^2</f>
        <v>0</v>
      </c>
      <c r="Y13" s="3">
        <f>p_B!Y13^2</f>
        <v>0</v>
      </c>
      <c r="Z13" s="3">
        <f>p_B!Z13^2</f>
        <v>0</v>
      </c>
      <c r="AA13" s="3">
        <f>p_B!AA13^2</f>
        <v>0</v>
      </c>
    </row>
    <row r="14" spans="1:27" x14ac:dyDescent="0.25">
      <c r="A14" t="s">
        <v>84</v>
      </c>
      <c r="B14" s="3">
        <f>p_B!B14^2</f>
        <v>0.2153509379651275</v>
      </c>
      <c r="C14" s="3">
        <f>p_B!C14^2</f>
        <v>0.28723254473045512</v>
      </c>
      <c r="D14" s="3">
        <f>p_B!D14^2</f>
        <v>0</v>
      </c>
      <c r="E14" s="3">
        <f>p_B!E14^2</f>
        <v>0</v>
      </c>
      <c r="F14" s="3">
        <f>p_B!F14^2</f>
        <v>0</v>
      </c>
      <c r="G14" s="3">
        <f>p_B!G14^2</f>
        <v>0</v>
      </c>
      <c r="H14" s="3">
        <f>p_B!H14^2</f>
        <v>0</v>
      </c>
      <c r="I14" s="3">
        <f>p_B!I14^2</f>
        <v>0</v>
      </c>
      <c r="J14" s="3">
        <f>p_B!J14^2</f>
        <v>0</v>
      </c>
      <c r="K14" s="3">
        <f>p_B!K14^2</f>
        <v>0</v>
      </c>
      <c r="L14" s="3">
        <f>p_B!L14^2</f>
        <v>0</v>
      </c>
      <c r="M14" s="3">
        <f>p_B!M14^2</f>
        <v>0</v>
      </c>
      <c r="N14" s="3">
        <f>p_B!N14^2</f>
        <v>0</v>
      </c>
      <c r="O14" s="3">
        <f>p_B!O14^2</f>
        <v>0</v>
      </c>
      <c r="P14" s="3">
        <f>p_B!P14^2</f>
        <v>0</v>
      </c>
      <c r="Q14" s="3">
        <f>p_B!Q14^2</f>
        <v>0</v>
      </c>
      <c r="R14" s="3">
        <f>p_B!R14^2</f>
        <v>0</v>
      </c>
      <c r="S14" s="3">
        <f>p_B!S14^2</f>
        <v>0</v>
      </c>
      <c r="T14" s="3">
        <f>p_B!T14^2</f>
        <v>0</v>
      </c>
      <c r="U14" s="3">
        <f>p_B!U14^2</f>
        <v>0</v>
      </c>
      <c r="V14" s="3">
        <f>p_B!V14^2</f>
        <v>0</v>
      </c>
      <c r="W14" s="3">
        <f>p_B!W14^2</f>
        <v>0</v>
      </c>
      <c r="X14" s="3">
        <f>p_B!X14^2</f>
        <v>0</v>
      </c>
      <c r="Y14" s="3">
        <f>p_B!Y14^2</f>
        <v>0</v>
      </c>
      <c r="Z14" s="3">
        <f>p_B!Z14^2</f>
        <v>0</v>
      </c>
      <c r="AA14" s="3">
        <f>p_B!AA14^2</f>
        <v>0</v>
      </c>
    </row>
    <row r="15" spans="1:27" x14ac:dyDescent="0.25">
      <c r="A15" t="s">
        <v>85</v>
      </c>
      <c r="B15" s="3">
        <f>p_B!B15^2</f>
        <v>7.7028086311734939E-2</v>
      </c>
      <c r="C15" s="3">
        <f>p_B!C15^2</f>
        <v>0.49657412130736095</v>
      </c>
      <c r="D15" s="3">
        <f>p_B!D15^2</f>
        <v>0</v>
      </c>
      <c r="E15" s="3">
        <f>p_B!E15^2</f>
        <v>0</v>
      </c>
      <c r="F15" s="3">
        <f>p_B!F15^2</f>
        <v>0</v>
      </c>
      <c r="G15" s="3">
        <f>p_B!G15^2</f>
        <v>0</v>
      </c>
      <c r="H15" s="3">
        <f>p_B!H15^2</f>
        <v>0</v>
      </c>
      <c r="I15" s="3">
        <f>p_B!I15^2</f>
        <v>0</v>
      </c>
      <c r="J15" s="3">
        <f>p_B!J15^2</f>
        <v>3.1614627836435468E-4</v>
      </c>
      <c r="K15" s="3">
        <f>p_B!K15^2</f>
        <v>0</v>
      </c>
      <c r="L15" s="3">
        <f>p_B!L15^2</f>
        <v>0</v>
      </c>
      <c r="M15" s="3">
        <f>p_B!M15^2</f>
        <v>0</v>
      </c>
      <c r="N15" s="3">
        <f>p_B!N15^2</f>
        <v>0</v>
      </c>
      <c r="O15" s="3">
        <f>p_B!O15^2</f>
        <v>0</v>
      </c>
      <c r="P15" s="3">
        <f>p_B!P15^2</f>
        <v>0</v>
      </c>
      <c r="Q15" s="3">
        <f>p_B!Q15^2</f>
        <v>0</v>
      </c>
      <c r="R15" s="3">
        <f>p_B!R15^2</f>
        <v>0</v>
      </c>
      <c r="S15" s="3">
        <f>p_B!S15^2</f>
        <v>0</v>
      </c>
      <c r="T15" s="3">
        <f>p_B!T15^2</f>
        <v>0</v>
      </c>
      <c r="U15" s="3">
        <f>p_B!U15^2</f>
        <v>0</v>
      </c>
      <c r="V15" s="3">
        <f>p_B!V15^2</f>
        <v>0</v>
      </c>
      <c r="W15" s="3">
        <f>p_B!W15^2</f>
        <v>0</v>
      </c>
      <c r="X15" s="3">
        <f>p_B!X15^2</f>
        <v>0</v>
      </c>
      <c r="Y15" s="3">
        <f>p_B!Y15^2</f>
        <v>0</v>
      </c>
      <c r="Z15" s="3">
        <f>p_B!Z15^2</f>
        <v>0</v>
      </c>
      <c r="AA15" s="3">
        <f>p_B!AA15^2</f>
        <v>0</v>
      </c>
    </row>
    <row r="16" spans="1:27" x14ac:dyDescent="0.25">
      <c r="A16" t="s">
        <v>86</v>
      </c>
      <c r="B16" s="3">
        <f>p_B!B16^2</f>
        <v>5.3410838484224898E-2</v>
      </c>
      <c r="C16" s="3">
        <f>p_B!C16^2</f>
        <v>0</v>
      </c>
      <c r="D16" s="3">
        <f>p_B!D16^2</f>
        <v>0</v>
      </c>
      <c r="E16" s="3">
        <f>p_B!E16^2</f>
        <v>0</v>
      </c>
      <c r="F16" s="3">
        <f>p_B!F16^2</f>
        <v>0</v>
      </c>
      <c r="G16" s="3">
        <f>p_B!G16^2</f>
        <v>0</v>
      </c>
      <c r="H16" s="3">
        <f>p_B!H16^2</f>
        <v>0</v>
      </c>
      <c r="I16" s="3">
        <f>p_B!I16^2</f>
        <v>0</v>
      </c>
      <c r="J16" s="3">
        <f>p_B!J16^2</f>
        <v>0</v>
      </c>
      <c r="K16" s="3">
        <f>p_B!K16^2</f>
        <v>0</v>
      </c>
      <c r="L16" s="3">
        <f>p_B!L16^2</f>
        <v>0</v>
      </c>
      <c r="M16" s="3">
        <f>p_B!M16^2</f>
        <v>0</v>
      </c>
      <c r="N16" s="3">
        <f>p_B!N16^2</f>
        <v>0</v>
      </c>
      <c r="O16" s="3">
        <f>p_B!O16^2</f>
        <v>0</v>
      </c>
      <c r="P16" s="3">
        <f>p_B!P16^2</f>
        <v>0</v>
      </c>
      <c r="Q16" s="3">
        <f>p_B!Q16^2</f>
        <v>0.59119513782391664</v>
      </c>
      <c r="R16" s="3">
        <f>p_B!R16^2</f>
        <v>0</v>
      </c>
      <c r="S16" s="3">
        <f>p_B!S16^2</f>
        <v>0</v>
      </c>
      <c r="T16" s="3">
        <f>p_B!T16^2</f>
        <v>0</v>
      </c>
      <c r="U16" s="3">
        <f>p_B!U16^2</f>
        <v>0</v>
      </c>
      <c r="V16" s="3">
        <f>p_B!V16^2</f>
        <v>0</v>
      </c>
      <c r="W16" s="3">
        <f>p_B!W16^2</f>
        <v>0</v>
      </c>
      <c r="X16" s="3">
        <f>p_B!X16^2</f>
        <v>0</v>
      </c>
      <c r="Y16" s="3">
        <f>p_B!Y16^2</f>
        <v>0</v>
      </c>
      <c r="Z16" s="3">
        <f>p_B!Z16^2</f>
        <v>0</v>
      </c>
      <c r="AA16" s="3">
        <f>p_B!AA16^2</f>
        <v>0</v>
      </c>
    </row>
    <row r="17" spans="1:27" x14ac:dyDescent="0.25">
      <c r="A17" t="s">
        <v>90</v>
      </c>
      <c r="B17" s="3">
        <f>p_B!B17^2</f>
        <v>1.4123612763656034E-3</v>
      </c>
      <c r="C17" s="3">
        <f>p_B!C17^2</f>
        <v>3.6721254732287729E-4</v>
      </c>
      <c r="D17" s="3">
        <f>p_B!D17^2</f>
        <v>0</v>
      </c>
      <c r="E17" s="3">
        <f>p_B!E17^2</f>
        <v>0</v>
      </c>
      <c r="F17" s="3">
        <f>p_B!F17^2</f>
        <v>0</v>
      </c>
      <c r="G17" s="3">
        <f>p_B!G17^2</f>
        <v>0</v>
      </c>
      <c r="H17" s="3">
        <f>p_B!H17^2</f>
        <v>2.500811249323957E-6</v>
      </c>
      <c r="I17" s="3">
        <f>p_B!I17^2</f>
        <v>0</v>
      </c>
      <c r="J17" s="3">
        <f>p_B!J17^2</f>
        <v>1.1049432125473226E-4</v>
      </c>
      <c r="K17" s="3">
        <f>p_B!K17^2</f>
        <v>0</v>
      </c>
      <c r="L17" s="3">
        <f>p_B!L17^2</f>
        <v>0</v>
      </c>
      <c r="M17" s="3">
        <f>p_B!M17^2</f>
        <v>2.2991022174148189E-4</v>
      </c>
      <c r="N17" s="3">
        <f>p_B!N17^2</f>
        <v>0</v>
      </c>
      <c r="O17" s="3">
        <f>p_B!O17^2</f>
        <v>5.1602933477555436E-2</v>
      </c>
      <c r="P17" s="3">
        <f>p_B!P17^2</f>
        <v>0</v>
      </c>
      <c r="Q17" s="3">
        <f>p_B!Q17^2</f>
        <v>0</v>
      </c>
      <c r="R17" s="3">
        <f>p_B!R17^2</f>
        <v>0</v>
      </c>
      <c r="S17" s="3">
        <f>p_B!S17^2</f>
        <v>0</v>
      </c>
      <c r="T17" s="3">
        <f>p_B!T17^2</f>
        <v>0</v>
      </c>
      <c r="U17" s="3">
        <f>p_B!U17^2</f>
        <v>0</v>
      </c>
      <c r="V17" s="3">
        <f>p_B!V17^2</f>
        <v>0</v>
      </c>
      <c r="W17" s="3">
        <f>p_B!W17^2</f>
        <v>0</v>
      </c>
      <c r="X17" s="3">
        <f>p_B!X17^2</f>
        <v>0.11345930557057869</v>
      </c>
      <c r="Y17" s="3">
        <f>p_B!Y17^2</f>
        <v>2.2991022174148189E-4</v>
      </c>
      <c r="Z17" s="3">
        <f>p_B!Z17^2</f>
        <v>0</v>
      </c>
      <c r="AA17" s="3">
        <f>p_B!AA17^2</f>
        <v>0</v>
      </c>
    </row>
    <row r="18" spans="1:27" x14ac:dyDescent="0.25">
      <c r="A18" t="s">
        <v>91</v>
      </c>
      <c r="B18" s="3">
        <f>p_B!B18^2</f>
        <v>0.26866842269628649</v>
      </c>
      <c r="C18" s="3">
        <f>p_B!C18^2</f>
        <v>8.952673579576146E-5</v>
      </c>
      <c r="D18" s="3">
        <f>p_B!D18^2</f>
        <v>0</v>
      </c>
      <c r="E18" s="3">
        <f>p_B!E18^2</f>
        <v>0</v>
      </c>
      <c r="F18" s="3">
        <f>p_B!F18^2</f>
        <v>0</v>
      </c>
      <c r="G18" s="3">
        <f>p_B!G18^2</f>
        <v>0</v>
      </c>
      <c r="H18" s="3">
        <f>p_B!H18^2</f>
        <v>0.10047137924679336</v>
      </c>
      <c r="I18" s="3">
        <f>p_B!I18^2</f>
        <v>0</v>
      </c>
      <c r="J18" s="3">
        <f>p_B!J18^2</f>
        <v>3.3586514475878663E-3</v>
      </c>
      <c r="K18" s="3">
        <f>p_B!K18^2</f>
        <v>0</v>
      </c>
      <c r="L18" s="3">
        <f>p_B!L18^2</f>
        <v>0</v>
      </c>
      <c r="M18" s="3">
        <f>p_B!M18^2</f>
        <v>0</v>
      </c>
      <c r="N18" s="3">
        <f>p_B!N18^2</f>
        <v>0</v>
      </c>
      <c r="O18" s="3">
        <f>p_B!O18^2</f>
        <v>0</v>
      </c>
      <c r="P18" s="3">
        <f>p_B!P18^2</f>
        <v>0</v>
      </c>
      <c r="Q18" s="3">
        <f>p_B!Q18^2</f>
        <v>9.4633431731142737E-3</v>
      </c>
      <c r="R18" s="3">
        <f>p_B!R18^2</f>
        <v>0</v>
      </c>
      <c r="S18" s="3">
        <f>p_B!S18^2</f>
        <v>0</v>
      </c>
      <c r="T18" s="3">
        <f>p_B!T18^2</f>
        <v>0</v>
      </c>
      <c r="U18" s="3">
        <f>p_B!U18^2</f>
        <v>0</v>
      </c>
      <c r="V18" s="3">
        <f>p_B!V18^2</f>
        <v>0</v>
      </c>
      <c r="W18" s="3">
        <f>p_B!W18^2</f>
        <v>0</v>
      </c>
      <c r="X18" s="3">
        <f>p_B!X18^2</f>
        <v>0</v>
      </c>
      <c r="Y18" s="3">
        <f>p_B!Y18^2</f>
        <v>0</v>
      </c>
      <c r="Z18" s="3">
        <f>p_B!Z18^2</f>
        <v>0</v>
      </c>
      <c r="AA18" s="3">
        <f>p_B!AA18^2</f>
        <v>0</v>
      </c>
    </row>
    <row r="19" spans="1:27" x14ac:dyDescent="0.25">
      <c r="A19" t="s">
        <v>92</v>
      </c>
      <c r="B19" s="3">
        <f>p_B!B19^2</f>
        <v>0.54894292497434871</v>
      </c>
      <c r="C19" s="3">
        <f>p_B!C19^2</f>
        <v>0</v>
      </c>
      <c r="D19" s="3">
        <f>p_B!D19^2</f>
        <v>0</v>
      </c>
      <c r="E19" s="3">
        <f>p_B!E19^2</f>
        <v>0</v>
      </c>
      <c r="F19" s="3">
        <f>p_B!F19^2</f>
        <v>0</v>
      </c>
      <c r="G19" s="3">
        <f>p_B!G19^2</f>
        <v>0</v>
      </c>
      <c r="H19" s="3">
        <f>p_B!H19^2</f>
        <v>0</v>
      </c>
      <c r="I19" s="3">
        <f>p_B!I19^2</f>
        <v>0</v>
      </c>
      <c r="J19" s="3">
        <f>p_B!J19^2</f>
        <v>8.3514376314687338E-4</v>
      </c>
      <c r="K19" s="3">
        <f>p_B!K19^2</f>
        <v>0</v>
      </c>
      <c r="L19" s="3">
        <f>p_B!L19^2</f>
        <v>0</v>
      </c>
      <c r="M19" s="3">
        <f>p_B!M19^2</f>
        <v>0</v>
      </c>
      <c r="N19" s="3">
        <f>p_B!N19^2</f>
        <v>0</v>
      </c>
      <c r="O19" s="3">
        <f>p_B!O19^2</f>
        <v>5.2989424905208436E-2</v>
      </c>
      <c r="P19" s="3">
        <f>p_B!P19^2</f>
        <v>0</v>
      </c>
      <c r="Q19" s="3">
        <f>p_B!Q19^2</f>
        <v>0</v>
      </c>
      <c r="R19" s="3">
        <f>p_B!R19^2</f>
        <v>0</v>
      </c>
      <c r="S19" s="3">
        <f>p_B!S19^2</f>
        <v>0</v>
      </c>
      <c r="T19" s="3">
        <f>p_B!T19^2</f>
        <v>0</v>
      </c>
      <c r="U19" s="3">
        <f>p_B!U19^2</f>
        <v>0</v>
      </c>
      <c r="V19" s="3">
        <f>p_B!V19^2</f>
        <v>0</v>
      </c>
      <c r="W19" s="3">
        <f>p_B!W19^2</f>
        <v>0</v>
      </c>
      <c r="X19" s="3">
        <f>p_B!X19^2</f>
        <v>0</v>
      </c>
      <c r="Y19" s="3">
        <f>p_B!Y19^2</f>
        <v>0</v>
      </c>
      <c r="Z19" s="3">
        <f>p_B!Z19^2</f>
        <v>0</v>
      </c>
      <c r="AA19" s="3">
        <f>p_B!AA19^2</f>
        <v>0</v>
      </c>
    </row>
    <row r="20" spans="1:27" x14ac:dyDescent="0.25">
      <c r="A20" t="s">
        <v>93</v>
      </c>
      <c r="B20" s="3">
        <f>p_B!B20^2</f>
        <v>9.3907298138293044E-2</v>
      </c>
      <c r="C20" s="3">
        <f>p_B!C20^2</f>
        <v>0</v>
      </c>
      <c r="D20" s="3">
        <f>p_B!D20^2</f>
        <v>0</v>
      </c>
      <c r="E20" s="3">
        <f>p_B!E20^2</f>
        <v>0</v>
      </c>
      <c r="F20" s="3">
        <f>p_B!F20^2</f>
        <v>0</v>
      </c>
      <c r="G20" s="3">
        <f>p_B!G20^2</f>
        <v>0</v>
      </c>
      <c r="H20" s="3">
        <f>p_B!H20^2</f>
        <v>0</v>
      </c>
      <c r="I20" s="3">
        <f>p_B!I20^2</f>
        <v>0</v>
      </c>
      <c r="J20" s="3">
        <f>p_B!J20^2</f>
        <v>7.6528315046543358E-4</v>
      </c>
      <c r="K20" s="3">
        <f>p_B!K20^2</f>
        <v>0</v>
      </c>
      <c r="L20" s="3">
        <f>p_B!L20^2</f>
        <v>0</v>
      </c>
      <c r="M20" s="3">
        <f>p_B!M20^2</f>
        <v>0</v>
      </c>
      <c r="N20" s="3">
        <f>p_B!N20^2</f>
        <v>0</v>
      </c>
      <c r="O20" s="3">
        <f>p_B!O20^2</f>
        <v>0</v>
      </c>
      <c r="P20" s="3">
        <f>p_B!P20^2</f>
        <v>0</v>
      </c>
      <c r="Q20" s="3">
        <f>p_B!Q20^2</f>
        <v>0.44341384897798786</v>
      </c>
      <c r="R20" s="3">
        <f>p_B!R20^2</f>
        <v>0</v>
      </c>
      <c r="S20" s="3">
        <f>p_B!S20^2</f>
        <v>0</v>
      </c>
      <c r="T20" s="3">
        <f>p_B!T20^2</f>
        <v>0</v>
      </c>
      <c r="U20" s="3">
        <f>p_B!U20^2</f>
        <v>0</v>
      </c>
      <c r="V20" s="3">
        <f>p_B!V20^2</f>
        <v>0</v>
      </c>
      <c r="W20" s="3">
        <f>p_B!W20^2</f>
        <v>0</v>
      </c>
      <c r="X20" s="3">
        <f>p_B!X20^2</f>
        <v>0</v>
      </c>
      <c r="Y20" s="3">
        <f>p_B!Y20^2</f>
        <v>0</v>
      </c>
      <c r="Z20" s="3">
        <f>p_B!Z20^2</f>
        <v>0</v>
      </c>
      <c r="AA20" s="3">
        <f>p_B!AA20^2</f>
        <v>0</v>
      </c>
    </row>
    <row r="21" spans="1:27" x14ac:dyDescent="0.25">
      <c r="A21" t="s">
        <v>18</v>
      </c>
      <c r="B21" s="3">
        <f>p_B!B21^2</f>
        <v>0.94680729361365823</v>
      </c>
      <c r="C21" s="3">
        <f>p_B!C21^2</f>
        <v>1.7203055056141311E-5</v>
      </c>
      <c r="D21" s="3">
        <f>p_B!D21^2</f>
        <v>0</v>
      </c>
      <c r="E21" s="3">
        <f>p_B!E21^2</f>
        <v>5.2039241544827469E-4</v>
      </c>
      <c r="F21" s="3">
        <f>p_B!F21^2</f>
        <v>0</v>
      </c>
      <c r="G21" s="3">
        <f>p_B!G21^2</f>
        <v>0</v>
      </c>
      <c r="H21" s="3">
        <f>p_B!H21^2</f>
        <v>0</v>
      </c>
      <c r="I21" s="3">
        <f>p_B!I21^2</f>
        <v>0</v>
      </c>
      <c r="J21" s="3">
        <f>p_B!J21^2</f>
        <v>0</v>
      </c>
      <c r="K21" s="3">
        <f>p_B!K21^2</f>
        <v>0</v>
      </c>
      <c r="L21" s="3">
        <f>p_B!L21^2</f>
        <v>0</v>
      </c>
      <c r="M21" s="3">
        <f>p_B!M21^2</f>
        <v>0</v>
      </c>
      <c r="N21" s="3">
        <f>p_B!N21^2</f>
        <v>0</v>
      </c>
      <c r="O21" s="3">
        <f>p_B!O21^2</f>
        <v>0</v>
      </c>
      <c r="P21" s="3">
        <f>p_B!P21^2</f>
        <v>0</v>
      </c>
      <c r="Q21" s="3">
        <f>p_B!Q21^2</f>
        <v>0</v>
      </c>
      <c r="R21" s="3">
        <f>p_B!R21^2</f>
        <v>0</v>
      </c>
      <c r="S21" s="3">
        <f>p_B!S21^2</f>
        <v>0</v>
      </c>
      <c r="T21" s="3">
        <f>p_B!T21^2</f>
        <v>0</v>
      </c>
      <c r="U21" s="3">
        <f>p_B!U21^2</f>
        <v>0</v>
      </c>
      <c r="V21" s="3">
        <f>p_B!V21^2</f>
        <v>0</v>
      </c>
      <c r="W21" s="3">
        <f>p_B!W21^2</f>
        <v>0</v>
      </c>
      <c r="X21" s="3">
        <f>p_B!X21^2</f>
        <v>0</v>
      </c>
      <c r="Y21" s="3">
        <f>p_B!Y21^2</f>
        <v>0</v>
      </c>
      <c r="Z21" s="3">
        <f>p_B!Z21^2</f>
        <v>0</v>
      </c>
      <c r="AA21" s="3">
        <f>p_B!AA21^2</f>
        <v>0</v>
      </c>
    </row>
    <row r="22" spans="1:27" x14ac:dyDescent="0.25">
      <c r="A22" t="s">
        <v>19</v>
      </c>
      <c r="B22" s="3">
        <f>p_B!B22^2</f>
        <v>0.96812446719226009</v>
      </c>
      <c r="C22" s="3">
        <f>p_B!C22^2</f>
        <v>9.2931582529853749E-5</v>
      </c>
      <c r="D22" s="3">
        <f>p_B!D22^2</f>
        <v>0</v>
      </c>
      <c r="E22" s="3">
        <f>p_B!E22^2</f>
        <v>0</v>
      </c>
      <c r="F22" s="3">
        <f>p_B!F22^2</f>
        <v>0</v>
      </c>
      <c r="G22" s="3">
        <f>p_B!G22^2</f>
        <v>0</v>
      </c>
      <c r="H22" s="3">
        <f>p_B!H22^2</f>
        <v>3.7275890325863556E-5</v>
      </c>
      <c r="I22" s="3">
        <f>p_B!I22^2</f>
        <v>0</v>
      </c>
      <c r="J22" s="3">
        <f>p_B!J22^2</f>
        <v>0</v>
      </c>
      <c r="K22" s="3">
        <f>p_B!K22^2</f>
        <v>0</v>
      </c>
      <c r="L22" s="3">
        <f>p_B!L22^2</f>
        <v>0</v>
      </c>
      <c r="M22" s="3">
        <f>p_B!M22^2</f>
        <v>0</v>
      </c>
      <c r="N22" s="3">
        <f>p_B!N22^2</f>
        <v>0</v>
      </c>
      <c r="O22" s="3">
        <f>p_B!O22^2</f>
        <v>0</v>
      </c>
      <c r="P22" s="3">
        <f>p_B!P22^2</f>
        <v>0</v>
      </c>
      <c r="Q22" s="3">
        <f>p_B!Q22^2</f>
        <v>1.0325731392205972E-7</v>
      </c>
      <c r="R22" s="3">
        <f>p_B!R22^2</f>
        <v>0</v>
      </c>
      <c r="S22" s="3">
        <f>p_B!S22^2</f>
        <v>0</v>
      </c>
      <c r="T22" s="3">
        <f>p_B!T22^2</f>
        <v>0</v>
      </c>
      <c r="U22" s="3">
        <f>p_B!U22^2</f>
        <v>0</v>
      </c>
      <c r="V22" s="3">
        <f>p_B!V22^2</f>
        <v>0</v>
      </c>
      <c r="W22" s="3">
        <f>p_B!W22^2</f>
        <v>0</v>
      </c>
      <c r="X22" s="3">
        <f>p_B!X22^2</f>
        <v>0</v>
      </c>
      <c r="Y22" s="3">
        <f>p_B!Y22^2</f>
        <v>0</v>
      </c>
      <c r="Z22" s="3">
        <f>p_B!Z22^2</f>
        <v>0</v>
      </c>
      <c r="AA22" s="3">
        <f>p_B!AA22^2</f>
        <v>0</v>
      </c>
    </row>
    <row r="23" spans="1:27" x14ac:dyDescent="0.25">
      <c r="A23" t="s">
        <v>20</v>
      </c>
      <c r="B23" s="3">
        <f>p_B!B23^2</f>
        <v>0.66560830875318866</v>
      </c>
      <c r="C23" s="3">
        <f>p_B!C23^2</f>
        <v>4.26311882174745E-4</v>
      </c>
      <c r="D23" s="3">
        <f>p_B!D23^2</f>
        <v>0</v>
      </c>
      <c r="E23" s="3">
        <f>p_B!E23^2</f>
        <v>4.9824617346938772E-6</v>
      </c>
      <c r="F23" s="3">
        <f>p_B!F23^2</f>
        <v>0</v>
      </c>
      <c r="G23" s="3">
        <f>p_B!G23^2</f>
        <v>0</v>
      </c>
      <c r="H23" s="3">
        <f>p_B!H23^2</f>
        <v>3.9062500000000017E-3</v>
      </c>
      <c r="I23" s="3">
        <f>p_B!I23^2</f>
        <v>0</v>
      </c>
      <c r="J23" s="3">
        <f>p_B!J23^2</f>
        <v>2.6189064492984697E-4</v>
      </c>
      <c r="K23" s="3">
        <f>p_B!K23^2</f>
        <v>0</v>
      </c>
      <c r="L23" s="3">
        <f>p_B!L23^2</f>
        <v>0</v>
      </c>
      <c r="M23" s="3">
        <f>p_B!M23^2</f>
        <v>0</v>
      </c>
      <c r="N23" s="3">
        <f>p_B!N23^2</f>
        <v>0</v>
      </c>
      <c r="O23" s="3">
        <f>p_B!O23^2</f>
        <v>6.82099011479592E-3</v>
      </c>
      <c r="P23" s="3">
        <f>p_B!P23^2</f>
        <v>0</v>
      </c>
      <c r="Q23" s="3">
        <f>p_B!Q23^2</f>
        <v>0</v>
      </c>
      <c r="R23" s="3">
        <f>p_B!R23^2</f>
        <v>0</v>
      </c>
      <c r="S23" s="3">
        <f>p_B!S23^2</f>
        <v>0</v>
      </c>
      <c r="T23" s="3">
        <f>p_B!T23^2</f>
        <v>0</v>
      </c>
      <c r="U23" s="3">
        <f>p_B!U23^2</f>
        <v>0</v>
      </c>
      <c r="V23" s="3">
        <f>p_B!V23^2</f>
        <v>0</v>
      </c>
      <c r="W23" s="3">
        <f>p_B!W23^2</f>
        <v>0</v>
      </c>
      <c r="X23" s="3">
        <f>p_B!X23^2</f>
        <v>0</v>
      </c>
      <c r="Y23" s="3">
        <f>p_B!Y23^2</f>
        <v>0</v>
      </c>
      <c r="Z23" s="3">
        <f>p_B!Z23^2</f>
        <v>0</v>
      </c>
      <c r="AA23" s="3">
        <f>p_B!AA23^2</f>
        <v>0</v>
      </c>
    </row>
    <row r="24" spans="1:27" x14ac:dyDescent="0.25">
      <c r="A24" t="s">
        <v>21</v>
      </c>
      <c r="B24" s="3">
        <f>p_B!B24^2</f>
        <v>0.85406852349008655</v>
      </c>
      <c r="C24" s="3">
        <f>p_B!C24^2</f>
        <v>2.3613999776630843E-5</v>
      </c>
      <c r="D24" s="3">
        <f>p_B!D24^2</f>
        <v>1.013233357762578E-4</v>
      </c>
      <c r="E24" s="3">
        <f>p_B!E24^2</f>
        <v>0</v>
      </c>
      <c r="F24" s="3">
        <f>p_B!F24^2</f>
        <v>0</v>
      </c>
      <c r="G24" s="3">
        <f>p_B!G24^2</f>
        <v>0</v>
      </c>
      <c r="H24" s="3">
        <f>p_B!H24^2</f>
        <v>3.6058336699733894E-3</v>
      </c>
      <c r="I24" s="3">
        <f>p_B!I24^2</f>
        <v>0</v>
      </c>
      <c r="J24" s="3">
        <f>p_B!J24^2</f>
        <v>0</v>
      </c>
      <c r="K24" s="3">
        <f>p_B!K24^2</f>
        <v>0</v>
      </c>
      <c r="L24" s="3">
        <f>p_B!L24^2</f>
        <v>0</v>
      </c>
      <c r="M24" s="3">
        <f>p_B!M24^2</f>
        <v>0</v>
      </c>
      <c r="N24" s="3">
        <f>p_B!N24^2</f>
        <v>4.819183627883845E-7</v>
      </c>
      <c r="O24" s="3">
        <f>p_B!O24^2</f>
        <v>0</v>
      </c>
      <c r="P24" s="3">
        <f>p_B!P24^2</f>
        <v>3.0119897674274031E-8</v>
      </c>
      <c r="Q24" s="3">
        <f>p_B!Q24^2</f>
        <v>0</v>
      </c>
      <c r="R24" s="3">
        <f>p_B!R24^2</f>
        <v>0</v>
      </c>
      <c r="S24" s="3">
        <f>p_B!S24^2</f>
        <v>0</v>
      </c>
      <c r="T24" s="3">
        <f>p_B!T24^2</f>
        <v>0</v>
      </c>
      <c r="U24" s="3">
        <f>p_B!U24^2</f>
        <v>0</v>
      </c>
      <c r="V24" s="3">
        <f>p_B!V24^2</f>
        <v>0</v>
      </c>
      <c r="W24" s="3">
        <f>p_B!W24^2</f>
        <v>0</v>
      </c>
      <c r="X24" s="3">
        <f>p_B!X24^2</f>
        <v>0</v>
      </c>
      <c r="Y24" s="3">
        <f>p_B!Y24^2</f>
        <v>0</v>
      </c>
      <c r="Z24" s="3">
        <f>p_B!Z24^2</f>
        <v>0</v>
      </c>
      <c r="AA24" s="3">
        <f>p_B!AA24^2</f>
        <v>0</v>
      </c>
    </row>
    <row r="25" spans="1:27" x14ac:dyDescent="0.25">
      <c r="A25" t="s">
        <v>22</v>
      </c>
      <c r="B25" s="3">
        <f>p_B!B25^2</f>
        <v>0.60732682849821418</v>
      </c>
      <c r="C25" s="3">
        <f>p_B!C25^2</f>
        <v>7.1757305413825458E-6</v>
      </c>
      <c r="D25" s="3">
        <f>p_B!D25^2</f>
        <v>0</v>
      </c>
      <c r="E25" s="3">
        <f>p_B!E25^2</f>
        <v>0</v>
      </c>
      <c r="F25" s="3">
        <f>p_B!F25^2</f>
        <v>0</v>
      </c>
      <c r="G25" s="3">
        <f>p_B!G25^2</f>
        <v>0</v>
      </c>
      <c r="H25" s="3">
        <f>p_B!H25^2</f>
        <v>3.4775755660685435E-2</v>
      </c>
      <c r="I25" s="3">
        <f>p_B!I25^2</f>
        <v>0</v>
      </c>
      <c r="J25" s="3">
        <f>p_B!J25^2</f>
        <v>6.634366254976463E-4</v>
      </c>
      <c r="K25" s="3">
        <f>p_B!K25^2</f>
        <v>0</v>
      </c>
      <c r="L25" s="3">
        <f>p_B!L25^2</f>
        <v>0</v>
      </c>
      <c r="M25" s="3">
        <f>p_B!M25^2</f>
        <v>0</v>
      </c>
      <c r="N25" s="3">
        <f>p_B!N25^2</f>
        <v>0</v>
      </c>
      <c r="O25" s="3">
        <f>p_B!O25^2</f>
        <v>0</v>
      </c>
      <c r="P25" s="3">
        <f>p_B!P25^2</f>
        <v>0</v>
      </c>
      <c r="Q25" s="3">
        <f>p_B!Q25^2</f>
        <v>3.3288596120969906E-5</v>
      </c>
      <c r="R25" s="3">
        <f>p_B!R25^2</f>
        <v>0</v>
      </c>
      <c r="S25" s="3">
        <f>p_B!S25^2</f>
        <v>0</v>
      </c>
      <c r="T25" s="3">
        <f>p_B!T25^2</f>
        <v>0</v>
      </c>
      <c r="U25" s="3">
        <f>p_B!U25^2</f>
        <v>0</v>
      </c>
      <c r="V25" s="3">
        <f>p_B!V25^2</f>
        <v>0</v>
      </c>
      <c r="W25" s="3">
        <f>p_B!W25^2</f>
        <v>0</v>
      </c>
      <c r="X25" s="3">
        <f>p_B!X25^2</f>
        <v>0</v>
      </c>
      <c r="Y25" s="3">
        <f>p_B!Y25^2</f>
        <v>0</v>
      </c>
      <c r="Z25" s="3">
        <f>p_B!Z25^2</f>
        <v>0</v>
      </c>
      <c r="AA25" s="3">
        <f>p_B!AA25^2</f>
        <v>0</v>
      </c>
    </row>
    <row r="26" spans="1:27" x14ac:dyDescent="0.25">
      <c r="A26" t="s">
        <v>23</v>
      </c>
      <c r="B26" s="3">
        <f>p_B!B26^2</f>
        <v>1.4888791409389635E-2</v>
      </c>
      <c r="C26" s="3">
        <f>p_B!C26^2</f>
        <v>1.3988089578851405E-5</v>
      </c>
      <c r="D26" s="3">
        <f>p_B!D26^2</f>
        <v>0</v>
      </c>
      <c r="E26" s="3">
        <f>p_B!E26^2</f>
        <v>0</v>
      </c>
      <c r="F26" s="3">
        <f>p_B!F26^2</f>
        <v>0</v>
      </c>
      <c r="G26" s="3">
        <f>p_B!G26^2</f>
        <v>0</v>
      </c>
      <c r="H26" s="3">
        <f>p_B!H26^2</f>
        <v>0.38603652071625133</v>
      </c>
      <c r="I26" s="3">
        <f>p_B!I26^2</f>
        <v>0</v>
      </c>
      <c r="J26" s="3">
        <f>p_B!J26^2</f>
        <v>5.5960226615793737E-2</v>
      </c>
      <c r="K26" s="3">
        <f>p_B!K26^2</f>
        <v>0</v>
      </c>
      <c r="L26" s="3">
        <f>p_B!L26^2</f>
        <v>0</v>
      </c>
      <c r="M26" s="3">
        <f>p_B!M26^2</f>
        <v>0</v>
      </c>
      <c r="N26" s="3">
        <f>p_B!N26^2</f>
        <v>2.1856389966955321E-7</v>
      </c>
      <c r="O26" s="3">
        <f>p_B!O26^2</f>
        <v>2.5265986801800347E-4</v>
      </c>
      <c r="P26" s="3">
        <f>p_B!P26^2</f>
        <v>0</v>
      </c>
      <c r="Q26" s="3">
        <f>p_B!Q26^2</f>
        <v>0</v>
      </c>
      <c r="R26" s="3">
        <f>p_B!R26^2</f>
        <v>0</v>
      </c>
      <c r="S26" s="3">
        <f>p_B!S26^2</f>
        <v>0</v>
      </c>
      <c r="T26" s="3">
        <f>p_B!T26^2</f>
        <v>0</v>
      </c>
      <c r="U26" s="3">
        <f>p_B!U26^2</f>
        <v>0</v>
      </c>
      <c r="V26" s="3">
        <f>p_B!V26^2</f>
        <v>0</v>
      </c>
      <c r="W26" s="3">
        <f>p_B!W26^2</f>
        <v>0</v>
      </c>
      <c r="X26" s="3">
        <f>p_B!X26^2</f>
        <v>0</v>
      </c>
      <c r="Y26" s="3">
        <f>p_B!Y26^2</f>
        <v>0</v>
      </c>
      <c r="Z26" s="3">
        <f>p_B!Z26^2</f>
        <v>0</v>
      </c>
      <c r="AA26" s="3">
        <f>p_B!AA26^2</f>
        <v>0</v>
      </c>
    </row>
    <row r="27" spans="1:27" x14ac:dyDescent="0.25">
      <c r="A27" t="s">
        <v>24</v>
      </c>
      <c r="B27" s="3">
        <f>p_B!B27^2</f>
        <v>0.60911289906980337</v>
      </c>
      <c r="C27" s="3">
        <f>p_B!C27^2</f>
        <v>1.2471333968924734E-4</v>
      </c>
      <c r="D27" s="3">
        <f>p_B!D27^2</f>
        <v>0</v>
      </c>
      <c r="E27" s="3">
        <f>p_B!E27^2</f>
        <v>0</v>
      </c>
      <c r="F27" s="3">
        <f>p_B!F27^2</f>
        <v>0</v>
      </c>
      <c r="G27" s="3">
        <f>p_B!G27^2</f>
        <v>0</v>
      </c>
      <c r="H27" s="3">
        <f>p_B!H27^2</f>
        <v>8.5820943595557725E-3</v>
      </c>
      <c r="I27" s="3">
        <f>p_B!I27^2</f>
        <v>0</v>
      </c>
      <c r="J27" s="3">
        <f>p_B!J27^2</f>
        <v>4.8758020046896336E-4</v>
      </c>
      <c r="K27" s="3">
        <f>p_B!K27^2</f>
        <v>0</v>
      </c>
      <c r="L27" s="3">
        <f>p_B!L27^2</f>
        <v>0</v>
      </c>
      <c r="M27" s="3">
        <f>p_B!M27^2</f>
        <v>0</v>
      </c>
      <c r="N27" s="3">
        <f>p_B!N27^2</f>
        <v>0</v>
      </c>
      <c r="O27" s="3">
        <f>p_B!O27^2</f>
        <v>2.0871447344688087E-3</v>
      </c>
      <c r="P27" s="3">
        <f>p_B!P27^2</f>
        <v>0</v>
      </c>
      <c r="Q27" s="3">
        <f>p_B!Q27^2</f>
        <v>2.3010770697518604E-3</v>
      </c>
      <c r="R27" s="3">
        <f>p_B!R27^2</f>
        <v>0</v>
      </c>
      <c r="S27" s="3">
        <f>p_B!S27^2</f>
        <v>0</v>
      </c>
      <c r="T27" s="3">
        <f>p_B!T27^2</f>
        <v>0</v>
      </c>
      <c r="U27" s="3">
        <f>p_B!U27^2</f>
        <v>0</v>
      </c>
      <c r="V27" s="3">
        <f>p_B!V27^2</f>
        <v>0</v>
      </c>
      <c r="W27" s="3">
        <f>p_B!W27^2</f>
        <v>0</v>
      </c>
      <c r="X27" s="3">
        <f>p_B!X27^2</f>
        <v>0</v>
      </c>
      <c r="Y27" s="3">
        <f>p_B!Y27^2</f>
        <v>0</v>
      </c>
      <c r="Z27" s="3">
        <f>p_B!Z27^2</f>
        <v>0</v>
      </c>
      <c r="AA27" s="3">
        <f>p_B!AA27^2</f>
        <v>0</v>
      </c>
    </row>
    <row r="28" spans="1:27" x14ac:dyDescent="0.25">
      <c r="A28" t="s">
        <v>63</v>
      </c>
      <c r="B28" s="3">
        <f>p_B!B28^2</f>
        <v>5.9813019480379178E-3</v>
      </c>
      <c r="C28" s="3">
        <f>p_B!C28^2</f>
        <v>0</v>
      </c>
      <c r="D28" s="3">
        <f>p_B!D28^2</f>
        <v>0</v>
      </c>
      <c r="E28" s="3">
        <f>p_B!E28^2</f>
        <v>0</v>
      </c>
      <c r="F28" s="3">
        <f>p_B!F28^2</f>
        <v>0</v>
      </c>
      <c r="G28" s="3">
        <f>p_B!G28^2</f>
        <v>0</v>
      </c>
      <c r="H28" s="3">
        <f>p_B!H28^2</f>
        <v>4.1088385682980214E-6</v>
      </c>
      <c r="I28" s="3">
        <f>p_B!I28^2</f>
        <v>0</v>
      </c>
      <c r="J28" s="3">
        <f>p_B!J28^2</f>
        <v>0</v>
      </c>
      <c r="K28" s="3">
        <f>p_B!K28^2</f>
        <v>0</v>
      </c>
      <c r="L28" s="3">
        <f>p_B!L28^2</f>
        <v>0</v>
      </c>
      <c r="M28" s="3">
        <f>p_B!M28^2</f>
        <v>0</v>
      </c>
      <c r="N28" s="3">
        <f>p_B!N28^2</f>
        <v>0</v>
      </c>
      <c r="O28" s="3">
        <f>p_B!O28^2</f>
        <v>0.84756713804400907</v>
      </c>
      <c r="P28" s="3">
        <f>p_B!P28^2</f>
        <v>0</v>
      </c>
      <c r="Q28" s="3">
        <f>p_B!Q28^2</f>
        <v>0</v>
      </c>
      <c r="R28" s="3">
        <f>p_B!R28^2</f>
        <v>0</v>
      </c>
      <c r="S28" s="3">
        <f>p_B!S28^2</f>
        <v>0</v>
      </c>
      <c r="T28" s="3">
        <f>p_B!T28^2</f>
        <v>0</v>
      </c>
      <c r="U28" s="3">
        <f>p_B!U28^2</f>
        <v>0</v>
      </c>
      <c r="V28" s="3">
        <f>p_B!V28^2</f>
        <v>0</v>
      </c>
      <c r="W28" s="3">
        <f>p_B!W28^2</f>
        <v>0</v>
      </c>
      <c r="X28" s="3">
        <f>p_B!X28^2</f>
        <v>0</v>
      </c>
      <c r="Y28" s="3">
        <f>p_B!Y28^2</f>
        <v>0</v>
      </c>
      <c r="Z28" s="3">
        <f>p_B!Z28^2</f>
        <v>0</v>
      </c>
      <c r="AA28" s="3">
        <f>p_B!AA28^2</f>
        <v>0</v>
      </c>
    </row>
    <row r="29" spans="1:27" x14ac:dyDescent="0.25">
      <c r="A29" t="s">
        <v>64</v>
      </c>
      <c r="B29" s="3">
        <f>p_B!B29^2</f>
        <v>0.9091400757166036</v>
      </c>
      <c r="C29" s="3">
        <f>p_B!C29^2</f>
        <v>0</v>
      </c>
      <c r="D29" s="3">
        <f>p_B!D29^2</f>
        <v>0</v>
      </c>
      <c r="E29" s="3">
        <f>p_B!E29^2</f>
        <v>0</v>
      </c>
      <c r="F29" s="3">
        <f>p_B!F29^2</f>
        <v>0</v>
      </c>
      <c r="G29" s="3">
        <f>p_B!G29^2</f>
        <v>0</v>
      </c>
      <c r="H29" s="3">
        <f>p_B!H29^2</f>
        <v>1.9345766014634189E-3</v>
      </c>
      <c r="I29" s="3">
        <f>p_B!I29^2</f>
        <v>0</v>
      </c>
      <c r="J29" s="3">
        <f>p_B!J29^2</f>
        <v>6.3898024886491101E-6</v>
      </c>
      <c r="K29" s="3">
        <f>p_B!K29^2</f>
        <v>0</v>
      </c>
      <c r="L29" s="3">
        <f>p_B!L29^2</f>
        <v>0</v>
      </c>
      <c r="M29" s="3">
        <f>p_B!M29^2</f>
        <v>0</v>
      </c>
      <c r="N29" s="3">
        <f>p_B!N29^2</f>
        <v>0</v>
      </c>
      <c r="O29" s="3">
        <f>p_B!O29^2</f>
        <v>0</v>
      </c>
      <c r="P29" s="3">
        <f>p_B!P29^2</f>
        <v>0</v>
      </c>
      <c r="Q29" s="3">
        <f>p_B!Q29^2</f>
        <v>0</v>
      </c>
      <c r="R29" s="3">
        <f>p_B!R29^2</f>
        <v>0</v>
      </c>
      <c r="S29" s="3">
        <f>p_B!S29^2</f>
        <v>0</v>
      </c>
      <c r="T29" s="3">
        <f>p_B!T29^2</f>
        <v>0</v>
      </c>
      <c r="U29" s="3">
        <f>p_B!U29^2</f>
        <v>0</v>
      </c>
      <c r="V29" s="3">
        <f>p_B!V29^2</f>
        <v>0</v>
      </c>
      <c r="W29" s="3">
        <f>p_B!W29^2</f>
        <v>0</v>
      </c>
      <c r="X29" s="3">
        <f>p_B!X29^2</f>
        <v>0</v>
      </c>
      <c r="Y29" s="3">
        <f>p_B!Y29^2</f>
        <v>0</v>
      </c>
      <c r="Z29" s="3">
        <f>p_B!Z29^2</f>
        <v>0</v>
      </c>
      <c r="AA29" s="3">
        <f>p_B!AA29^2</f>
        <v>0</v>
      </c>
    </row>
    <row r="30" spans="1:27" x14ac:dyDescent="0.25">
      <c r="A30" t="s">
        <v>65</v>
      </c>
      <c r="B30" s="3">
        <f>p_B!B30^2</f>
        <v>0.29549678719871125</v>
      </c>
      <c r="C30" s="3">
        <f>p_B!C30^2</f>
        <v>2.7847352647909088E-6</v>
      </c>
      <c r="D30" s="3">
        <f>p_B!D30^2</f>
        <v>0</v>
      </c>
      <c r="E30" s="3">
        <f>p_B!E30^2</f>
        <v>0</v>
      </c>
      <c r="F30" s="3">
        <f>p_B!F30^2</f>
        <v>0</v>
      </c>
      <c r="G30" s="3">
        <f>p_B!G30^2</f>
        <v>0</v>
      </c>
      <c r="H30" s="3">
        <f>p_B!H30^2</f>
        <v>5.0189457723280491E-2</v>
      </c>
      <c r="I30" s="3">
        <f>p_B!I30^2</f>
        <v>0</v>
      </c>
      <c r="J30" s="3">
        <f>p_B!J30^2</f>
        <v>6.8923938263115358E-3</v>
      </c>
      <c r="K30" s="3">
        <f>p_B!K30^2</f>
        <v>0</v>
      </c>
      <c r="L30" s="3">
        <f>p_B!L30^2</f>
        <v>0</v>
      </c>
      <c r="M30" s="3">
        <f>p_B!M30^2</f>
        <v>0</v>
      </c>
      <c r="N30" s="3">
        <f>p_B!N30^2</f>
        <v>2.1810742777658557E-2</v>
      </c>
      <c r="O30" s="3">
        <f>p_B!O30^2</f>
        <v>0</v>
      </c>
      <c r="P30" s="3">
        <f>p_B!P30^2</f>
        <v>0</v>
      </c>
      <c r="Q30" s="3">
        <f>p_B!Q30^2</f>
        <v>0</v>
      </c>
      <c r="R30" s="3">
        <f>p_B!R30^2</f>
        <v>0</v>
      </c>
      <c r="S30" s="3">
        <f>p_B!S30^2</f>
        <v>0</v>
      </c>
      <c r="T30" s="3">
        <f>p_B!T30^2</f>
        <v>0</v>
      </c>
      <c r="U30" s="3">
        <f>p_B!U30^2</f>
        <v>0</v>
      </c>
      <c r="V30" s="3">
        <f>p_B!V30^2</f>
        <v>0</v>
      </c>
      <c r="W30" s="3">
        <f>p_B!W30^2</f>
        <v>0</v>
      </c>
      <c r="X30" s="3">
        <f>p_B!X30^2</f>
        <v>0</v>
      </c>
      <c r="Y30" s="3">
        <f>p_B!Y30^2</f>
        <v>0</v>
      </c>
      <c r="Z30" s="3">
        <f>p_B!Z30^2</f>
        <v>0</v>
      </c>
      <c r="AA30" s="3">
        <f>p_B!AA30^2</f>
        <v>0</v>
      </c>
    </row>
    <row r="31" spans="1:27" x14ac:dyDescent="0.25">
      <c r="A31" t="s">
        <v>66</v>
      </c>
      <c r="B31" s="3">
        <f>p_B!B31^2</f>
        <v>1.7855811510287235E-2</v>
      </c>
      <c r="C31" s="3">
        <f>p_B!C31^2</f>
        <v>1.0898322455008835E-8</v>
      </c>
      <c r="D31" s="3">
        <f>p_B!D31^2</f>
        <v>0</v>
      </c>
      <c r="E31" s="3">
        <f>p_B!E31^2</f>
        <v>0</v>
      </c>
      <c r="F31" s="3">
        <f>p_B!F31^2</f>
        <v>0</v>
      </c>
      <c r="G31" s="3">
        <f>p_B!G31^2</f>
        <v>0</v>
      </c>
      <c r="H31" s="3">
        <f>p_B!H31^2</f>
        <v>3.043074279009763E-2</v>
      </c>
      <c r="I31" s="3">
        <f>p_B!I31^2</f>
        <v>0</v>
      </c>
      <c r="J31" s="3">
        <f>p_B!J31^2</f>
        <v>1.6221063142035858E-4</v>
      </c>
      <c r="K31" s="3">
        <f>p_B!K31^2</f>
        <v>0</v>
      </c>
      <c r="L31" s="3">
        <f>p_B!L31^2</f>
        <v>0</v>
      </c>
      <c r="M31" s="3">
        <f>p_B!M31^2</f>
        <v>0</v>
      </c>
      <c r="N31" s="3">
        <f>p_B!N31^2</f>
        <v>0</v>
      </c>
      <c r="O31" s="3">
        <f>p_B!O31^2</f>
        <v>0.46116278714177983</v>
      </c>
      <c r="P31" s="3">
        <f>p_B!P31^2</f>
        <v>0</v>
      </c>
      <c r="Q31" s="3">
        <f>p_B!Q31^2</f>
        <v>0</v>
      </c>
      <c r="R31" s="3">
        <f>p_B!R31^2</f>
        <v>0</v>
      </c>
      <c r="S31" s="3">
        <f>p_B!S31^2</f>
        <v>0</v>
      </c>
      <c r="T31" s="3">
        <f>p_B!T31^2</f>
        <v>0</v>
      </c>
      <c r="U31" s="3">
        <f>p_B!U31^2</f>
        <v>0</v>
      </c>
      <c r="V31" s="3">
        <f>p_B!V31^2</f>
        <v>0</v>
      </c>
      <c r="W31" s="3">
        <f>p_B!W31^2</f>
        <v>0</v>
      </c>
      <c r="X31" s="3">
        <f>p_B!X31^2</f>
        <v>0</v>
      </c>
      <c r="Y31" s="3">
        <f>p_B!Y31^2</f>
        <v>0</v>
      </c>
      <c r="Z31" s="3">
        <f>p_B!Z31^2</f>
        <v>0</v>
      </c>
      <c r="AA31" s="3">
        <f>p_B!AA31^2</f>
        <v>0</v>
      </c>
    </row>
    <row r="32" spans="1:27" x14ac:dyDescent="0.25">
      <c r="A32" t="s">
        <v>88</v>
      </c>
      <c r="B32" s="3">
        <f>p_B!B32^2</f>
        <v>2.8531891315630734E-2</v>
      </c>
      <c r="C32" s="3">
        <f>p_B!C32^2</f>
        <v>2.2443855293243039E-6</v>
      </c>
      <c r="D32" s="3">
        <f>p_B!D32^2</f>
        <v>0</v>
      </c>
      <c r="E32" s="3">
        <f>p_B!E32^2</f>
        <v>0</v>
      </c>
      <c r="F32" s="3">
        <f>p_B!F32^2</f>
        <v>0</v>
      </c>
      <c r="G32" s="3">
        <f>p_B!G32^2</f>
        <v>0</v>
      </c>
      <c r="H32" s="3">
        <f>p_B!H32^2</f>
        <v>0.36315294084641397</v>
      </c>
      <c r="I32" s="3">
        <f>p_B!I32^2</f>
        <v>0</v>
      </c>
      <c r="J32" s="3">
        <f>p_B!J32^2</f>
        <v>7.785562990082625E-4</v>
      </c>
      <c r="K32" s="3">
        <f>p_B!K32^2</f>
        <v>0</v>
      </c>
      <c r="L32" s="3">
        <f>p_B!L32^2</f>
        <v>0</v>
      </c>
      <c r="M32" s="3">
        <f>p_B!M32^2</f>
        <v>0</v>
      </c>
      <c r="N32" s="3">
        <f>p_B!N32^2</f>
        <v>3.5910168469188862E-5</v>
      </c>
      <c r="O32" s="3">
        <f>p_B!O32^2</f>
        <v>3.7276473228688857E-2</v>
      </c>
      <c r="P32" s="3">
        <f>p_B!P32^2</f>
        <v>0</v>
      </c>
      <c r="Q32" s="3">
        <f>p_B!Q32^2</f>
        <v>0</v>
      </c>
      <c r="R32" s="3">
        <f>p_B!R32^2</f>
        <v>0</v>
      </c>
      <c r="S32" s="3">
        <f>p_B!S32^2</f>
        <v>0</v>
      </c>
      <c r="T32" s="3">
        <f>p_B!T32^2</f>
        <v>0</v>
      </c>
      <c r="U32" s="3">
        <f>p_B!U32^2</f>
        <v>0</v>
      </c>
      <c r="V32" s="3">
        <f>p_B!V32^2</f>
        <v>0</v>
      </c>
      <c r="W32" s="3">
        <f>p_B!W32^2</f>
        <v>0</v>
      </c>
      <c r="X32" s="3">
        <f>p_B!X32^2</f>
        <v>0</v>
      </c>
      <c r="Y32" s="3">
        <f>p_B!Y32^2</f>
        <v>0</v>
      </c>
      <c r="Z32" s="3">
        <f>p_B!Z32^2</f>
        <v>0</v>
      </c>
      <c r="AA32" s="3">
        <f>p_B!AA32^2</f>
        <v>0</v>
      </c>
    </row>
    <row r="33" spans="1:27" x14ac:dyDescent="0.25">
      <c r="A33" t="s">
        <v>89</v>
      </c>
      <c r="B33" s="3">
        <f>p_B!B33^2</f>
        <v>3.8847969513081363E-3</v>
      </c>
      <c r="C33" s="3">
        <f>p_B!C33^2</f>
        <v>0</v>
      </c>
      <c r="D33" s="3">
        <f>p_B!D33^2</f>
        <v>0</v>
      </c>
      <c r="E33" s="3">
        <f>p_B!E33^2</f>
        <v>0</v>
      </c>
      <c r="F33" s="3">
        <f>p_B!F33^2</f>
        <v>0</v>
      </c>
      <c r="G33" s="3">
        <f>p_B!G33^2</f>
        <v>0</v>
      </c>
      <c r="H33" s="3">
        <f>p_B!H33^2</f>
        <v>0.46704883972776179</v>
      </c>
      <c r="I33" s="3">
        <f>p_B!I33^2</f>
        <v>0</v>
      </c>
      <c r="J33" s="3">
        <f>p_B!J33^2</f>
        <v>2.7680522498468849E-3</v>
      </c>
      <c r="K33" s="3">
        <f>p_B!K33^2</f>
        <v>0</v>
      </c>
      <c r="L33" s="3">
        <f>p_B!L33^2</f>
        <v>0</v>
      </c>
      <c r="M33" s="3">
        <f>p_B!M33^2</f>
        <v>0</v>
      </c>
      <c r="N33" s="3">
        <f>p_B!N33^2</f>
        <v>0</v>
      </c>
      <c r="O33" s="3">
        <f>p_B!O33^2</f>
        <v>4.0662667050889681E-2</v>
      </c>
      <c r="P33" s="3">
        <f>p_B!P33^2</f>
        <v>0</v>
      </c>
      <c r="Q33" s="3">
        <f>p_B!Q33^2</f>
        <v>0</v>
      </c>
      <c r="R33" s="3">
        <f>p_B!R33^2</f>
        <v>0</v>
      </c>
      <c r="S33" s="3">
        <f>p_B!S33^2</f>
        <v>0</v>
      </c>
      <c r="T33" s="3">
        <f>p_B!T33^2</f>
        <v>0</v>
      </c>
      <c r="U33" s="3">
        <f>p_B!U33^2</f>
        <v>0</v>
      </c>
      <c r="V33" s="3">
        <f>p_B!V33^2</f>
        <v>0</v>
      </c>
      <c r="W33" s="3">
        <f>p_B!W33^2</f>
        <v>0</v>
      </c>
      <c r="X33" s="3">
        <f>p_B!X33^2</f>
        <v>0</v>
      </c>
      <c r="Y33" s="3">
        <f>p_B!Y33^2</f>
        <v>0</v>
      </c>
      <c r="Z33" s="3">
        <f>p_B!Z33^2</f>
        <v>0</v>
      </c>
      <c r="AA33" s="3">
        <f>p_B!AA33^2</f>
        <v>0</v>
      </c>
    </row>
    <row r="34" spans="1:27" x14ac:dyDescent="0.25">
      <c r="A34" t="s">
        <v>115</v>
      </c>
      <c r="B34" s="3">
        <f>p_B!B34^2</f>
        <v>0</v>
      </c>
      <c r="C34" s="3">
        <f>p_B!C34^2</f>
        <v>0</v>
      </c>
      <c r="D34" s="3">
        <f>p_B!D34^2</f>
        <v>0</v>
      </c>
      <c r="E34" s="3">
        <f>p_B!E34^2</f>
        <v>0</v>
      </c>
      <c r="F34" s="3">
        <f>p_B!F34^2</f>
        <v>0</v>
      </c>
      <c r="G34" s="3">
        <f>p_B!G34^2</f>
        <v>0</v>
      </c>
      <c r="H34" s="3">
        <f>p_B!H34^2</f>
        <v>0.98810272082803341</v>
      </c>
      <c r="I34" s="3">
        <f>p_B!I34^2</f>
        <v>0</v>
      </c>
      <c r="J34" s="3">
        <f>p_B!J34^2</f>
        <v>3.5598391737588549E-5</v>
      </c>
      <c r="K34" s="3">
        <f>p_B!K34^2</f>
        <v>0</v>
      </c>
      <c r="L34" s="3">
        <f>p_B!L34^2</f>
        <v>0</v>
      </c>
      <c r="M34" s="3">
        <f>p_B!M34^2</f>
        <v>0</v>
      </c>
      <c r="N34" s="3">
        <f>p_B!N34^2</f>
        <v>0</v>
      </c>
      <c r="O34" s="3">
        <f>p_B!O34^2</f>
        <v>0</v>
      </c>
      <c r="P34" s="3">
        <f>p_B!P34^2</f>
        <v>0</v>
      </c>
      <c r="Q34" s="3">
        <f>p_B!Q34^2</f>
        <v>0</v>
      </c>
      <c r="R34" s="3">
        <f>p_B!R34^2</f>
        <v>0</v>
      </c>
      <c r="S34" s="3">
        <f>p_B!S34^2</f>
        <v>0</v>
      </c>
      <c r="T34" s="3">
        <f>p_B!T34^2</f>
        <v>0</v>
      </c>
      <c r="U34" s="3">
        <f>p_B!U34^2</f>
        <v>0</v>
      </c>
      <c r="V34" s="3">
        <f>p_B!V34^2</f>
        <v>0</v>
      </c>
      <c r="W34" s="3">
        <f>p_B!W34^2</f>
        <v>0</v>
      </c>
      <c r="X34" s="3">
        <f>p_B!X34^2</f>
        <v>0</v>
      </c>
      <c r="Y34" s="3">
        <f>p_B!Y34^2</f>
        <v>0</v>
      </c>
      <c r="Z34" s="3">
        <f>p_B!Z34^2</f>
        <v>0</v>
      </c>
      <c r="AA34" s="3">
        <f>p_B!AA34^2</f>
        <v>0</v>
      </c>
    </row>
    <row r="35" spans="1:27" x14ac:dyDescent="0.25">
      <c r="A35" t="s">
        <v>116</v>
      </c>
      <c r="B35" s="3">
        <f>p_B!B35^2</f>
        <v>6.6934827747206513E-6</v>
      </c>
      <c r="C35" s="3">
        <f>p_B!C35^2</f>
        <v>5.679970543614555E-5</v>
      </c>
      <c r="D35" s="3">
        <f>p_B!D35^2</f>
        <v>0</v>
      </c>
      <c r="E35" s="3">
        <f>p_B!E35^2</f>
        <v>0</v>
      </c>
      <c r="F35" s="3">
        <f>p_B!F35^2</f>
        <v>0</v>
      </c>
      <c r="G35" s="3">
        <f>p_B!G35^2</f>
        <v>0</v>
      </c>
      <c r="H35" s="3">
        <f>p_B!H35^2</f>
        <v>0.62195134635167215</v>
      </c>
      <c r="I35" s="3">
        <f>p_B!I35^2</f>
        <v>0</v>
      </c>
      <c r="J35" s="3">
        <f>p_B!J35^2</f>
        <v>1.5235454960705844E-3</v>
      </c>
      <c r="K35" s="3">
        <f>p_B!K35^2</f>
        <v>0</v>
      </c>
      <c r="L35" s="3">
        <f>p_B!L35^2</f>
        <v>0</v>
      </c>
      <c r="M35" s="3">
        <f>p_B!M35^2</f>
        <v>0</v>
      </c>
      <c r="N35" s="3">
        <f>p_B!N35^2</f>
        <v>1.7322075460477383E-5</v>
      </c>
      <c r="O35" s="3">
        <f>p_B!O35^2</f>
        <v>2.1680823361646725E-2</v>
      </c>
      <c r="P35" s="3">
        <f>p_B!P35^2</f>
        <v>0</v>
      </c>
      <c r="Q35" s="3">
        <f>p_B!Q35^2</f>
        <v>0</v>
      </c>
      <c r="R35" s="3">
        <f>p_B!R35^2</f>
        <v>0</v>
      </c>
      <c r="S35" s="3">
        <f>p_B!S35^2</f>
        <v>0</v>
      </c>
      <c r="T35" s="3">
        <f>p_B!T35^2</f>
        <v>0</v>
      </c>
      <c r="U35" s="3">
        <f>p_B!U35^2</f>
        <v>0</v>
      </c>
      <c r="V35" s="3">
        <f>p_B!V35^2</f>
        <v>0</v>
      </c>
      <c r="W35" s="3">
        <f>p_B!W35^2</f>
        <v>0</v>
      </c>
      <c r="X35" s="3">
        <f>p_B!X35^2</f>
        <v>0</v>
      </c>
      <c r="Y35" s="3">
        <f>p_B!Y35^2</f>
        <v>0</v>
      </c>
      <c r="Z35" s="3">
        <f>p_B!Z35^2</f>
        <v>0</v>
      </c>
      <c r="AA35" s="3">
        <f>p_B!AA35^2</f>
        <v>0</v>
      </c>
    </row>
    <row r="36" spans="1:27" x14ac:dyDescent="0.25">
      <c r="A36" t="s">
        <v>117</v>
      </c>
      <c r="B36" s="3">
        <f>p_B!B36^2</f>
        <v>7.3918960574176492E-4</v>
      </c>
      <c r="C36" s="3">
        <f>p_B!C36^2</f>
        <v>1.6895494234506487E-6</v>
      </c>
      <c r="D36" s="3">
        <f>p_B!D36^2</f>
        <v>0</v>
      </c>
      <c r="E36" s="3">
        <f>p_B!E36^2</f>
        <v>0</v>
      </c>
      <c r="F36" s="3">
        <f>p_B!F36^2</f>
        <v>0</v>
      </c>
      <c r="G36" s="3">
        <f>p_B!G36^2</f>
        <v>0</v>
      </c>
      <c r="H36" s="3">
        <f>p_B!H36^2</f>
        <v>0.93543594552066667</v>
      </c>
      <c r="I36" s="3">
        <f>p_B!I36^2</f>
        <v>0</v>
      </c>
      <c r="J36" s="3">
        <f>p_B!J36^2</f>
        <v>1.5205944811055841E-5</v>
      </c>
      <c r="K36" s="3">
        <f>p_B!K36^2</f>
        <v>0</v>
      </c>
      <c r="L36" s="3">
        <f>p_B!L36^2</f>
        <v>0</v>
      </c>
      <c r="M36" s="3">
        <f>p_B!M36^2</f>
        <v>0</v>
      </c>
      <c r="N36" s="3">
        <f>p_B!N36^2</f>
        <v>0</v>
      </c>
      <c r="O36" s="3">
        <f>p_B!O36^2</f>
        <v>0</v>
      </c>
      <c r="P36" s="3">
        <f>p_B!P36^2</f>
        <v>0</v>
      </c>
      <c r="Q36" s="3">
        <f>p_B!Q36^2</f>
        <v>0</v>
      </c>
      <c r="R36" s="3">
        <f>p_B!R36^2</f>
        <v>0</v>
      </c>
      <c r="S36" s="3">
        <f>p_B!S36^2</f>
        <v>0</v>
      </c>
      <c r="T36" s="3">
        <f>p_B!T36^2</f>
        <v>0</v>
      </c>
      <c r="U36" s="3">
        <f>p_B!U36^2</f>
        <v>0</v>
      </c>
      <c r="V36" s="3">
        <f>p_B!V36^2</f>
        <v>0</v>
      </c>
      <c r="W36" s="3">
        <f>p_B!W36^2</f>
        <v>0</v>
      </c>
      <c r="X36" s="3">
        <f>p_B!X36^2</f>
        <v>0</v>
      </c>
      <c r="Y36" s="3">
        <f>p_B!Y36^2</f>
        <v>0</v>
      </c>
      <c r="Z36" s="3">
        <f>p_B!Z36^2</f>
        <v>0</v>
      </c>
      <c r="AA36" s="3">
        <f>p_B!AA36^2</f>
        <v>0</v>
      </c>
    </row>
    <row r="37" spans="1:27" x14ac:dyDescent="0.25">
      <c r="A37" t="s">
        <v>118</v>
      </c>
      <c r="B37" s="3">
        <f>p_B!B37^2</f>
        <v>6.859864118054248E-4</v>
      </c>
      <c r="C37" s="3">
        <f>p_B!C37^2</f>
        <v>0.76644748947954944</v>
      </c>
      <c r="D37" s="3">
        <f>p_B!D37^2</f>
        <v>0</v>
      </c>
      <c r="E37" s="3">
        <f>p_B!E37^2</f>
        <v>0</v>
      </c>
      <c r="F37" s="3">
        <f>p_B!F37^2</f>
        <v>0</v>
      </c>
      <c r="G37" s="3">
        <f>p_B!G37^2</f>
        <v>0</v>
      </c>
      <c r="H37" s="3">
        <f>p_B!H37^2</f>
        <v>9.5279566295912634E-3</v>
      </c>
      <c r="I37" s="3">
        <f>p_B!I37^2</f>
        <v>0</v>
      </c>
      <c r="J37" s="3">
        <f>p_B!J37^2</f>
        <v>0</v>
      </c>
      <c r="K37" s="3">
        <f>p_B!K37^2</f>
        <v>0</v>
      </c>
      <c r="L37" s="3">
        <f>p_B!L37^2</f>
        <v>0</v>
      </c>
      <c r="M37" s="3">
        <f>p_B!M37^2</f>
        <v>0</v>
      </c>
      <c r="N37" s="3">
        <f>p_B!N37^2</f>
        <v>0</v>
      </c>
      <c r="O37" s="3">
        <f>p_B!O37^2</f>
        <v>5.2931050293627723E-7</v>
      </c>
      <c r="P37" s="3">
        <f>p_B!P37^2</f>
        <v>0</v>
      </c>
      <c r="Q37" s="3">
        <f>p_B!Q37^2</f>
        <v>0</v>
      </c>
      <c r="R37" s="3">
        <f>p_B!R37^2</f>
        <v>0</v>
      </c>
      <c r="S37" s="3">
        <f>p_B!S37^2</f>
        <v>0</v>
      </c>
      <c r="T37" s="3">
        <f>p_B!T37^2</f>
        <v>0</v>
      </c>
      <c r="U37" s="3">
        <f>p_B!U37^2</f>
        <v>0</v>
      </c>
      <c r="V37" s="3">
        <f>p_B!V37^2</f>
        <v>0</v>
      </c>
      <c r="W37" s="3">
        <f>p_B!W37^2</f>
        <v>0</v>
      </c>
      <c r="X37" s="3">
        <f>p_B!X37^2</f>
        <v>0</v>
      </c>
      <c r="Y37" s="3">
        <f>p_B!Y37^2</f>
        <v>0</v>
      </c>
      <c r="Z37" s="3">
        <f>p_B!Z37^2</f>
        <v>0</v>
      </c>
      <c r="AA37" s="3">
        <f>p_B!AA37^2</f>
        <v>0</v>
      </c>
    </row>
    <row r="38" spans="1:27" x14ac:dyDescent="0.25">
      <c r="A38" t="s">
        <v>120</v>
      </c>
      <c r="B38" s="3">
        <f>p_B!B38^2</f>
        <v>2.9011040662118081E-7</v>
      </c>
      <c r="C38" s="3">
        <f>p_B!C38^2</f>
        <v>0</v>
      </c>
      <c r="D38" s="3">
        <f>p_B!D38^2</f>
        <v>0</v>
      </c>
      <c r="E38" s="3">
        <f>p_B!E38^2</f>
        <v>0</v>
      </c>
      <c r="F38" s="3">
        <f>p_B!F38^2</f>
        <v>0</v>
      </c>
      <c r="G38" s="3">
        <f>p_B!G38^2</f>
        <v>0</v>
      </c>
      <c r="H38" s="3">
        <f>p_B!H38^2</f>
        <v>0.9732503699574937</v>
      </c>
      <c r="I38" s="3">
        <f>p_B!I38^2</f>
        <v>0</v>
      </c>
      <c r="J38" s="3">
        <f>p_B!J38^2</f>
        <v>1.6710359421380139E-4</v>
      </c>
      <c r="K38" s="3">
        <f>p_B!K38^2</f>
        <v>0</v>
      </c>
      <c r="L38" s="3">
        <f>p_B!L38^2</f>
        <v>0</v>
      </c>
      <c r="M38" s="3">
        <f>p_B!M38^2</f>
        <v>0</v>
      </c>
      <c r="N38" s="3">
        <f>p_B!N38^2</f>
        <v>0</v>
      </c>
      <c r="O38" s="3">
        <f>p_B!O38^2</f>
        <v>0</v>
      </c>
      <c r="P38" s="3">
        <f>p_B!P38^2</f>
        <v>0</v>
      </c>
      <c r="Q38" s="3">
        <f>p_B!Q38^2</f>
        <v>0</v>
      </c>
      <c r="R38" s="3">
        <f>p_B!R38^2</f>
        <v>0</v>
      </c>
      <c r="S38" s="3">
        <f>p_B!S38^2</f>
        <v>0</v>
      </c>
      <c r="T38" s="3">
        <f>p_B!T38^2</f>
        <v>0</v>
      </c>
      <c r="U38" s="3">
        <f>p_B!U38^2</f>
        <v>0</v>
      </c>
      <c r="V38" s="3">
        <f>p_B!V38^2</f>
        <v>0</v>
      </c>
      <c r="W38" s="3">
        <f>p_B!W38^2</f>
        <v>0</v>
      </c>
      <c r="X38" s="3">
        <f>p_B!X38^2</f>
        <v>0</v>
      </c>
      <c r="Y38" s="3">
        <f>p_B!Y38^2</f>
        <v>0</v>
      </c>
      <c r="Z38" s="3">
        <f>p_B!Z38^2</f>
        <v>0</v>
      </c>
      <c r="AA38" s="3">
        <f>p_B!AA38^2</f>
        <v>0</v>
      </c>
    </row>
    <row r="39" spans="1:27" x14ac:dyDescent="0.25">
      <c r="A39" t="s">
        <v>121</v>
      </c>
      <c r="B39" s="3">
        <f>p_B!B39^2</f>
        <v>1.0969205666287908E-6</v>
      </c>
      <c r="C39" s="3">
        <f>p_B!C39^2</f>
        <v>1.3901932493226748E-3</v>
      </c>
      <c r="D39" s="3">
        <f>p_B!D39^2</f>
        <v>0</v>
      </c>
      <c r="E39" s="3">
        <f>p_B!E39^2</f>
        <v>0</v>
      </c>
      <c r="F39" s="3">
        <f>p_B!F39^2</f>
        <v>0</v>
      </c>
      <c r="G39" s="3">
        <f>p_B!G39^2</f>
        <v>0</v>
      </c>
      <c r="H39" s="3">
        <f>p_B!H39^2</f>
        <v>0.90596582627340683</v>
      </c>
      <c r="I39" s="3">
        <f>p_B!I39^2</f>
        <v>0</v>
      </c>
      <c r="J39" s="3">
        <f>p_B!J39^2</f>
        <v>1.9349678795332003E-5</v>
      </c>
      <c r="K39" s="3">
        <f>p_B!K39^2</f>
        <v>0</v>
      </c>
      <c r="L39" s="3">
        <f>p_B!L39^2</f>
        <v>0</v>
      </c>
      <c r="M39" s="3">
        <f>p_B!M39^2</f>
        <v>0</v>
      </c>
      <c r="N39" s="3">
        <f>p_B!N39^2</f>
        <v>0</v>
      </c>
      <c r="O39" s="3">
        <f>p_B!O39^2</f>
        <v>1.7550729066060812E-5</v>
      </c>
      <c r="P39" s="3">
        <f>p_B!P39^2</f>
        <v>0</v>
      </c>
      <c r="Q39" s="3">
        <f>p_B!Q39^2</f>
        <v>0</v>
      </c>
      <c r="R39" s="3">
        <f>p_B!R39^2</f>
        <v>0</v>
      </c>
      <c r="S39" s="3">
        <f>p_B!S39^2</f>
        <v>0</v>
      </c>
      <c r="T39" s="3">
        <f>p_B!T39^2</f>
        <v>0</v>
      </c>
      <c r="U39" s="3">
        <f>p_B!U39^2</f>
        <v>0</v>
      </c>
      <c r="V39" s="3">
        <f>p_B!V39^2</f>
        <v>0</v>
      </c>
      <c r="W39" s="3">
        <f>p_B!W39^2</f>
        <v>0</v>
      </c>
      <c r="X39" s="3">
        <f>p_B!X39^2</f>
        <v>0</v>
      </c>
      <c r="Y39" s="3">
        <f>p_B!Y39^2</f>
        <v>0</v>
      </c>
      <c r="Z39" s="3">
        <f>p_B!Z39^2</f>
        <v>0</v>
      </c>
      <c r="AA39" s="3">
        <f>p_B!AA39^2</f>
        <v>0</v>
      </c>
    </row>
    <row r="40" spans="1:27" x14ac:dyDescent="0.25">
      <c r="A40" t="s">
        <v>122</v>
      </c>
      <c r="B40" s="3">
        <f>p_B!B40^2</f>
        <v>0</v>
      </c>
      <c r="C40" s="3">
        <f>p_B!C40^2</f>
        <v>3.367926310397986E-2</v>
      </c>
      <c r="D40" s="3">
        <f>p_B!D40^2</f>
        <v>0</v>
      </c>
      <c r="E40" s="3">
        <f>p_B!E40^2</f>
        <v>0</v>
      </c>
      <c r="F40" s="3">
        <f>p_B!F40^2</f>
        <v>0</v>
      </c>
      <c r="G40" s="3">
        <f>p_B!G40^2</f>
        <v>0</v>
      </c>
      <c r="H40" s="3">
        <f>p_B!H40^2</f>
        <v>0.10371886917319158</v>
      </c>
      <c r="I40" s="3">
        <f>p_B!I40^2</f>
        <v>0</v>
      </c>
      <c r="J40" s="3">
        <f>p_B!J40^2</f>
        <v>8.7517812588746015E-5</v>
      </c>
      <c r="K40" s="3">
        <f>p_B!K40^2</f>
        <v>0</v>
      </c>
      <c r="L40" s="3">
        <f>p_B!L40^2</f>
        <v>0</v>
      </c>
      <c r="M40" s="3">
        <f>p_B!M40^2</f>
        <v>0</v>
      </c>
      <c r="N40" s="3">
        <f>p_B!N40^2</f>
        <v>0</v>
      </c>
      <c r="O40" s="3">
        <f>p_B!O40^2</f>
        <v>0.23106544795174239</v>
      </c>
      <c r="P40" s="3">
        <f>p_B!P40^2</f>
        <v>0</v>
      </c>
      <c r="Q40" s="3">
        <f>p_B!Q40^2</f>
        <v>0</v>
      </c>
      <c r="R40" s="3">
        <f>p_B!R40^2</f>
        <v>0</v>
      </c>
      <c r="S40" s="3">
        <f>p_B!S40^2</f>
        <v>0</v>
      </c>
      <c r="T40" s="3">
        <f>p_B!T40^2</f>
        <v>0</v>
      </c>
      <c r="U40" s="3">
        <f>p_B!U40^2</f>
        <v>0</v>
      </c>
      <c r="V40" s="3">
        <f>p_B!V40^2</f>
        <v>0</v>
      </c>
      <c r="W40" s="3">
        <f>p_B!W40^2</f>
        <v>0</v>
      </c>
      <c r="X40" s="3">
        <f>p_B!X40^2</f>
        <v>0</v>
      </c>
      <c r="Y40" s="3">
        <f>p_B!Y40^2</f>
        <v>0</v>
      </c>
      <c r="Z40" s="3">
        <f>p_B!Z40^2</f>
        <v>0</v>
      </c>
      <c r="AA40" s="3">
        <f>p_B!AA40^2</f>
        <v>0</v>
      </c>
    </row>
    <row r="41" spans="1:27" x14ac:dyDescent="0.25">
      <c r="A41" t="s">
        <v>123</v>
      </c>
      <c r="B41" s="3">
        <f>p_B!B41^2</f>
        <v>0</v>
      </c>
      <c r="C41" s="3">
        <f>p_B!C41^2</f>
        <v>4.9142409666115523E-5</v>
      </c>
      <c r="D41" s="3">
        <f>p_B!D41^2</f>
        <v>0</v>
      </c>
      <c r="E41" s="3">
        <f>p_B!E41^2</f>
        <v>0</v>
      </c>
      <c r="F41" s="3">
        <f>p_B!F41^2</f>
        <v>0</v>
      </c>
      <c r="G41" s="3">
        <f>p_B!G41^2</f>
        <v>0</v>
      </c>
      <c r="H41" s="3">
        <f>p_B!H41^2</f>
        <v>0.19350130946093363</v>
      </c>
      <c r="I41" s="3">
        <f>p_B!I41^2</f>
        <v>0</v>
      </c>
      <c r="J41" s="3">
        <f>p_B!J41^2</f>
        <v>0</v>
      </c>
      <c r="K41" s="3">
        <f>p_B!K41^2</f>
        <v>0</v>
      </c>
      <c r="L41" s="3">
        <f>p_B!L41^2</f>
        <v>0</v>
      </c>
      <c r="M41" s="3">
        <f>p_B!M41^2</f>
        <v>0</v>
      </c>
      <c r="N41" s="3">
        <f>p_B!N41^2</f>
        <v>0</v>
      </c>
      <c r="O41" s="3">
        <f>p_B!O41^2</f>
        <v>0.29821629024195151</v>
      </c>
      <c r="P41" s="3">
        <f>p_B!P41^2</f>
        <v>0</v>
      </c>
      <c r="Q41" s="3">
        <f>p_B!Q41^2</f>
        <v>0</v>
      </c>
      <c r="R41" s="3">
        <f>p_B!R41^2</f>
        <v>0</v>
      </c>
      <c r="S41" s="3">
        <f>p_B!S41^2</f>
        <v>0</v>
      </c>
      <c r="T41" s="3">
        <f>p_B!T41^2</f>
        <v>0</v>
      </c>
      <c r="U41" s="3">
        <f>p_B!U41^2</f>
        <v>0</v>
      </c>
      <c r="V41" s="3">
        <f>p_B!V41^2</f>
        <v>0</v>
      </c>
      <c r="W41" s="3">
        <f>p_B!W41^2</f>
        <v>0</v>
      </c>
      <c r="X41" s="3">
        <f>p_B!X41^2</f>
        <v>0</v>
      </c>
      <c r="Y41" s="3">
        <f>p_B!Y41^2</f>
        <v>0</v>
      </c>
      <c r="Z41" s="3">
        <f>p_B!Z41^2</f>
        <v>0</v>
      </c>
      <c r="AA41" s="3">
        <f>p_B!AA41^2</f>
        <v>0</v>
      </c>
    </row>
    <row r="42" spans="1:27" x14ac:dyDescent="0.25">
      <c r="A42" t="s">
        <v>124</v>
      </c>
      <c r="B42" s="3">
        <f>p_B!B42^2</f>
        <v>0</v>
      </c>
      <c r="C42" s="3">
        <f>p_B!C42^2</f>
        <v>0.10383589053006874</v>
      </c>
      <c r="D42" s="3">
        <f>p_B!D42^2</f>
        <v>0</v>
      </c>
      <c r="E42" s="3">
        <f>p_B!E42^2</f>
        <v>0</v>
      </c>
      <c r="F42" s="3">
        <f>p_B!F42^2</f>
        <v>0</v>
      </c>
      <c r="G42" s="3">
        <f>p_B!G42^2</f>
        <v>0</v>
      </c>
      <c r="H42" s="3">
        <f>p_B!H42^2</f>
        <v>0.22243568047298404</v>
      </c>
      <c r="I42" s="3">
        <f>p_B!I42^2</f>
        <v>0</v>
      </c>
      <c r="J42" s="3">
        <f>p_B!J42^2</f>
        <v>1.3963113615672539E-4</v>
      </c>
      <c r="K42" s="3">
        <f>p_B!K42^2</f>
        <v>0</v>
      </c>
      <c r="L42" s="3">
        <f>p_B!L42^2</f>
        <v>0</v>
      </c>
      <c r="M42" s="3">
        <f>p_B!M42^2</f>
        <v>0</v>
      </c>
      <c r="N42" s="3">
        <f>p_B!N42^2</f>
        <v>0</v>
      </c>
      <c r="O42" s="3">
        <f>p_B!O42^2</f>
        <v>2.9938767841767275E-2</v>
      </c>
      <c r="P42" s="3">
        <f>p_B!P42^2</f>
        <v>0</v>
      </c>
      <c r="Q42" s="3">
        <f>p_B!Q42^2</f>
        <v>3.0755613506327367E-4</v>
      </c>
      <c r="R42" s="3">
        <f>p_B!R42^2</f>
        <v>0</v>
      </c>
      <c r="S42" s="3">
        <f>p_B!S42^2</f>
        <v>0</v>
      </c>
      <c r="T42" s="3">
        <f>p_B!T42^2</f>
        <v>0</v>
      </c>
      <c r="U42" s="3">
        <f>p_B!U42^2</f>
        <v>0</v>
      </c>
      <c r="V42" s="3">
        <f>p_B!V42^2</f>
        <v>0</v>
      </c>
      <c r="W42" s="3">
        <f>p_B!W42^2</f>
        <v>0</v>
      </c>
      <c r="X42" s="3">
        <f>p_B!X42^2</f>
        <v>0</v>
      </c>
      <c r="Y42" s="3">
        <f>p_B!Y42^2</f>
        <v>0</v>
      </c>
      <c r="Z42" s="3">
        <f>p_B!Z42^2</f>
        <v>0</v>
      </c>
      <c r="AA42" s="3">
        <f>p_B!AA42^2</f>
        <v>0</v>
      </c>
    </row>
    <row r="43" spans="1:27" x14ac:dyDescent="0.25">
      <c r="A43" t="s">
        <v>136</v>
      </c>
      <c r="B43" s="3">
        <f>p_B!B43^2</f>
        <v>4.0553922768539393E-6</v>
      </c>
      <c r="C43" s="3">
        <f>p_B!C43^2</f>
        <v>1.414563625289301E-5</v>
      </c>
      <c r="D43" s="3">
        <f>p_B!D43^2</f>
        <v>0</v>
      </c>
      <c r="E43" s="3">
        <f>p_B!E43^2</f>
        <v>0</v>
      </c>
      <c r="F43" s="3">
        <f>p_B!F43^2</f>
        <v>0</v>
      </c>
      <c r="G43" s="3">
        <f>p_B!G43^2</f>
        <v>0</v>
      </c>
      <c r="H43" s="3">
        <f>p_B!H43^2</f>
        <v>2.8685025311151174E-2</v>
      </c>
      <c r="I43" s="3">
        <f>p_B!I43^2</f>
        <v>0</v>
      </c>
      <c r="J43" s="3">
        <f>p_B!J43^2</f>
        <v>0</v>
      </c>
      <c r="K43" s="3">
        <f>p_B!K43^2</f>
        <v>0</v>
      </c>
      <c r="L43" s="3">
        <f>p_B!L43^2</f>
        <v>0</v>
      </c>
      <c r="M43" s="3">
        <f>p_B!M43^2</f>
        <v>0</v>
      </c>
      <c r="N43" s="3">
        <f>p_B!N43^2</f>
        <v>1.0805901436660348E-5</v>
      </c>
      <c r="O43" s="3">
        <f>p_B!O43^2</f>
        <v>3.3349111446230793E-5</v>
      </c>
      <c r="P43" s="3">
        <f>p_B!P43^2</f>
        <v>0</v>
      </c>
      <c r="Q43" s="3">
        <f>p_B!Q43^2</f>
        <v>6.6325484631721309E-5</v>
      </c>
      <c r="R43" s="3">
        <f>p_B!R43^2</f>
        <v>0</v>
      </c>
      <c r="S43" s="3">
        <f>p_B!S43^2</f>
        <v>0</v>
      </c>
      <c r="T43" s="3">
        <f>p_B!T43^2</f>
        <v>0</v>
      </c>
      <c r="U43" s="3">
        <f>p_B!U43^2</f>
        <v>0</v>
      </c>
      <c r="V43" s="3">
        <f>p_B!V43^2</f>
        <v>0</v>
      </c>
      <c r="W43" s="3">
        <f>p_B!W43^2</f>
        <v>0</v>
      </c>
      <c r="X43" s="3">
        <f>p_B!X43^2</f>
        <v>0.16307561665934062</v>
      </c>
      <c r="Y43" s="3">
        <f>p_B!Y43^2</f>
        <v>0</v>
      </c>
      <c r="Z43" s="3">
        <f>p_B!Z43^2</f>
        <v>0</v>
      </c>
      <c r="AA43" s="3">
        <f>p_B!AA43^2</f>
        <v>0</v>
      </c>
    </row>
    <row r="44" spans="1:27" x14ac:dyDescent="0.25">
      <c r="A44" t="s">
        <v>94</v>
      </c>
      <c r="B44" s="3">
        <f>p_B!B44^2</f>
        <v>3.9271213578117282E-2</v>
      </c>
      <c r="C44" s="3">
        <f>p_B!C44^2</f>
        <v>0</v>
      </c>
      <c r="D44" s="3">
        <f>p_B!D44^2</f>
        <v>0</v>
      </c>
      <c r="E44" s="3">
        <f>p_B!E44^2</f>
        <v>0</v>
      </c>
      <c r="F44" s="3">
        <f>p_B!F44^2</f>
        <v>0</v>
      </c>
      <c r="G44" s="3">
        <f>p_B!G44^2</f>
        <v>0</v>
      </c>
      <c r="H44" s="3">
        <f>p_B!H44^2</f>
        <v>0</v>
      </c>
      <c r="I44" s="3">
        <f>p_B!I44^2</f>
        <v>0</v>
      </c>
      <c r="J44" s="3">
        <f>p_B!J44^2</f>
        <v>0</v>
      </c>
      <c r="K44" s="3">
        <f>p_B!K44^2</f>
        <v>0</v>
      </c>
      <c r="L44" s="3">
        <f>p_B!L44^2</f>
        <v>0</v>
      </c>
      <c r="M44" s="3">
        <f>p_B!M44^2</f>
        <v>0</v>
      </c>
      <c r="N44" s="3">
        <f>p_B!N44^2</f>
        <v>1.1150646347215484E-6</v>
      </c>
      <c r="O44" s="3">
        <f>p_B!O44^2</f>
        <v>0</v>
      </c>
      <c r="P44" s="3">
        <f>p_B!P44^2</f>
        <v>0</v>
      </c>
      <c r="Q44" s="3">
        <f>p_B!Q44^2</f>
        <v>0.64123960000897029</v>
      </c>
      <c r="R44" s="3">
        <f>p_B!R44^2</f>
        <v>0</v>
      </c>
      <c r="S44" s="3">
        <f>p_B!S44^2</f>
        <v>0</v>
      </c>
      <c r="T44" s="3">
        <f>p_B!T44^2</f>
        <v>0</v>
      </c>
      <c r="U44" s="3">
        <f>p_B!U44^2</f>
        <v>0</v>
      </c>
      <c r="V44" s="3">
        <f>p_B!V44^2</f>
        <v>0</v>
      </c>
      <c r="W44" s="3">
        <f>p_B!W44^2</f>
        <v>0</v>
      </c>
      <c r="X44" s="3">
        <f>p_B!X44^2</f>
        <v>0</v>
      </c>
      <c r="Y44" s="3">
        <f>p_B!Y44^2</f>
        <v>0</v>
      </c>
      <c r="Z44" s="3">
        <f>p_B!Z44^2</f>
        <v>0</v>
      </c>
      <c r="AA44" s="3">
        <f>p_B!AA44^2</f>
        <v>0</v>
      </c>
    </row>
    <row r="45" spans="1:27" x14ac:dyDescent="0.25">
      <c r="A45" t="s">
        <v>95</v>
      </c>
      <c r="B45" s="3">
        <f>p_B!B45^2</f>
        <v>1.9652848917169615E-2</v>
      </c>
      <c r="C45" s="3">
        <f>p_B!C45^2</f>
        <v>4.5852839895638945E-4</v>
      </c>
      <c r="D45" s="3">
        <f>p_B!D45^2</f>
        <v>0</v>
      </c>
      <c r="E45" s="3">
        <f>p_B!E45^2</f>
        <v>0</v>
      </c>
      <c r="F45" s="3">
        <f>p_B!F45^2</f>
        <v>0</v>
      </c>
      <c r="G45" s="3">
        <f>p_B!G45^2</f>
        <v>0</v>
      </c>
      <c r="H45" s="3">
        <f>p_B!H45^2</f>
        <v>0</v>
      </c>
      <c r="I45" s="3">
        <f>p_B!I45^2</f>
        <v>0</v>
      </c>
      <c r="J45" s="3">
        <f>p_B!J45^2</f>
        <v>0</v>
      </c>
      <c r="K45" s="3">
        <f>p_B!K45^2</f>
        <v>0</v>
      </c>
      <c r="L45" s="3">
        <f>p_B!L45^2</f>
        <v>0</v>
      </c>
      <c r="M45" s="3">
        <f>p_B!M45^2</f>
        <v>0</v>
      </c>
      <c r="N45" s="3">
        <f>p_B!N45^2</f>
        <v>0</v>
      </c>
      <c r="O45" s="3">
        <f>p_B!O45^2</f>
        <v>0</v>
      </c>
      <c r="P45" s="3">
        <f>p_B!P45^2</f>
        <v>0</v>
      </c>
      <c r="Q45" s="3">
        <f>p_B!Q45^2</f>
        <v>0.70291138195994551</v>
      </c>
      <c r="R45" s="3">
        <f>p_B!R45^2</f>
        <v>0</v>
      </c>
      <c r="S45" s="3">
        <f>p_B!S45^2</f>
        <v>0</v>
      </c>
      <c r="T45" s="3">
        <f>p_B!T45^2</f>
        <v>0</v>
      </c>
      <c r="U45" s="3">
        <f>p_B!U45^2</f>
        <v>0</v>
      </c>
      <c r="V45" s="3">
        <f>p_B!V45^2</f>
        <v>0</v>
      </c>
      <c r="W45" s="3">
        <f>p_B!W45^2</f>
        <v>0</v>
      </c>
      <c r="X45" s="3">
        <f>p_B!X45^2</f>
        <v>0</v>
      </c>
      <c r="Y45" s="3">
        <f>p_B!Y45^2</f>
        <v>0</v>
      </c>
      <c r="Z45" s="3">
        <f>p_B!Z45^2</f>
        <v>0</v>
      </c>
      <c r="AA45" s="3">
        <f>p_B!AA45^2</f>
        <v>0</v>
      </c>
    </row>
    <row r="46" spans="1:27" x14ac:dyDescent="0.25">
      <c r="A46" t="s">
        <v>96</v>
      </c>
      <c r="B46" s="3">
        <f>p_B!B46^2</f>
        <v>1</v>
      </c>
      <c r="C46" s="3">
        <f>p_B!C46^2</f>
        <v>0</v>
      </c>
      <c r="D46" s="3">
        <f>p_B!D46^2</f>
        <v>0</v>
      </c>
      <c r="E46" s="3">
        <f>p_B!E46^2</f>
        <v>0</v>
      </c>
      <c r="F46" s="3">
        <f>p_B!F46^2</f>
        <v>0</v>
      </c>
      <c r="G46" s="3">
        <f>p_B!G46^2</f>
        <v>0</v>
      </c>
      <c r="H46" s="3">
        <f>p_B!H46^2</f>
        <v>0</v>
      </c>
      <c r="I46" s="3">
        <f>p_B!I46^2</f>
        <v>0</v>
      </c>
      <c r="J46" s="3">
        <f>p_B!J46^2</f>
        <v>0</v>
      </c>
      <c r="K46" s="3">
        <f>p_B!K46^2</f>
        <v>0</v>
      </c>
      <c r="L46" s="3">
        <f>p_B!L46^2</f>
        <v>0</v>
      </c>
      <c r="M46" s="3">
        <f>p_B!M46^2</f>
        <v>0</v>
      </c>
      <c r="N46" s="3">
        <f>p_B!N46^2</f>
        <v>0</v>
      </c>
      <c r="O46" s="3">
        <f>p_B!O46^2</f>
        <v>0</v>
      </c>
      <c r="P46" s="3">
        <f>p_B!P46^2</f>
        <v>0</v>
      </c>
      <c r="Q46" s="3">
        <f>p_B!Q46^2</f>
        <v>0</v>
      </c>
      <c r="R46" s="3">
        <f>p_B!R46^2</f>
        <v>0</v>
      </c>
      <c r="S46" s="3">
        <f>p_B!S46^2</f>
        <v>0</v>
      </c>
      <c r="T46" s="3">
        <f>p_B!T46^2</f>
        <v>0</v>
      </c>
      <c r="U46" s="3">
        <f>p_B!U46^2</f>
        <v>0</v>
      </c>
      <c r="V46" s="3">
        <f>p_B!V46^2</f>
        <v>0</v>
      </c>
      <c r="W46" s="3">
        <f>p_B!W46^2</f>
        <v>0</v>
      </c>
      <c r="X46" s="3">
        <f>p_B!X46^2</f>
        <v>0</v>
      </c>
      <c r="Y46" s="3">
        <f>p_B!Y46^2</f>
        <v>0</v>
      </c>
      <c r="Z46" s="3">
        <f>p_B!Z46^2</f>
        <v>0</v>
      </c>
      <c r="AA46" s="3">
        <f>p_B!AA46^2</f>
        <v>0</v>
      </c>
    </row>
    <row r="47" spans="1:27" x14ac:dyDescent="0.25">
      <c r="A47" t="s">
        <v>128</v>
      </c>
      <c r="B47" s="3">
        <f>p_B!B47^2</f>
        <v>5.9580727640387284E-4</v>
      </c>
      <c r="C47" s="3">
        <f>p_B!C47^2</f>
        <v>0</v>
      </c>
      <c r="D47" s="3">
        <f>p_B!D47^2</f>
        <v>0</v>
      </c>
      <c r="E47" s="3">
        <f>p_B!E47^2</f>
        <v>0</v>
      </c>
      <c r="F47" s="3">
        <f>p_B!F47^2</f>
        <v>0</v>
      </c>
      <c r="G47" s="3">
        <f>p_B!G47^2</f>
        <v>0</v>
      </c>
      <c r="H47" s="3">
        <f>p_B!H47^2</f>
        <v>0</v>
      </c>
      <c r="I47" s="3">
        <f>p_B!I47^2</f>
        <v>0</v>
      </c>
      <c r="J47" s="3">
        <f>p_B!J47^2</f>
        <v>2.1662412645752633E-7</v>
      </c>
      <c r="K47" s="3">
        <f>p_B!K47^2</f>
        <v>0</v>
      </c>
      <c r="L47" s="3">
        <f>p_B!L47^2</f>
        <v>0</v>
      </c>
      <c r="M47" s="3">
        <f>p_B!M47^2</f>
        <v>0</v>
      </c>
      <c r="N47" s="3">
        <f>p_B!N47^2</f>
        <v>0</v>
      </c>
      <c r="O47" s="3">
        <f>p_B!O47^2</f>
        <v>0</v>
      </c>
      <c r="P47" s="3">
        <f>p_B!P47^2</f>
        <v>0</v>
      </c>
      <c r="Q47" s="3">
        <f>p_B!Q47^2</f>
        <v>0.94663832905733791</v>
      </c>
      <c r="R47" s="3">
        <f>p_B!R47^2</f>
        <v>0</v>
      </c>
      <c r="S47" s="3">
        <f>p_B!S47^2</f>
        <v>0</v>
      </c>
      <c r="T47" s="3">
        <f>p_B!T47^2</f>
        <v>0</v>
      </c>
      <c r="U47" s="3">
        <f>p_B!U47^2</f>
        <v>0</v>
      </c>
      <c r="V47" s="3">
        <f>p_B!V47^2</f>
        <v>0</v>
      </c>
      <c r="W47" s="3">
        <f>p_B!W47^2</f>
        <v>0</v>
      </c>
      <c r="X47" s="3">
        <f>p_B!X47^2</f>
        <v>0</v>
      </c>
      <c r="Y47" s="3">
        <f>p_B!Y47^2</f>
        <v>0</v>
      </c>
      <c r="Z47" s="3">
        <f>p_B!Z47^2</f>
        <v>0</v>
      </c>
      <c r="AA47" s="3">
        <f>p_B!AA47^2</f>
        <v>4.7175920872972537E-6</v>
      </c>
    </row>
    <row r="48" spans="1:27" x14ac:dyDescent="0.25">
      <c r="A48" t="s">
        <v>129</v>
      </c>
      <c r="B48" s="3">
        <f>p_B!B48^2</f>
        <v>3.8931795463257261E-6</v>
      </c>
      <c r="C48" s="3">
        <f>p_B!C48^2</f>
        <v>0</v>
      </c>
      <c r="D48" s="3">
        <f>p_B!D48^2</f>
        <v>0</v>
      </c>
      <c r="E48" s="3">
        <f>p_B!E48^2</f>
        <v>0</v>
      </c>
      <c r="F48" s="3">
        <f>p_B!F48^2</f>
        <v>0</v>
      </c>
      <c r="G48" s="3">
        <f>p_B!G48^2</f>
        <v>0</v>
      </c>
      <c r="H48" s="3">
        <f>p_B!H48^2</f>
        <v>0</v>
      </c>
      <c r="I48" s="3">
        <f>p_B!I48^2</f>
        <v>0</v>
      </c>
      <c r="J48" s="3">
        <f>p_B!J48^2</f>
        <v>1.0597691014572882E-8</v>
      </c>
      <c r="K48" s="3">
        <f>p_B!K48^2</f>
        <v>0</v>
      </c>
      <c r="L48" s="3">
        <f>p_B!L48^2</f>
        <v>0</v>
      </c>
      <c r="M48" s="3">
        <f>p_B!M48^2</f>
        <v>0</v>
      </c>
      <c r="N48" s="3">
        <f>p_B!N48^2</f>
        <v>0</v>
      </c>
      <c r="O48" s="3">
        <f>p_B!O48^2</f>
        <v>0</v>
      </c>
      <c r="P48" s="3">
        <f>p_B!P48^2</f>
        <v>0</v>
      </c>
      <c r="Q48" s="3">
        <f>p_B!Q48^2</f>
        <v>0.99460268538429608</v>
      </c>
      <c r="R48" s="3">
        <f>p_B!R48^2</f>
        <v>0</v>
      </c>
      <c r="S48" s="3">
        <f>p_B!S48^2</f>
        <v>0</v>
      </c>
      <c r="T48" s="3">
        <f>p_B!T48^2</f>
        <v>0</v>
      </c>
      <c r="U48" s="3">
        <f>p_B!U48^2</f>
        <v>0</v>
      </c>
      <c r="V48" s="3">
        <f>p_B!V48^2</f>
        <v>0</v>
      </c>
      <c r="W48" s="3">
        <f>p_B!W48^2</f>
        <v>0</v>
      </c>
      <c r="X48" s="3">
        <f>p_B!X48^2</f>
        <v>0</v>
      </c>
      <c r="Y48" s="3">
        <f>p_B!Y48^2</f>
        <v>0</v>
      </c>
      <c r="Z48" s="3">
        <f>p_B!Z48^2</f>
        <v>0</v>
      </c>
      <c r="AA48" s="3">
        <f>p_B!AA48^2</f>
        <v>3.9218816261568598E-7</v>
      </c>
    </row>
    <row r="49" spans="1:27" x14ac:dyDescent="0.25">
      <c r="A49" t="s">
        <v>130</v>
      </c>
      <c r="B49" s="3">
        <f>p_B!B49^2</f>
        <v>5.8662805187515299E-6</v>
      </c>
      <c r="C49" s="3">
        <f>p_B!C49^2</f>
        <v>0.2824779288070029</v>
      </c>
      <c r="D49" s="3">
        <f>p_B!D49^2</f>
        <v>0</v>
      </c>
      <c r="E49" s="3">
        <f>p_B!E49^2</f>
        <v>0</v>
      </c>
      <c r="F49" s="3">
        <f>p_B!F49^2</f>
        <v>0</v>
      </c>
      <c r="G49" s="3">
        <f>p_B!G49^2</f>
        <v>0</v>
      </c>
      <c r="H49" s="3">
        <f>p_B!H49^2</f>
        <v>0</v>
      </c>
      <c r="I49" s="3">
        <f>p_B!I49^2</f>
        <v>0</v>
      </c>
      <c r="J49" s="3">
        <f>p_B!J49^2</f>
        <v>3.2052806790659658E-3</v>
      </c>
      <c r="K49" s="3">
        <f>p_B!K49^2</f>
        <v>0</v>
      </c>
      <c r="L49" s="3">
        <f>p_B!L49^2</f>
        <v>0</v>
      </c>
      <c r="M49" s="3">
        <f>p_B!M49^2</f>
        <v>0</v>
      </c>
      <c r="N49" s="3">
        <f>p_B!N49^2</f>
        <v>0</v>
      </c>
      <c r="O49" s="3">
        <f>p_B!O49^2</f>
        <v>1.4665701296878825E-6</v>
      </c>
      <c r="P49" s="3">
        <f>p_B!P49^2</f>
        <v>0</v>
      </c>
      <c r="Q49" s="3">
        <f>p_B!Q49^2</f>
        <v>0.16668048450710729</v>
      </c>
      <c r="R49" s="3">
        <f>p_B!R49^2</f>
        <v>0</v>
      </c>
      <c r="S49" s="3">
        <f>p_B!S49^2</f>
        <v>0</v>
      </c>
      <c r="T49" s="3">
        <f>p_B!T49^2</f>
        <v>0</v>
      </c>
      <c r="U49" s="3">
        <f>p_B!U49^2</f>
        <v>0</v>
      </c>
      <c r="V49" s="3">
        <f>p_B!V49^2</f>
        <v>0</v>
      </c>
      <c r="W49" s="3">
        <f>p_B!W49^2</f>
        <v>0</v>
      </c>
      <c r="X49" s="3">
        <f>p_B!X49^2</f>
        <v>0</v>
      </c>
      <c r="Y49" s="3">
        <f>p_B!Y49^2</f>
        <v>0</v>
      </c>
      <c r="Z49" s="3">
        <f>p_B!Z49^2</f>
        <v>0</v>
      </c>
      <c r="AA49" s="3">
        <f>p_B!AA49^2</f>
        <v>0</v>
      </c>
    </row>
    <row r="50" spans="1:27" x14ac:dyDescent="0.25">
      <c r="A50" t="s">
        <v>131</v>
      </c>
      <c r="B50" s="3">
        <f>p_B!B50^2</f>
        <v>0</v>
      </c>
      <c r="C50" s="3">
        <f>p_B!C50^2</f>
        <v>0.78291224536546811</v>
      </c>
      <c r="D50" s="3">
        <f>p_B!D50^2</f>
        <v>0</v>
      </c>
      <c r="E50" s="3">
        <f>p_B!E50^2</f>
        <v>0</v>
      </c>
      <c r="F50" s="3">
        <f>p_B!F50^2</f>
        <v>0</v>
      </c>
      <c r="G50" s="3">
        <f>p_B!G50^2</f>
        <v>0</v>
      </c>
      <c r="H50" s="3">
        <f>p_B!H50^2</f>
        <v>0</v>
      </c>
      <c r="I50" s="3">
        <f>p_B!I50^2</f>
        <v>0</v>
      </c>
      <c r="J50" s="3">
        <f>p_B!J50^2</f>
        <v>3.5255449276239293E-3</v>
      </c>
      <c r="K50" s="3">
        <f>p_B!K50^2</f>
        <v>0</v>
      </c>
      <c r="L50" s="3">
        <f>p_B!L50^2</f>
        <v>0</v>
      </c>
      <c r="M50" s="3">
        <f>p_B!M50^2</f>
        <v>0</v>
      </c>
      <c r="N50" s="3">
        <f>p_B!N50^2</f>
        <v>0</v>
      </c>
      <c r="O50" s="3">
        <f>p_B!O50^2</f>
        <v>6.9155994311916535E-9</v>
      </c>
      <c r="P50" s="3">
        <f>p_B!P50^2</f>
        <v>0</v>
      </c>
      <c r="Q50" s="3">
        <f>p_B!Q50^2</f>
        <v>2.9308379545385792E-3</v>
      </c>
      <c r="R50" s="3">
        <f>p_B!R50^2</f>
        <v>0</v>
      </c>
      <c r="S50" s="3">
        <f>p_B!S50^2</f>
        <v>0</v>
      </c>
      <c r="T50" s="3">
        <f>p_B!T50^2</f>
        <v>0</v>
      </c>
      <c r="U50" s="3">
        <f>p_B!U50^2</f>
        <v>0</v>
      </c>
      <c r="V50" s="3">
        <f>p_B!V50^2</f>
        <v>0</v>
      </c>
      <c r="W50" s="3">
        <f>p_B!W50^2</f>
        <v>0</v>
      </c>
      <c r="X50" s="3">
        <f>p_B!X50^2</f>
        <v>0</v>
      </c>
      <c r="Y50" s="3">
        <f>p_B!Y50^2</f>
        <v>0</v>
      </c>
      <c r="Z50" s="3">
        <f>p_B!Z50^2</f>
        <v>0</v>
      </c>
      <c r="AA50" s="3">
        <f>p_B!AA50^2</f>
        <v>0</v>
      </c>
    </row>
    <row r="51" spans="1:27" x14ac:dyDescent="0.25">
      <c r="A51" t="s">
        <v>132</v>
      </c>
      <c r="B51" s="3">
        <f>p_B!B51^2</f>
        <v>6.3797430222954117E-6</v>
      </c>
      <c r="C51" s="3">
        <f>p_B!C51^2</f>
        <v>1.7930609930309542E-5</v>
      </c>
      <c r="D51" s="3">
        <f>p_B!D51^2</f>
        <v>0</v>
      </c>
      <c r="E51" s="3">
        <f>p_B!E51^2</f>
        <v>0</v>
      </c>
      <c r="F51" s="3">
        <f>p_B!F51^2</f>
        <v>0</v>
      </c>
      <c r="G51" s="3">
        <f>p_B!G51^2</f>
        <v>0</v>
      </c>
      <c r="H51" s="3">
        <f>p_B!H51^2</f>
        <v>0</v>
      </c>
      <c r="I51" s="3">
        <f>p_B!I51^2</f>
        <v>0</v>
      </c>
      <c r="J51" s="3">
        <f>p_B!J51^2</f>
        <v>0</v>
      </c>
      <c r="K51" s="3">
        <f>p_B!K51^2</f>
        <v>0</v>
      </c>
      <c r="L51" s="3">
        <f>p_B!L51^2</f>
        <v>0</v>
      </c>
      <c r="M51" s="3">
        <f>p_B!M51^2</f>
        <v>0</v>
      </c>
      <c r="N51" s="3">
        <f>p_B!N51^2</f>
        <v>0</v>
      </c>
      <c r="O51" s="3">
        <f>p_B!O51^2</f>
        <v>0</v>
      </c>
      <c r="P51" s="3">
        <f>p_B!P51^2</f>
        <v>0</v>
      </c>
      <c r="Q51" s="3">
        <f>p_B!Q51^2</f>
        <v>0</v>
      </c>
      <c r="R51" s="3">
        <f>p_B!R51^2</f>
        <v>0</v>
      </c>
      <c r="S51" s="3">
        <f>p_B!S51^2</f>
        <v>0</v>
      </c>
      <c r="T51" s="3">
        <f>p_B!T51^2</f>
        <v>0</v>
      </c>
      <c r="U51" s="3">
        <f>p_B!U51^2</f>
        <v>0</v>
      </c>
      <c r="V51" s="3">
        <f>p_B!V51^2</f>
        <v>0</v>
      </c>
      <c r="W51" s="3">
        <f>p_B!W51^2</f>
        <v>0</v>
      </c>
      <c r="X51" s="3">
        <f>p_B!X51^2</f>
        <v>0.24537851498247051</v>
      </c>
      <c r="Y51" s="3">
        <f>p_B!Y51^2</f>
        <v>0</v>
      </c>
      <c r="Z51" s="3">
        <f>p_B!Z51^2</f>
        <v>0</v>
      </c>
      <c r="AA51" s="3">
        <f>p_B!AA51^2</f>
        <v>0</v>
      </c>
    </row>
    <row r="52" spans="1:27" x14ac:dyDescent="0.25">
      <c r="A52" t="s">
        <v>25</v>
      </c>
      <c r="B52" s="3">
        <f>p_B!B52^2</f>
        <v>0.49612465202748257</v>
      </c>
      <c r="C52" s="3">
        <f>p_B!C52^2</f>
        <v>0</v>
      </c>
      <c r="D52" s="3">
        <f>p_B!D52^2</f>
        <v>0</v>
      </c>
      <c r="E52" s="3">
        <f>p_B!E52^2</f>
        <v>0</v>
      </c>
      <c r="F52" s="3">
        <f>p_B!F52^2</f>
        <v>0</v>
      </c>
      <c r="G52" s="3">
        <f>p_B!G52^2</f>
        <v>3.8300282758213608E-2</v>
      </c>
      <c r="H52" s="3">
        <f>p_B!H52^2</f>
        <v>0</v>
      </c>
      <c r="I52" s="3">
        <f>p_B!I52^2</f>
        <v>0</v>
      </c>
      <c r="J52" s="3">
        <f>p_B!J52^2</f>
        <v>0</v>
      </c>
      <c r="K52" s="3">
        <f>p_B!K52^2</f>
        <v>0</v>
      </c>
      <c r="L52" s="3">
        <f>p_B!L52^2</f>
        <v>0</v>
      </c>
      <c r="M52" s="3">
        <f>p_B!M52^2</f>
        <v>0</v>
      </c>
      <c r="N52" s="3">
        <f>p_B!N52^2</f>
        <v>0</v>
      </c>
      <c r="O52" s="3">
        <f>p_B!O52^2</f>
        <v>0</v>
      </c>
      <c r="P52" s="3">
        <f>p_B!P52^2</f>
        <v>8.8804704526480028E-5</v>
      </c>
      <c r="Q52" s="3">
        <f>p_B!Q52^2</f>
        <v>8.1921739569373528E-3</v>
      </c>
      <c r="R52" s="3">
        <f>p_B!R52^2</f>
        <v>0</v>
      </c>
      <c r="S52" s="3">
        <f>p_B!S52^2</f>
        <v>0</v>
      </c>
      <c r="T52" s="3">
        <f>p_B!T52^2</f>
        <v>0</v>
      </c>
      <c r="U52" s="3">
        <f>p_B!U52^2</f>
        <v>0</v>
      </c>
      <c r="V52" s="3">
        <f>p_B!V52^2</f>
        <v>0</v>
      </c>
      <c r="W52" s="3">
        <f>p_B!W52^2</f>
        <v>0</v>
      </c>
      <c r="X52" s="3">
        <f>p_B!X52^2</f>
        <v>0</v>
      </c>
      <c r="Y52" s="3">
        <f>p_B!Y52^2</f>
        <v>0</v>
      </c>
      <c r="Z52" s="3">
        <f>p_B!Z52^2</f>
        <v>0</v>
      </c>
      <c r="AA52" s="3">
        <f>p_B!AA52^2</f>
        <v>0</v>
      </c>
    </row>
    <row r="53" spans="1:27" x14ac:dyDescent="0.25">
      <c r="A53" t="s">
        <v>37</v>
      </c>
      <c r="B53" s="3">
        <f>p_B!B53^2</f>
        <v>0.81650083716904076</v>
      </c>
      <c r="C53" s="3">
        <f>p_B!C53^2</f>
        <v>0</v>
      </c>
      <c r="D53" s="3">
        <f>p_B!D53^2</f>
        <v>0</v>
      </c>
      <c r="E53" s="3">
        <f>p_B!E53^2</f>
        <v>0</v>
      </c>
      <c r="F53" s="3">
        <f>p_B!F53^2</f>
        <v>0</v>
      </c>
      <c r="G53" s="3">
        <f>p_B!G53^2</f>
        <v>0</v>
      </c>
      <c r="H53" s="3">
        <f>p_B!H53^2</f>
        <v>0</v>
      </c>
      <c r="I53" s="3">
        <f>p_B!I53^2</f>
        <v>0</v>
      </c>
      <c r="J53" s="3">
        <f>p_B!J53^2</f>
        <v>1.5114088336693799E-4</v>
      </c>
      <c r="K53" s="3">
        <f>p_B!K53^2</f>
        <v>0</v>
      </c>
      <c r="L53" s="3">
        <f>p_B!L53^2</f>
        <v>0</v>
      </c>
      <c r="M53" s="3">
        <f>p_B!M53^2</f>
        <v>0</v>
      </c>
      <c r="N53" s="3">
        <f>p_B!N53^2</f>
        <v>0</v>
      </c>
      <c r="O53" s="3">
        <f>p_B!O53^2</f>
        <v>0</v>
      </c>
      <c r="P53" s="3">
        <f>p_B!P53^2</f>
        <v>0</v>
      </c>
      <c r="Q53" s="3">
        <f>p_B!Q53^2</f>
        <v>7.0730966807479052E-3</v>
      </c>
      <c r="R53" s="3">
        <f>p_B!R53^2</f>
        <v>0</v>
      </c>
      <c r="S53" s="3">
        <f>p_B!S53^2</f>
        <v>0</v>
      </c>
      <c r="T53" s="3">
        <f>p_B!T53^2</f>
        <v>0</v>
      </c>
      <c r="U53" s="3">
        <f>p_B!U53^2</f>
        <v>0</v>
      </c>
      <c r="V53" s="3">
        <f>p_B!V53^2</f>
        <v>0</v>
      </c>
      <c r="W53" s="3">
        <f>p_B!W53^2</f>
        <v>0</v>
      </c>
      <c r="X53" s="3">
        <f>p_B!X53^2</f>
        <v>0</v>
      </c>
      <c r="Y53" s="3">
        <f>p_B!Y53^2</f>
        <v>0</v>
      </c>
      <c r="Z53" s="3">
        <f>p_B!Z53^2</f>
        <v>0</v>
      </c>
      <c r="AA53" s="3">
        <f>p_B!AA53^2</f>
        <v>0</v>
      </c>
    </row>
    <row r="54" spans="1:27" x14ac:dyDescent="0.25">
      <c r="A54" s="13" t="s">
        <v>147</v>
      </c>
      <c r="B54" s="3">
        <f>p_B!B54^2</f>
        <v>3.1157770564926984E-7</v>
      </c>
      <c r="C54" s="3">
        <f>p_B!C54^2</f>
        <v>0</v>
      </c>
      <c r="D54" s="3">
        <f>p_B!D54^2</f>
        <v>0</v>
      </c>
      <c r="E54" s="3">
        <f>p_B!E54^2</f>
        <v>0</v>
      </c>
      <c r="F54" s="3">
        <f>p_B!F54^2</f>
        <v>0</v>
      </c>
      <c r="G54" s="3">
        <f>p_B!G54^2</f>
        <v>0</v>
      </c>
      <c r="H54" s="3">
        <f>p_B!H54^2</f>
        <v>0</v>
      </c>
      <c r="I54" s="3">
        <f>p_B!I54^2</f>
        <v>0</v>
      </c>
      <c r="J54" s="3">
        <f>p_B!J54^2</f>
        <v>1.0229999651811914E-3</v>
      </c>
      <c r="K54" s="3">
        <f>p_B!K54^2</f>
        <v>0</v>
      </c>
      <c r="L54" s="3">
        <f>p_B!L54^2</f>
        <v>0</v>
      </c>
      <c r="M54" s="3">
        <f>p_B!M54^2</f>
        <v>0</v>
      </c>
      <c r="N54" s="3">
        <f>p_B!N54^2</f>
        <v>0</v>
      </c>
      <c r="O54" s="3">
        <f>p_B!O54^2</f>
        <v>3.3930812145205483E-6</v>
      </c>
      <c r="P54" s="3">
        <f>p_B!P54^2</f>
        <v>0</v>
      </c>
      <c r="Q54" s="3">
        <f>p_B!Q54^2</f>
        <v>0.87803647157254583</v>
      </c>
      <c r="R54" s="3">
        <f>p_B!R54^2</f>
        <v>0</v>
      </c>
      <c r="S54" s="3">
        <f>p_B!S54^2</f>
        <v>0</v>
      </c>
      <c r="T54" s="3">
        <f>p_B!T54^2</f>
        <v>0</v>
      </c>
      <c r="U54" s="3">
        <f>p_B!U54^2</f>
        <v>8.1678226069722189E-4</v>
      </c>
      <c r="V54" s="3">
        <f>p_B!V54^2</f>
        <v>0</v>
      </c>
      <c r="W54" s="3">
        <f>p_B!W54^2</f>
        <v>0</v>
      </c>
      <c r="X54" s="3">
        <f>p_B!X54^2</f>
        <v>0</v>
      </c>
      <c r="Y54" s="3">
        <f>p_B!Y54^2</f>
        <v>0</v>
      </c>
      <c r="Z54" s="3">
        <f>p_B!Z54^2</f>
        <v>0</v>
      </c>
      <c r="AA54" s="3">
        <f>p_B!AA54^2</f>
        <v>0</v>
      </c>
    </row>
    <row r="55" spans="1:27" x14ac:dyDescent="0.25">
      <c r="A55" s="13" t="s">
        <v>148</v>
      </c>
      <c r="B55" s="3">
        <f>p_B!B55^2</f>
        <v>7.6165289256198308E-3</v>
      </c>
      <c r="C55" s="3">
        <f>p_B!C55^2</f>
        <v>0</v>
      </c>
      <c r="D55" s="3">
        <f>p_B!D55^2</f>
        <v>0</v>
      </c>
      <c r="E55" s="3">
        <f>p_B!E55^2</f>
        <v>0</v>
      </c>
      <c r="F55" s="3">
        <f>p_B!F55^2</f>
        <v>0</v>
      </c>
      <c r="G55" s="3">
        <f>p_B!G55^2</f>
        <v>0</v>
      </c>
      <c r="H55" s="3">
        <f>p_B!H55^2</f>
        <v>0</v>
      </c>
      <c r="I55" s="3">
        <f>p_B!I55^2</f>
        <v>0</v>
      </c>
      <c r="J55" s="3">
        <f>p_B!J55^2</f>
        <v>0.80021157024793366</v>
      </c>
      <c r="K55" s="3">
        <f>p_B!K55^2</f>
        <v>0</v>
      </c>
      <c r="L55" s="3">
        <f>p_B!L55^2</f>
        <v>0</v>
      </c>
      <c r="M55" s="3">
        <f>p_B!M55^2</f>
        <v>0</v>
      </c>
      <c r="N55" s="3">
        <f>p_B!N55^2</f>
        <v>0</v>
      </c>
      <c r="O55" s="3">
        <f>p_B!O55^2</f>
        <v>5.2892561983471058E-5</v>
      </c>
      <c r="P55" s="3">
        <f>p_B!P55^2</f>
        <v>3.3057851239669412E-6</v>
      </c>
      <c r="Q55" s="3">
        <f>p_B!Q55^2</f>
        <v>0</v>
      </c>
      <c r="R55" s="3">
        <f>p_B!R55^2</f>
        <v>0</v>
      </c>
      <c r="S55" s="3">
        <f>p_B!S55^2</f>
        <v>0</v>
      </c>
      <c r="T55" s="3">
        <f>p_B!T55^2</f>
        <v>0</v>
      </c>
      <c r="U55" s="3">
        <f>p_B!U55^2</f>
        <v>8.2644628099173546E-5</v>
      </c>
      <c r="V55" s="3">
        <f>p_B!V55^2</f>
        <v>0</v>
      </c>
      <c r="W55" s="3">
        <f>p_B!W55^2</f>
        <v>0</v>
      </c>
      <c r="X55" s="3">
        <f>p_B!X55^2</f>
        <v>0</v>
      </c>
      <c r="Y55" s="3">
        <f>p_B!Y55^2</f>
        <v>0</v>
      </c>
      <c r="Z55" s="3">
        <f>p_B!Z55^2</f>
        <v>0</v>
      </c>
      <c r="AA55" s="3">
        <f>p_B!AA55^2</f>
        <v>0</v>
      </c>
    </row>
    <row r="56" spans="1:27" x14ac:dyDescent="0.25">
      <c r="A56" s="13" t="s">
        <v>149</v>
      </c>
      <c r="B56" s="3">
        <f>p_B!B56^2</f>
        <v>2.0915943584957006E-2</v>
      </c>
      <c r="C56" s="3">
        <f>p_B!C56^2</f>
        <v>0</v>
      </c>
      <c r="D56" s="3">
        <f>p_B!D56^2</f>
        <v>0</v>
      </c>
      <c r="E56" s="3">
        <f>p_B!E56^2</f>
        <v>0</v>
      </c>
      <c r="F56" s="3">
        <f>p_B!F56^2</f>
        <v>0</v>
      </c>
      <c r="G56" s="3">
        <f>p_B!G56^2</f>
        <v>0</v>
      </c>
      <c r="H56" s="3">
        <f>p_B!H56^2</f>
        <v>0</v>
      </c>
      <c r="I56" s="3">
        <f>p_B!I56^2</f>
        <v>0</v>
      </c>
      <c r="J56" s="3">
        <f>p_B!J56^2</f>
        <v>0.10118548854989799</v>
      </c>
      <c r="K56" s="3">
        <f>p_B!K56^2</f>
        <v>0</v>
      </c>
      <c r="L56" s="3">
        <f>p_B!L56^2</f>
        <v>0</v>
      </c>
      <c r="M56" s="3">
        <f>p_B!M56^2</f>
        <v>0</v>
      </c>
      <c r="N56" s="3">
        <f>p_B!N56^2</f>
        <v>0</v>
      </c>
      <c r="O56" s="3">
        <f>p_B!O56^2</f>
        <v>0.23071663175201279</v>
      </c>
      <c r="P56" s="3">
        <f>p_B!P56^2</f>
        <v>0</v>
      </c>
      <c r="Q56" s="3">
        <f>p_B!Q56^2</f>
        <v>0</v>
      </c>
      <c r="R56" s="3">
        <f>p_B!R56^2</f>
        <v>0</v>
      </c>
      <c r="S56" s="3">
        <f>p_B!S56^2</f>
        <v>0</v>
      </c>
      <c r="T56" s="3">
        <f>p_B!T56^2</f>
        <v>0</v>
      </c>
      <c r="U56" s="3">
        <f>p_B!U56^2</f>
        <v>3.2433217038500823E-3</v>
      </c>
      <c r="V56" s="3">
        <f>p_B!V56^2</f>
        <v>0</v>
      </c>
      <c r="W56" s="3">
        <f>p_B!W56^2</f>
        <v>0</v>
      </c>
      <c r="X56" s="3">
        <f>p_B!X56^2</f>
        <v>0</v>
      </c>
      <c r="Y56" s="3">
        <f>p_B!Y56^2</f>
        <v>0</v>
      </c>
      <c r="Z56" s="3">
        <f>p_B!Z56^2</f>
        <v>0</v>
      </c>
      <c r="AA56" s="3">
        <f>p_B!AA56^2</f>
        <v>0</v>
      </c>
    </row>
    <row r="57" spans="1:27" x14ac:dyDescent="0.25">
      <c r="A57" t="s">
        <v>38</v>
      </c>
      <c r="B57" s="3">
        <f>p_B!B57^2</f>
        <v>0.13723657024793387</v>
      </c>
      <c r="C57" s="3">
        <f>p_B!C57^2</f>
        <v>0</v>
      </c>
      <c r="D57" s="3">
        <f>p_B!D57^2</f>
        <v>0</v>
      </c>
      <c r="E57" s="3">
        <f>p_B!E57^2</f>
        <v>0</v>
      </c>
      <c r="F57" s="3">
        <f>p_B!F57^2</f>
        <v>0</v>
      </c>
      <c r="G57" s="3">
        <f>p_B!G57^2</f>
        <v>4.5205248507805317E-3</v>
      </c>
      <c r="H57" s="3">
        <f>p_B!H57^2</f>
        <v>0</v>
      </c>
      <c r="I57" s="3">
        <f>p_B!I57^2</f>
        <v>0</v>
      </c>
      <c r="J57" s="3">
        <f>p_B!J57^2</f>
        <v>4.7438160009182726E-4</v>
      </c>
      <c r="K57" s="3">
        <f>p_B!K57^2</f>
        <v>0</v>
      </c>
      <c r="L57" s="3">
        <f>p_B!L57^2</f>
        <v>0</v>
      </c>
      <c r="M57" s="3">
        <f>p_B!M57^2</f>
        <v>0</v>
      </c>
      <c r="N57" s="3">
        <f>p_B!N57^2</f>
        <v>0</v>
      </c>
      <c r="O57" s="3">
        <f>p_B!O57^2</f>
        <v>0</v>
      </c>
      <c r="P57" s="3">
        <f>p_B!P57^2</f>
        <v>1.8595041322314049E-4</v>
      </c>
      <c r="Q57" s="3">
        <f>p_B!Q57^2</f>
        <v>0.27761722337006423</v>
      </c>
      <c r="R57" s="3">
        <f>p_B!R57^2</f>
        <v>0</v>
      </c>
      <c r="S57" s="3">
        <f>p_B!S57^2</f>
        <v>0</v>
      </c>
      <c r="T57" s="3">
        <f>p_B!T57^2</f>
        <v>0</v>
      </c>
      <c r="U57" s="3">
        <f>p_B!U57^2</f>
        <v>0</v>
      </c>
      <c r="V57" s="3">
        <f>p_B!V57^2</f>
        <v>0</v>
      </c>
      <c r="W57" s="3">
        <f>p_B!W57^2</f>
        <v>0</v>
      </c>
      <c r="X57" s="3">
        <f>p_B!X57^2</f>
        <v>0</v>
      </c>
      <c r="Y57" s="3">
        <f>p_B!Y57^2</f>
        <v>0</v>
      </c>
      <c r="Z57" s="3">
        <f>p_B!Z57^2</f>
        <v>0</v>
      </c>
      <c r="AA57" s="3">
        <f>p_B!AA57^2</f>
        <v>0</v>
      </c>
    </row>
    <row r="58" spans="1:27" x14ac:dyDescent="0.25">
      <c r="A58" t="s">
        <v>50</v>
      </c>
      <c r="B58" s="3">
        <f>p_B!B58^2</f>
        <v>6.9212135688855411E-2</v>
      </c>
      <c r="C58" s="3">
        <f>p_B!C58^2</f>
        <v>0</v>
      </c>
      <c r="D58" s="3">
        <f>p_B!D58^2</f>
        <v>0</v>
      </c>
      <c r="E58" s="3">
        <f>p_B!E58^2</f>
        <v>0</v>
      </c>
      <c r="F58" s="3">
        <f>p_B!F58^2</f>
        <v>0</v>
      </c>
      <c r="G58" s="3">
        <f>p_B!G58^2</f>
        <v>2.9133018291507998E-2</v>
      </c>
      <c r="H58" s="3">
        <f>p_B!H58^2</f>
        <v>0</v>
      </c>
      <c r="I58" s="3">
        <f>p_B!I58^2</f>
        <v>0</v>
      </c>
      <c r="J58" s="3">
        <f>p_B!J58^2</f>
        <v>2.8191337020393934E-4</v>
      </c>
      <c r="K58" s="3">
        <f>p_B!K58^2</f>
        <v>0</v>
      </c>
      <c r="L58" s="3">
        <f>p_B!L58^2</f>
        <v>0</v>
      </c>
      <c r="M58" s="3">
        <f>p_B!M58^2</f>
        <v>0</v>
      </c>
      <c r="N58" s="3">
        <f>p_B!N58^2</f>
        <v>0</v>
      </c>
      <c r="O58" s="3">
        <f>p_B!O58^2</f>
        <v>0</v>
      </c>
      <c r="P58" s="3">
        <f>p_B!P58^2</f>
        <v>4.4829838876572082E-5</v>
      </c>
      <c r="Q58" s="3">
        <f>p_B!Q58^2</f>
        <v>0.29457566164810145</v>
      </c>
      <c r="R58" s="3">
        <f>p_B!R58^2</f>
        <v>0</v>
      </c>
      <c r="S58" s="3">
        <f>p_B!S58^2</f>
        <v>0</v>
      </c>
      <c r="T58" s="3">
        <f>p_B!T58^2</f>
        <v>0</v>
      </c>
      <c r="U58" s="3">
        <f>p_B!U58^2</f>
        <v>0</v>
      </c>
      <c r="V58" s="3">
        <f>p_B!V58^2</f>
        <v>0</v>
      </c>
      <c r="W58" s="3">
        <f>p_B!W58^2</f>
        <v>0</v>
      </c>
      <c r="X58" s="3">
        <f>p_B!X58^2</f>
        <v>0</v>
      </c>
      <c r="Y58" s="3">
        <f>p_B!Y58^2</f>
        <v>0</v>
      </c>
      <c r="Z58" s="3">
        <f>p_B!Z58^2</f>
        <v>0</v>
      </c>
      <c r="AA58" s="3">
        <f>p_B!AA58^2</f>
        <v>0</v>
      </c>
    </row>
    <row r="59" spans="1:27" x14ac:dyDescent="0.25">
      <c r="A59" t="s">
        <v>52</v>
      </c>
      <c r="B59" s="3">
        <f>p_B!B59^2</f>
        <v>9.3242463144523419E-2</v>
      </c>
      <c r="C59" s="3">
        <f>p_B!C59^2</f>
        <v>0</v>
      </c>
      <c r="D59" s="3">
        <f>p_B!D59^2</f>
        <v>0</v>
      </c>
      <c r="E59" s="3">
        <f>p_B!E59^2</f>
        <v>0</v>
      </c>
      <c r="F59" s="3">
        <f>p_B!F59^2</f>
        <v>0</v>
      </c>
      <c r="G59" s="3">
        <f>p_B!G59^2</f>
        <v>5.8443235921936405E-2</v>
      </c>
      <c r="H59" s="3">
        <f>p_B!H59^2</f>
        <v>0</v>
      </c>
      <c r="I59" s="3">
        <f>p_B!I59^2</f>
        <v>0</v>
      </c>
      <c r="J59" s="3">
        <f>p_B!J59^2</f>
        <v>9.1485428315334705E-7</v>
      </c>
      <c r="K59" s="3">
        <f>p_B!K59^2</f>
        <v>0</v>
      </c>
      <c r="L59" s="3">
        <f>p_B!L59^2</f>
        <v>0</v>
      </c>
      <c r="M59" s="3">
        <f>p_B!M59^2</f>
        <v>0</v>
      </c>
      <c r="N59" s="3">
        <f>p_B!N59^2</f>
        <v>0</v>
      </c>
      <c r="O59" s="3">
        <f>p_B!O59^2</f>
        <v>0</v>
      </c>
      <c r="P59" s="3">
        <f>p_B!P59^2</f>
        <v>7.2465607768576632E-3</v>
      </c>
      <c r="Q59" s="3">
        <f>p_B!Q59^2</f>
        <v>0.13454967784549987</v>
      </c>
      <c r="R59" s="3">
        <f>p_B!R59^2</f>
        <v>0</v>
      </c>
      <c r="S59" s="3">
        <f>p_B!S59^2</f>
        <v>0</v>
      </c>
      <c r="T59" s="3">
        <f>p_B!T59^2</f>
        <v>0</v>
      </c>
      <c r="U59" s="3">
        <f>p_B!U59^2</f>
        <v>0</v>
      </c>
      <c r="V59" s="3">
        <f>p_B!V59^2</f>
        <v>0</v>
      </c>
      <c r="W59" s="3">
        <f>p_B!W59^2</f>
        <v>0</v>
      </c>
      <c r="X59" s="3">
        <f>p_B!X59^2</f>
        <v>0</v>
      </c>
      <c r="Y59" s="3">
        <f>p_B!Y59^2</f>
        <v>0</v>
      </c>
      <c r="Z59" s="3">
        <f>p_B!Z59^2</f>
        <v>0</v>
      </c>
      <c r="AA59" s="3">
        <f>p_B!AA59^2</f>
        <v>0</v>
      </c>
    </row>
    <row r="60" spans="1:27" x14ac:dyDescent="0.25">
      <c r="A60" t="s">
        <v>53</v>
      </c>
      <c r="B60" s="3">
        <f>p_B!B60^2</f>
        <v>0.9943988907893655</v>
      </c>
      <c r="C60" s="3">
        <f>p_B!C60^2</f>
        <v>0</v>
      </c>
      <c r="D60" s="3">
        <f>p_B!D60^2</f>
        <v>0</v>
      </c>
      <c r="E60" s="3">
        <f>p_B!E60^2</f>
        <v>0</v>
      </c>
      <c r="F60" s="3">
        <f>p_B!F60^2</f>
        <v>0</v>
      </c>
      <c r="G60" s="3">
        <f>p_B!G60^2</f>
        <v>0</v>
      </c>
      <c r="H60" s="3">
        <f>p_B!H60^2</f>
        <v>0</v>
      </c>
      <c r="I60" s="3">
        <f>p_B!I60^2</f>
        <v>0</v>
      </c>
      <c r="J60" s="3">
        <f>p_B!J60^2</f>
        <v>7.8651483399079554E-6</v>
      </c>
      <c r="K60" s="3">
        <f>p_B!K60^2</f>
        <v>0</v>
      </c>
      <c r="L60" s="3">
        <f>p_B!L60^2</f>
        <v>0</v>
      </c>
      <c r="M60" s="3">
        <f>p_B!M60^2</f>
        <v>0</v>
      </c>
      <c r="N60" s="3">
        <f>p_B!N60^2</f>
        <v>0</v>
      </c>
      <c r="O60" s="3">
        <f>p_B!O60^2</f>
        <v>0</v>
      </c>
      <c r="P60" s="3">
        <f>p_B!P60^2</f>
        <v>0</v>
      </c>
      <c r="Q60" s="3">
        <f>p_B!Q60^2</f>
        <v>0</v>
      </c>
      <c r="R60" s="3">
        <f>p_B!R60^2</f>
        <v>0</v>
      </c>
      <c r="S60" s="3">
        <f>p_B!S60^2</f>
        <v>0</v>
      </c>
      <c r="T60" s="3">
        <f>p_B!T60^2</f>
        <v>0</v>
      </c>
      <c r="U60" s="3">
        <f>p_B!U60^2</f>
        <v>0</v>
      </c>
      <c r="V60" s="3">
        <f>p_B!V60^2</f>
        <v>0</v>
      </c>
      <c r="W60" s="3">
        <f>p_B!W60^2</f>
        <v>0</v>
      </c>
      <c r="X60" s="3">
        <f>p_B!X60^2</f>
        <v>0</v>
      </c>
      <c r="Y60" s="3">
        <f>p_B!Y60^2</f>
        <v>0</v>
      </c>
      <c r="Z60" s="3">
        <f>p_B!Z60^2</f>
        <v>0</v>
      </c>
      <c r="AA60" s="3">
        <f>p_B!AA60^2</f>
        <v>0</v>
      </c>
    </row>
    <row r="61" spans="1:27" x14ac:dyDescent="0.25">
      <c r="A61" t="s">
        <v>54</v>
      </c>
      <c r="B61" s="3">
        <f>p_B!B61^2</f>
        <v>0.97292433462469807</v>
      </c>
      <c r="C61" s="3">
        <f>p_B!C61^2</f>
        <v>0</v>
      </c>
      <c r="D61" s="3">
        <f>p_B!D61^2</f>
        <v>0</v>
      </c>
      <c r="E61" s="3">
        <f>p_B!E61^2</f>
        <v>0</v>
      </c>
      <c r="F61" s="3">
        <f>p_B!F61^2</f>
        <v>0</v>
      </c>
      <c r="G61" s="3">
        <f>p_B!G61^2</f>
        <v>0</v>
      </c>
      <c r="H61" s="3">
        <f>p_B!H61^2</f>
        <v>0</v>
      </c>
      <c r="I61" s="3">
        <f>p_B!I61^2</f>
        <v>0</v>
      </c>
      <c r="J61" s="3">
        <f>p_B!J61^2</f>
        <v>1.8579683039820406E-4</v>
      </c>
      <c r="K61" s="3">
        <f>p_B!K61^2</f>
        <v>0</v>
      </c>
      <c r="L61" s="3">
        <f>p_B!L61^2</f>
        <v>0</v>
      </c>
      <c r="M61" s="3">
        <f>p_B!M61^2</f>
        <v>0</v>
      </c>
      <c r="N61" s="3">
        <f>p_B!N61^2</f>
        <v>0</v>
      </c>
      <c r="O61" s="3">
        <f>p_B!O61^2</f>
        <v>0</v>
      </c>
      <c r="P61" s="3">
        <f>p_B!P61^2</f>
        <v>0</v>
      </c>
      <c r="Q61" s="3">
        <f>p_B!Q61^2</f>
        <v>0</v>
      </c>
      <c r="R61" s="3">
        <f>p_B!R61^2</f>
        <v>0</v>
      </c>
      <c r="S61" s="3">
        <f>p_B!S61^2</f>
        <v>0</v>
      </c>
      <c r="T61" s="3">
        <f>p_B!T61^2</f>
        <v>0</v>
      </c>
      <c r="U61" s="3">
        <f>p_B!U61^2</f>
        <v>0</v>
      </c>
      <c r="V61" s="3">
        <f>p_B!V61^2</f>
        <v>0</v>
      </c>
      <c r="W61" s="3">
        <f>p_B!W61^2</f>
        <v>0</v>
      </c>
      <c r="X61" s="3">
        <f>p_B!X61^2</f>
        <v>0</v>
      </c>
      <c r="Y61" s="3">
        <f>p_B!Y61^2</f>
        <v>0</v>
      </c>
      <c r="Z61" s="3">
        <f>p_B!Z61^2</f>
        <v>0</v>
      </c>
      <c r="AA61" s="3">
        <f>p_B!AA61^2</f>
        <v>0</v>
      </c>
    </row>
    <row r="62" spans="1:27" x14ac:dyDescent="0.25">
      <c r="A62" t="s">
        <v>55</v>
      </c>
      <c r="B62" s="3">
        <f>p_B!B62^2</f>
        <v>0.69795601753341785</v>
      </c>
      <c r="C62" s="3">
        <f>p_B!C62^2</f>
        <v>0</v>
      </c>
      <c r="D62" s="3">
        <f>p_B!D62^2</f>
        <v>0</v>
      </c>
      <c r="E62" s="3">
        <f>p_B!E62^2</f>
        <v>0</v>
      </c>
      <c r="F62" s="3">
        <f>p_B!F62^2</f>
        <v>0</v>
      </c>
      <c r="G62" s="3">
        <f>p_B!G62^2</f>
        <v>0</v>
      </c>
      <c r="H62" s="3">
        <f>p_B!H62^2</f>
        <v>0</v>
      </c>
      <c r="I62" s="3">
        <f>p_B!I62^2</f>
        <v>0</v>
      </c>
      <c r="J62" s="3">
        <f>p_B!J62^2</f>
        <v>0</v>
      </c>
      <c r="K62" s="3">
        <f>p_B!K62^2</f>
        <v>0</v>
      </c>
      <c r="L62" s="3">
        <f>p_B!L62^2</f>
        <v>0</v>
      </c>
      <c r="M62" s="3">
        <f>p_B!M62^2</f>
        <v>0</v>
      </c>
      <c r="N62" s="3">
        <f>p_B!N62^2</f>
        <v>0</v>
      </c>
      <c r="O62" s="3">
        <f>p_B!O62^2</f>
        <v>0</v>
      </c>
      <c r="P62" s="3">
        <f>p_B!P62^2</f>
        <v>4.6600417119092167E-3</v>
      </c>
      <c r="Q62" s="3">
        <f>p_B!Q62^2</f>
        <v>9.2732819711050015E-3</v>
      </c>
      <c r="R62" s="3">
        <f>p_B!R62^2</f>
        <v>0</v>
      </c>
      <c r="S62" s="3">
        <f>p_B!S62^2</f>
        <v>0</v>
      </c>
      <c r="T62" s="3">
        <f>p_B!T62^2</f>
        <v>0</v>
      </c>
      <c r="U62" s="3">
        <f>p_B!U62^2</f>
        <v>0</v>
      </c>
      <c r="V62" s="3">
        <f>p_B!V62^2</f>
        <v>0</v>
      </c>
      <c r="W62" s="3">
        <f>p_B!W62^2</f>
        <v>0</v>
      </c>
      <c r="X62" s="3">
        <f>p_B!X62^2</f>
        <v>0</v>
      </c>
      <c r="Y62" s="3">
        <f>p_B!Y62^2</f>
        <v>0</v>
      </c>
      <c r="Z62" s="3">
        <f>p_B!Z62^2</f>
        <v>0</v>
      </c>
      <c r="AA62" s="3">
        <f>p_B!AA62^2</f>
        <v>0</v>
      </c>
    </row>
    <row r="63" spans="1:27" x14ac:dyDescent="0.25">
      <c r="A63" t="s">
        <v>56</v>
      </c>
      <c r="B63" s="3">
        <f>p_B!B63^2</f>
        <v>0.60948645513558786</v>
      </c>
      <c r="C63" s="3">
        <f>p_B!C63^2</f>
        <v>0</v>
      </c>
      <c r="D63" s="3">
        <f>p_B!D63^2</f>
        <v>0</v>
      </c>
      <c r="E63" s="3">
        <f>p_B!E63^2</f>
        <v>0</v>
      </c>
      <c r="F63" s="3">
        <f>p_B!F63^2</f>
        <v>0</v>
      </c>
      <c r="G63" s="3">
        <f>p_B!G63^2</f>
        <v>0</v>
      </c>
      <c r="H63" s="3">
        <f>p_B!H63^2</f>
        <v>0</v>
      </c>
      <c r="I63" s="3">
        <f>p_B!I63^2</f>
        <v>0</v>
      </c>
      <c r="J63" s="3">
        <f>p_B!J63^2</f>
        <v>7.2957789495710873E-7</v>
      </c>
      <c r="K63" s="3">
        <f>p_B!K63^2</f>
        <v>0</v>
      </c>
      <c r="L63" s="3">
        <f>p_B!L63^2</f>
        <v>0</v>
      </c>
      <c r="M63" s="3">
        <f>p_B!M63^2</f>
        <v>0</v>
      </c>
      <c r="N63" s="3">
        <f>p_B!N63^2</f>
        <v>0</v>
      </c>
      <c r="O63" s="3">
        <f>p_B!O63^2</f>
        <v>0</v>
      </c>
      <c r="P63" s="3">
        <f>p_B!P63^2</f>
        <v>0</v>
      </c>
      <c r="Q63" s="3">
        <f>p_B!Q63^2</f>
        <v>2.7671111209604127E-2</v>
      </c>
      <c r="R63" s="3">
        <f>p_B!R63^2</f>
        <v>0</v>
      </c>
      <c r="S63" s="3">
        <f>p_B!S63^2</f>
        <v>0</v>
      </c>
      <c r="T63" s="3">
        <f>p_B!T63^2</f>
        <v>2.7147593471353966E-3</v>
      </c>
      <c r="U63" s="3">
        <f>p_B!U63^2</f>
        <v>0</v>
      </c>
      <c r="V63" s="3">
        <f>p_B!V63^2</f>
        <v>0</v>
      </c>
      <c r="W63" s="3">
        <f>p_B!W63^2</f>
        <v>0</v>
      </c>
      <c r="X63" s="3">
        <f>p_B!X63^2</f>
        <v>0</v>
      </c>
      <c r="Y63" s="3">
        <f>p_B!Y63^2</f>
        <v>0</v>
      </c>
      <c r="Z63" s="3">
        <f>p_B!Z63^2</f>
        <v>0</v>
      </c>
      <c r="AA63" s="3">
        <f>p_B!AA63^2</f>
        <v>0</v>
      </c>
    </row>
    <row r="64" spans="1:27" x14ac:dyDescent="0.25">
      <c r="A64" t="s">
        <v>57</v>
      </c>
      <c r="B64" s="3">
        <f>p_B!B64^2</f>
        <v>0.16684833073213012</v>
      </c>
      <c r="C64" s="3">
        <f>p_B!C64^2</f>
        <v>0</v>
      </c>
      <c r="D64" s="3">
        <f>p_B!D64^2</f>
        <v>0</v>
      </c>
      <c r="E64" s="3">
        <f>p_B!E64^2</f>
        <v>0</v>
      </c>
      <c r="F64" s="3">
        <f>p_B!F64^2</f>
        <v>0</v>
      </c>
      <c r="G64" s="3">
        <f>p_B!G64^2</f>
        <v>0</v>
      </c>
      <c r="H64" s="3">
        <f>p_B!H64^2</f>
        <v>0</v>
      </c>
      <c r="I64" s="3">
        <f>p_B!I64^2</f>
        <v>0</v>
      </c>
      <c r="J64" s="3">
        <f>p_B!J64^2</f>
        <v>0</v>
      </c>
      <c r="K64" s="3">
        <f>p_B!K64^2</f>
        <v>0</v>
      </c>
      <c r="L64" s="3">
        <f>p_B!L64^2</f>
        <v>0</v>
      </c>
      <c r="M64" s="3">
        <f>p_B!M64^2</f>
        <v>0</v>
      </c>
      <c r="N64" s="3">
        <f>p_B!N64^2</f>
        <v>0</v>
      </c>
      <c r="O64" s="3">
        <f>p_B!O64^2</f>
        <v>0</v>
      </c>
      <c r="P64" s="3">
        <f>p_B!P64^2</f>
        <v>0</v>
      </c>
      <c r="Q64" s="3">
        <f>p_B!Q64^2</f>
        <v>0.34990688672985615</v>
      </c>
      <c r="R64" s="3">
        <f>p_B!R64^2</f>
        <v>0</v>
      </c>
      <c r="S64" s="3">
        <f>p_B!S64^2</f>
        <v>0</v>
      </c>
      <c r="T64" s="3">
        <f>p_B!T64^2</f>
        <v>0</v>
      </c>
      <c r="U64" s="3">
        <f>p_B!U64^2</f>
        <v>0</v>
      </c>
      <c r="V64" s="3">
        <f>p_B!V64^2</f>
        <v>0</v>
      </c>
      <c r="W64" s="3">
        <f>p_B!W64^2</f>
        <v>0</v>
      </c>
      <c r="X64" s="3">
        <f>p_B!X64^2</f>
        <v>0</v>
      </c>
      <c r="Y64" s="3">
        <f>p_B!Y64^2</f>
        <v>0</v>
      </c>
      <c r="Z64" s="3">
        <f>p_B!Z64^2</f>
        <v>0</v>
      </c>
      <c r="AA64" s="3">
        <f>p_B!AA64^2</f>
        <v>0</v>
      </c>
    </row>
    <row r="65" spans="1:27" x14ac:dyDescent="0.25">
      <c r="A65" t="s">
        <v>59</v>
      </c>
      <c r="B65" s="3">
        <f>p_B!B65^2</f>
        <v>0.79335362670216414</v>
      </c>
      <c r="C65" s="3">
        <f>p_B!C65^2</f>
        <v>0</v>
      </c>
      <c r="D65" s="3">
        <f>p_B!D65^2</f>
        <v>0</v>
      </c>
      <c r="E65" s="3">
        <f>p_B!E65^2</f>
        <v>0</v>
      </c>
      <c r="F65" s="3">
        <f>p_B!F65^2</f>
        <v>0</v>
      </c>
      <c r="G65" s="3">
        <f>p_B!G65^2</f>
        <v>0</v>
      </c>
      <c r="H65" s="3">
        <f>p_B!H65^2</f>
        <v>0</v>
      </c>
      <c r="I65" s="3">
        <f>p_B!I65^2</f>
        <v>0</v>
      </c>
      <c r="J65" s="3">
        <f>p_B!J65^2</f>
        <v>0</v>
      </c>
      <c r="K65" s="3">
        <f>p_B!K65^2</f>
        <v>0</v>
      </c>
      <c r="L65" s="3">
        <f>p_B!L65^2</f>
        <v>0</v>
      </c>
      <c r="M65" s="3">
        <f>p_B!M65^2</f>
        <v>0</v>
      </c>
      <c r="N65" s="3">
        <f>p_B!N65^2</f>
        <v>0</v>
      </c>
      <c r="O65" s="3">
        <f>p_B!O65^2</f>
        <v>0</v>
      </c>
      <c r="P65" s="3">
        <f>p_B!P65^2</f>
        <v>0</v>
      </c>
      <c r="Q65" s="3">
        <f>p_B!Q65^2</f>
        <v>1.1945614255645307E-2</v>
      </c>
      <c r="R65" s="3">
        <f>p_B!R65^2</f>
        <v>0</v>
      </c>
      <c r="S65" s="3">
        <f>p_B!S65^2</f>
        <v>0</v>
      </c>
      <c r="T65" s="3">
        <f>p_B!T65^2</f>
        <v>0</v>
      </c>
      <c r="U65" s="3">
        <f>p_B!U65^2</f>
        <v>0</v>
      </c>
      <c r="V65" s="3">
        <f>p_B!V65^2</f>
        <v>0</v>
      </c>
      <c r="W65" s="3">
        <f>p_B!W65^2</f>
        <v>0</v>
      </c>
      <c r="X65" s="3">
        <f>p_B!X65^2</f>
        <v>0</v>
      </c>
      <c r="Y65" s="3">
        <f>p_B!Y65^2</f>
        <v>0</v>
      </c>
      <c r="Z65" s="3">
        <f>p_B!Z65^2</f>
        <v>0</v>
      </c>
      <c r="AA65" s="3">
        <f>p_B!AA65^2</f>
        <v>0</v>
      </c>
    </row>
    <row r="66" spans="1:27" x14ac:dyDescent="0.25">
      <c r="A66" t="s">
        <v>60</v>
      </c>
      <c r="B66" s="3">
        <f>p_B!B66^2</f>
        <v>2.4338763548893552E-2</v>
      </c>
      <c r="C66" s="3">
        <f>p_B!C66^2</f>
        <v>0</v>
      </c>
      <c r="D66" s="3">
        <f>p_B!D66^2</f>
        <v>0</v>
      </c>
      <c r="E66" s="3">
        <f>p_B!E66^2</f>
        <v>0</v>
      </c>
      <c r="F66" s="3">
        <f>p_B!F66^2</f>
        <v>0</v>
      </c>
      <c r="G66" s="3">
        <f>p_B!G66^2</f>
        <v>6.9788429738685182E-2</v>
      </c>
      <c r="H66" s="3">
        <f>p_B!H66^2</f>
        <v>0</v>
      </c>
      <c r="I66" s="3">
        <f>p_B!I66^2</f>
        <v>0</v>
      </c>
      <c r="J66" s="3">
        <f>p_B!J66^2</f>
        <v>4.052239508660685E-8</v>
      </c>
      <c r="K66" s="3">
        <f>p_B!K66^2</f>
        <v>0</v>
      </c>
      <c r="L66" s="3">
        <f>p_B!L66^2</f>
        <v>0</v>
      </c>
      <c r="M66" s="3">
        <f>p_B!M66^2</f>
        <v>0</v>
      </c>
      <c r="N66" s="3">
        <f>p_B!N66^2</f>
        <v>0</v>
      </c>
      <c r="O66" s="3">
        <f>p_B!O66^2</f>
        <v>0</v>
      </c>
      <c r="P66" s="3">
        <f>p_B!P66^2</f>
        <v>0</v>
      </c>
      <c r="Q66" s="3">
        <f>p_B!Q66^2</f>
        <v>0.33595336581917701</v>
      </c>
      <c r="R66" s="3">
        <f>p_B!R66^2</f>
        <v>0</v>
      </c>
      <c r="S66" s="3">
        <f>p_B!S66^2</f>
        <v>0</v>
      </c>
      <c r="T66" s="3">
        <f>p_B!T66^2</f>
        <v>0</v>
      </c>
      <c r="U66" s="3">
        <f>p_B!U66^2</f>
        <v>0</v>
      </c>
      <c r="V66" s="3">
        <f>p_B!V66^2</f>
        <v>0</v>
      </c>
      <c r="W66" s="3">
        <f>p_B!W66^2</f>
        <v>0</v>
      </c>
      <c r="X66" s="3">
        <f>p_B!X66^2</f>
        <v>0</v>
      </c>
      <c r="Y66" s="3">
        <f>p_B!Y66^2</f>
        <v>0</v>
      </c>
      <c r="Z66" s="3">
        <f>p_B!Z66^2</f>
        <v>0</v>
      </c>
      <c r="AA66" s="3">
        <f>p_B!AA66^2</f>
        <v>0</v>
      </c>
    </row>
    <row r="67" spans="1:27" x14ac:dyDescent="0.25">
      <c r="A67" t="s">
        <v>61</v>
      </c>
      <c r="B67" s="3">
        <f>p_B!B67^2</f>
        <v>0.98905894159369701</v>
      </c>
      <c r="C67" s="3">
        <f>p_B!C67^2</f>
        <v>0</v>
      </c>
      <c r="D67" s="3">
        <f>p_B!D67^2</f>
        <v>0</v>
      </c>
      <c r="E67" s="3">
        <f>p_B!E67^2</f>
        <v>0</v>
      </c>
      <c r="F67" s="3">
        <f>p_B!F67^2</f>
        <v>0</v>
      </c>
      <c r="G67" s="3">
        <f>p_B!G67^2</f>
        <v>0</v>
      </c>
      <c r="H67" s="3">
        <f>p_B!H67^2</f>
        <v>0</v>
      </c>
      <c r="I67" s="3">
        <f>p_B!I67^2</f>
        <v>0</v>
      </c>
      <c r="J67" s="3">
        <f>p_B!J67^2</f>
        <v>3.009153274627464E-5</v>
      </c>
      <c r="K67" s="3">
        <f>p_B!K67^2</f>
        <v>0</v>
      </c>
      <c r="L67" s="3">
        <f>p_B!L67^2</f>
        <v>0</v>
      </c>
      <c r="M67" s="3">
        <f>p_B!M67^2</f>
        <v>0</v>
      </c>
      <c r="N67" s="3">
        <f>p_B!N67^2</f>
        <v>0</v>
      </c>
      <c r="O67" s="3">
        <f>p_B!O67^2</f>
        <v>0</v>
      </c>
      <c r="P67" s="3">
        <f>p_B!P67^2</f>
        <v>0</v>
      </c>
      <c r="Q67" s="3">
        <f>p_B!Q67^2</f>
        <v>0</v>
      </c>
      <c r="R67" s="3">
        <f>p_B!R67^2</f>
        <v>0</v>
      </c>
      <c r="S67" s="3">
        <f>p_B!S67^2</f>
        <v>0</v>
      </c>
      <c r="T67" s="3">
        <f>p_B!T67^2</f>
        <v>0</v>
      </c>
      <c r="U67" s="3">
        <f>p_B!U67^2</f>
        <v>0</v>
      </c>
      <c r="V67" s="3">
        <f>p_B!V67^2</f>
        <v>0</v>
      </c>
      <c r="W67" s="3">
        <f>p_B!W67^2</f>
        <v>0</v>
      </c>
      <c r="X67" s="3">
        <f>p_B!X67^2</f>
        <v>0</v>
      </c>
      <c r="Y67" s="3">
        <f>p_B!Y67^2</f>
        <v>0</v>
      </c>
      <c r="Z67" s="3">
        <f>p_B!Z67^2</f>
        <v>0</v>
      </c>
      <c r="AA67" s="3">
        <f>p_B!AA67^2</f>
        <v>0</v>
      </c>
    </row>
    <row r="68" spans="1:27" x14ac:dyDescent="0.25">
      <c r="A68" t="s">
        <v>62</v>
      </c>
      <c r="B68" s="3">
        <f>p_B!B68^2</f>
        <v>0.28031626304877871</v>
      </c>
      <c r="C68" s="3">
        <f>p_B!C68^2</f>
        <v>0</v>
      </c>
      <c r="D68" s="3">
        <f>p_B!D68^2</f>
        <v>0</v>
      </c>
      <c r="E68" s="3">
        <f>p_B!E68^2</f>
        <v>0</v>
      </c>
      <c r="F68" s="3">
        <f>p_B!F68^2</f>
        <v>0</v>
      </c>
      <c r="G68" s="3">
        <f>p_B!G68^2</f>
        <v>0.1003379514633541</v>
      </c>
      <c r="H68" s="3">
        <f>p_B!H68^2</f>
        <v>0</v>
      </c>
      <c r="I68" s="3">
        <f>p_B!I68^2</f>
        <v>0</v>
      </c>
      <c r="J68" s="3">
        <f>p_B!J68^2</f>
        <v>1.1141232547426333E-8</v>
      </c>
      <c r="K68" s="3">
        <f>p_B!K68^2</f>
        <v>0</v>
      </c>
      <c r="L68" s="3">
        <f>p_B!L68^2</f>
        <v>0</v>
      </c>
      <c r="M68" s="3">
        <f>p_B!M68^2</f>
        <v>0</v>
      </c>
      <c r="N68" s="3">
        <f>p_B!N68^2</f>
        <v>0</v>
      </c>
      <c r="O68" s="3">
        <f>p_B!O68^2</f>
        <v>0</v>
      </c>
      <c r="P68" s="3">
        <f>p_B!P68^2</f>
        <v>0</v>
      </c>
      <c r="Q68" s="3">
        <f>p_B!Q68^2</f>
        <v>1.593659729555939E-2</v>
      </c>
      <c r="R68" s="3">
        <f>p_B!R68^2</f>
        <v>0</v>
      </c>
      <c r="S68" s="3">
        <f>p_B!S68^2</f>
        <v>0</v>
      </c>
      <c r="T68" s="3">
        <f>p_B!T68^2</f>
        <v>0</v>
      </c>
      <c r="U68" s="3">
        <f>p_B!U68^2</f>
        <v>7.5314732020602014E-4</v>
      </c>
      <c r="V68" s="3">
        <f>p_B!V68^2</f>
        <v>0</v>
      </c>
      <c r="W68" s="3">
        <f>p_B!W68^2</f>
        <v>0</v>
      </c>
      <c r="X68" s="3">
        <f>p_B!X68^2</f>
        <v>0</v>
      </c>
      <c r="Y68" s="3">
        <f>p_B!Y68^2</f>
        <v>0</v>
      </c>
      <c r="Z68" s="3">
        <f>p_B!Z68^2</f>
        <v>0</v>
      </c>
      <c r="AA68" s="3">
        <f>p_B!AA68^2</f>
        <v>0</v>
      </c>
    </row>
    <row r="69" spans="1:27" x14ac:dyDescent="0.25">
      <c r="A69" t="s">
        <v>70</v>
      </c>
      <c r="B69" s="3">
        <f>p_B!B69^2</f>
        <v>2.9548980933596304E-3</v>
      </c>
      <c r="C69" s="3">
        <f>p_B!C69^2</f>
        <v>0</v>
      </c>
      <c r="D69" s="3">
        <f>p_B!D69^2</f>
        <v>0</v>
      </c>
      <c r="E69" s="3">
        <f>p_B!E69^2</f>
        <v>0</v>
      </c>
      <c r="F69" s="3">
        <f>p_B!F69^2</f>
        <v>0</v>
      </c>
      <c r="G69" s="3">
        <f>p_B!G69^2</f>
        <v>8.0539119000657446E-3</v>
      </c>
      <c r="H69" s="3">
        <f>p_B!H69^2</f>
        <v>0</v>
      </c>
      <c r="I69" s="3">
        <f>p_B!I69^2</f>
        <v>0</v>
      </c>
      <c r="J69" s="3">
        <f>p_B!J69^2</f>
        <v>3.4349045338056377E-7</v>
      </c>
      <c r="K69" s="3">
        <f>p_B!K69^2</f>
        <v>0</v>
      </c>
      <c r="L69" s="3">
        <f>p_B!L69^2</f>
        <v>0</v>
      </c>
      <c r="M69" s="3">
        <f>p_B!M69^2</f>
        <v>0</v>
      </c>
      <c r="N69" s="3">
        <f>p_B!N69^2</f>
        <v>0</v>
      </c>
      <c r="O69" s="3">
        <f>p_B!O69^2</f>
        <v>3.3157348146359111E-3</v>
      </c>
      <c r="P69" s="3">
        <f>p_B!P69^2</f>
        <v>0</v>
      </c>
      <c r="Q69" s="3">
        <f>p_B!Q69^2</f>
        <v>0.6363714580901394</v>
      </c>
      <c r="R69" s="3">
        <f>p_B!R69^2</f>
        <v>0</v>
      </c>
      <c r="S69" s="3">
        <f>p_B!S69^2</f>
        <v>0</v>
      </c>
      <c r="T69" s="3">
        <f>p_B!T69^2</f>
        <v>0</v>
      </c>
      <c r="U69" s="3">
        <f>p_B!U69^2</f>
        <v>0</v>
      </c>
      <c r="V69" s="3">
        <f>p_B!V69^2</f>
        <v>0</v>
      </c>
      <c r="W69" s="3">
        <f>p_B!W69^2</f>
        <v>0</v>
      </c>
      <c r="X69" s="3">
        <f>p_B!X69^2</f>
        <v>0</v>
      </c>
      <c r="Y69" s="3">
        <f>p_B!Y69^2</f>
        <v>0</v>
      </c>
      <c r="Z69" s="3">
        <f>p_B!Z69^2</f>
        <v>0</v>
      </c>
      <c r="AA69" s="3">
        <f>p_B!AA69^2</f>
        <v>0</v>
      </c>
    </row>
    <row r="70" spans="1:27" x14ac:dyDescent="0.25">
      <c r="A70" t="s">
        <v>71</v>
      </c>
      <c r="B70" s="3">
        <f>p_B!B70^2</f>
        <v>1.2880675647094941E-4</v>
      </c>
      <c r="C70" s="3">
        <f>p_B!C70^2</f>
        <v>0</v>
      </c>
      <c r="D70" s="3">
        <f>p_B!D70^2</f>
        <v>0</v>
      </c>
      <c r="E70" s="3">
        <f>p_B!E70^2</f>
        <v>0</v>
      </c>
      <c r="F70" s="3">
        <f>p_B!F70^2</f>
        <v>0</v>
      </c>
      <c r="G70" s="3">
        <f>p_B!G70^2</f>
        <v>2.1287288363343194E-2</v>
      </c>
      <c r="H70" s="3">
        <f>p_B!H70^2</f>
        <v>0</v>
      </c>
      <c r="I70" s="3">
        <f>p_B!I70^2</f>
        <v>0</v>
      </c>
      <c r="J70" s="3">
        <f>p_B!J70^2</f>
        <v>0</v>
      </c>
      <c r="K70" s="3">
        <f>p_B!K70^2</f>
        <v>0</v>
      </c>
      <c r="L70" s="3">
        <f>p_B!L70^2</f>
        <v>0</v>
      </c>
      <c r="M70" s="3">
        <f>p_B!M70^2</f>
        <v>0</v>
      </c>
      <c r="N70" s="3">
        <f>p_B!N70^2</f>
        <v>0</v>
      </c>
      <c r="O70" s="3">
        <f>p_B!O70^2</f>
        <v>6.3608274800468808E-4</v>
      </c>
      <c r="P70" s="3">
        <f>p_B!P70^2</f>
        <v>1.4890061048041738E-3</v>
      </c>
      <c r="Q70" s="3">
        <f>p_B!Q70^2</f>
        <v>0.60674866303357389</v>
      </c>
      <c r="R70" s="3">
        <f>p_B!R70^2</f>
        <v>0</v>
      </c>
      <c r="S70" s="3">
        <f>p_B!S70^2</f>
        <v>0</v>
      </c>
      <c r="T70" s="3">
        <f>p_B!T70^2</f>
        <v>0</v>
      </c>
      <c r="U70" s="3">
        <f>p_B!U70^2</f>
        <v>0</v>
      </c>
      <c r="V70" s="3">
        <f>p_B!V70^2</f>
        <v>0</v>
      </c>
      <c r="W70" s="3">
        <f>p_B!W70^2</f>
        <v>0</v>
      </c>
      <c r="X70" s="3">
        <f>p_B!X70^2</f>
        <v>0</v>
      </c>
      <c r="Y70" s="3">
        <f>p_B!Y70^2</f>
        <v>0</v>
      </c>
      <c r="Z70" s="3">
        <f>p_B!Z70^2</f>
        <v>0</v>
      </c>
      <c r="AA70" s="3">
        <f>p_B!AA70^2</f>
        <v>0</v>
      </c>
    </row>
    <row r="71" spans="1:27" x14ac:dyDescent="0.25">
      <c r="A71" t="s">
        <v>72</v>
      </c>
      <c r="B71" s="3">
        <f>p_B!B71^2</f>
        <v>2.1306581685744026E-2</v>
      </c>
      <c r="C71" s="3">
        <f>p_B!C71^2</f>
        <v>0</v>
      </c>
      <c r="D71" s="3">
        <f>p_B!D71^2</f>
        <v>0</v>
      </c>
      <c r="E71" s="3">
        <f>p_B!E71^2</f>
        <v>0</v>
      </c>
      <c r="F71" s="3">
        <f>p_B!F71^2</f>
        <v>0</v>
      </c>
      <c r="G71" s="3">
        <f>p_B!G71^2</f>
        <v>7.0885535900104086E-3</v>
      </c>
      <c r="H71" s="3">
        <f>p_B!H71^2</f>
        <v>0</v>
      </c>
      <c r="I71" s="3">
        <f>p_B!I71^2</f>
        <v>0</v>
      </c>
      <c r="J71" s="3">
        <f>p_B!J71^2</f>
        <v>0</v>
      </c>
      <c r="K71" s="3">
        <f>p_B!K71^2</f>
        <v>0</v>
      </c>
      <c r="L71" s="3">
        <f>p_B!L71^2</f>
        <v>0</v>
      </c>
      <c r="M71" s="3">
        <f>p_B!M71^2</f>
        <v>0</v>
      </c>
      <c r="N71" s="3">
        <f>p_B!N71^2</f>
        <v>0</v>
      </c>
      <c r="O71" s="3">
        <f>p_B!O71^2</f>
        <v>0</v>
      </c>
      <c r="P71" s="3">
        <f>p_B!P71^2</f>
        <v>0.17531779396462022</v>
      </c>
      <c r="Q71" s="3">
        <f>p_B!Q71^2</f>
        <v>0.12329159729448487</v>
      </c>
      <c r="R71" s="3">
        <f>p_B!R71^2</f>
        <v>0</v>
      </c>
      <c r="S71" s="3">
        <f>p_B!S71^2</f>
        <v>0</v>
      </c>
      <c r="T71" s="3">
        <f>p_B!T71^2</f>
        <v>0</v>
      </c>
      <c r="U71" s="3">
        <f>p_B!U71^2</f>
        <v>0</v>
      </c>
      <c r="V71" s="3">
        <f>p_B!V71^2</f>
        <v>0</v>
      </c>
      <c r="W71" s="3">
        <f>p_B!W71^2</f>
        <v>0</v>
      </c>
      <c r="X71" s="3">
        <f>p_B!X71^2</f>
        <v>0</v>
      </c>
      <c r="Y71" s="3">
        <f>p_B!Y71^2</f>
        <v>0</v>
      </c>
      <c r="Z71" s="3">
        <f>p_B!Z71^2</f>
        <v>0</v>
      </c>
      <c r="AA71" s="3">
        <f>p_B!AA71^2</f>
        <v>0</v>
      </c>
    </row>
    <row r="72" spans="1:27" x14ac:dyDescent="0.25">
      <c r="A72" t="s">
        <v>77</v>
      </c>
      <c r="B72" s="3">
        <f>p_B!B72^2</f>
        <v>4.4219946416933923E-3</v>
      </c>
      <c r="C72" s="3">
        <f>p_B!C72^2</f>
        <v>0</v>
      </c>
      <c r="D72" s="3">
        <f>p_B!D72^2</f>
        <v>0</v>
      </c>
      <c r="E72" s="3">
        <f>p_B!E72^2</f>
        <v>0</v>
      </c>
      <c r="F72" s="3">
        <f>p_B!F72^2</f>
        <v>0</v>
      </c>
      <c r="G72" s="3">
        <f>p_B!G72^2</f>
        <v>4.8035791822878414E-5</v>
      </c>
      <c r="H72" s="3">
        <f>p_B!H72^2</f>
        <v>0</v>
      </c>
      <c r="I72" s="3">
        <f>p_B!I72^2</f>
        <v>0</v>
      </c>
      <c r="J72" s="3">
        <f>p_B!J72^2</f>
        <v>1.4824778703554487E-6</v>
      </c>
      <c r="K72" s="3">
        <f>p_B!K72^2</f>
        <v>0</v>
      </c>
      <c r="L72" s="3">
        <f>p_B!L72^2</f>
        <v>0</v>
      </c>
      <c r="M72" s="3">
        <f>p_B!M72^2</f>
        <v>0</v>
      </c>
      <c r="N72" s="3">
        <f>p_B!N72^2</f>
        <v>0</v>
      </c>
      <c r="O72" s="3">
        <f>p_B!O72^2</f>
        <v>0</v>
      </c>
      <c r="P72" s="3">
        <f>p_B!P72^2</f>
        <v>1.7168681481287328E-2</v>
      </c>
      <c r="Q72" s="3">
        <f>p_B!Q72^2</f>
        <v>0.6145432184361227</v>
      </c>
      <c r="R72" s="3">
        <f>p_B!R72^2</f>
        <v>0</v>
      </c>
      <c r="S72" s="3">
        <f>p_B!S72^2</f>
        <v>0</v>
      </c>
      <c r="T72" s="3">
        <f>p_B!T72^2</f>
        <v>0</v>
      </c>
      <c r="U72" s="3">
        <f>p_B!U72^2</f>
        <v>1.080805316014764E-4</v>
      </c>
      <c r="V72" s="3">
        <f>p_B!V72^2</f>
        <v>0</v>
      </c>
      <c r="W72" s="3">
        <f>p_B!W72^2</f>
        <v>0</v>
      </c>
      <c r="X72" s="3">
        <f>p_B!X72^2</f>
        <v>0</v>
      </c>
      <c r="Y72" s="3">
        <f>p_B!Y72^2</f>
        <v>0</v>
      </c>
      <c r="Z72" s="3">
        <f>p_B!Z72^2</f>
        <v>0</v>
      </c>
      <c r="AA72" s="3">
        <f>p_B!AA72^2</f>
        <v>0</v>
      </c>
    </row>
    <row r="73" spans="1:27" x14ac:dyDescent="0.25">
      <c r="A73" t="s">
        <v>78</v>
      </c>
      <c r="B73" s="3">
        <f>p_B!B73^2</f>
        <v>9.9215800033526133E-2</v>
      </c>
      <c r="C73" s="3">
        <f>p_B!C73^2</f>
        <v>0</v>
      </c>
      <c r="D73" s="3">
        <f>p_B!D73^2</f>
        <v>0</v>
      </c>
      <c r="E73" s="3">
        <f>p_B!E73^2</f>
        <v>0</v>
      </c>
      <c r="F73" s="3">
        <f>p_B!F73^2</f>
        <v>0</v>
      </c>
      <c r="G73" s="3">
        <f>p_B!G73^2</f>
        <v>0</v>
      </c>
      <c r="H73" s="3">
        <f>p_B!H73^2</f>
        <v>0</v>
      </c>
      <c r="I73" s="3">
        <f>p_B!I73^2</f>
        <v>0</v>
      </c>
      <c r="J73" s="3">
        <f>p_B!J73^2</f>
        <v>2.0190394409764386E-7</v>
      </c>
      <c r="K73" s="3">
        <f>p_B!K73^2</f>
        <v>0</v>
      </c>
      <c r="L73" s="3">
        <f>p_B!L73^2</f>
        <v>0</v>
      </c>
      <c r="M73" s="3">
        <f>p_B!M73^2</f>
        <v>0</v>
      </c>
      <c r="N73" s="3">
        <f>p_B!N73^2</f>
        <v>0</v>
      </c>
      <c r="O73" s="3">
        <f>p_B!O73^2</f>
        <v>0</v>
      </c>
      <c r="P73" s="3">
        <f>p_B!P73^2</f>
        <v>0.16866974728339501</v>
      </c>
      <c r="Q73" s="3">
        <f>p_B!Q73^2</f>
        <v>7.5005346668819639E-2</v>
      </c>
      <c r="R73" s="3">
        <f>p_B!R73^2</f>
        <v>0</v>
      </c>
      <c r="S73" s="3">
        <f>p_B!S73^2</f>
        <v>0</v>
      </c>
      <c r="T73" s="3">
        <f>p_B!T73^2</f>
        <v>0</v>
      </c>
      <c r="U73" s="3">
        <f>p_B!U73^2</f>
        <v>0</v>
      </c>
      <c r="V73" s="3">
        <f>p_B!V73^2</f>
        <v>0</v>
      </c>
      <c r="W73" s="3">
        <f>p_B!W73^2</f>
        <v>0</v>
      </c>
      <c r="X73" s="3">
        <f>p_B!X73^2</f>
        <v>0</v>
      </c>
      <c r="Y73" s="3">
        <f>p_B!Y73^2</f>
        <v>0</v>
      </c>
      <c r="Z73" s="3">
        <f>p_B!Z73^2</f>
        <v>0</v>
      </c>
      <c r="AA73" s="3">
        <f>p_B!AA73^2</f>
        <v>0</v>
      </c>
    </row>
    <row r="74" spans="1:27" x14ac:dyDescent="0.25">
      <c r="A74" t="s">
        <v>79</v>
      </c>
      <c r="B74" s="3">
        <f>p_B!B74^2</f>
        <v>1.522273831656258E-3</v>
      </c>
      <c r="C74" s="3">
        <f>p_B!C74^2</f>
        <v>0</v>
      </c>
      <c r="D74" s="3">
        <f>p_B!D74^2</f>
        <v>0</v>
      </c>
      <c r="E74" s="3">
        <f>p_B!E74^2</f>
        <v>0</v>
      </c>
      <c r="F74" s="3">
        <f>p_B!F74^2</f>
        <v>0.87542331178670374</v>
      </c>
      <c r="G74" s="3">
        <f>p_B!G74^2</f>
        <v>0</v>
      </c>
      <c r="H74" s="3">
        <f>p_B!H74^2</f>
        <v>0</v>
      </c>
      <c r="I74" s="3">
        <f>p_B!I74^2</f>
        <v>0</v>
      </c>
      <c r="J74" s="3">
        <f>p_B!J74^2</f>
        <v>0</v>
      </c>
      <c r="K74" s="3">
        <f>p_B!K74^2</f>
        <v>0</v>
      </c>
      <c r="L74" s="3">
        <f>p_B!L74^2</f>
        <v>0</v>
      </c>
      <c r="M74" s="3">
        <f>p_B!M74^2</f>
        <v>0</v>
      </c>
      <c r="N74" s="3">
        <f>p_B!N74^2</f>
        <v>0</v>
      </c>
      <c r="O74" s="3">
        <f>p_B!O74^2</f>
        <v>0</v>
      </c>
      <c r="P74" s="3">
        <f>p_B!P74^2</f>
        <v>6.422718681861338E-4</v>
      </c>
      <c r="Q74" s="3">
        <f>p_B!Q74^2</f>
        <v>0</v>
      </c>
      <c r="R74" s="3">
        <f>p_B!R74^2</f>
        <v>0</v>
      </c>
      <c r="S74" s="3">
        <f>p_B!S74^2</f>
        <v>0</v>
      </c>
      <c r="T74" s="3">
        <f>p_B!T74^2</f>
        <v>0</v>
      </c>
      <c r="U74" s="3">
        <f>p_B!U74^2</f>
        <v>0</v>
      </c>
      <c r="V74" s="3">
        <f>p_B!V74^2</f>
        <v>0</v>
      </c>
      <c r="W74" s="3">
        <f>p_B!W74^2</f>
        <v>0</v>
      </c>
      <c r="X74" s="3">
        <f>p_B!X74^2</f>
        <v>0</v>
      </c>
      <c r="Y74" s="3">
        <f>p_B!Y74^2</f>
        <v>0</v>
      </c>
      <c r="Z74" s="3">
        <f>p_B!Z74^2</f>
        <v>0</v>
      </c>
      <c r="AA74" s="3">
        <f>p_B!AA74^2</f>
        <v>0</v>
      </c>
    </row>
    <row r="75" spans="1:27" x14ac:dyDescent="0.25">
      <c r="A75" t="s">
        <v>80</v>
      </c>
      <c r="B75" s="3">
        <f>p_B!B75^2</f>
        <v>3.7727983562062001E-4</v>
      </c>
      <c r="C75" s="3">
        <f>p_B!C75^2</f>
        <v>0</v>
      </c>
      <c r="D75" s="3">
        <f>p_B!D75^2</f>
        <v>0</v>
      </c>
      <c r="E75" s="3">
        <f>p_B!E75^2</f>
        <v>0</v>
      </c>
      <c r="F75" s="3">
        <f>p_B!F75^2</f>
        <v>0</v>
      </c>
      <c r="G75" s="3">
        <f>p_B!G75^2</f>
        <v>0</v>
      </c>
      <c r="H75" s="3">
        <f>p_B!H75^2</f>
        <v>0</v>
      </c>
      <c r="I75" s="3">
        <f>p_B!I75^2</f>
        <v>0</v>
      </c>
      <c r="J75" s="3">
        <f>p_B!J75^2</f>
        <v>4.5559695160079768E-8</v>
      </c>
      <c r="K75" s="3">
        <f>p_B!K75^2</f>
        <v>0</v>
      </c>
      <c r="L75" s="3">
        <f>p_B!L75^2</f>
        <v>0</v>
      </c>
      <c r="M75" s="3">
        <f>p_B!M75^2</f>
        <v>0</v>
      </c>
      <c r="N75" s="3">
        <f>p_B!N75^2</f>
        <v>0</v>
      </c>
      <c r="O75" s="3">
        <f>p_B!O75^2</f>
        <v>0</v>
      </c>
      <c r="P75" s="3">
        <f>p_B!P75^2</f>
        <v>0</v>
      </c>
      <c r="Q75" s="3">
        <f>p_B!Q75^2</f>
        <v>0.96111133764403989</v>
      </c>
      <c r="R75" s="3">
        <f>p_B!R75^2</f>
        <v>0</v>
      </c>
      <c r="S75" s="3">
        <f>p_B!S75^2</f>
        <v>0</v>
      </c>
      <c r="T75" s="3">
        <f>p_B!T75^2</f>
        <v>0</v>
      </c>
      <c r="U75" s="3">
        <f>p_B!U75^2</f>
        <v>0</v>
      </c>
      <c r="V75" s="3">
        <f>p_B!V75^2</f>
        <v>0</v>
      </c>
      <c r="W75" s="3">
        <f>p_B!W75^2</f>
        <v>0</v>
      </c>
      <c r="X75" s="3">
        <f>p_B!X75^2</f>
        <v>0</v>
      </c>
      <c r="Y75" s="3">
        <f>p_B!Y75^2</f>
        <v>0</v>
      </c>
      <c r="Z75" s="3">
        <f>p_B!Z75^2</f>
        <v>0</v>
      </c>
      <c r="AA75" s="3">
        <f>p_B!AA75^2</f>
        <v>0</v>
      </c>
    </row>
    <row r="76" spans="1:27" x14ac:dyDescent="0.25">
      <c r="A76" t="s">
        <v>97</v>
      </c>
      <c r="B76" s="3">
        <f>p_B!B76^2</f>
        <v>1.5706217695425485E-3</v>
      </c>
      <c r="C76" s="3">
        <f>p_B!C76^2</f>
        <v>0</v>
      </c>
      <c r="D76" s="3">
        <f>p_B!D76^2</f>
        <v>0</v>
      </c>
      <c r="E76" s="3">
        <f>p_B!E76^2</f>
        <v>0</v>
      </c>
      <c r="F76" s="3">
        <f>p_B!F76^2</f>
        <v>0</v>
      </c>
      <c r="G76" s="3">
        <f>p_B!G76^2</f>
        <v>2.0411800516974962E-3</v>
      </c>
      <c r="H76" s="3">
        <f>p_B!H76^2</f>
        <v>0</v>
      </c>
      <c r="I76" s="3">
        <f>p_B!I76^2</f>
        <v>0</v>
      </c>
      <c r="J76" s="3">
        <f>p_B!J76^2</f>
        <v>5.1921380811321695E-9</v>
      </c>
      <c r="K76" s="3">
        <f>p_B!K76^2</f>
        <v>0</v>
      </c>
      <c r="L76" s="3">
        <f>p_B!L76^2</f>
        <v>0</v>
      </c>
      <c r="M76" s="3">
        <f>p_B!M76^2</f>
        <v>0</v>
      </c>
      <c r="N76" s="3">
        <f>p_B!N76^2</f>
        <v>0</v>
      </c>
      <c r="O76" s="3">
        <f>p_B!O76^2</f>
        <v>0</v>
      </c>
      <c r="P76" s="3">
        <f>p_B!P76^2</f>
        <v>1.9319945799893654E-5</v>
      </c>
      <c r="Q76" s="3">
        <f>p_B!Q76^2</f>
        <v>0.82941457230873672</v>
      </c>
      <c r="R76" s="3">
        <f>p_B!R76^2</f>
        <v>0</v>
      </c>
      <c r="S76" s="3">
        <f>p_B!S76^2</f>
        <v>0</v>
      </c>
      <c r="T76" s="3">
        <f>p_B!T76^2</f>
        <v>0</v>
      </c>
      <c r="U76" s="3">
        <f>p_B!U76^2</f>
        <v>0</v>
      </c>
      <c r="V76" s="3">
        <f>p_B!V76^2</f>
        <v>0</v>
      </c>
      <c r="W76" s="3">
        <f>p_B!W76^2</f>
        <v>0</v>
      </c>
      <c r="X76" s="3">
        <f>p_B!X76^2</f>
        <v>0</v>
      </c>
      <c r="Y76" s="3">
        <f>p_B!Y76^2</f>
        <v>0</v>
      </c>
      <c r="Z76" s="3">
        <f>p_B!Z76^2</f>
        <v>0</v>
      </c>
      <c r="AA76" s="3">
        <f>p_B!AA76^2</f>
        <v>0</v>
      </c>
    </row>
    <row r="77" spans="1:27" x14ac:dyDescent="0.25">
      <c r="A77" t="s">
        <v>99</v>
      </c>
      <c r="B77" s="3">
        <f>p_B!B77^2</f>
        <v>2.1033480387127649E-4</v>
      </c>
      <c r="C77" s="3">
        <f>p_B!C77^2</f>
        <v>0</v>
      </c>
      <c r="D77" s="3">
        <f>p_B!D77^2</f>
        <v>0</v>
      </c>
      <c r="E77" s="3">
        <f>p_B!E77^2</f>
        <v>0</v>
      </c>
      <c r="F77" s="3">
        <f>p_B!F77^2</f>
        <v>0</v>
      </c>
      <c r="G77" s="3">
        <f>p_B!G77^2</f>
        <v>0</v>
      </c>
      <c r="H77" s="3">
        <f>p_B!H77^2</f>
        <v>0</v>
      </c>
      <c r="I77" s="3">
        <f>p_B!I77^2</f>
        <v>0</v>
      </c>
      <c r="J77" s="3">
        <f>p_B!J77^2</f>
        <v>9.7275894957232942E-8</v>
      </c>
      <c r="K77" s="3">
        <f>p_B!K77^2</f>
        <v>0</v>
      </c>
      <c r="L77" s="3">
        <f>p_B!L77^2</f>
        <v>0</v>
      </c>
      <c r="M77" s="3">
        <f>p_B!M77^2</f>
        <v>0</v>
      </c>
      <c r="N77" s="3">
        <f>p_B!N77^2</f>
        <v>0</v>
      </c>
      <c r="O77" s="3">
        <f>p_B!O77^2</f>
        <v>0</v>
      </c>
      <c r="P77" s="3">
        <f>p_B!P77^2</f>
        <v>2.9425958224562921E-4</v>
      </c>
      <c r="Q77" s="3">
        <f>p_B!Q77^2</f>
        <v>0.93708438303903585</v>
      </c>
      <c r="R77" s="3">
        <f>p_B!R77^2</f>
        <v>0</v>
      </c>
      <c r="S77" s="3">
        <f>p_B!S77^2</f>
        <v>0</v>
      </c>
      <c r="T77" s="3">
        <f>p_B!T77^2</f>
        <v>0</v>
      </c>
      <c r="U77" s="3">
        <f>p_B!U77^2</f>
        <v>0</v>
      </c>
      <c r="V77" s="3">
        <f>p_B!V77^2</f>
        <v>0</v>
      </c>
      <c r="W77" s="3">
        <f>p_B!W77^2</f>
        <v>0</v>
      </c>
      <c r="X77" s="3">
        <f>p_B!X77^2</f>
        <v>0</v>
      </c>
      <c r="Y77" s="3">
        <f>p_B!Y77^2</f>
        <v>0</v>
      </c>
      <c r="Z77" s="3">
        <f>p_B!Z77^2</f>
        <v>0</v>
      </c>
      <c r="AA77" s="3">
        <f>p_B!AA77^2</f>
        <v>0</v>
      </c>
    </row>
    <row r="78" spans="1:27" x14ac:dyDescent="0.25">
      <c r="A78" t="s">
        <v>100</v>
      </c>
      <c r="B78" s="3">
        <f>p_B!B78^2</f>
        <v>2.7691793875277908E-4</v>
      </c>
      <c r="C78" s="3">
        <f>p_B!C78^2</f>
        <v>0</v>
      </c>
      <c r="D78" s="3">
        <f>p_B!D78^2</f>
        <v>0</v>
      </c>
      <c r="E78" s="3">
        <f>p_B!E78^2</f>
        <v>0</v>
      </c>
      <c r="F78" s="3">
        <f>p_B!F78^2</f>
        <v>0</v>
      </c>
      <c r="G78" s="3">
        <f>p_B!G78^2</f>
        <v>2.462278107338374E-2</v>
      </c>
      <c r="H78" s="3">
        <f>p_B!H78^2</f>
        <v>0</v>
      </c>
      <c r="I78" s="3">
        <f>p_B!I78^2</f>
        <v>0</v>
      </c>
      <c r="J78" s="3">
        <f>p_B!J78^2</f>
        <v>7.728925558003364E-8</v>
      </c>
      <c r="K78" s="3">
        <f>p_B!K78^2</f>
        <v>0</v>
      </c>
      <c r="L78" s="3">
        <f>p_B!L78^2</f>
        <v>0</v>
      </c>
      <c r="M78" s="3">
        <f>p_B!M78^2</f>
        <v>0</v>
      </c>
      <c r="N78" s="3">
        <f>p_B!N78^2</f>
        <v>0</v>
      </c>
      <c r="O78" s="3">
        <f>p_B!O78^2</f>
        <v>0</v>
      </c>
      <c r="P78" s="3">
        <f>p_B!P78^2</f>
        <v>0</v>
      </c>
      <c r="Q78" s="3">
        <f>p_B!Q78^2</f>
        <v>0.68254804712993433</v>
      </c>
      <c r="R78" s="3">
        <f>p_B!R78^2</f>
        <v>0</v>
      </c>
      <c r="S78" s="3">
        <f>p_B!S78^2</f>
        <v>0</v>
      </c>
      <c r="T78" s="3">
        <f>p_B!T78^2</f>
        <v>0</v>
      </c>
      <c r="U78" s="3">
        <f>p_B!U78^2</f>
        <v>0</v>
      </c>
      <c r="V78" s="3">
        <f>p_B!V78^2</f>
        <v>0</v>
      </c>
      <c r="W78" s="3">
        <f>p_B!W78^2</f>
        <v>0</v>
      </c>
      <c r="X78" s="3">
        <f>p_B!X78^2</f>
        <v>0</v>
      </c>
      <c r="Y78" s="3">
        <f>p_B!Y78^2</f>
        <v>0</v>
      </c>
      <c r="Z78" s="3">
        <f>p_B!Z78^2</f>
        <v>0</v>
      </c>
      <c r="AA78" s="3">
        <f>p_B!AA78^2</f>
        <v>0</v>
      </c>
    </row>
    <row r="79" spans="1:27" x14ac:dyDescent="0.25">
      <c r="A79" t="s">
        <v>101</v>
      </c>
      <c r="B79" s="3">
        <f>p_B!B79^2</f>
        <v>2.8545250045834301E-4</v>
      </c>
      <c r="C79" s="3">
        <f>p_B!C79^2</f>
        <v>0</v>
      </c>
      <c r="D79" s="3">
        <f>p_B!D79^2</f>
        <v>0</v>
      </c>
      <c r="E79" s="3">
        <f>p_B!E79^2</f>
        <v>0</v>
      </c>
      <c r="F79" s="3">
        <f>p_B!F79^2</f>
        <v>0</v>
      </c>
      <c r="G79" s="3">
        <f>p_B!G79^2</f>
        <v>3.9601857471474579E-2</v>
      </c>
      <c r="H79" s="3">
        <f>p_B!H79^2</f>
        <v>0</v>
      </c>
      <c r="I79" s="3">
        <f>p_B!I79^2</f>
        <v>0</v>
      </c>
      <c r="J79" s="3">
        <f>p_B!J79^2</f>
        <v>1.0414689670341741E-6</v>
      </c>
      <c r="K79" s="3">
        <f>p_B!K79^2</f>
        <v>0</v>
      </c>
      <c r="L79" s="3">
        <f>p_B!L79^2</f>
        <v>0</v>
      </c>
      <c r="M79" s="3">
        <f>p_B!M79^2</f>
        <v>0</v>
      </c>
      <c r="N79" s="3">
        <f>p_B!N79^2</f>
        <v>0</v>
      </c>
      <c r="O79" s="3">
        <f>p_B!O79^2</f>
        <v>0</v>
      </c>
      <c r="P79" s="3">
        <f>p_B!P79^2</f>
        <v>4.1481837533386976E-3</v>
      </c>
      <c r="Q79" s="3">
        <f>p_B!Q79^2</f>
        <v>0.51649459906408457</v>
      </c>
      <c r="R79" s="3">
        <f>p_B!R79^2</f>
        <v>0</v>
      </c>
      <c r="S79" s="3">
        <f>p_B!S79^2</f>
        <v>0</v>
      </c>
      <c r="T79" s="3">
        <f>p_B!T79^2</f>
        <v>0</v>
      </c>
      <c r="U79" s="3">
        <f>p_B!U79^2</f>
        <v>0</v>
      </c>
      <c r="V79" s="3">
        <f>p_B!V79^2</f>
        <v>0</v>
      </c>
      <c r="W79" s="3">
        <f>p_B!W79^2</f>
        <v>0</v>
      </c>
      <c r="X79" s="3">
        <f>p_B!X79^2</f>
        <v>0</v>
      </c>
      <c r="Y79" s="3">
        <f>p_B!Y79^2</f>
        <v>0</v>
      </c>
      <c r="Z79" s="3">
        <f>p_B!Z79^2</f>
        <v>0</v>
      </c>
      <c r="AA79" s="3">
        <f>p_B!AA79^2</f>
        <v>0</v>
      </c>
    </row>
    <row r="80" spans="1:27" x14ac:dyDescent="0.25">
      <c r="A80" t="s">
        <v>103</v>
      </c>
      <c r="B80" s="3">
        <f>p_B!B80^2</f>
        <v>1.6432072303200967E-4</v>
      </c>
      <c r="C80" s="3">
        <f>p_B!C80^2</f>
        <v>0</v>
      </c>
      <c r="D80" s="3">
        <f>p_B!D80^2</f>
        <v>0</v>
      </c>
      <c r="E80" s="3">
        <f>p_B!E80^2</f>
        <v>0</v>
      </c>
      <c r="F80" s="3">
        <f>p_B!F80^2</f>
        <v>0</v>
      </c>
      <c r="G80" s="3">
        <f>p_B!G80^2</f>
        <v>7.8229030989947379E-2</v>
      </c>
      <c r="H80" s="3">
        <f>p_B!H80^2</f>
        <v>0</v>
      </c>
      <c r="I80" s="3">
        <f>p_B!I80^2</f>
        <v>0</v>
      </c>
      <c r="J80" s="3">
        <f>p_B!J80^2</f>
        <v>6.5837080094394821E-5</v>
      </c>
      <c r="K80" s="3">
        <f>p_B!K80^2</f>
        <v>0</v>
      </c>
      <c r="L80" s="3">
        <f>p_B!L80^2</f>
        <v>0</v>
      </c>
      <c r="M80" s="3">
        <f>p_B!M80^2</f>
        <v>0</v>
      </c>
      <c r="N80" s="3">
        <f>p_B!N80^2</f>
        <v>0</v>
      </c>
      <c r="O80" s="3">
        <f>p_B!O80^2</f>
        <v>9.4540019971774258E-3</v>
      </c>
      <c r="P80" s="3">
        <f>p_B!P80^2</f>
        <v>0</v>
      </c>
      <c r="Q80" s="3">
        <f>p_B!Q80^2</f>
        <v>0.36257379159970377</v>
      </c>
      <c r="R80" s="3">
        <f>p_B!R80^2</f>
        <v>0</v>
      </c>
      <c r="S80" s="3">
        <f>p_B!S80^2</f>
        <v>0</v>
      </c>
      <c r="T80" s="3">
        <f>p_B!T80^2</f>
        <v>0</v>
      </c>
      <c r="U80" s="3">
        <f>p_B!U80^2</f>
        <v>0</v>
      </c>
      <c r="V80" s="3">
        <f>p_B!V80^2</f>
        <v>0</v>
      </c>
      <c r="W80" s="3">
        <f>p_B!W80^2</f>
        <v>0</v>
      </c>
      <c r="X80" s="3">
        <f>p_B!X80^2</f>
        <v>0</v>
      </c>
      <c r="Y80" s="3">
        <f>p_B!Y80^2</f>
        <v>0</v>
      </c>
      <c r="Z80" s="3">
        <f>p_B!Z80^2</f>
        <v>0</v>
      </c>
      <c r="AA80" s="3">
        <f>p_B!AA80^2</f>
        <v>0</v>
      </c>
    </row>
    <row r="81" spans="1:27" x14ac:dyDescent="0.25">
      <c r="A81" t="s">
        <v>104</v>
      </c>
      <c r="B81" s="3">
        <f>p_B!B81^2</f>
        <v>1.224200563319328E-3</v>
      </c>
      <c r="C81" s="3">
        <f>p_B!C81^2</f>
        <v>0</v>
      </c>
      <c r="D81" s="3">
        <f>p_B!D81^2</f>
        <v>0</v>
      </c>
      <c r="E81" s="3">
        <f>p_B!E81^2</f>
        <v>0</v>
      </c>
      <c r="F81" s="3">
        <f>p_B!F81^2</f>
        <v>0</v>
      </c>
      <c r="G81" s="3">
        <f>p_B!G81^2</f>
        <v>2.880237907876931E-2</v>
      </c>
      <c r="H81" s="3">
        <f>p_B!H81^2</f>
        <v>0</v>
      </c>
      <c r="I81" s="3">
        <f>p_B!I81^2</f>
        <v>0</v>
      </c>
      <c r="J81" s="3">
        <f>p_B!J81^2</f>
        <v>5.7826457567545481E-8</v>
      </c>
      <c r="K81" s="3">
        <f>p_B!K81^2</f>
        <v>0</v>
      </c>
      <c r="L81" s="3">
        <f>p_B!L81^2</f>
        <v>0</v>
      </c>
      <c r="M81" s="3">
        <f>p_B!M81^2</f>
        <v>0</v>
      </c>
      <c r="N81" s="3">
        <f>p_B!N81^2</f>
        <v>0</v>
      </c>
      <c r="O81" s="3">
        <f>p_B!O81^2</f>
        <v>1.548628675194846E-4</v>
      </c>
      <c r="P81" s="3">
        <f>p_B!P81^2</f>
        <v>0</v>
      </c>
      <c r="Q81" s="3">
        <f>p_B!Q81^2</f>
        <v>0.61248455292681458</v>
      </c>
      <c r="R81" s="3">
        <f>p_B!R81^2</f>
        <v>0</v>
      </c>
      <c r="S81" s="3">
        <f>p_B!S81^2</f>
        <v>0</v>
      </c>
      <c r="T81" s="3">
        <f>p_B!T81^2</f>
        <v>0</v>
      </c>
      <c r="U81" s="3">
        <f>p_B!U81^2</f>
        <v>0</v>
      </c>
      <c r="V81" s="3">
        <f>p_B!V81^2</f>
        <v>0</v>
      </c>
      <c r="W81" s="3">
        <f>p_B!W81^2</f>
        <v>0</v>
      </c>
      <c r="X81" s="3">
        <f>p_B!X81^2</f>
        <v>0</v>
      </c>
      <c r="Y81" s="3">
        <f>p_B!Y81^2</f>
        <v>0</v>
      </c>
      <c r="Z81" s="3">
        <f>p_B!Z81^2</f>
        <v>0</v>
      </c>
      <c r="AA81" s="3">
        <f>p_B!AA81^2</f>
        <v>0</v>
      </c>
    </row>
    <row r="82" spans="1:27" x14ac:dyDescent="0.25">
      <c r="A82" t="s">
        <v>105</v>
      </c>
      <c r="B82" s="3">
        <f>p_B!B82^2</f>
        <v>4.4995021597215405E-3</v>
      </c>
      <c r="C82" s="3">
        <f>p_B!C82^2</f>
        <v>0</v>
      </c>
      <c r="D82" s="3">
        <f>p_B!D82^2</f>
        <v>0</v>
      </c>
      <c r="E82" s="3">
        <f>p_B!E82^2</f>
        <v>0</v>
      </c>
      <c r="F82" s="3">
        <f>p_B!F82^2</f>
        <v>0</v>
      </c>
      <c r="G82" s="3">
        <f>p_B!G82^2</f>
        <v>0.11299879584730599</v>
      </c>
      <c r="H82" s="3">
        <f>p_B!H82^2</f>
        <v>0</v>
      </c>
      <c r="I82" s="3">
        <f>p_B!I82^2</f>
        <v>0</v>
      </c>
      <c r="J82" s="3">
        <f>p_B!J82^2</f>
        <v>4.5792891174538872E-7</v>
      </c>
      <c r="K82" s="3">
        <f>p_B!K82^2</f>
        <v>0</v>
      </c>
      <c r="L82" s="3">
        <f>p_B!L82^2</f>
        <v>0</v>
      </c>
      <c r="M82" s="3">
        <f>p_B!M82^2</f>
        <v>0</v>
      </c>
      <c r="N82" s="3">
        <f>p_B!N82^2</f>
        <v>0</v>
      </c>
      <c r="O82" s="3">
        <f>p_B!O82^2</f>
        <v>0</v>
      </c>
      <c r="P82" s="3">
        <f>p_B!P82^2</f>
        <v>0</v>
      </c>
      <c r="Q82" s="3">
        <f>p_B!Q82^2</f>
        <v>0.35401594067714137</v>
      </c>
      <c r="R82" s="3">
        <f>p_B!R82^2</f>
        <v>0</v>
      </c>
      <c r="S82" s="3">
        <f>p_B!S82^2</f>
        <v>0</v>
      </c>
      <c r="T82" s="3">
        <f>p_B!T82^2</f>
        <v>0</v>
      </c>
      <c r="U82" s="3">
        <f>p_B!U82^2</f>
        <v>0</v>
      </c>
      <c r="V82" s="3">
        <f>p_B!V82^2</f>
        <v>0</v>
      </c>
      <c r="W82" s="3">
        <f>p_B!W82^2</f>
        <v>0</v>
      </c>
      <c r="X82" s="3">
        <f>p_B!X82^2</f>
        <v>0</v>
      </c>
      <c r="Y82" s="3">
        <f>p_B!Y82^2</f>
        <v>0</v>
      </c>
      <c r="Z82" s="3">
        <f>p_B!Z82^2</f>
        <v>1.2092185325776764E-6</v>
      </c>
      <c r="AA82" s="3">
        <f>p_B!AA82^2</f>
        <v>0</v>
      </c>
    </row>
    <row r="83" spans="1:27" x14ac:dyDescent="0.25">
      <c r="A83" t="s">
        <v>107</v>
      </c>
      <c r="B83" s="3">
        <f>p_B!B83^2</f>
        <v>8.8438311864205785E-4</v>
      </c>
      <c r="C83" s="3">
        <f>p_B!C83^2</f>
        <v>0</v>
      </c>
      <c r="D83" s="3">
        <f>p_B!D83^2</f>
        <v>0</v>
      </c>
      <c r="E83" s="3">
        <f>p_B!E83^2</f>
        <v>0</v>
      </c>
      <c r="F83" s="3">
        <f>p_B!F83^2</f>
        <v>0</v>
      </c>
      <c r="G83" s="3">
        <f>p_B!G83^2</f>
        <v>0.64557761572834282</v>
      </c>
      <c r="H83" s="3">
        <f>p_B!H83^2</f>
        <v>0</v>
      </c>
      <c r="I83" s="3">
        <f>p_B!I83^2</f>
        <v>0</v>
      </c>
      <c r="J83" s="3">
        <f>p_B!J83^2</f>
        <v>2.0850932127376199E-4</v>
      </c>
      <c r="K83" s="3">
        <f>p_B!K83^2</f>
        <v>0</v>
      </c>
      <c r="L83" s="3">
        <f>p_B!L83^2</f>
        <v>0</v>
      </c>
      <c r="M83" s="3">
        <f>p_B!M83^2</f>
        <v>0</v>
      </c>
      <c r="N83" s="3">
        <f>p_B!N83^2</f>
        <v>0</v>
      </c>
      <c r="O83" s="3">
        <f>p_B!O83^2</f>
        <v>0</v>
      </c>
      <c r="P83" s="3">
        <f>p_B!P83^2</f>
        <v>0</v>
      </c>
      <c r="Q83" s="3">
        <f>p_B!Q83^2</f>
        <v>2.1823166881388065E-2</v>
      </c>
      <c r="R83" s="3">
        <f>p_B!R83^2</f>
        <v>0</v>
      </c>
      <c r="S83" s="3">
        <f>p_B!S83^2</f>
        <v>0</v>
      </c>
      <c r="T83" s="3">
        <f>p_B!T83^2</f>
        <v>0</v>
      </c>
      <c r="U83" s="3">
        <f>p_B!U83^2</f>
        <v>0</v>
      </c>
      <c r="V83" s="3">
        <f>p_B!V83^2</f>
        <v>0</v>
      </c>
      <c r="W83" s="3">
        <f>p_B!W83^2</f>
        <v>0</v>
      </c>
      <c r="X83" s="3">
        <f>p_B!X83^2</f>
        <v>0</v>
      </c>
      <c r="Y83" s="3">
        <f>p_B!Y83^2</f>
        <v>0</v>
      </c>
      <c r="Z83" s="3">
        <f>p_B!Z83^2</f>
        <v>2.8815151984323623E-7</v>
      </c>
      <c r="AA83" s="3">
        <f>p_B!AA83^2</f>
        <v>1.6643631786145138E-5</v>
      </c>
    </row>
    <row r="84" spans="1:27" x14ac:dyDescent="0.25">
      <c r="A84" t="s">
        <v>108</v>
      </c>
      <c r="B84" s="3">
        <f>p_B!B84^2</f>
        <v>6.9445330091708805E-4</v>
      </c>
      <c r="C84" s="3">
        <f>p_B!C84^2</f>
        <v>0</v>
      </c>
      <c r="D84" s="3">
        <f>p_B!D84^2</f>
        <v>0</v>
      </c>
      <c r="E84" s="3">
        <f>p_B!E84^2</f>
        <v>0</v>
      </c>
      <c r="F84" s="3">
        <f>p_B!F84^2</f>
        <v>0</v>
      </c>
      <c r="G84" s="3">
        <f>p_B!G84^2</f>
        <v>0</v>
      </c>
      <c r="H84" s="3">
        <f>p_B!H84^2</f>
        <v>0</v>
      </c>
      <c r="I84" s="3">
        <f>p_B!I84^2</f>
        <v>0</v>
      </c>
      <c r="J84" s="3">
        <f>p_B!J84^2</f>
        <v>1.4046149601427612E-6</v>
      </c>
      <c r="K84" s="3">
        <f>p_B!K84^2</f>
        <v>0</v>
      </c>
      <c r="L84" s="3">
        <f>p_B!L84^2</f>
        <v>0</v>
      </c>
      <c r="M84" s="3">
        <f>p_B!M84^2</f>
        <v>0</v>
      </c>
      <c r="N84" s="3">
        <f>p_B!N84^2</f>
        <v>0</v>
      </c>
      <c r="O84" s="3">
        <f>p_B!O84^2</f>
        <v>0</v>
      </c>
      <c r="P84" s="3">
        <f>p_B!P84^2</f>
        <v>9.6489805975335085E-3</v>
      </c>
      <c r="Q84" s="3">
        <f>p_B!Q84^2</f>
        <v>0.76428356355150751</v>
      </c>
      <c r="R84" s="3">
        <f>p_B!R84^2</f>
        <v>0</v>
      </c>
      <c r="S84" s="3">
        <f>p_B!S84^2</f>
        <v>0</v>
      </c>
      <c r="T84" s="3">
        <f>p_B!T84^2</f>
        <v>0</v>
      </c>
      <c r="U84" s="3">
        <f>p_B!U84^2</f>
        <v>0</v>
      </c>
      <c r="V84" s="3">
        <f>p_B!V84^2</f>
        <v>0</v>
      </c>
      <c r="W84" s="3">
        <f>p_B!W84^2</f>
        <v>0</v>
      </c>
      <c r="X84" s="3">
        <f>p_B!X84^2</f>
        <v>0</v>
      </c>
      <c r="Y84" s="3">
        <f>p_B!Y84^2</f>
        <v>0</v>
      </c>
      <c r="Z84" s="3">
        <f>p_B!Z84^2</f>
        <v>0</v>
      </c>
      <c r="AA84" s="3">
        <f>p_B!AA84^2</f>
        <v>0</v>
      </c>
    </row>
    <row r="85" spans="1:27" x14ac:dyDescent="0.25">
      <c r="A85" t="s">
        <v>109</v>
      </c>
      <c r="B85" s="3">
        <f>p_B!B85^2</f>
        <v>4.5027777824060119E-5</v>
      </c>
      <c r="C85" s="3">
        <f>p_B!C85^2</f>
        <v>0</v>
      </c>
      <c r="D85" s="3">
        <f>p_B!D85^2</f>
        <v>0</v>
      </c>
      <c r="E85" s="3">
        <f>p_B!E85^2</f>
        <v>0</v>
      </c>
      <c r="F85" s="3">
        <f>p_B!F85^2</f>
        <v>0</v>
      </c>
      <c r="G85" s="3">
        <f>p_B!G85^2</f>
        <v>0</v>
      </c>
      <c r="H85" s="3">
        <f>p_B!H85^2</f>
        <v>0</v>
      </c>
      <c r="I85" s="3">
        <f>p_B!I85^2</f>
        <v>0</v>
      </c>
      <c r="J85" s="3">
        <f>p_B!J85^2</f>
        <v>1.1446931725627732E-7</v>
      </c>
      <c r="K85" s="3">
        <f>p_B!K85^2</f>
        <v>0</v>
      </c>
      <c r="L85" s="3">
        <f>p_B!L85^2</f>
        <v>0</v>
      </c>
      <c r="M85" s="3">
        <f>p_B!M85^2</f>
        <v>0</v>
      </c>
      <c r="N85" s="3">
        <f>p_B!N85^2</f>
        <v>0</v>
      </c>
      <c r="O85" s="3">
        <f>p_B!O85^2</f>
        <v>0</v>
      </c>
      <c r="P85" s="3">
        <f>p_B!P85^2</f>
        <v>1.3103239152261095E-2</v>
      </c>
      <c r="Q85" s="3">
        <f>p_B!Q85^2</f>
        <v>0.7717306453275169</v>
      </c>
      <c r="R85" s="3">
        <f>p_B!R85^2</f>
        <v>0</v>
      </c>
      <c r="S85" s="3">
        <f>p_B!S85^2</f>
        <v>0</v>
      </c>
      <c r="T85" s="3">
        <f>p_B!T85^2</f>
        <v>0</v>
      </c>
      <c r="U85" s="3">
        <f>p_B!U85^2</f>
        <v>0</v>
      </c>
      <c r="V85" s="3">
        <f>p_B!V85^2</f>
        <v>0</v>
      </c>
      <c r="W85" s="3">
        <f>p_B!W85^2</f>
        <v>0</v>
      </c>
      <c r="X85" s="3">
        <f>p_B!X85^2</f>
        <v>0</v>
      </c>
      <c r="Y85" s="3">
        <f>p_B!Y85^2</f>
        <v>0</v>
      </c>
      <c r="Z85" s="3">
        <f>p_B!Z85^2</f>
        <v>0</v>
      </c>
      <c r="AA85" s="3">
        <f>p_B!AA85^2</f>
        <v>0</v>
      </c>
    </row>
    <row r="86" spans="1:27" x14ac:dyDescent="0.25">
      <c r="A86" t="s">
        <v>110</v>
      </c>
      <c r="B86" s="3">
        <f>p_B!B86^2</f>
        <v>0</v>
      </c>
      <c r="C86" s="3">
        <f>p_B!C86^2</f>
        <v>0</v>
      </c>
      <c r="D86" s="3">
        <f>p_B!D86^2</f>
        <v>0</v>
      </c>
      <c r="E86" s="3">
        <f>p_B!E86^2</f>
        <v>0</v>
      </c>
      <c r="F86" s="3">
        <f>p_B!F86^2</f>
        <v>0.50601316648886718</v>
      </c>
      <c r="G86" s="3">
        <f>p_B!G86^2</f>
        <v>0</v>
      </c>
      <c r="H86" s="3">
        <f>p_B!H86^2</f>
        <v>0</v>
      </c>
      <c r="I86" s="3">
        <f>p_B!I86^2</f>
        <v>0</v>
      </c>
      <c r="J86" s="3">
        <f>p_B!J86^2</f>
        <v>0</v>
      </c>
      <c r="K86" s="3">
        <f>p_B!K86^2</f>
        <v>0</v>
      </c>
      <c r="L86" s="3">
        <f>p_B!L86^2</f>
        <v>0</v>
      </c>
      <c r="M86" s="3">
        <f>p_B!M86^2</f>
        <v>0</v>
      </c>
      <c r="N86" s="3">
        <f>p_B!N86^2</f>
        <v>0</v>
      </c>
      <c r="O86" s="3">
        <f>p_B!O86^2</f>
        <v>0</v>
      </c>
      <c r="P86" s="3">
        <f>p_B!P86^2</f>
        <v>0</v>
      </c>
      <c r="Q86" s="3">
        <f>p_B!Q86^2</f>
        <v>8.3321117605670278E-2</v>
      </c>
      <c r="R86" s="3">
        <f>p_B!R86^2</f>
        <v>0</v>
      </c>
      <c r="S86" s="3">
        <f>p_B!S86^2</f>
        <v>0</v>
      </c>
      <c r="T86" s="3">
        <f>p_B!T86^2</f>
        <v>0</v>
      </c>
      <c r="U86" s="3">
        <f>p_B!U86^2</f>
        <v>0</v>
      </c>
      <c r="V86" s="3">
        <f>p_B!V86^2</f>
        <v>0</v>
      </c>
      <c r="W86" s="3">
        <f>p_B!W86^2</f>
        <v>0</v>
      </c>
      <c r="X86" s="3">
        <f>p_B!X86^2</f>
        <v>0</v>
      </c>
      <c r="Y86" s="3">
        <f>p_B!Y86^2</f>
        <v>0</v>
      </c>
      <c r="Z86" s="3">
        <f>p_B!Z86^2</f>
        <v>0</v>
      </c>
      <c r="AA86" s="3">
        <f>p_B!AA86^2</f>
        <v>0</v>
      </c>
    </row>
    <row r="87" spans="1:27" x14ac:dyDescent="0.25">
      <c r="A87" t="s">
        <v>113</v>
      </c>
      <c r="B87" s="3">
        <f>p_B!B87^2</f>
        <v>6.5143507237834529E-6</v>
      </c>
      <c r="C87" s="3">
        <f>p_B!C87^2</f>
        <v>0</v>
      </c>
      <c r="D87" s="3">
        <f>p_B!D87^2</f>
        <v>0</v>
      </c>
      <c r="E87" s="3">
        <f>p_B!E87^2</f>
        <v>0</v>
      </c>
      <c r="F87" s="3">
        <f>p_B!F87^2</f>
        <v>0</v>
      </c>
      <c r="G87" s="3">
        <f>p_B!G87^2</f>
        <v>1.4267991529259469E-4</v>
      </c>
      <c r="H87" s="3">
        <f>p_B!H87^2</f>
        <v>0</v>
      </c>
      <c r="I87" s="3">
        <f>p_B!I87^2</f>
        <v>0</v>
      </c>
      <c r="J87" s="3">
        <f>p_B!J87^2</f>
        <v>1.0422961158053453E-6</v>
      </c>
      <c r="K87" s="3">
        <f>p_B!K87^2</f>
        <v>0</v>
      </c>
      <c r="L87" s="3">
        <f>p_B!L87^2</f>
        <v>0</v>
      </c>
      <c r="M87" s="3">
        <f>p_B!M87^2</f>
        <v>0</v>
      </c>
      <c r="N87" s="3">
        <f>p_B!N87^2</f>
        <v>0</v>
      </c>
      <c r="O87" s="3">
        <f>p_B!O87^2</f>
        <v>0</v>
      </c>
      <c r="P87" s="3">
        <f>p_B!P87^2</f>
        <v>2.6057402895133633E-7</v>
      </c>
      <c r="Q87" s="3">
        <f>p_B!Q87^2</f>
        <v>0.96819974354304073</v>
      </c>
      <c r="R87" s="3">
        <f>p_B!R87^2</f>
        <v>0</v>
      </c>
      <c r="S87" s="3">
        <f>p_B!S87^2</f>
        <v>0</v>
      </c>
      <c r="T87" s="3">
        <f>p_B!T87^2</f>
        <v>0</v>
      </c>
      <c r="U87" s="3">
        <f>p_B!U87^2</f>
        <v>0</v>
      </c>
      <c r="V87" s="3">
        <f>p_B!V87^2</f>
        <v>0</v>
      </c>
      <c r="W87" s="3">
        <f>p_B!W87^2</f>
        <v>0</v>
      </c>
      <c r="X87" s="3">
        <f>p_B!X87^2</f>
        <v>0</v>
      </c>
      <c r="Y87" s="3">
        <f>p_B!Y87^2</f>
        <v>0</v>
      </c>
      <c r="Z87" s="3">
        <f>p_B!Z87^2</f>
        <v>0</v>
      </c>
      <c r="AA87" s="3">
        <f>p_B!AA87^2</f>
        <v>0</v>
      </c>
    </row>
    <row r="88" spans="1:27" x14ac:dyDescent="0.25">
      <c r="A88" t="s">
        <v>114</v>
      </c>
      <c r="B88" s="3">
        <f>p_B!B88^2</f>
        <v>2.4173209227325606E-3</v>
      </c>
      <c r="C88" s="3">
        <f>p_B!C88^2</f>
        <v>0</v>
      </c>
      <c r="D88" s="3">
        <f>p_B!D88^2</f>
        <v>0</v>
      </c>
      <c r="E88" s="3">
        <f>p_B!E88^2</f>
        <v>0</v>
      </c>
      <c r="F88" s="3">
        <f>p_B!F88^2</f>
        <v>0</v>
      </c>
      <c r="G88" s="3">
        <f>p_B!G88^2</f>
        <v>1.4071730635876526E-2</v>
      </c>
      <c r="H88" s="3">
        <f>p_B!H88^2</f>
        <v>0</v>
      </c>
      <c r="I88" s="3">
        <f>p_B!I88^2</f>
        <v>0</v>
      </c>
      <c r="J88" s="3">
        <f>p_B!J88^2</f>
        <v>1.3567279636110133E-6</v>
      </c>
      <c r="K88" s="3">
        <f>p_B!K88^2</f>
        <v>0</v>
      </c>
      <c r="L88" s="3">
        <f>p_B!L88^2</f>
        <v>0</v>
      </c>
      <c r="M88" s="3">
        <f>p_B!M88^2</f>
        <v>0</v>
      </c>
      <c r="N88" s="3">
        <f>p_B!N88^2</f>
        <v>0</v>
      </c>
      <c r="O88" s="3">
        <f>p_B!O88^2</f>
        <v>0</v>
      </c>
      <c r="P88" s="3">
        <f>p_B!P88^2</f>
        <v>2.3114735920756635E-4</v>
      </c>
      <c r="Q88" s="3">
        <f>p_B!Q88^2</f>
        <v>0.66499665606018588</v>
      </c>
      <c r="R88" s="3">
        <f>p_B!R88^2</f>
        <v>0</v>
      </c>
      <c r="S88" s="3">
        <f>p_B!S88^2</f>
        <v>0</v>
      </c>
      <c r="T88" s="3">
        <f>p_B!T88^2</f>
        <v>0</v>
      </c>
      <c r="U88" s="3">
        <f>p_B!U88^2</f>
        <v>0</v>
      </c>
      <c r="V88" s="3">
        <f>p_B!V88^2</f>
        <v>0</v>
      </c>
      <c r="W88" s="3">
        <f>p_B!W88^2</f>
        <v>0</v>
      </c>
      <c r="X88" s="3">
        <f>p_B!X88^2</f>
        <v>0</v>
      </c>
      <c r="Y88" s="3">
        <f>p_B!Y88^2</f>
        <v>0</v>
      </c>
      <c r="Z88" s="3">
        <f>p_B!Z88^2</f>
        <v>0</v>
      </c>
      <c r="AA88" s="3">
        <f>p_B!AA88^2</f>
        <v>1.3529697144043116E-7</v>
      </c>
    </row>
    <row r="89" spans="1:27" x14ac:dyDescent="0.25">
      <c r="A89" t="s">
        <v>134</v>
      </c>
      <c r="B89" s="3">
        <f>p_B!B89^2</f>
        <v>0</v>
      </c>
      <c r="C89" s="3">
        <f>p_B!C89^2</f>
        <v>0</v>
      </c>
      <c r="D89" s="3">
        <f>p_B!D89^2</f>
        <v>0</v>
      </c>
      <c r="E89" s="3">
        <f>p_B!E89^2</f>
        <v>0</v>
      </c>
      <c r="F89" s="3">
        <f>p_B!F89^2</f>
        <v>1.818131209595867E-2</v>
      </c>
      <c r="G89" s="3">
        <f>p_B!G89^2</f>
        <v>0</v>
      </c>
      <c r="H89" s="3">
        <f>p_B!H89^2</f>
        <v>0</v>
      </c>
      <c r="I89" s="3">
        <f>p_B!I89^2</f>
        <v>0</v>
      </c>
      <c r="J89" s="3">
        <f>p_B!J89^2</f>
        <v>2.9103704043589788E-6</v>
      </c>
      <c r="K89" s="3">
        <f>p_B!K89^2</f>
        <v>0</v>
      </c>
      <c r="L89" s="3">
        <f>p_B!L89^2</f>
        <v>0</v>
      </c>
      <c r="M89" s="3">
        <f>p_B!M89^2</f>
        <v>0</v>
      </c>
      <c r="N89" s="3">
        <f>p_B!N89^2</f>
        <v>0</v>
      </c>
      <c r="O89" s="3">
        <f>p_B!O89^2</f>
        <v>0</v>
      </c>
      <c r="P89" s="3">
        <f>p_B!P89^2</f>
        <v>0</v>
      </c>
      <c r="Q89" s="3">
        <f>p_B!Q89^2</f>
        <v>0.74555613158908707</v>
      </c>
      <c r="R89" s="3">
        <f>p_B!R89^2</f>
        <v>0</v>
      </c>
      <c r="S89" s="3">
        <f>p_B!S89^2</f>
        <v>0</v>
      </c>
      <c r="T89" s="3">
        <f>p_B!T89^2</f>
        <v>0</v>
      </c>
      <c r="U89" s="3">
        <f>p_B!U89^2</f>
        <v>0</v>
      </c>
      <c r="V89" s="3">
        <f>p_B!V89^2</f>
        <v>0</v>
      </c>
      <c r="W89" s="3">
        <f>p_B!W89^2</f>
        <v>0</v>
      </c>
      <c r="X89" s="3">
        <f>p_B!X89^2</f>
        <v>0</v>
      </c>
      <c r="Y89" s="3">
        <f>p_B!Y89^2</f>
        <v>0</v>
      </c>
      <c r="Z89" s="3">
        <f>p_B!Z89^2</f>
        <v>0</v>
      </c>
      <c r="AA89" s="3">
        <f>p_B!AA89^2</f>
        <v>0</v>
      </c>
    </row>
    <row r="90" spans="1:27" x14ac:dyDescent="0.25">
      <c r="A90" t="s">
        <v>135</v>
      </c>
      <c r="B90" s="3">
        <f>p_B!B90^2</f>
        <v>0</v>
      </c>
      <c r="C90" s="3">
        <f>p_B!C90^2</f>
        <v>0</v>
      </c>
      <c r="D90" s="3">
        <f>p_B!D90^2</f>
        <v>0</v>
      </c>
      <c r="E90" s="3">
        <f>p_B!E90^2</f>
        <v>0</v>
      </c>
      <c r="F90" s="3">
        <f>p_B!F90^2</f>
        <v>3.9988185778695444E-2</v>
      </c>
      <c r="G90" s="3">
        <f>p_B!G90^2</f>
        <v>1.369912770328236E-2</v>
      </c>
      <c r="H90" s="3">
        <f>p_B!H90^2</f>
        <v>0</v>
      </c>
      <c r="I90" s="3">
        <f>p_B!I90^2</f>
        <v>0</v>
      </c>
      <c r="J90" s="3">
        <f>p_B!J90^2</f>
        <v>6.7428570954940663E-3</v>
      </c>
      <c r="K90" s="3">
        <f>p_B!K90^2</f>
        <v>3.6016427098452432E-4</v>
      </c>
      <c r="L90" s="3">
        <f>p_B!L90^2</f>
        <v>0</v>
      </c>
      <c r="M90" s="3">
        <f>p_B!M90^2</f>
        <v>0</v>
      </c>
      <c r="N90" s="3">
        <f>p_B!N90^2</f>
        <v>0</v>
      </c>
      <c r="O90" s="3">
        <f>p_B!O90^2</f>
        <v>0</v>
      </c>
      <c r="P90" s="3">
        <f>p_B!P90^2</f>
        <v>1.7903734337851869E-3</v>
      </c>
      <c r="Q90" s="3">
        <f>p_B!Q90^2</f>
        <v>0.29114718523080119</v>
      </c>
      <c r="R90" s="3">
        <f>p_B!R90^2</f>
        <v>0</v>
      </c>
      <c r="S90" s="3">
        <f>p_B!S90^2</f>
        <v>0</v>
      </c>
      <c r="T90" s="3">
        <f>p_B!T90^2</f>
        <v>0</v>
      </c>
      <c r="U90" s="3">
        <f>p_B!U90^2</f>
        <v>0</v>
      </c>
      <c r="V90" s="3">
        <f>p_B!V90^2</f>
        <v>0</v>
      </c>
      <c r="W90" s="3">
        <f>p_B!W90^2</f>
        <v>0</v>
      </c>
      <c r="X90" s="3">
        <f>p_B!X90^2</f>
        <v>0</v>
      </c>
      <c r="Y90" s="3">
        <f>p_B!Y90^2</f>
        <v>0</v>
      </c>
      <c r="Z90" s="3">
        <f>p_B!Z90^2</f>
        <v>0</v>
      </c>
      <c r="AA90" s="3">
        <f>p_B!AA90^2</f>
        <v>0</v>
      </c>
    </row>
    <row r="91" spans="1:27" x14ac:dyDescent="0.25">
      <c r="A91" s="7" t="s">
        <v>137</v>
      </c>
      <c r="B91" s="3">
        <f>p_B!B91^2</f>
        <v>0</v>
      </c>
      <c r="C91" s="3">
        <f>p_B!C91^2</f>
        <v>0</v>
      </c>
      <c r="D91" s="3">
        <f>p_B!D91^2</f>
        <v>0</v>
      </c>
      <c r="E91" s="3">
        <f>p_B!E91^2</f>
        <v>0</v>
      </c>
      <c r="F91" s="3">
        <f>p_B!F91^2</f>
        <v>0</v>
      </c>
      <c r="G91" s="3">
        <f>p_B!G91^2</f>
        <v>0.2454892193965986</v>
      </c>
      <c r="H91" s="3">
        <f>p_B!H91^2</f>
        <v>0</v>
      </c>
      <c r="I91" s="3">
        <f>p_B!I91^2</f>
        <v>0</v>
      </c>
      <c r="J91" s="3">
        <f>p_B!J91^2</f>
        <v>1.7318867125410543E-3</v>
      </c>
      <c r="K91" s="3">
        <f>p_B!K91^2</f>
        <v>0</v>
      </c>
      <c r="L91" s="3">
        <f>p_B!L91^2</f>
        <v>0</v>
      </c>
      <c r="M91" s="3">
        <f>p_B!M91^2</f>
        <v>0</v>
      </c>
      <c r="N91" s="3">
        <f>p_B!N91^2</f>
        <v>0</v>
      </c>
      <c r="O91" s="3">
        <f>p_B!O91^2</f>
        <v>0</v>
      </c>
      <c r="P91" s="3">
        <f>p_B!P91^2</f>
        <v>0</v>
      </c>
      <c r="Q91" s="3">
        <f>p_B!Q91^2</f>
        <v>0.21349824610815832</v>
      </c>
      <c r="R91" s="3">
        <f>p_B!R91^2</f>
        <v>0</v>
      </c>
      <c r="S91" s="3">
        <f>p_B!S91^2</f>
        <v>0</v>
      </c>
      <c r="T91" s="3">
        <f>p_B!T91^2</f>
        <v>0</v>
      </c>
      <c r="U91" s="3">
        <f>p_B!U91^2</f>
        <v>7.338770052754639E-7</v>
      </c>
      <c r="V91" s="3">
        <f>p_B!V91^2</f>
        <v>0</v>
      </c>
      <c r="W91" s="3">
        <f>p_B!W91^2</f>
        <v>0</v>
      </c>
      <c r="X91" s="3">
        <f>p_B!X91^2</f>
        <v>0</v>
      </c>
      <c r="Y91" s="3">
        <f>p_B!Y91^2</f>
        <v>0</v>
      </c>
      <c r="Z91" s="3">
        <f>p_B!Z91^2</f>
        <v>0</v>
      </c>
      <c r="AA91" s="3">
        <f>p_B!AA91^2</f>
        <v>0</v>
      </c>
    </row>
    <row r="92" spans="1:27" x14ac:dyDescent="0.25">
      <c r="A92" s="7" t="s">
        <v>138</v>
      </c>
      <c r="B92" s="3">
        <f>p_B!B92^2</f>
        <v>0</v>
      </c>
      <c r="C92" s="3">
        <f>p_B!C92^2</f>
        <v>0</v>
      </c>
      <c r="D92" s="3">
        <f>p_B!D92^2</f>
        <v>0</v>
      </c>
      <c r="E92" s="3">
        <f>p_B!E92^2</f>
        <v>0</v>
      </c>
      <c r="F92" s="3">
        <f>p_B!F92^2</f>
        <v>0</v>
      </c>
      <c r="G92" s="3">
        <f>p_B!G92^2</f>
        <v>4.9789515169424009E-2</v>
      </c>
      <c r="H92" s="3">
        <f>p_B!H92^2</f>
        <v>0</v>
      </c>
      <c r="I92" s="3">
        <f>p_B!I92^2</f>
        <v>0</v>
      </c>
      <c r="J92" s="3">
        <f>p_B!J92^2</f>
        <v>1.2890274389162422E-3</v>
      </c>
      <c r="K92" s="3">
        <f>p_B!K92^2</f>
        <v>0</v>
      </c>
      <c r="L92" s="3">
        <f>p_B!L92^2</f>
        <v>0</v>
      </c>
      <c r="M92" s="3">
        <f>p_B!M92^2</f>
        <v>0</v>
      </c>
      <c r="N92" s="3">
        <f>p_B!N92^2</f>
        <v>0</v>
      </c>
      <c r="O92" s="3">
        <f>p_B!O92^2</f>
        <v>0</v>
      </c>
      <c r="P92" s="3">
        <f>p_B!P92^2</f>
        <v>0</v>
      </c>
      <c r="Q92" s="3">
        <f>p_B!Q92^2</f>
        <v>0.5490236906993915</v>
      </c>
      <c r="R92" s="3">
        <f>p_B!R92^2</f>
        <v>0</v>
      </c>
      <c r="S92" s="3">
        <f>p_B!S92^2</f>
        <v>0</v>
      </c>
      <c r="T92" s="3">
        <f>p_B!T92^2</f>
        <v>0</v>
      </c>
      <c r="U92" s="3">
        <f>p_B!U92^2</f>
        <v>0</v>
      </c>
      <c r="V92" s="3">
        <f>p_B!V92^2</f>
        <v>0</v>
      </c>
      <c r="W92" s="3">
        <f>p_B!W92^2</f>
        <v>0</v>
      </c>
      <c r="X92" s="3">
        <f>p_B!X92^2</f>
        <v>0</v>
      </c>
      <c r="Y92" s="3">
        <f>p_B!Y92^2</f>
        <v>0</v>
      </c>
      <c r="Z92" s="3">
        <f>p_B!Z92^2</f>
        <v>0</v>
      </c>
      <c r="AA92" s="3">
        <f>p_B!AA92^2</f>
        <v>0</v>
      </c>
    </row>
    <row r="93" spans="1:27" x14ac:dyDescent="0.25">
      <c r="A93" s="7" t="s">
        <v>139</v>
      </c>
      <c r="B93" s="3">
        <f>p_B!B93^2</f>
        <v>0</v>
      </c>
      <c r="C93" s="3">
        <f>p_B!C93^2</f>
        <v>0</v>
      </c>
      <c r="D93" s="3">
        <f>p_B!D93^2</f>
        <v>0</v>
      </c>
      <c r="E93" s="3">
        <f>p_B!E93^2</f>
        <v>0</v>
      </c>
      <c r="F93" s="3">
        <f>p_B!F93^2</f>
        <v>0</v>
      </c>
      <c r="G93" s="3">
        <f>p_B!G93^2</f>
        <v>9.6532723464674494E-4</v>
      </c>
      <c r="H93" s="3">
        <f>p_B!H93^2</f>
        <v>0</v>
      </c>
      <c r="I93" s="3">
        <f>p_B!I93^2</f>
        <v>0</v>
      </c>
      <c r="J93" s="3">
        <f>p_B!J93^2</f>
        <v>2.1713570076404624E-4</v>
      </c>
      <c r="K93" s="3">
        <f>p_B!K93^2</f>
        <v>0</v>
      </c>
      <c r="L93" s="3">
        <f>p_B!L93^2</f>
        <v>0</v>
      </c>
      <c r="M93" s="3">
        <f>p_B!M93^2</f>
        <v>0</v>
      </c>
      <c r="N93" s="3">
        <f>p_B!N93^2</f>
        <v>0</v>
      </c>
      <c r="O93" s="3">
        <f>p_B!O93^2</f>
        <v>0</v>
      </c>
      <c r="P93" s="3">
        <f>p_B!P93^2</f>
        <v>0</v>
      </c>
      <c r="Q93" s="3">
        <f>p_B!Q93^2</f>
        <v>0.91048763840377833</v>
      </c>
      <c r="R93" s="3">
        <f>p_B!R93^2</f>
        <v>0</v>
      </c>
      <c r="S93" s="3">
        <f>p_B!S93^2</f>
        <v>0</v>
      </c>
      <c r="T93" s="3">
        <f>p_B!T93^2</f>
        <v>0</v>
      </c>
      <c r="U93" s="3">
        <f>p_B!U93^2</f>
        <v>0</v>
      </c>
      <c r="V93" s="3">
        <f>p_B!V93^2</f>
        <v>0</v>
      </c>
      <c r="W93" s="3">
        <f>p_B!W93^2</f>
        <v>0</v>
      </c>
      <c r="X93" s="3">
        <f>p_B!X93^2</f>
        <v>0</v>
      </c>
      <c r="Y93" s="3">
        <f>p_B!Y93^2</f>
        <v>0</v>
      </c>
      <c r="Z93" s="3">
        <f>p_B!Z93^2</f>
        <v>0</v>
      </c>
      <c r="AA93" s="3">
        <f>p_B!AA93^2</f>
        <v>0</v>
      </c>
    </row>
    <row r="94" spans="1:27" x14ac:dyDescent="0.25">
      <c r="A94" s="7" t="s">
        <v>140</v>
      </c>
      <c r="B94" s="3">
        <f>p_B!B94^2</f>
        <v>0</v>
      </c>
      <c r="C94" s="3">
        <f>p_B!C94^2</f>
        <v>0</v>
      </c>
      <c r="D94" s="3">
        <f>p_B!D94^2</f>
        <v>0</v>
      </c>
      <c r="E94" s="3">
        <f>p_B!E94^2</f>
        <v>0</v>
      </c>
      <c r="F94" s="3">
        <f>p_B!F94^2</f>
        <v>0</v>
      </c>
      <c r="G94" s="3">
        <f>p_B!G94^2</f>
        <v>0</v>
      </c>
      <c r="H94" s="3">
        <f>p_B!H94^2</f>
        <v>0</v>
      </c>
      <c r="I94" s="3">
        <f>p_B!I94^2</f>
        <v>0</v>
      </c>
      <c r="J94" s="3">
        <f>p_B!J94^2</f>
        <v>1.5082303693886219E-2</v>
      </c>
      <c r="K94" s="3">
        <f>p_B!K94^2</f>
        <v>0</v>
      </c>
      <c r="L94" s="3">
        <f>p_B!L94^2</f>
        <v>0</v>
      </c>
      <c r="M94" s="3">
        <f>p_B!M94^2</f>
        <v>0</v>
      </c>
      <c r="N94" s="3">
        <f>p_B!N94^2</f>
        <v>0</v>
      </c>
      <c r="O94" s="3">
        <f>p_B!O94^2</f>
        <v>0</v>
      </c>
      <c r="P94" s="3">
        <f>p_B!P94^2</f>
        <v>0</v>
      </c>
      <c r="Q94" s="3">
        <f>p_B!Q94^2</f>
        <v>0.69597205945158103</v>
      </c>
      <c r="R94" s="3">
        <f>p_B!R94^2</f>
        <v>0</v>
      </c>
      <c r="S94" s="3">
        <f>p_B!S94^2</f>
        <v>0</v>
      </c>
      <c r="T94" s="3">
        <f>p_B!T94^2</f>
        <v>0</v>
      </c>
      <c r="U94" s="3">
        <f>p_B!U94^2</f>
        <v>8.2278911970031345E-4</v>
      </c>
      <c r="V94" s="3">
        <f>p_B!V94^2</f>
        <v>0</v>
      </c>
      <c r="W94" s="3">
        <f>p_B!W94^2</f>
        <v>0</v>
      </c>
      <c r="X94" s="3">
        <f>p_B!X94^2</f>
        <v>0</v>
      </c>
      <c r="Y94" s="3">
        <f>p_B!Y94^2</f>
        <v>0</v>
      </c>
      <c r="Z94" s="3">
        <f>p_B!Z94^2</f>
        <v>0</v>
      </c>
      <c r="AA94" s="3">
        <f>p_B!AA94^2</f>
        <v>2.0324121501722755E-4</v>
      </c>
    </row>
    <row r="95" spans="1:27" x14ac:dyDescent="0.25">
      <c r="A95" s="7" t="s">
        <v>141</v>
      </c>
      <c r="B95" s="3">
        <f>p_B!B95^2</f>
        <v>0</v>
      </c>
      <c r="C95" s="3">
        <f>p_B!C95^2</f>
        <v>0</v>
      </c>
      <c r="D95" s="3">
        <f>p_B!D95^2</f>
        <v>0</v>
      </c>
      <c r="E95" s="3">
        <f>p_B!E95^2</f>
        <v>0</v>
      </c>
      <c r="F95" s="3">
        <f>p_B!F95^2</f>
        <v>0</v>
      </c>
      <c r="G95" s="3">
        <f>p_B!G95^2</f>
        <v>3.6523456790123449E-2</v>
      </c>
      <c r="H95" s="3">
        <f>p_B!H95^2</f>
        <v>0</v>
      </c>
      <c r="I95" s="3">
        <f>p_B!I95^2</f>
        <v>0</v>
      </c>
      <c r="J95" s="3">
        <f>p_B!J95^2</f>
        <v>0</v>
      </c>
      <c r="K95" s="3">
        <f>p_B!K95^2</f>
        <v>0</v>
      </c>
      <c r="L95" s="3">
        <f>p_B!L95^2</f>
        <v>0</v>
      </c>
      <c r="M95" s="3">
        <f>p_B!M95^2</f>
        <v>0</v>
      </c>
      <c r="N95" s="3">
        <f>p_B!N95^2</f>
        <v>0</v>
      </c>
      <c r="O95" s="3">
        <f>p_B!O95^2</f>
        <v>0</v>
      </c>
      <c r="P95" s="3">
        <f>p_B!P95^2</f>
        <v>0</v>
      </c>
      <c r="Q95" s="3">
        <f>p_B!Q95^2</f>
        <v>0.65430123456790124</v>
      </c>
      <c r="R95" s="3">
        <f>p_B!R95^2</f>
        <v>0</v>
      </c>
      <c r="S95" s="3">
        <f>p_B!S95^2</f>
        <v>0</v>
      </c>
      <c r="T95" s="3">
        <f>p_B!T95^2</f>
        <v>0</v>
      </c>
      <c r="U95" s="3">
        <f>p_B!U95^2</f>
        <v>0</v>
      </c>
      <c r="V95" s="3">
        <f>p_B!V95^2</f>
        <v>0</v>
      </c>
      <c r="W95" s="3">
        <f>p_B!W95^2</f>
        <v>0</v>
      </c>
      <c r="X95" s="3">
        <f>p_B!X95^2</f>
        <v>0</v>
      </c>
      <c r="Y95" s="3">
        <f>p_B!Y95^2</f>
        <v>0</v>
      </c>
      <c r="Z95" s="3">
        <f>p_B!Z95^2</f>
        <v>0</v>
      </c>
      <c r="AA95" s="3">
        <f>p_B!AA95^2</f>
        <v>0</v>
      </c>
    </row>
    <row r="96" spans="1:27" x14ac:dyDescent="0.25">
      <c r="A96" s="7" t="s">
        <v>142</v>
      </c>
      <c r="B96" s="3">
        <f>p_B!B96^2</f>
        <v>0</v>
      </c>
      <c r="C96" s="3">
        <f>p_B!C96^2</f>
        <v>0</v>
      </c>
      <c r="D96" s="3">
        <f>p_B!D96^2</f>
        <v>0</v>
      </c>
      <c r="E96" s="3">
        <f>p_B!E96^2</f>
        <v>0</v>
      </c>
      <c r="F96" s="3">
        <f>p_B!F96^2</f>
        <v>0</v>
      </c>
      <c r="G96" s="3">
        <f>p_B!G96^2</f>
        <v>6.4502451457684419E-3</v>
      </c>
      <c r="H96" s="3">
        <f>p_B!H96^2</f>
        <v>0</v>
      </c>
      <c r="I96" s="3">
        <f>p_B!I96^2</f>
        <v>0</v>
      </c>
      <c r="J96" s="3">
        <f>p_B!J96^2</f>
        <v>5.1354092088771557E-3</v>
      </c>
      <c r="K96" s="3">
        <f>p_B!K96^2</f>
        <v>0</v>
      </c>
      <c r="L96" s="3">
        <f>p_B!L96^2</f>
        <v>0</v>
      </c>
      <c r="M96" s="3">
        <f>p_B!M96^2</f>
        <v>0</v>
      </c>
      <c r="N96" s="3">
        <f>p_B!N96^2</f>
        <v>0</v>
      </c>
      <c r="O96" s="3">
        <f>p_B!O96^2</f>
        <v>0</v>
      </c>
      <c r="P96" s="3">
        <f>p_B!P96^2</f>
        <v>0</v>
      </c>
      <c r="Q96" s="3">
        <f>p_B!Q96^2</f>
        <v>0.71914608223497645</v>
      </c>
      <c r="R96" s="3">
        <f>p_B!R96^2</f>
        <v>0</v>
      </c>
      <c r="S96" s="3">
        <f>p_B!S96^2</f>
        <v>0</v>
      </c>
      <c r="T96" s="3">
        <f>p_B!T96^2</f>
        <v>0</v>
      </c>
      <c r="U96" s="3">
        <f>p_B!U96^2</f>
        <v>0</v>
      </c>
      <c r="V96" s="3">
        <f>p_B!V96^2</f>
        <v>0</v>
      </c>
      <c r="W96" s="3">
        <f>p_B!W96^2</f>
        <v>0</v>
      </c>
      <c r="X96" s="3">
        <f>p_B!X96^2</f>
        <v>0</v>
      </c>
      <c r="Y96" s="3">
        <f>p_B!Y96^2</f>
        <v>0</v>
      </c>
      <c r="Z96" s="3">
        <f>p_B!Z96^2</f>
        <v>0</v>
      </c>
      <c r="AA96" s="3">
        <f>p_B!AA96^2</f>
        <v>0</v>
      </c>
    </row>
    <row r="97" spans="1:27" x14ac:dyDescent="0.25">
      <c r="A97" s="7" t="s">
        <v>143</v>
      </c>
      <c r="B97" s="3">
        <f>p_B!B97^2</f>
        <v>0</v>
      </c>
      <c r="C97" s="3">
        <f>p_B!C97^2</f>
        <v>0</v>
      </c>
      <c r="D97" s="3">
        <f>p_B!D97^2</f>
        <v>0</v>
      </c>
      <c r="E97" s="3">
        <f>p_B!E97^2</f>
        <v>0</v>
      </c>
      <c r="F97" s="3">
        <f>p_B!F97^2</f>
        <v>8.048683257126059E-4</v>
      </c>
      <c r="G97" s="3">
        <f>p_B!G97^2</f>
        <v>5.721006834030329E-3</v>
      </c>
      <c r="H97" s="3">
        <f>p_B!H97^2</f>
        <v>0</v>
      </c>
      <c r="I97" s="3">
        <f>p_B!I97^2</f>
        <v>0</v>
      </c>
      <c r="J97" s="3">
        <f>p_B!J97^2</f>
        <v>9.9505482626731845E-4</v>
      </c>
      <c r="K97" s="3">
        <f>p_B!K97^2</f>
        <v>0</v>
      </c>
      <c r="L97" s="3">
        <f>p_B!L97^2</f>
        <v>0</v>
      </c>
      <c r="M97" s="3">
        <f>p_B!M97^2</f>
        <v>0</v>
      </c>
      <c r="N97" s="3">
        <f>p_B!N97^2</f>
        <v>0</v>
      </c>
      <c r="O97" s="3">
        <f>p_B!O97^2</f>
        <v>0</v>
      </c>
      <c r="P97" s="3">
        <f>p_B!P97^2</f>
        <v>0</v>
      </c>
      <c r="Q97" s="3">
        <f>p_B!Q97^2</f>
        <v>0.59659189146427982</v>
      </c>
      <c r="R97" s="3">
        <f>p_B!R97^2</f>
        <v>0</v>
      </c>
      <c r="S97" s="3">
        <f>p_B!S97^2</f>
        <v>0</v>
      </c>
      <c r="T97" s="3">
        <f>p_B!T97^2</f>
        <v>0</v>
      </c>
      <c r="U97" s="3">
        <f>p_B!U97^2</f>
        <v>7.4392977835784505E-3</v>
      </c>
      <c r="V97" s="3">
        <f>p_B!V97^2</f>
        <v>0</v>
      </c>
      <c r="W97" s="3">
        <f>p_B!W97^2</f>
        <v>0</v>
      </c>
      <c r="X97" s="3">
        <f>p_B!X97^2</f>
        <v>0</v>
      </c>
      <c r="Y97" s="3">
        <f>p_B!Y97^2</f>
        <v>0</v>
      </c>
      <c r="Z97" s="3">
        <f>p_B!Z97^2</f>
        <v>0</v>
      </c>
      <c r="AA97" s="3">
        <f>p_B!AA97^2</f>
        <v>3.3674759495207166E-5</v>
      </c>
    </row>
    <row r="98" spans="1:27" x14ac:dyDescent="0.25">
      <c r="A98" s="7" t="s">
        <v>144</v>
      </c>
      <c r="B98" s="3">
        <f>p_B!B98^2</f>
        <v>0</v>
      </c>
      <c r="C98" s="3">
        <f>p_B!C98^2</f>
        <v>0</v>
      </c>
      <c r="D98" s="3">
        <f>p_B!D98^2</f>
        <v>0</v>
      </c>
      <c r="E98" s="3">
        <f>p_B!E98^2</f>
        <v>0</v>
      </c>
      <c r="F98" s="3">
        <f>p_B!F98^2</f>
        <v>0</v>
      </c>
      <c r="G98" s="3">
        <f>p_B!G98^2</f>
        <v>0</v>
      </c>
      <c r="H98" s="3">
        <f>p_B!H98^2</f>
        <v>0</v>
      </c>
      <c r="I98" s="3">
        <f>p_B!I98^2</f>
        <v>0</v>
      </c>
      <c r="J98" s="3">
        <f>p_B!J98^2</f>
        <v>2.9310274208731472E-3</v>
      </c>
      <c r="K98" s="3">
        <f>p_B!K98^2</f>
        <v>0</v>
      </c>
      <c r="L98" s="3">
        <f>p_B!L98^2</f>
        <v>0</v>
      </c>
      <c r="M98" s="3">
        <f>p_B!M98^2</f>
        <v>0</v>
      </c>
      <c r="N98" s="3">
        <f>p_B!N98^2</f>
        <v>0</v>
      </c>
      <c r="O98" s="3">
        <f>p_B!O98^2</f>
        <v>0</v>
      </c>
      <c r="P98" s="3">
        <f>p_B!P98^2</f>
        <v>0</v>
      </c>
      <c r="Q98" s="3">
        <f>p_B!Q98^2</f>
        <v>0.5868408467873758</v>
      </c>
      <c r="R98" s="3">
        <f>p_B!R98^2</f>
        <v>0</v>
      </c>
      <c r="S98" s="3">
        <f>p_B!S98^2</f>
        <v>0</v>
      </c>
      <c r="T98" s="3">
        <f>p_B!T98^2</f>
        <v>0</v>
      </c>
      <c r="U98" s="3">
        <f>p_B!U98^2</f>
        <v>3.2330073570373138E-2</v>
      </c>
      <c r="V98" s="3">
        <f>p_B!V98^2</f>
        <v>0</v>
      </c>
      <c r="W98" s="3">
        <f>p_B!W98^2</f>
        <v>0</v>
      </c>
      <c r="X98" s="3">
        <f>p_B!X98^2</f>
        <v>0</v>
      </c>
      <c r="Y98" s="3">
        <f>p_B!Y98^2</f>
        <v>0</v>
      </c>
      <c r="Z98" s="3">
        <f>p_B!Z98^2</f>
        <v>0</v>
      </c>
      <c r="AA98" s="3">
        <f>p_B!AA98^2</f>
        <v>0</v>
      </c>
    </row>
    <row r="99" spans="1:27" x14ac:dyDescent="0.25">
      <c r="A99" s="7" t="s">
        <v>145</v>
      </c>
      <c r="B99" s="3">
        <f>p_B!B99^2</f>
        <v>0</v>
      </c>
      <c r="C99" s="3">
        <f>p_B!C99^2</f>
        <v>0</v>
      </c>
      <c r="D99" s="3">
        <f>p_B!D99^2</f>
        <v>0</v>
      </c>
      <c r="E99" s="3">
        <f>p_B!E99^2</f>
        <v>0</v>
      </c>
      <c r="F99" s="3">
        <f>p_B!F99^2</f>
        <v>0</v>
      </c>
      <c r="G99" s="3">
        <f>p_B!G99^2</f>
        <v>8.7689500006064933E-3</v>
      </c>
      <c r="H99" s="3">
        <f>p_B!H99^2</f>
        <v>0</v>
      </c>
      <c r="I99" s="3">
        <f>p_B!I99^2</f>
        <v>0</v>
      </c>
      <c r="J99" s="3">
        <f>p_B!J99^2</f>
        <v>1.0991499867138987E-3</v>
      </c>
      <c r="K99" s="3">
        <f>p_B!K99^2</f>
        <v>0</v>
      </c>
      <c r="L99" s="3">
        <f>p_B!L99^2</f>
        <v>0</v>
      </c>
      <c r="M99" s="3">
        <f>p_B!M99^2</f>
        <v>0</v>
      </c>
      <c r="N99" s="3">
        <f>p_B!N99^2</f>
        <v>0</v>
      </c>
      <c r="O99" s="3">
        <f>p_B!O99^2</f>
        <v>0</v>
      </c>
      <c r="P99" s="3">
        <f>p_B!P99^2</f>
        <v>0</v>
      </c>
      <c r="Q99" s="3">
        <f>p_B!Q99^2</f>
        <v>0.73687549334051805</v>
      </c>
      <c r="R99" s="3">
        <f>p_B!R99^2</f>
        <v>0</v>
      </c>
      <c r="S99" s="3">
        <f>p_B!S99^2</f>
        <v>0</v>
      </c>
      <c r="T99" s="3">
        <f>p_B!T99^2</f>
        <v>0</v>
      </c>
      <c r="U99" s="3">
        <f>p_B!U99^2</f>
        <v>2.1872558567950272E-4</v>
      </c>
      <c r="V99" s="3">
        <f>p_B!V99^2</f>
        <v>0</v>
      </c>
      <c r="W99" s="3">
        <f>p_B!W99^2</f>
        <v>0</v>
      </c>
      <c r="X99" s="3">
        <f>p_B!X99^2</f>
        <v>0</v>
      </c>
      <c r="Y99" s="3">
        <f>p_B!Y99^2</f>
        <v>0</v>
      </c>
      <c r="Z99" s="3">
        <f>p_B!Z99^2</f>
        <v>0</v>
      </c>
      <c r="AA99" s="3">
        <f>p_B!AA99^2</f>
        <v>0</v>
      </c>
    </row>
    <row r="100" spans="1:27" x14ac:dyDescent="0.25">
      <c r="A100" s="7" t="s">
        <v>146</v>
      </c>
      <c r="B100" s="3">
        <f>p_B!B100^2</f>
        <v>4.3079078886581574E-8</v>
      </c>
      <c r="C100" s="3">
        <f>p_B!C100^2</f>
        <v>0</v>
      </c>
      <c r="D100" s="3">
        <f>p_B!D100^2</f>
        <v>0</v>
      </c>
      <c r="E100" s="3">
        <f>p_B!E100^2</f>
        <v>0</v>
      </c>
      <c r="F100" s="3">
        <f>p_B!F100^2</f>
        <v>0</v>
      </c>
      <c r="G100" s="3">
        <f>p_B!G100^2</f>
        <v>0</v>
      </c>
      <c r="H100" s="3">
        <f>p_B!H100^2</f>
        <v>0</v>
      </c>
      <c r="I100" s="3">
        <f>p_B!I100^2</f>
        <v>0</v>
      </c>
      <c r="J100" s="3">
        <f>p_B!J100^2</f>
        <v>2.2146480585723837E-2</v>
      </c>
      <c r="K100" s="3">
        <f>p_B!K100^2</f>
        <v>0</v>
      </c>
      <c r="L100" s="3">
        <f>p_B!L100^2</f>
        <v>0</v>
      </c>
      <c r="M100" s="3">
        <f>p_B!M100^2</f>
        <v>0</v>
      </c>
      <c r="N100" s="3">
        <f>p_B!N100^2</f>
        <v>0</v>
      </c>
      <c r="O100" s="3">
        <f>p_B!O100^2</f>
        <v>4.3079078886581574E-8</v>
      </c>
      <c r="P100" s="3">
        <f>p_B!P100^2</f>
        <v>0</v>
      </c>
      <c r="Q100" s="3">
        <f>p_B!Q100^2</f>
        <v>0.58752320454584239</v>
      </c>
      <c r="R100" s="3">
        <f>p_B!R100^2</f>
        <v>0</v>
      </c>
      <c r="S100" s="3">
        <f>p_B!S100^2</f>
        <v>0</v>
      </c>
      <c r="T100" s="3">
        <f>p_B!T100^2</f>
        <v>0</v>
      </c>
      <c r="U100" s="3">
        <f>p_B!U100^2</f>
        <v>7.1009830473485573E-3</v>
      </c>
      <c r="V100" s="3">
        <f>p_B!V100^2</f>
        <v>0</v>
      </c>
      <c r="W100" s="3">
        <f>p_B!W100^2</f>
        <v>0</v>
      </c>
      <c r="X100" s="3">
        <f>p_B!X100^2</f>
        <v>0</v>
      </c>
      <c r="Y100" s="3">
        <f>p_B!Y100^2</f>
        <v>0</v>
      </c>
      <c r="Z100" s="3">
        <f>p_B!Z100^2</f>
        <v>0</v>
      </c>
      <c r="AA100" s="3">
        <f>p_B!AA100^2</f>
        <v>0</v>
      </c>
    </row>
    <row r="101" spans="1:27" x14ac:dyDescent="0.25">
      <c r="B101" s="3">
        <f>p_B!B101^2</f>
        <v>0.26603750651702623</v>
      </c>
      <c r="C101" s="3">
        <f>p_B!C101^2</f>
        <v>0.21607928562106979</v>
      </c>
      <c r="D101" s="3">
        <f>p_B!D101^2</f>
        <v>0</v>
      </c>
      <c r="E101" s="3">
        <f>p_B!E101^2</f>
        <v>0</v>
      </c>
      <c r="F101" s="3">
        <f>p_B!F101^2</f>
        <v>0</v>
      </c>
      <c r="G101" s="3">
        <f>p_B!G101^2</f>
        <v>0</v>
      </c>
      <c r="H101" s="3">
        <f>p_B!H101^2</f>
        <v>0</v>
      </c>
      <c r="I101" s="3">
        <f>p_B!I101^2</f>
        <v>0</v>
      </c>
      <c r="J101" s="3">
        <f>p_B!J101^2</f>
        <v>1.0670582005978753E-4</v>
      </c>
      <c r="K101" s="3">
        <f>p_B!K101^2</f>
        <v>0</v>
      </c>
      <c r="L101" s="3">
        <f>p_B!L101^2</f>
        <v>0</v>
      </c>
      <c r="M101" s="3">
        <f>p_B!M101^2</f>
        <v>0</v>
      </c>
      <c r="N101" s="3">
        <f>p_B!N101^2</f>
        <v>0</v>
      </c>
      <c r="O101" s="3">
        <f>p_B!O101^2</f>
        <v>0</v>
      </c>
      <c r="P101" s="3">
        <f>p_B!P101^2</f>
        <v>0</v>
      </c>
      <c r="Q101" s="3">
        <f>p_B!Q101^2</f>
        <v>8.1696643483274747E-5</v>
      </c>
      <c r="R101" s="3">
        <f>p_B!R101^2</f>
        <v>0</v>
      </c>
      <c r="S101" s="3">
        <f>p_B!S101^2</f>
        <v>0</v>
      </c>
      <c r="T101" s="3">
        <f>p_B!T101^2</f>
        <v>0</v>
      </c>
      <c r="U101" s="3">
        <f>p_B!U101^2</f>
        <v>0</v>
      </c>
      <c r="V101" s="3">
        <f>p_B!V101^2</f>
        <v>0</v>
      </c>
      <c r="W101" s="3">
        <f>p_B!W101^2</f>
        <v>0</v>
      </c>
      <c r="X101" s="3">
        <f>p_B!X101^2</f>
        <v>0</v>
      </c>
      <c r="Y101" s="3">
        <f>p_B!Y101^2</f>
        <v>0</v>
      </c>
      <c r="Z101" s="3">
        <f>p_B!Z101^2</f>
        <v>0</v>
      </c>
      <c r="AA101" s="3">
        <f>p_B!AA101^2</f>
        <v>0</v>
      </c>
    </row>
    <row r="102" spans="1:27" x14ac:dyDescent="0.25">
      <c r="B102" s="3">
        <f>p_B!B102^2</f>
        <v>0.40230383150188426</v>
      </c>
      <c r="C102" s="3">
        <f>p_B!C102^2</f>
        <v>5.0578157532001095E-2</v>
      </c>
      <c r="D102" s="3">
        <f>p_B!D102^2</f>
        <v>5.3534096187066078E-6</v>
      </c>
      <c r="E102" s="3">
        <f>p_B!E102^2</f>
        <v>0</v>
      </c>
      <c r="F102" s="3">
        <f>p_B!F102^2</f>
        <v>0</v>
      </c>
      <c r="G102" s="3">
        <f>p_B!G102^2</f>
        <v>0</v>
      </c>
      <c r="H102" s="3">
        <f>p_B!H102^2</f>
        <v>0</v>
      </c>
      <c r="I102" s="3">
        <f>p_B!I102^2</f>
        <v>0</v>
      </c>
      <c r="J102" s="3">
        <f>p_B!J102^2</f>
        <v>0</v>
      </c>
      <c r="K102" s="3">
        <f>p_B!K102^2</f>
        <v>0</v>
      </c>
      <c r="L102" s="3">
        <f>p_B!L102^2</f>
        <v>0</v>
      </c>
      <c r="M102" s="3">
        <f>p_B!M102^2</f>
        <v>0</v>
      </c>
      <c r="N102" s="3">
        <f>p_B!N102^2</f>
        <v>0</v>
      </c>
      <c r="O102" s="3">
        <f>p_B!O102^2</f>
        <v>0</v>
      </c>
      <c r="P102" s="3">
        <f>p_B!P102^2</f>
        <v>0</v>
      </c>
      <c r="Q102" s="3">
        <f>p_B!Q102^2</f>
        <v>1.8719541032445264E-2</v>
      </c>
      <c r="R102" s="3">
        <f>p_B!R102^2</f>
        <v>0</v>
      </c>
      <c r="S102" s="3">
        <f>p_B!S102^2</f>
        <v>0</v>
      </c>
      <c r="T102" s="3">
        <f>p_B!T102^2</f>
        <v>0</v>
      </c>
      <c r="U102" s="3">
        <f>p_B!U102^2</f>
        <v>0</v>
      </c>
      <c r="V102" s="3">
        <f>p_B!V102^2</f>
        <v>0</v>
      </c>
      <c r="W102" s="3">
        <f>p_B!W102^2</f>
        <v>0</v>
      </c>
      <c r="X102" s="3">
        <f>p_B!X102^2</f>
        <v>0</v>
      </c>
      <c r="Y102" s="3">
        <f>p_B!Y102^2</f>
        <v>0</v>
      </c>
      <c r="Z102" s="3">
        <f>p_B!Z102^2</f>
        <v>0</v>
      </c>
      <c r="AA102" s="3">
        <f>p_B!AA102^2</f>
        <v>0</v>
      </c>
    </row>
    <row r="103" spans="1:27" x14ac:dyDescent="0.25">
      <c r="B103" s="3">
        <f>p_B!B103^2</f>
        <v>0.57745054231088877</v>
      </c>
      <c r="C103" s="3">
        <f>p_B!C103^2</f>
        <v>0</v>
      </c>
      <c r="D103" s="3">
        <f>p_B!D103^2</f>
        <v>6.7149541506661184E-5</v>
      </c>
      <c r="E103" s="3">
        <f>p_B!E103^2</f>
        <v>0</v>
      </c>
      <c r="F103" s="3">
        <f>p_B!F103^2</f>
        <v>0</v>
      </c>
      <c r="G103" s="3">
        <f>p_B!G103^2</f>
        <v>0</v>
      </c>
      <c r="H103" s="3">
        <f>p_B!H103^2</f>
        <v>0</v>
      </c>
      <c r="I103" s="3">
        <f>p_B!I103^2</f>
        <v>0</v>
      </c>
      <c r="J103" s="3">
        <f>p_B!J103^2</f>
        <v>0</v>
      </c>
      <c r="K103" s="3">
        <f>p_B!K103^2</f>
        <v>6.4994124124965956E-6</v>
      </c>
      <c r="L103" s="3">
        <f>p_B!L103^2</f>
        <v>0</v>
      </c>
      <c r="M103" s="3">
        <f>p_B!M103^2</f>
        <v>0</v>
      </c>
      <c r="N103" s="3">
        <f>p_B!N103^2</f>
        <v>0</v>
      </c>
      <c r="O103" s="3">
        <f>p_B!O103^2</f>
        <v>3.3160267410696617E-6</v>
      </c>
      <c r="P103" s="3">
        <f>p_B!P103^2</f>
        <v>0</v>
      </c>
      <c r="Q103" s="3">
        <f>p_B!Q103^2</f>
        <v>1.5696213617248888E-2</v>
      </c>
      <c r="R103" s="3">
        <f>p_B!R103^2</f>
        <v>0</v>
      </c>
      <c r="S103" s="3">
        <f>p_B!S103^2</f>
        <v>0</v>
      </c>
      <c r="T103" s="3">
        <f>p_B!T103^2</f>
        <v>0</v>
      </c>
      <c r="U103" s="3">
        <f>p_B!U103^2</f>
        <v>0</v>
      </c>
      <c r="V103" s="3">
        <f>p_B!V103^2</f>
        <v>0</v>
      </c>
      <c r="W103" s="3">
        <f>p_B!W103^2</f>
        <v>0</v>
      </c>
      <c r="X103" s="3">
        <f>p_B!X103^2</f>
        <v>0</v>
      </c>
      <c r="Y103" s="3">
        <f>p_B!Y103^2</f>
        <v>0</v>
      </c>
      <c r="Z103" s="3">
        <f>p_B!Z103^2</f>
        <v>0</v>
      </c>
      <c r="AA103" s="3">
        <f>p_B!AA103^2</f>
        <v>0</v>
      </c>
    </row>
    <row r="104" spans="1:27" x14ac:dyDescent="0.25">
      <c r="B104" s="3">
        <f>p_B!B104^2</f>
        <v>1.1880245686713526E-2</v>
      </c>
      <c r="C104" s="3">
        <f>p_B!C104^2</f>
        <v>0</v>
      </c>
      <c r="D104" s="3">
        <f>p_B!D104^2</f>
        <v>2.9932591803259115E-6</v>
      </c>
      <c r="E104" s="3">
        <f>p_B!E104^2</f>
        <v>2.424539936064E-6</v>
      </c>
      <c r="F104" s="3">
        <f>p_B!F104^2</f>
        <v>0</v>
      </c>
      <c r="G104" s="3">
        <f>p_B!G104^2</f>
        <v>0</v>
      </c>
      <c r="H104" s="3">
        <f>p_B!H104^2</f>
        <v>1.6837082889333101E-6</v>
      </c>
      <c r="I104" s="3">
        <f>p_B!I104^2</f>
        <v>7.4831479508147794E-9</v>
      </c>
      <c r="J104" s="3">
        <f>p_B!J104^2</f>
        <v>0</v>
      </c>
      <c r="K104" s="3">
        <f>p_B!K104^2</f>
        <v>1.3389521796913356E-3</v>
      </c>
      <c r="L104" s="3">
        <f>p_B!L104^2</f>
        <v>1.4666969983596874E-6</v>
      </c>
      <c r="M104" s="3">
        <f>p_B!M104^2</f>
        <v>4.6702326361034959E-5</v>
      </c>
      <c r="N104" s="3">
        <f>p_B!N104^2</f>
        <v>0</v>
      </c>
      <c r="O104" s="3">
        <f>p_B!O104^2</f>
        <v>0</v>
      </c>
      <c r="P104" s="3">
        <f>p_B!P104^2</f>
        <v>0</v>
      </c>
      <c r="Q104" s="3">
        <f>p_B!Q104^2</f>
        <v>0.51055722512900936</v>
      </c>
      <c r="R104" s="3">
        <f>p_B!R104^2</f>
        <v>0</v>
      </c>
      <c r="S104" s="3">
        <f>p_B!S104^2</f>
        <v>0</v>
      </c>
      <c r="T104" s="3">
        <f>p_B!T104^2</f>
        <v>0</v>
      </c>
      <c r="U104" s="3">
        <f>p_B!U104^2</f>
        <v>0</v>
      </c>
      <c r="V104" s="3">
        <f>p_B!V104^2</f>
        <v>0</v>
      </c>
      <c r="W104" s="3">
        <f>p_B!W104^2</f>
        <v>0</v>
      </c>
      <c r="X104" s="3">
        <f>p_B!X104^2</f>
        <v>0</v>
      </c>
      <c r="Y104" s="3">
        <f>p_B!Y104^2</f>
        <v>0</v>
      </c>
      <c r="Z104" s="3">
        <f>p_B!Z104^2</f>
        <v>0</v>
      </c>
      <c r="AA104" s="3">
        <f>p_B!AA104^2</f>
        <v>0</v>
      </c>
    </row>
    <row r="105" spans="1:27" x14ac:dyDescent="0.25">
      <c r="B105" s="3">
        <f>p_B!B105^2</f>
        <v>0.46311751951252605</v>
      </c>
      <c r="C105" s="3">
        <f>p_B!C105^2</f>
        <v>0</v>
      </c>
      <c r="D105" s="3">
        <f>p_B!D105^2</f>
        <v>1.9024970273483929E-4</v>
      </c>
      <c r="E105" s="3">
        <f>p_B!E105^2</f>
        <v>3.7029570168978334E-7</v>
      </c>
      <c r="F105" s="3">
        <f>p_B!F105^2</f>
        <v>0</v>
      </c>
      <c r="G105" s="3">
        <f>p_B!G105^2</f>
        <v>0</v>
      </c>
      <c r="H105" s="3">
        <f>p_B!H105^2</f>
        <v>3.7029570168978438E-5</v>
      </c>
      <c r="I105" s="3">
        <f>p_B!I105^2</f>
        <v>6.5830346967072589E-7</v>
      </c>
      <c r="J105" s="3">
        <f>p_B!J105^2</f>
        <v>0</v>
      </c>
      <c r="K105" s="3">
        <f>p_B!K105^2</f>
        <v>4.1970960588194123E-4</v>
      </c>
      <c r="L105" s="3">
        <f>p_B!L105^2</f>
        <v>0</v>
      </c>
      <c r="M105" s="3">
        <f>p_B!M105^2</f>
        <v>0</v>
      </c>
      <c r="N105" s="3">
        <f>p_B!N105^2</f>
        <v>0</v>
      </c>
      <c r="O105" s="3">
        <f>p_B!O105^2</f>
        <v>1.6457586741768149E-5</v>
      </c>
      <c r="P105" s="3">
        <f>p_B!P105^2</f>
        <v>0</v>
      </c>
      <c r="Q105" s="3">
        <f>p_B!Q105^2</f>
        <v>7.1147176083834932E-2</v>
      </c>
      <c r="R105" s="3">
        <f>p_B!R105^2</f>
        <v>0</v>
      </c>
      <c r="S105" s="3">
        <f>p_B!S105^2</f>
        <v>0</v>
      </c>
      <c r="T105" s="3">
        <f>p_B!T105^2</f>
        <v>0</v>
      </c>
      <c r="U105" s="3">
        <f>p_B!U105^2</f>
        <v>0</v>
      </c>
      <c r="V105" s="3">
        <f>p_B!V105^2</f>
        <v>0</v>
      </c>
      <c r="W105" s="3">
        <f>p_B!W105^2</f>
        <v>0</v>
      </c>
      <c r="X105" s="3">
        <f>p_B!X105^2</f>
        <v>0</v>
      </c>
      <c r="Y105" s="3">
        <f>p_B!Y105^2</f>
        <v>0</v>
      </c>
      <c r="Z105" s="3">
        <f>p_B!Z105^2</f>
        <v>0</v>
      </c>
      <c r="AA105" s="3">
        <f>p_B!AA105^2</f>
        <v>0</v>
      </c>
    </row>
    <row r="106" spans="1:27" x14ac:dyDescent="0.25">
      <c r="B106" s="3">
        <f>p_B!B106^2</f>
        <v>4.7366224755578524E-7</v>
      </c>
      <c r="C106" s="3">
        <f>p_B!C106^2</f>
        <v>1.3372201004784984E-3</v>
      </c>
      <c r="D106" s="3">
        <f>p_B!D106^2</f>
        <v>0</v>
      </c>
      <c r="E106" s="3">
        <f>p_B!E106^2</f>
        <v>0</v>
      </c>
      <c r="F106" s="3">
        <f>p_B!F106^2</f>
        <v>0</v>
      </c>
      <c r="G106" s="3">
        <f>p_B!G106^2</f>
        <v>0</v>
      </c>
      <c r="H106" s="3">
        <f>p_B!H106^2</f>
        <v>7.841531137424632E-5</v>
      </c>
      <c r="I106" s="3">
        <f>p_B!I106^2</f>
        <v>0</v>
      </c>
      <c r="J106" s="3">
        <f>p_B!J106^2</f>
        <v>6.0125633121958917E-5</v>
      </c>
      <c r="K106" s="3">
        <f>p_B!K106^2</f>
        <v>0</v>
      </c>
      <c r="L106" s="3">
        <f>p_B!L106^2</f>
        <v>0</v>
      </c>
      <c r="M106" s="3">
        <f>p_B!M106^2</f>
        <v>0</v>
      </c>
      <c r="N106" s="3">
        <f>p_B!N106^2</f>
        <v>0</v>
      </c>
      <c r="O106" s="3">
        <f>p_B!O106^2</f>
        <v>1.860124275290182E-3</v>
      </c>
      <c r="P106" s="3">
        <f>p_B!P106^2</f>
        <v>0</v>
      </c>
      <c r="Q106" s="3">
        <f>p_B!Q106^2</f>
        <v>0.77451305757875122</v>
      </c>
      <c r="R106" s="3">
        <f>p_B!R106^2</f>
        <v>0</v>
      </c>
      <c r="S106" s="3">
        <f>p_B!S106^2</f>
        <v>0</v>
      </c>
      <c r="T106" s="3">
        <f>p_B!T106^2</f>
        <v>0</v>
      </c>
      <c r="U106" s="3">
        <f>p_B!U106^2</f>
        <v>0</v>
      </c>
      <c r="V106" s="3">
        <f>p_B!V106^2</f>
        <v>0</v>
      </c>
      <c r="W106" s="3">
        <f>p_B!W106^2</f>
        <v>0</v>
      </c>
      <c r="X106" s="3">
        <f>p_B!X106^2</f>
        <v>0</v>
      </c>
      <c r="Y106" s="3">
        <f>p_B!Y106^2</f>
        <v>0</v>
      </c>
      <c r="Z106" s="3">
        <f>p_B!Z106^2</f>
        <v>0</v>
      </c>
      <c r="AA106" s="3">
        <f>p_B!AA106^2</f>
        <v>0</v>
      </c>
    </row>
    <row r="107" spans="1:27" x14ac:dyDescent="0.25">
      <c r="B107" s="3">
        <f>p_B!B107^2</f>
        <v>1.4728627734244874E-7</v>
      </c>
      <c r="C107" s="3">
        <f>p_B!C107^2</f>
        <v>6.9447116281157694E-4</v>
      </c>
      <c r="D107" s="3">
        <f>p_B!D107^2</f>
        <v>7.5647868557274847E-6</v>
      </c>
      <c r="E107" s="3">
        <f>p_B!E107^2</f>
        <v>4.4554098896090882E-6</v>
      </c>
      <c r="F107" s="3">
        <f>p_B!F107^2</f>
        <v>0</v>
      </c>
      <c r="G107" s="3">
        <f>p_B!G107^2</f>
        <v>0</v>
      </c>
      <c r="H107" s="3">
        <f>p_B!H107^2</f>
        <v>5.0408728420453393E-5</v>
      </c>
      <c r="I107" s="3">
        <f>p_B!I107^2</f>
        <v>0</v>
      </c>
      <c r="J107" s="3">
        <f>p_B!J107^2</f>
        <v>4.4592393328200027E-3</v>
      </c>
      <c r="K107" s="3">
        <f>p_B!K107^2</f>
        <v>0</v>
      </c>
      <c r="L107" s="3">
        <f>p_B!L107^2</f>
        <v>0</v>
      </c>
      <c r="M107" s="3">
        <f>p_B!M107^2</f>
        <v>0</v>
      </c>
      <c r="N107" s="3">
        <f>p_B!N107^2</f>
        <v>0</v>
      </c>
      <c r="O107" s="3">
        <f>p_B!O107^2</f>
        <v>0.2614496547110523</v>
      </c>
      <c r="P107" s="3">
        <f>p_B!P107^2</f>
        <v>0</v>
      </c>
      <c r="Q107" s="3">
        <f>p_B!Q107^2</f>
        <v>0.11767260793870746</v>
      </c>
      <c r="R107" s="3">
        <f>p_B!R107^2</f>
        <v>0</v>
      </c>
      <c r="S107" s="3">
        <f>p_B!S107^2</f>
        <v>0</v>
      </c>
      <c r="T107" s="3">
        <f>p_B!T107^2</f>
        <v>0</v>
      </c>
      <c r="U107" s="3">
        <f>p_B!U107^2</f>
        <v>0</v>
      </c>
      <c r="V107" s="3">
        <f>p_B!V107^2</f>
        <v>0</v>
      </c>
      <c r="W107" s="3">
        <f>p_B!W107^2</f>
        <v>0</v>
      </c>
      <c r="X107" s="3">
        <f>p_B!X107^2</f>
        <v>0</v>
      </c>
      <c r="Y107" s="3">
        <f>p_B!Y107^2</f>
        <v>6.5460567707754748E-8</v>
      </c>
      <c r="Z107" s="3">
        <f>p_B!Z107^2</f>
        <v>0</v>
      </c>
      <c r="AA107" s="3">
        <f>p_B!AA107^2</f>
        <v>0</v>
      </c>
    </row>
    <row r="108" spans="1:27" x14ac:dyDescent="0.25">
      <c r="B108" s="3">
        <f>p_B!B108^2</f>
        <v>1.6918943911399728E-8</v>
      </c>
      <c r="C108" s="3">
        <f>p_B!C108^2</f>
        <v>4.1526607889202883E-6</v>
      </c>
      <c r="D108" s="3">
        <f>p_B!D108^2</f>
        <v>0</v>
      </c>
      <c r="E108" s="3">
        <f>p_B!E108^2</f>
        <v>1.2031249003662181E-5</v>
      </c>
      <c r="F108" s="3">
        <f>p_B!F108^2</f>
        <v>0</v>
      </c>
      <c r="G108" s="3">
        <f>p_B!G108^2</f>
        <v>0</v>
      </c>
      <c r="H108" s="3">
        <f>p_B!H108^2</f>
        <v>0</v>
      </c>
      <c r="I108" s="3">
        <f>p_B!I108^2</f>
        <v>0</v>
      </c>
      <c r="J108" s="3">
        <f>p_B!J108^2</f>
        <v>4.6997066420555419E-6</v>
      </c>
      <c r="K108" s="3">
        <f>p_B!K108^2</f>
        <v>0</v>
      </c>
      <c r="L108" s="3">
        <f>p_B!L108^2</f>
        <v>0</v>
      </c>
      <c r="M108" s="3">
        <f>p_B!M108^2</f>
        <v>0</v>
      </c>
      <c r="N108" s="3">
        <f>p_B!N108^2</f>
        <v>0</v>
      </c>
      <c r="O108" s="3">
        <f>p_B!O108^2</f>
        <v>1.0792060434407488E-2</v>
      </c>
      <c r="P108" s="3">
        <f>p_B!P108^2</f>
        <v>0</v>
      </c>
      <c r="Q108" s="3">
        <f>p_B!Q108^2</f>
        <v>0.77536790544316525</v>
      </c>
      <c r="R108" s="3">
        <f>p_B!R108^2</f>
        <v>0</v>
      </c>
      <c r="S108" s="3">
        <f>p_B!S108^2</f>
        <v>0</v>
      </c>
      <c r="T108" s="3">
        <f>p_B!T108^2</f>
        <v>0</v>
      </c>
      <c r="U108" s="3">
        <f>p_B!U108^2</f>
        <v>0</v>
      </c>
      <c r="V108" s="3">
        <f>p_B!V108^2</f>
        <v>0</v>
      </c>
      <c r="W108" s="3">
        <f>p_B!W108^2</f>
        <v>0</v>
      </c>
      <c r="X108" s="3">
        <f>p_B!X108^2</f>
        <v>0</v>
      </c>
      <c r="Y108" s="3">
        <f>p_B!Y108^2</f>
        <v>7.4612542649273742E-6</v>
      </c>
      <c r="Z108" s="3">
        <f>p_B!Z108^2</f>
        <v>0</v>
      </c>
      <c r="AA108" s="3">
        <f>p_B!AA108^2</f>
        <v>0</v>
      </c>
    </row>
    <row r="109" spans="1:27" x14ac:dyDescent="0.25">
      <c r="B109" s="3">
        <f>p_B!B109^2</f>
        <v>1.0017797013971484E-3</v>
      </c>
      <c r="C109" s="3">
        <f>p_B!C109^2</f>
        <v>0</v>
      </c>
      <c r="D109" s="3">
        <f>p_B!D109^2</f>
        <v>0</v>
      </c>
      <c r="E109" s="3">
        <f>p_B!E109^2</f>
        <v>0</v>
      </c>
      <c r="F109" s="3">
        <f>p_B!F109^2</f>
        <v>0</v>
      </c>
      <c r="G109" s="3">
        <f>p_B!G109^2</f>
        <v>0</v>
      </c>
      <c r="H109" s="3">
        <f>p_B!H109^2</f>
        <v>0</v>
      </c>
      <c r="I109" s="3">
        <f>p_B!I109^2</f>
        <v>0</v>
      </c>
      <c r="J109" s="3">
        <f>p_B!J109^2</f>
        <v>5.3349214867303746E-5</v>
      </c>
      <c r="K109" s="3">
        <f>p_B!K109^2</f>
        <v>0</v>
      </c>
      <c r="L109" s="3">
        <f>p_B!L109^2</f>
        <v>0</v>
      </c>
      <c r="M109" s="3">
        <f>p_B!M109^2</f>
        <v>0</v>
      </c>
      <c r="N109" s="3">
        <f>p_B!N109^2</f>
        <v>0</v>
      </c>
      <c r="O109" s="3">
        <f>p_B!O109^2</f>
        <v>8.7687729893665728E-9</v>
      </c>
      <c r="P109" s="3">
        <f>p_B!P109^2</f>
        <v>0</v>
      </c>
      <c r="Q109" s="3">
        <f>p_B!Q109^2</f>
        <v>0.90605297964616083</v>
      </c>
      <c r="R109" s="3">
        <f>p_B!R109^2</f>
        <v>0</v>
      </c>
      <c r="S109" s="3">
        <f>p_B!S109^2</f>
        <v>0</v>
      </c>
      <c r="T109" s="3">
        <f>p_B!T109^2</f>
        <v>0</v>
      </c>
      <c r="U109" s="3">
        <f>p_B!U109^2</f>
        <v>0</v>
      </c>
      <c r="V109" s="3">
        <f>p_B!V109^2</f>
        <v>0</v>
      </c>
      <c r="W109" s="3">
        <f>p_B!W109^2</f>
        <v>0</v>
      </c>
      <c r="X109" s="3">
        <f>p_B!X109^2</f>
        <v>0</v>
      </c>
      <c r="Y109" s="3">
        <f>p_B!Y109^2</f>
        <v>1.3337303716825921E-5</v>
      </c>
      <c r="Z109" s="3">
        <f>p_B!Z109^2</f>
        <v>2.8410824485546436E-6</v>
      </c>
      <c r="AA109" s="3">
        <f>p_B!AA109^2</f>
        <v>0</v>
      </c>
    </row>
    <row r="110" spans="1:27" x14ac:dyDescent="0.25">
      <c r="B110" s="3">
        <f>p_B!B110^2</f>
        <v>3.9965539523460068E-2</v>
      </c>
      <c r="C110" s="3">
        <f>p_B!C110^2</f>
        <v>0</v>
      </c>
      <c r="D110" s="3">
        <f>p_B!D110^2</f>
        <v>1.160191652523148E-6</v>
      </c>
      <c r="E110" s="3">
        <f>p_B!E110^2</f>
        <v>8.9845241571393224E-5</v>
      </c>
      <c r="F110" s="3">
        <f>p_B!F110^2</f>
        <v>0</v>
      </c>
      <c r="G110" s="3">
        <f>p_B!G110^2</f>
        <v>0</v>
      </c>
      <c r="H110" s="3">
        <f>p_B!H110^2</f>
        <v>4.4843217268997954E-2</v>
      </c>
      <c r="I110" s="3">
        <f>p_B!I110^2</f>
        <v>0</v>
      </c>
      <c r="J110" s="3">
        <f>p_B!J110^2</f>
        <v>5.0194531654761858E-4</v>
      </c>
      <c r="K110" s="3">
        <f>p_B!K110^2</f>
        <v>4.6407666100926345E-8</v>
      </c>
      <c r="L110" s="3">
        <f>p_B!L110^2</f>
        <v>0</v>
      </c>
      <c r="M110" s="3">
        <f>p_B!M110^2</f>
        <v>0</v>
      </c>
      <c r="N110" s="3">
        <f>p_B!N110^2</f>
        <v>1.6753167462434372E-5</v>
      </c>
      <c r="O110" s="3">
        <f>p_B!O110^2</f>
        <v>0.22176348759922179</v>
      </c>
      <c r="P110" s="3">
        <f>p_B!P110^2</f>
        <v>0</v>
      </c>
      <c r="Q110" s="3">
        <f>p_B!Q110^2</f>
        <v>2.8234424055803553E-4</v>
      </c>
      <c r="R110" s="3">
        <f>p_B!R110^2</f>
        <v>0</v>
      </c>
      <c r="S110" s="3">
        <f>p_B!S110^2</f>
        <v>0</v>
      </c>
      <c r="T110" s="3">
        <f>p_B!T110^2</f>
        <v>0</v>
      </c>
      <c r="U110" s="3">
        <f>p_B!U110^2</f>
        <v>0</v>
      </c>
      <c r="V110" s="3">
        <f>p_B!V110^2</f>
        <v>3.2589783519375495E-5</v>
      </c>
      <c r="W110" s="3">
        <f>p_B!W110^2</f>
        <v>0</v>
      </c>
      <c r="X110" s="3">
        <f>p_B!X110^2</f>
        <v>0</v>
      </c>
      <c r="Y110" s="3">
        <f>p_B!Y110^2</f>
        <v>0</v>
      </c>
      <c r="Z110" s="3">
        <f>p_B!Z110^2</f>
        <v>0</v>
      </c>
      <c r="AA110" s="3">
        <f>p_B!AA110^2</f>
        <v>0</v>
      </c>
    </row>
    <row r="111" spans="1:27" x14ac:dyDescent="0.25">
      <c r="B111" s="3">
        <f>p_B!B111^2</f>
        <v>0.10721445078272709</v>
      </c>
      <c r="C111" s="3">
        <f>p_B!C111^2</f>
        <v>3.3581887809854748E-4</v>
      </c>
      <c r="D111" s="3">
        <f>p_B!D111^2</f>
        <v>3.3208622888587043E-9</v>
      </c>
      <c r="E111" s="3">
        <f>p_B!E111^2</f>
        <v>4.7953251451119893E-6</v>
      </c>
      <c r="F111" s="3">
        <f>p_B!F111^2</f>
        <v>0</v>
      </c>
      <c r="G111" s="3">
        <f>p_B!G111^2</f>
        <v>5.3133796621741717E-8</v>
      </c>
      <c r="H111" s="3">
        <f>p_B!H111^2</f>
        <v>6.7150625005045657E-3</v>
      </c>
      <c r="I111" s="3">
        <f>p_B!I111^2</f>
        <v>4.7820416959566132E-7</v>
      </c>
      <c r="J111" s="3">
        <f>p_B!J111^2</f>
        <v>9.6836344343120132E-6</v>
      </c>
      <c r="K111" s="3">
        <f>p_B!K111^2</f>
        <v>1.9128166783826165E-6</v>
      </c>
      <c r="L111" s="3">
        <f>p_B!L111^2</f>
        <v>0</v>
      </c>
      <c r="M111" s="3">
        <f>p_B!M111^2</f>
        <v>2.9887760599728124E-6</v>
      </c>
      <c r="N111" s="3">
        <f>p_B!N111^2</f>
        <v>0</v>
      </c>
      <c r="O111" s="3">
        <f>p_B!O111^2</f>
        <v>0.13180502424480195</v>
      </c>
      <c r="P111" s="3">
        <f>p_B!P111^2</f>
        <v>0</v>
      </c>
      <c r="Q111" s="3">
        <f>p_B!Q111^2</f>
        <v>4.942771430737286E-5</v>
      </c>
      <c r="R111" s="3">
        <f>p_B!R111^2</f>
        <v>0</v>
      </c>
      <c r="S111" s="3">
        <f>p_B!S111^2</f>
        <v>0</v>
      </c>
      <c r="T111" s="3">
        <f>p_B!T111^2</f>
        <v>0</v>
      </c>
      <c r="U111" s="3">
        <f>p_B!U111^2</f>
        <v>0</v>
      </c>
      <c r="V111" s="3">
        <f>p_B!V111^2</f>
        <v>1.1171380739720615E-5</v>
      </c>
      <c r="W111" s="3">
        <f>p_B!W111^2</f>
        <v>0</v>
      </c>
      <c r="X111" s="3">
        <f>p_B!X111^2</f>
        <v>1.9128166783826165E-6</v>
      </c>
      <c r="Y111" s="3">
        <f>p_B!Y111^2</f>
        <v>0</v>
      </c>
      <c r="Z111" s="3">
        <f>p_B!Z111^2</f>
        <v>0</v>
      </c>
      <c r="AA111" s="3">
        <f>p_B!AA111^2</f>
        <v>0</v>
      </c>
    </row>
    <row r="112" spans="1:27" x14ac:dyDescent="0.25">
      <c r="B112" s="3">
        <f>p_B!B112^2</f>
        <v>0.16491020124198</v>
      </c>
      <c r="C112" s="3">
        <f>p_B!C112^2</f>
        <v>9.2131649619486347E-3</v>
      </c>
      <c r="D112" s="3">
        <f>p_B!D112^2</f>
        <v>3.8523589463038835E-3</v>
      </c>
      <c r="E112" s="3">
        <f>p_B!E112^2</f>
        <v>4.1738635644922961E-5</v>
      </c>
      <c r="F112" s="3">
        <f>p_B!F112^2</f>
        <v>0</v>
      </c>
      <c r="G112" s="3">
        <f>p_B!G112^2</f>
        <v>5.0091686579473973E-4</v>
      </c>
      <c r="H112" s="3">
        <f>p_B!H112^2</f>
        <v>9.6614293906861944E-3</v>
      </c>
      <c r="I112" s="3">
        <f>p_B!I112^2</f>
        <v>0</v>
      </c>
      <c r="J112" s="3">
        <f>p_B!J112^2</f>
        <v>1.7249130036932252E-5</v>
      </c>
      <c r="K112" s="3">
        <f>p_B!K112^2</f>
        <v>4.7914250102587697E-7</v>
      </c>
      <c r="L112" s="3">
        <f>p_B!L112^2</f>
        <v>0</v>
      </c>
      <c r="M112" s="3">
        <f>p_B!M112^2</f>
        <v>0</v>
      </c>
      <c r="N112" s="3">
        <f>p_B!N112^2</f>
        <v>2.9651467485709302E-3</v>
      </c>
      <c r="O112" s="3">
        <f>p_B!O112^2</f>
        <v>4.5082517921526703E-3</v>
      </c>
      <c r="P112" s="3">
        <f>p_B!P112^2</f>
        <v>0</v>
      </c>
      <c r="Q112" s="3">
        <f>p_B!Q112^2</f>
        <v>1.1961313395610506E-2</v>
      </c>
      <c r="R112" s="3">
        <f>p_B!R112^2</f>
        <v>0</v>
      </c>
      <c r="S112" s="3">
        <f>p_B!S112^2</f>
        <v>0</v>
      </c>
      <c r="T112" s="3">
        <f>p_B!T112^2</f>
        <v>0</v>
      </c>
      <c r="U112" s="3">
        <f>p_B!U112^2</f>
        <v>0</v>
      </c>
      <c r="V112" s="3">
        <f>p_B!V112^2</f>
        <v>4.3122825092330798E-4</v>
      </c>
      <c r="W112" s="3">
        <f>p_B!W112^2</f>
        <v>0</v>
      </c>
      <c r="X112" s="3">
        <f>p_B!X112^2</f>
        <v>6.4418047360147775E-6</v>
      </c>
      <c r="Y112" s="3">
        <f>p_B!Y112^2</f>
        <v>0</v>
      </c>
      <c r="Z112" s="3">
        <f>p_B!Z112^2</f>
        <v>0</v>
      </c>
      <c r="AA112" s="3">
        <f>p_B!AA112^2</f>
        <v>0</v>
      </c>
    </row>
    <row r="113" spans="2:27" x14ac:dyDescent="0.25">
      <c r="B113" s="3">
        <f>p_B!B113^2</f>
        <v>0.37157691820421623</v>
      </c>
      <c r="C113" s="3">
        <f>p_B!C113^2</f>
        <v>5.05335022817296E-4</v>
      </c>
      <c r="D113" s="3">
        <f>p_B!D113^2</f>
        <v>2.1249766604223015E-2</v>
      </c>
      <c r="E113" s="3">
        <f>p_B!E113^2</f>
        <v>4.7549307728677875E-7</v>
      </c>
      <c r="F113" s="3">
        <f>p_B!F113^2</f>
        <v>0</v>
      </c>
      <c r="G113" s="3">
        <f>p_B!G113^2</f>
        <v>0</v>
      </c>
      <c r="H113" s="3">
        <f>p_B!H113^2</f>
        <v>7.2171480453972602E-3</v>
      </c>
      <c r="I113" s="3">
        <f>p_B!I113^2</f>
        <v>0</v>
      </c>
      <c r="J113" s="3">
        <f>p_B!J113^2</f>
        <v>2.3013864940680087E-6</v>
      </c>
      <c r="K113" s="3">
        <f>p_B!K113^2</f>
        <v>0</v>
      </c>
      <c r="L113" s="3">
        <f>p_B!L113^2</f>
        <v>0</v>
      </c>
      <c r="M113" s="3">
        <f>p_B!M113^2</f>
        <v>0</v>
      </c>
      <c r="N113" s="3">
        <f>p_B!N113^2</f>
        <v>2.0712478446612055E-5</v>
      </c>
      <c r="O113" s="3">
        <f>p_B!O113^2</f>
        <v>2.7464480144084287E-3</v>
      </c>
      <c r="P113" s="3">
        <f>p_B!P113^2</f>
        <v>0</v>
      </c>
      <c r="Q113" s="3">
        <f>p_B!Q113^2</f>
        <v>3.6488197567601847E-3</v>
      </c>
      <c r="R113" s="3">
        <f>p_B!R113^2</f>
        <v>0</v>
      </c>
      <c r="S113" s="3">
        <f>p_B!S113^2</f>
        <v>0</v>
      </c>
      <c r="T113" s="3">
        <f>p_B!T113^2</f>
        <v>0</v>
      </c>
      <c r="U113" s="3">
        <f>p_B!U113^2</f>
        <v>0</v>
      </c>
      <c r="V113" s="3">
        <f>p_B!V113^2</f>
        <v>0</v>
      </c>
      <c r="W113" s="3">
        <f>p_B!W113^2</f>
        <v>0</v>
      </c>
      <c r="X113" s="3">
        <f>p_B!X113^2</f>
        <v>0</v>
      </c>
      <c r="Y113" s="3">
        <f>p_B!Y113^2</f>
        <v>0</v>
      </c>
      <c r="Z113" s="3">
        <f>p_B!Z113^2</f>
        <v>0</v>
      </c>
      <c r="AA113" s="3">
        <f>p_B!AA113^2</f>
        <v>0</v>
      </c>
    </row>
    <row r="114" spans="2:27" x14ac:dyDescent="0.25">
      <c r="B114" s="3">
        <f>p_B!B114^2</f>
        <v>0.54673449033827459</v>
      </c>
      <c r="C114" s="3">
        <f>p_B!C114^2</f>
        <v>1.0897628163099301E-2</v>
      </c>
      <c r="D114" s="3">
        <f>p_B!D114^2</f>
        <v>7.011404912550181E-3</v>
      </c>
      <c r="E114" s="3">
        <f>p_B!E114^2</f>
        <v>0</v>
      </c>
      <c r="F114" s="3">
        <f>p_B!F114^2</f>
        <v>0</v>
      </c>
      <c r="G114" s="3">
        <f>p_B!G114^2</f>
        <v>0</v>
      </c>
      <c r="H114" s="3">
        <f>p_B!H114^2</f>
        <v>1.304028163536957E-3</v>
      </c>
      <c r="I114" s="3">
        <f>p_B!I114^2</f>
        <v>0</v>
      </c>
      <c r="J114" s="3">
        <f>p_B!J114^2</f>
        <v>2.3896780480139901E-5</v>
      </c>
      <c r="K114" s="3">
        <f>p_B!K114^2</f>
        <v>0</v>
      </c>
      <c r="L114" s="3">
        <f>p_B!L114^2</f>
        <v>0</v>
      </c>
      <c r="M114" s="3">
        <f>p_B!M114^2</f>
        <v>0</v>
      </c>
      <c r="N114" s="3">
        <f>p_B!N114^2</f>
        <v>1.9696815627803132E-4</v>
      </c>
      <c r="O114" s="3">
        <f>p_B!O114^2</f>
        <v>5.9704651334876058E-5</v>
      </c>
      <c r="P114" s="3">
        <f>p_B!P114^2</f>
        <v>0</v>
      </c>
      <c r="Q114" s="3">
        <f>p_B!Q114^2</f>
        <v>5.0354818389472719E-5</v>
      </c>
      <c r="R114" s="3">
        <f>p_B!R114^2</f>
        <v>0</v>
      </c>
      <c r="S114" s="3">
        <f>p_B!S114^2</f>
        <v>0</v>
      </c>
      <c r="T114" s="3">
        <f>p_B!T114^2</f>
        <v>0</v>
      </c>
      <c r="U114" s="3">
        <f>p_B!U114^2</f>
        <v>0</v>
      </c>
      <c r="V114" s="3">
        <f>p_B!V114^2</f>
        <v>0</v>
      </c>
      <c r="W114" s="3">
        <f>p_B!W114^2</f>
        <v>0</v>
      </c>
      <c r="X114" s="3">
        <f>p_B!X114^2</f>
        <v>0</v>
      </c>
      <c r="Y114" s="3">
        <f>p_B!Y114^2</f>
        <v>0</v>
      </c>
      <c r="Z114" s="3">
        <f>p_B!Z114^2</f>
        <v>0</v>
      </c>
      <c r="AA114" s="3">
        <f>p_B!AA114^2</f>
        <v>0</v>
      </c>
    </row>
    <row r="115" spans="2:27" x14ac:dyDescent="0.25">
      <c r="B115" s="3">
        <f>p_B!B115^2</f>
        <v>0.15292275465435629</v>
      </c>
      <c r="C115" s="3">
        <f>p_B!C115^2</f>
        <v>0.30399534993288319</v>
      </c>
      <c r="D115" s="3">
        <f>p_B!D115^2</f>
        <v>2.6035048037838623E-4</v>
      </c>
      <c r="E115" s="3">
        <f>p_B!E115^2</f>
        <v>1.7208703838878088E-8</v>
      </c>
      <c r="F115" s="3">
        <f>p_B!F115^2</f>
        <v>0</v>
      </c>
      <c r="G115" s="3">
        <f>p_B!G115^2</f>
        <v>0</v>
      </c>
      <c r="H115" s="3">
        <f>p_B!H115^2</f>
        <v>4.0812162024283203E-4</v>
      </c>
      <c r="I115" s="3">
        <f>p_B!I115^2</f>
        <v>0</v>
      </c>
      <c r="J115" s="3">
        <f>p_B!J115^2</f>
        <v>6.8834815355512352E-8</v>
      </c>
      <c r="K115" s="3">
        <f>p_B!K115^2</f>
        <v>0</v>
      </c>
      <c r="L115" s="3">
        <f>p_B!L115^2</f>
        <v>0</v>
      </c>
      <c r="M115" s="3">
        <f>p_B!M115^2</f>
        <v>0</v>
      </c>
      <c r="N115" s="3">
        <f>p_B!N115^2</f>
        <v>2.8927831153154032E-5</v>
      </c>
      <c r="O115" s="3">
        <f>p_B!O115^2</f>
        <v>2.4780533527984355E-6</v>
      </c>
      <c r="P115" s="3">
        <f>p_B!P115^2</f>
        <v>0</v>
      </c>
      <c r="Q115" s="3">
        <f>p_B!Q115^2</f>
        <v>1.4472519928496452E-5</v>
      </c>
      <c r="R115" s="3">
        <f>p_B!R115^2</f>
        <v>0</v>
      </c>
      <c r="S115" s="3">
        <f>p_B!S115^2</f>
        <v>0</v>
      </c>
      <c r="T115" s="3">
        <f>p_B!T115^2</f>
        <v>0</v>
      </c>
      <c r="U115" s="3">
        <f>p_B!U115^2</f>
        <v>0</v>
      </c>
      <c r="V115" s="3">
        <f>p_B!V115^2</f>
        <v>0</v>
      </c>
      <c r="W115" s="3">
        <f>p_B!W115^2</f>
        <v>0</v>
      </c>
      <c r="X115" s="3">
        <f>p_B!X115^2</f>
        <v>0</v>
      </c>
      <c r="Y115" s="3">
        <f>p_B!Y115^2</f>
        <v>0</v>
      </c>
      <c r="Z115" s="3">
        <f>p_B!Z115^2</f>
        <v>0</v>
      </c>
      <c r="AA115" s="3">
        <f>p_B!AA115^2</f>
        <v>0</v>
      </c>
    </row>
    <row r="116" spans="2:27" x14ac:dyDescent="0.25">
      <c r="B116" s="3">
        <f>p_B!B116^2</f>
        <v>0.69018976898448225</v>
      </c>
      <c r="C116" s="3">
        <f>p_B!C116^2</f>
        <v>9.1924522612974424E-7</v>
      </c>
      <c r="D116" s="3">
        <f>p_B!D116^2</f>
        <v>1.4707923618075635E-5</v>
      </c>
      <c r="E116" s="3">
        <f>p_B!E116^2</f>
        <v>2.2981130653243606E-7</v>
      </c>
      <c r="F116" s="3">
        <f>p_B!F116^2</f>
        <v>0</v>
      </c>
      <c r="G116" s="3">
        <f>p_B!G116^2</f>
        <v>0</v>
      </c>
      <c r="H116" s="3">
        <f>p_B!H116^2</f>
        <v>0</v>
      </c>
      <c r="I116" s="3">
        <f>p_B!I116^2</f>
        <v>0</v>
      </c>
      <c r="J116" s="3">
        <f>p_B!J116^2</f>
        <v>0</v>
      </c>
      <c r="K116" s="3">
        <f>p_B!K116^2</f>
        <v>1.0231429178130419E-2</v>
      </c>
      <c r="L116" s="3">
        <f>p_B!L116^2</f>
        <v>0</v>
      </c>
      <c r="M116" s="3">
        <f>p_B!M116^2</f>
        <v>2.9517985594610244E-5</v>
      </c>
      <c r="N116" s="3">
        <f>p_B!N116^2</f>
        <v>0</v>
      </c>
      <c r="O116" s="3">
        <f>p_B!O116^2</f>
        <v>0</v>
      </c>
      <c r="P116" s="3">
        <f>p_B!P116^2</f>
        <v>0</v>
      </c>
      <c r="Q116" s="3">
        <f>p_B!Q116^2</f>
        <v>2.8485366790591106E-3</v>
      </c>
      <c r="R116" s="3">
        <f>p_B!R116^2</f>
        <v>0</v>
      </c>
      <c r="S116" s="3">
        <f>p_B!S116^2</f>
        <v>0</v>
      </c>
      <c r="T116" s="3">
        <f>p_B!T116^2</f>
        <v>0</v>
      </c>
      <c r="U116" s="3">
        <f>p_B!U116^2</f>
        <v>0</v>
      </c>
      <c r="V116" s="3">
        <f>p_B!V116^2</f>
        <v>0</v>
      </c>
      <c r="W116" s="3">
        <f>p_B!W116^2</f>
        <v>0</v>
      </c>
      <c r="X116" s="3">
        <f>p_B!X116^2</f>
        <v>0</v>
      </c>
      <c r="Y116" s="3">
        <f>p_B!Y116^2</f>
        <v>0</v>
      </c>
      <c r="Z116" s="3">
        <f>p_B!Z116^2</f>
        <v>0</v>
      </c>
      <c r="AA116" s="3">
        <f>p_B!AA116^2</f>
        <v>0</v>
      </c>
    </row>
    <row r="117" spans="2:27" x14ac:dyDescent="0.25">
      <c r="B117" s="3">
        <f>p_B!B117^2</f>
        <v>0.39491402941869258</v>
      </c>
      <c r="C117" s="3">
        <f>p_B!C117^2</f>
        <v>4.7579080624907257E-8</v>
      </c>
      <c r="D117" s="3">
        <f>p_B!D117^2</f>
        <v>0</v>
      </c>
      <c r="E117" s="3">
        <f>p_B!E117^2</f>
        <v>0</v>
      </c>
      <c r="F117" s="3">
        <f>p_B!F117^2</f>
        <v>0</v>
      </c>
      <c r="G117" s="3">
        <f>p_B!G117^2</f>
        <v>0</v>
      </c>
      <c r="H117" s="3">
        <f>p_B!H117^2</f>
        <v>3.4942552601736525E-3</v>
      </c>
      <c r="I117" s="3">
        <f>p_B!I117^2</f>
        <v>0</v>
      </c>
      <c r="J117" s="3">
        <f>p_B!J117^2</f>
        <v>9.8500591663709721E-5</v>
      </c>
      <c r="K117" s="3">
        <f>p_B!K117^2</f>
        <v>0</v>
      </c>
      <c r="L117" s="3">
        <f>p_B!L117^2</f>
        <v>0</v>
      </c>
      <c r="M117" s="3">
        <f>p_B!M117^2</f>
        <v>0</v>
      </c>
      <c r="N117" s="3">
        <f>p_B!N117^2</f>
        <v>0</v>
      </c>
      <c r="O117" s="3">
        <f>p_B!O117^2</f>
        <v>2.7121265433211507E-2</v>
      </c>
      <c r="P117" s="3">
        <f>p_B!P117^2</f>
        <v>0</v>
      </c>
      <c r="Q117" s="3">
        <f>p_B!Q117^2</f>
        <v>0</v>
      </c>
      <c r="R117" s="3">
        <f>p_B!R117^2</f>
        <v>0</v>
      </c>
      <c r="S117" s="3">
        <f>p_B!S117^2</f>
        <v>0</v>
      </c>
      <c r="T117" s="3">
        <f>p_B!T117^2</f>
        <v>0</v>
      </c>
      <c r="U117" s="3">
        <f>p_B!U117^2</f>
        <v>0</v>
      </c>
      <c r="V117" s="3">
        <f>p_B!V117^2</f>
        <v>0</v>
      </c>
      <c r="W117" s="3">
        <f>p_B!W117^2</f>
        <v>0</v>
      </c>
      <c r="X117" s="3">
        <f>p_B!X117^2</f>
        <v>0</v>
      </c>
      <c r="Y117" s="3">
        <f>p_B!Y117^2</f>
        <v>0</v>
      </c>
      <c r="Z117" s="3">
        <f>p_B!Z117^2</f>
        <v>0</v>
      </c>
      <c r="AA117" s="3">
        <f>p_B!AA117^2</f>
        <v>0</v>
      </c>
    </row>
    <row r="118" spans="2:27" x14ac:dyDescent="0.25">
      <c r="B118" s="3">
        <f>p_B!B118^2</f>
        <v>0.29644750319786434</v>
      </c>
      <c r="C118" s="3">
        <f>p_B!C118^2</f>
        <v>2.4924394925604835E-2</v>
      </c>
      <c r="D118" s="3">
        <f>p_B!D118^2</f>
        <v>6.4441124484470951E-5</v>
      </c>
      <c r="E118" s="3">
        <f>p_B!E118^2</f>
        <v>3.1822777523195396E-6</v>
      </c>
      <c r="F118" s="3">
        <f>p_B!F118^2</f>
        <v>0</v>
      </c>
      <c r="G118" s="3">
        <f>p_B!G118^2</f>
        <v>0</v>
      </c>
      <c r="H118" s="3">
        <f>p_B!H118^2</f>
        <v>1.5906355567193594E-3</v>
      </c>
      <c r="I118" s="3">
        <f>p_B!I118^2</f>
        <v>0</v>
      </c>
      <c r="J118" s="3">
        <f>p_B!J118^2</f>
        <v>0</v>
      </c>
      <c r="K118" s="3">
        <f>p_B!K118^2</f>
        <v>0</v>
      </c>
      <c r="L118" s="3">
        <f>p_B!L118^2</f>
        <v>0</v>
      </c>
      <c r="M118" s="3">
        <f>p_B!M118^2</f>
        <v>0</v>
      </c>
      <c r="N118" s="3">
        <f>p_B!N118^2</f>
        <v>7.2883902194706516E-5</v>
      </c>
      <c r="O118" s="3">
        <f>p_B!O118^2</f>
        <v>7.2883902194706531E-3</v>
      </c>
      <c r="P118" s="3">
        <f>p_B!P118^2</f>
        <v>0</v>
      </c>
      <c r="Q118" s="3">
        <f>p_B!Q118^2</f>
        <v>1.8937799848497597E-2</v>
      </c>
      <c r="R118" s="3">
        <f>p_B!R118^2</f>
        <v>0</v>
      </c>
      <c r="S118" s="3">
        <f>p_B!S118^2</f>
        <v>0</v>
      </c>
      <c r="T118" s="3">
        <f>p_B!T118^2</f>
        <v>0</v>
      </c>
      <c r="U118" s="3">
        <f>p_B!U118^2</f>
        <v>0</v>
      </c>
      <c r="V118" s="3">
        <f>p_B!V118^2</f>
        <v>0</v>
      </c>
      <c r="W118" s="3">
        <f>p_B!W118^2</f>
        <v>0</v>
      </c>
      <c r="X118" s="3">
        <f>p_B!X118^2</f>
        <v>0</v>
      </c>
      <c r="Y118" s="3">
        <f>p_B!Y118^2</f>
        <v>0</v>
      </c>
      <c r="Z118" s="3">
        <f>p_B!Z118^2</f>
        <v>0</v>
      </c>
      <c r="AA118" s="3">
        <f>p_B!AA118^2</f>
        <v>0</v>
      </c>
    </row>
    <row r="119" spans="2:27" x14ac:dyDescent="0.25">
      <c r="B119" s="3">
        <f>p_B!B119^2</f>
        <v>0.29069510532134402</v>
      </c>
      <c r="C119" s="3">
        <f>p_B!C119^2</f>
        <v>4.2033973065886673E-4</v>
      </c>
      <c r="D119" s="3">
        <f>p_B!D119^2</f>
        <v>5.7396724236918331E-4</v>
      </c>
      <c r="E119" s="3">
        <f>p_B!E119^2</f>
        <v>2.9849905125061518E-6</v>
      </c>
      <c r="F119" s="3">
        <f>p_B!F119^2</f>
        <v>0</v>
      </c>
      <c r="G119" s="3">
        <f>p_B!G119^2</f>
        <v>0</v>
      </c>
      <c r="H119" s="3">
        <f>p_B!H119^2</f>
        <v>1.8063968585482247E-3</v>
      </c>
      <c r="I119" s="3">
        <f>p_B!I119^2</f>
        <v>0</v>
      </c>
      <c r="J119" s="3">
        <f>p_B!J119^2</f>
        <v>2.1226599200043813E-7</v>
      </c>
      <c r="K119" s="3">
        <f>p_B!K119^2</f>
        <v>0</v>
      </c>
      <c r="L119" s="3">
        <f>p_B!L119^2</f>
        <v>0</v>
      </c>
      <c r="M119" s="3">
        <f>p_B!M119^2</f>
        <v>0</v>
      </c>
      <c r="N119" s="3">
        <f>p_B!N119^2</f>
        <v>5.2655232640608563E-5</v>
      </c>
      <c r="O119" s="3">
        <f>p_B!O119^2</f>
        <v>5.9909953582203525E-3</v>
      </c>
      <c r="P119" s="3">
        <f>p_B!P119^2</f>
        <v>0</v>
      </c>
      <c r="Q119" s="3">
        <f>p_B!Q119^2</f>
        <v>6.9510757667007858E-2</v>
      </c>
      <c r="R119" s="3">
        <f>p_B!R119^2</f>
        <v>0</v>
      </c>
      <c r="S119" s="3">
        <f>p_B!S119^2</f>
        <v>0</v>
      </c>
      <c r="T119" s="3">
        <f>p_B!T119^2</f>
        <v>0</v>
      </c>
      <c r="U119" s="3">
        <f>p_B!U119^2</f>
        <v>0</v>
      </c>
      <c r="V119" s="3">
        <f>p_B!V119^2</f>
        <v>0</v>
      </c>
      <c r="W119" s="3">
        <f>p_B!W119^2</f>
        <v>0</v>
      </c>
      <c r="X119" s="3">
        <f>p_B!X119^2</f>
        <v>0</v>
      </c>
      <c r="Y119" s="3">
        <f>p_B!Y119^2</f>
        <v>0</v>
      </c>
      <c r="Z119" s="3">
        <f>p_B!Z119^2</f>
        <v>0</v>
      </c>
      <c r="AA119" s="3">
        <f>p_B!AA119^2</f>
        <v>0</v>
      </c>
    </row>
    <row r="120" spans="2:27" x14ac:dyDescent="0.25">
      <c r="B120" s="3">
        <f>p_B!B120^2</f>
        <v>0.25501505712726302</v>
      </c>
      <c r="C120" s="3">
        <f>p_B!C120^2</f>
        <v>6.6561127330878831E-6</v>
      </c>
      <c r="D120" s="3">
        <f>p_B!D120^2</f>
        <v>0</v>
      </c>
      <c r="E120" s="3">
        <f>p_B!E120^2</f>
        <v>4.6094963525539463E-7</v>
      </c>
      <c r="F120" s="3">
        <f>p_B!F120^2</f>
        <v>0</v>
      </c>
      <c r="G120" s="3">
        <f>p_B!G120^2</f>
        <v>0</v>
      </c>
      <c r="H120" s="3">
        <f>p_B!H120^2</f>
        <v>6.7969789416219355E-4</v>
      </c>
      <c r="I120" s="3">
        <f>p_B!I120^2</f>
        <v>0</v>
      </c>
      <c r="J120" s="3">
        <f>p_B!J120^2</f>
        <v>0</v>
      </c>
      <c r="K120" s="3">
        <f>p_B!K120^2</f>
        <v>0</v>
      </c>
      <c r="L120" s="3">
        <f>p_B!L120^2</f>
        <v>0</v>
      </c>
      <c r="M120" s="3">
        <f>p_B!M120^2</f>
        <v>0</v>
      </c>
      <c r="N120" s="3">
        <f>p_B!N120^2</f>
        <v>1.5947013581295598E-4</v>
      </c>
      <c r="O120" s="3">
        <f>p_B!O120^2</f>
        <v>5.0197415279312405E-4</v>
      </c>
      <c r="P120" s="3">
        <f>p_B!P120^2</f>
        <v>0</v>
      </c>
      <c r="Q120" s="3">
        <f>p_B!Q120^2</f>
        <v>0.17388939636114661</v>
      </c>
      <c r="R120" s="3">
        <f>p_B!R120^2</f>
        <v>0</v>
      </c>
      <c r="S120" s="3">
        <f>p_B!S120^2</f>
        <v>0</v>
      </c>
      <c r="T120" s="3">
        <f>p_B!T120^2</f>
        <v>0</v>
      </c>
      <c r="U120" s="3">
        <f>p_B!U120^2</f>
        <v>0</v>
      </c>
      <c r="V120" s="3">
        <f>p_B!V120^2</f>
        <v>0</v>
      </c>
      <c r="W120" s="3">
        <f>p_B!W120^2</f>
        <v>0</v>
      </c>
      <c r="X120" s="3">
        <f>p_B!X120^2</f>
        <v>0</v>
      </c>
      <c r="Y120" s="3">
        <f>p_B!Y120^2</f>
        <v>0</v>
      </c>
      <c r="Z120" s="3">
        <f>p_B!Z120^2</f>
        <v>0</v>
      </c>
      <c r="AA120" s="3">
        <f>p_B!AA120^2</f>
        <v>0</v>
      </c>
    </row>
    <row r="121" spans="2:27" x14ac:dyDescent="0.25">
      <c r="B121" s="3">
        <f>p_B!B121^2</f>
        <v>0.29946867656383941</v>
      </c>
      <c r="C121" s="3">
        <f>p_B!C121^2</f>
        <v>5.0026046746777936E-2</v>
      </c>
      <c r="D121" s="3">
        <f>p_B!D121^2</f>
        <v>3.2462967067083675E-5</v>
      </c>
      <c r="E121" s="3">
        <f>p_B!E121^2</f>
        <v>1.7557040057915172E-8</v>
      </c>
      <c r="F121" s="3">
        <f>p_B!F121^2</f>
        <v>0</v>
      </c>
      <c r="G121" s="3">
        <f>p_B!G121^2</f>
        <v>0</v>
      </c>
      <c r="H121" s="3">
        <f>p_B!H121^2</f>
        <v>1.0572428153914641E-2</v>
      </c>
      <c r="I121" s="3">
        <f>p_B!I121^2</f>
        <v>0</v>
      </c>
      <c r="J121" s="3">
        <f>p_B!J121^2</f>
        <v>2.2880510173874579E-3</v>
      </c>
      <c r="K121" s="3">
        <f>p_B!K121^2</f>
        <v>0</v>
      </c>
      <c r="L121" s="3">
        <f>p_B!L121^2</f>
        <v>0</v>
      </c>
      <c r="M121" s="3">
        <f>p_B!M121^2</f>
        <v>0</v>
      </c>
      <c r="N121" s="3">
        <f>p_B!N121^2</f>
        <v>4.215445317905238E-5</v>
      </c>
      <c r="O121" s="3">
        <f>p_B!O121^2</f>
        <v>2.7432875090491188E-4</v>
      </c>
      <c r="P121" s="3">
        <f>p_B!P121^2</f>
        <v>0</v>
      </c>
      <c r="Q121" s="3">
        <f>p_B!Q121^2</f>
        <v>3.295280848469945E-4</v>
      </c>
      <c r="R121" s="3">
        <f>p_B!R121^2</f>
        <v>0</v>
      </c>
      <c r="S121" s="3">
        <f>p_B!S121^2</f>
        <v>0</v>
      </c>
      <c r="T121" s="3">
        <f>p_B!T121^2</f>
        <v>0</v>
      </c>
      <c r="U121" s="3">
        <f>p_B!U121^2</f>
        <v>0</v>
      </c>
      <c r="V121" s="3">
        <f>p_B!V121^2</f>
        <v>0</v>
      </c>
      <c r="W121" s="3">
        <f>p_B!W121^2</f>
        <v>0</v>
      </c>
      <c r="X121" s="3">
        <f>p_B!X121^2</f>
        <v>0</v>
      </c>
      <c r="Y121" s="3">
        <f>p_B!Y121^2</f>
        <v>0</v>
      </c>
      <c r="Z121" s="3">
        <f>p_B!Z121^2</f>
        <v>0</v>
      </c>
      <c r="AA121" s="3">
        <f>p_B!AA121^2</f>
        <v>0</v>
      </c>
    </row>
    <row r="122" spans="2:27" x14ac:dyDescent="0.25">
      <c r="B122" s="3">
        <f>p_B!B122^2</f>
        <v>0.2541720353724507</v>
      </c>
      <c r="C122" s="3">
        <f>p_B!C122^2</f>
        <v>6.3670990701619884E-2</v>
      </c>
      <c r="D122" s="3">
        <f>p_B!D122^2</f>
        <v>0</v>
      </c>
      <c r="E122" s="3">
        <f>p_B!E122^2</f>
        <v>1.6094298102009519E-8</v>
      </c>
      <c r="F122" s="3">
        <f>p_B!F122^2</f>
        <v>0</v>
      </c>
      <c r="G122" s="3">
        <f>p_B!G122^2</f>
        <v>2.5147340784389803E-4</v>
      </c>
      <c r="H122" s="3">
        <f>p_B!H122^2</f>
        <v>3.3612780643065806E-3</v>
      </c>
      <c r="I122" s="3">
        <f>p_B!I122^2</f>
        <v>0</v>
      </c>
      <c r="J122" s="3">
        <f>p_B!J122^2</f>
        <v>3.1544824279938608E-4</v>
      </c>
      <c r="K122" s="3">
        <f>p_B!K122^2</f>
        <v>0</v>
      </c>
      <c r="L122" s="3">
        <f>p_B!L122^2</f>
        <v>0</v>
      </c>
      <c r="M122" s="3">
        <f>p_B!M122^2</f>
        <v>0</v>
      </c>
      <c r="N122" s="3">
        <f>p_B!N122^2</f>
        <v>1.0559468984728415E-4</v>
      </c>
      <c r="O122" s="3">
        <f>p_B!O122^2</f>
        <v>5.0993174106406854E-4</v>
      </c>
      <c r="P122" s="3">
        <f>p_B!P122^2</f>
        <v>0</v>
      </c>
      <c r="Q122" s="3">
        <f>p_B!Q122^2</f>
        <v>4.5966924809149326E-4</v>
      </c>
      <c r="R122" s="3">
        <f>p_B!R122^2</f>
        <v>0</v>
      </c>
      <c r="S122" s="3">
        <f>p_B!S122^2</f>
        <v>0</v>
      </c>
      <c r="T122" s="3">
        <f>p_B!T122^2</f>
        <v>0</v>
      </c>
      <c r="U122" s="3">
        <f>p_B!U122^2</f>
        <v>0</v>
      </c>
      <c r="V122" s="3">
        <f>p_B!V122^2</f>
        <v>0</v>
      </c>
      <c r="W122" s="3">
        <f>p_B!W122^2</f>
        <v>0</v>
      </c>
      <c r="X122" s="3">
        <f>p_B!X122^2</f>
        <v>0</v>
      </c>
      <c r="Y122" s="3">
        <f>p_B!Y122^2</f>
        <v>0</v>
      </c>
      <c r="Z122" s="3">
        <f>p_B!Z122^2</f>
        <v>0</v>
      </c>
      <c r="AA122" s="3">
        <f>p_B!AA122^2</f>
        <v>0</v>
      </c>
    </row>
    <row r="123" spans="2:27" x14ac:dyDescent="0.25">
      <c r="B123" s="3">
        <f>p_B!B123^2</f>
        <v>0.22932188444590318</v>
      </c>
      <c r="C123" s="3">
        <f>p_B!C123^2</f>
        <v>4.2718612499466008E-3</v>
      </c>
      <c r="D123" s="3">
        <f>p_B!D123^2</f>
        <v>1.3246875854505695E-3</v>
      </c>
      <c r="E123" s="3">
        <f>p_B!E123^2</f>
        <v>1.8248798538795341E-9</v>
      </c>
      <c r="F123" s="3">
        <f>p_B!F123^2</f>
        <v>0</v>
      </c>
      <c r="G123" s="3">
        <f>p_B!G123^2</f>
        <v>0</v>
      </c>
      <c r="H123" s="3">
        <f>p_B!H123^2</f>
        <v>7.2267067093483442E-3</v>
      </c>
      <c r="I123" s="3">
        <f>p_B!I123^2</f>
        <v>0</v>
      </c>
      <c r="J123" s="3">
        <f>p_B!J123^2</f>
        <v>6.3133543424816383E-5</v>
      </c>
      <c r="K123" s="3">
        <f>p_B!K123^2</f>
        <v>0</v>
      </c>
      <c r="L123" s="3">
        <f>p_B!L123^2</f>
        <v>0</v>
      </c>
      <c r="M123" s="3">
        <f>p_B!M123^2</f>
        <v>0</v>
      </c>
      <c r="N123" s="3">
        <f>p_B!N123^2</f>
        <v>4.8212595787555732E-4</v>
      </c>
      <c r="O123" s="3">
        <f>p_B!O123^2</f>
        <v>6.8964691514708893E-3</v>
      </c>
      <c r="P123" s="3">
        <f>p_B!P123^2</f>
        <v>0</v>
      </c>
      <c r="Q123" s="3">
        <f>p_B!Q123^2</f>
        <v>7.8799844989595538E-3</v>
      </c>
      <c r="R123" s="3">
        <f>p_B!R123^2</f>
        <v>0</v>
      </c>
      <c r="S123" s="3">
        <f>p_B!S123^2</f>
        <v>0</v>
      </c>
      <c r="T123" s="3">
        <f>p_B!T123^2</f>
        <v>0</v>
      </c>
      <c r="U123" s="3">
        <f>p_B!U123^2</f>
        <v>0</v>
      </c>
      <c r="V123" s="3">
        <f>p_B!V123^2</f>
        <v>0</v>
      </c>
      <c r="W123" s="3">
        <f>p_B!W123^2</f>
        <v>0</v>
      </c>
      <c r="X123" s="3">
        <f>p_B!X123^2</f>
        <v>0</v>
      </c>
      <c r="Y123" s="3">
        <f>p_B!Y123^2</f>
        <v>0</v>
      </c>
      <c r="Z123" s="3">
        <f>p_B!Z123^2</f>
        <v>0</v>
      </c>
      <c r="AA123" s="3">
        <f>p_B!AA123^2</f>
        <v>0</v>
      </c>
    </row>
    <row r="124" spans="2:27" x14ac:dyDescent="0.25">
      <c r="B124" s="3">
        <f>p_B!B124^2</f>
        <v>8.8474324695890796E-2</v>
      </c>
      <c r="C124" s="3">
        <f>p_B!C124^2</f>
        <v>3.4836843264054139E-4</v>
      </c>
      <c r="D124" s="3">
        <f>p_B!D124^2</f>
        <v>2.0524658838439315E-3</v>
      </c>
      <c r="E124" s="3">
        <f>p_B!E124^2</f>
        <v>7.1976948892673842E-9</v>
      </c>
      <c r="F124" s="3">
        <f>p_B!F124^2</f>
        <v>0</v>
      </c>
      <c r="G124" s="3">
        <f>p_B!G124^2</f>
        <v>0</v>
      </c>
      <c r="H124" s="3">
        <f>p_B!H124^2</f>
        <v>4.434013257103122E-2</v>
      </c>
      <c r="I124" s="3">
        <f>p_B!I124^2</f>
        <v>0</v>
      </c>
      <c r="J124" s="3">
        <f>p_B!J124^2</f>
        <v>1.2696733784667662E-5</v>
      </c>
      <c r="K124" s="3">
        <f>p_B!K124^2</f>
        <v>0</v>
      </c>
      <c r="L124" s="3">
        <f>p_B!L124^2</f>
        <v>0</v>
      </c>
      <c r="M124" s="3">
        <f>p_B!M124^2</f>
        <v>0</v>
      </c>
      <c r="N124" s="3">
        <f>p_B!N124^2</f>
        <v>6.4779254003406573E-6</v>
      </c>
      <c r="O124" s="3">
        <f>p_B!O124^2</f>
        <v>4.2431735748090858E-2</v>
      </c>
      <c r="P124" s="3">
        <f>p_B!P124^2</f>
        <v>0</v>
      </c>
      <c r="Q124" s="3">
        <f>p_B!Q124^2</f>
        <v>2.1591817873501635E-2</v>
      </c>
      <c r="R124" s="3">
        <f>p_B!R124^2</f>
        <v>0</v>
      </c>
      <c r="S124" s="3">
        <f>p_B!S124^2</f>
        <v>0</v>
      </c>
      <c r="T124" s="3">
        <f>p_B!T124^2</f>
        <v>0</v>
      </c>
      <c r="U124" s="3">
        <f>p_B!U124^2</f>
        <v>0</v>
      </c>
      <c r="V124" s="3">
        <f>p_B!V124^2</f>
        <v>0</v>
      </c>
      <c r="W124" s="3">
        <f>p_B!W124^2</f>
        <v>0</v>
      </c>
      <c r="X124" s="3">
        <f>p_B!X124^2</f>
        <v>0</v>
      </c>
      <c r="Y124" s="3">
        <f>p_B!Y124^2</f>
        <v>0</v>
      </c>
      <c r="Z124" s="3">
        <f>p_B!Z124^2</f>
        <v>0</v>
      </c>
      <c r="AA124" s="3">
        <f>p_B!AA124^2</f>
        <v>0</v>
      </c>
    </row>
    <row r="125" spans="2:27" x14ac:dyDescent="0.25">
      <c r="B125" s="3">
        <f>p_B!B125^2</f>
        <v>1.05098848887756E-5</v>
      </c>
      <c r="C125" s="3">
        <f>p_B!C125^2</f>
        <v>0</v>
      </c>
      <c r="D125" s="3">
        <f>p_B!D125^2</f>
        <v>0</v>
      </c>
      <c r="E125" s="3">
        <f>p_B!E125^2</f>
        <v>0</v>
      </c>
      <c r="F125" s="3">
        <f>p_B!F125^2</f>
        <v>0</v>
      </c>
      <c r="G125" s="3">
        <f>p_B!G125^2</f>
        <v>0</v>
      </c>
      <c r="H125" s="3">
        <f>p_B!H125^2</f>
        <v>0</v>
      </c>
      <c r="I125" s="3">
        <f>p_B!I125^2</f>
        <v>0</v>
      </c>
      <c r="J125" s="3">
        <f>p_B!J125^2</f>
        <v>7.0403542266528202E-2</v>
      </c>
      <c r="K125" s="3">
        <f>p_B!K125^2</f>
        <v>0</v>
      </c>
      <c r="L125" s="3">
        <f>p_B!L125^2</f>
        <v>0</v>
      </c>
      <c r="M125" s="3">
        <f>p_B!M125^2</f>
        <v>0</v>
      </c>
      <c r="N125" s="3">
        <f>p_B!N125^2</f>
        <v>0</v>
      </c>
      <c r="O125" s="3">
        <f>p_B!O125^2</f>
        <v>0</v>
      </c>
      <c r="P125" s="3">
        <f>p_B!P125^2</f>
        <v>0</v>
      </c>
      <c r="Q125" s="3">
        <f>p_B!Q125^2</f>
        <v>0.50607316565886473</v>
      </c>
      <c r="R125" s="3">
        <f>p_B!R125^2</f>
        <v>0</v>
      </c>
      <c r="S125" s="3">
        <f>p_B!S125^2</f>
        <v>0</v>
      </c>
      <c r="T125" s="3">
        <f>p_B!T125^2</f>
        <v>0</v>
      </c>
      <c r="U125" s="3">
        <f>p_B!U125^2</f>
        <v>0</v>
      </c>
      <c r="V125" s="3">
        <f>p_B!V125^2</f>
        <v>0</v>
      </c>
      <c r="W125" s="3">
        <f>p_B!W125^2</f>
        <v>0</v>
      </c>
      <c r="X125" s="3">
        <f>p_B!X125^2</f>
        <v>0</v>
      </c>
      <c r="Y125" s="3">
        <f>p_B!Y125^2</f>
        <v>0</v>
      </c>
      <c r="Z125" s="3">
        <f>p_B!Z125^2</f>
        <v>0</v>
      </c>
      <c r="AA125" s="3">
        <f>p_B!AA125^2</f>
        <v>0</v>
      </c>
    </row>
    <row r="126" spans="2:27" x14ac:dyDescent="0.25">
      <c r="B126" s="3">
        <f>p_B!B126^2</f>
        <v>4.4823962223401876E-5</v>
      </c>
      <c r="C126" s="3">
        <f>p_B!C126^2</f>
        <v>0</v>
      </c>
      <c r="D126" s="3">
        <f>p_B!D126^2</f>
        <v>0</v>
      </c>
      <c r="E126" s="3">
        <f>p_B!E126^2</f>
        <v>0</v>
      </c>
      <c r="F126" s="3">
        <f>p_B!F126^2</f>
        <v>0</v>
      </c>
      <c r="G126" s="3">
        <f>p_B!G126^2</f>
        <v>0</v>
      </c>
      <c r="H126" s="3">
        <f>p_B!H126^2</f>
        <v>0</v>
      </c>
      <c r="I126" s="3">
        <f>p_B!I126^2</f>
        <v>0</v>
      </c>
      <c r="J126" s="3">
        <f>p_B!J126^2</f>
        <v>0.93064362393955224</v>
      </c>
      <c r="K126" s="3">
        <f>p_B!K126^2</f>
        <v>0</v>
      </c>
      <c r="L126" s="3">
        <f>p_B!L126^2</f>
        <v>0</v>
      </c>
      <c r="M126" s="3">
        <f>p_B!M126^2</f>
        <v>0</v>
      </c>
      <c r="N126" s="3">
        <f>p_B!N126^2</f>
        <v>0</v>
      </c>
      <c r="O126" s="3">
        <f>p_B!O126^2</f>
        <v>3.7044596878844603E-7</v>
      </c>
      <c r="P126" s="3">
        <f>p_B!P126^2</f>
        <v>0</v>
      </c>
      <c r="Q126" s="3">
        <f>p_B!Q126^2</f>
        <v>0</v>
      </c>
      <c r="R126" s="3">
        <f>p_B!R126^2</f>
        <v>0</v>
      </c>
      <c r="S126" s="3">
        <f>p_B!S126^2</f>
        <v>0</v>
      </c>
      <c r="T126" s="3">
        <f>p_B!T126^2</f>
        <v>0</v>
      </c>
      <c r="U126" s="3">
        <f>p_B!U126^2</f>
        <v>0</v>
      </c>
      <c r="V126" s="3">
        <f>p_B!V126^2</f>
        <v>0</v>
      </c>
      <c r="W126" s="3">
        <f>p_B!W126^2</f>
        <v>0</v>
      </c>
      <c r="X126" s="3">
        <f>p_B!X126^2</f>
        <v>0</v>
      </c>
      <c r="Y126" s="3">
        <f>p_B!Y126^2</f>
        <v>0</v>
      </c>
      <c r="Z126" s="3">
        <f>p_B!Z126^2</f>
        <v>0</v>
      </c>
      <c r="AA126" s="3">
        <f>p_B!AA126^2</f>
        <v>0</v>
      </c>
    </row>
    <row r="127" spans="2:27" x14ac:dyDescent="0.25">
      <c r="B127" s="3">
        <f>p_B!B127^2</f>
        <v>3.6534741094239625E-8</v>
      </c>
      <c r="C127" s="3">
        <f>p_B!C127^2</f>
        <v>1.9442702301806742E-2</v>
      </c>
      <c r="D127" s="3">
        <f>p_B!D127^2</f>
        <v>0</v>
      </c>
      <c r="E127" s="3">
        <f>p_B!E127^2</f>
        <v>9.3528937201253168E-6</v>
      </c>
      <c r="F127" s="3">
        <f>p_B!F127^2</f>
        <v>0</v>
      </c>
      <c r="G127" s="3">
        <f>p_B!G127^2</f>
        <v>0</v>
      </c>
      <c r="H127" s="3">
        <f>p_B!H127^2</f>
        <v>1.8030123072139062E-4</v>
      </c>
      <c r="I127" s="3">
        <f>p_B!I127^2</f>
        <v>3.8571781252375238E-4</v>
      </c>
      <c r="J127" s="3">
        <f>p_B!J127^2</f>
        <v>9.1783489945475945E-4</v>
      </c>
      <c r="K127" s="3">
        <f>p_B!K127^2</f>
        <v>0</v>
      </c>
      <c r="L127" s="3">
        <f>p_B!L127^2</f>
        <v>0</v>
      </c>
      <c r="M127" s="3">
        <f>p_B!M127^2</f>
        <v>0</v>
      </c>
      <c r="N127" s="3">
        <f>p_B!N127^2</f>
        <v>0</v>
      </c>
      <c r="O127" s="3">
        <f>p_B!O127^2</f>
        <v>1.1273899540545716E-2</v>
      </c>
      <c r="P127" s="3">
        <f>p_B!P127^2</f>
        <v>0</v>
      </c>
      <c r="Q127" s="3">
        <f>p_B!Q127^2</f>
        <v>0.19272297190737123</v>
      </c>
      <c r="R127" s="3">
        <f>p_B!R127^2</f>
        <v>0</v>
      </c>
      <c r="S127" s="3">
        <f>p_B!S127^2</f>
        <v>0</v>
      </c>
      <c r="T127" s="3">
        <f>p_B!T127^2</f>
        <v>0</v>
      </c>
      <c r="U127" s="3">
        <f>p_B!U127^2</f>
        <v>0</v>
      </c>
      <c r="V127" s="3">
        <f>p_B!V127^2</f>
        <v>0</v>
      </c>
      <c r="W127" s="3">
        <f>p_B!W127^2</f>
        <v>0</v>
      </c>
      <c r="X127" s="3">
        <f>p_B!X127^2</f>
        <v>5.7772614434452839E-4</v>
      </c>
      <c r="Y127" s="3">
        <f>p_B!Y127^2</f>
        <v>0</v>
      </c>
      <c r="Z127" s="3">
        <f>p_B!Z127^2</f>
        <v>0</v>
      </c>
      <c r="AA127" s="3">
        <f>p_B!AA127^2</f>
        <v>0</v>
      </c>
    </row>
    <row r="128" spans="2:27" x14ac:dyDescent="0.25">
      <c r="B128" s="3">
        <f>p_B!B128^2</f>
        <v>1.0614986007962368E-8</v>
      </c>
      <c r="C128" s="3">
        <f>p_B!C128^2</f>
        <v>1.0561977421585088E-2</v>
      </c>
      <c r="D128" s="3">
        <f>p_B!D128^2</f>
        <v>0</v>
      </c>
      <c r="E128" s="3">
        <f>p_B!E128^2</f>
        <v>0</v>
      </c>
      <c r="F128" s="3">
        <f>p_B!F128^2</f>
        <v>0</v>
      </c>
      <c r="G128" s="3">
        <f>p_B!G128^2</f>
        <v>0</v>
      </c>
      <c r="H128" s="3">
        <f>p_B!H128^2</f>
        <v>1.6983977612739744E-5</v>
      </c>
      <c r="I128" s="3">
        <f>p_B!I128^2</f>
        <v>3.8724530455647437E-4</v>
      </c>
      <c r="J128" s="3">
        <f>p_B!J128^2</f>
        <v>1.3795235815947863E-4</v>
      </c>
      <c r="K128" s="3">
        <f>p_B!K128^2</f>
        <v>0</v>
      </c>
      <c r="L128" s="3">
        <f>p_B!L128^2</f>
        <v>0</v>
      </c>
      <c r="M128" s="3">
        <f>p_B!M128^2</f>
        <v>0</v>
      </c>
      <c r="N128" s="3">
        <f>p_B!N128^2</f>
        <v>0</v>
      </c>
      <c r="O128" s="3">
        <f>p_B!O128^2</f>
        <v>5.7134100689256524E-4</v>
      </c>
      <c r="P128" s="3">
        <f>p_B!P128^2</f>
        <v>0</v>
      </c>
      <c r="Q128" s="3">
        <f>p_B!Q128^2</f>
        <v>0.18979820285314689</v>
      </c>
      <c r="R128" s="3">
        <f>p_B!R128^2</f>
        <v>0</v>
      </c>
      <c r="S128" s="3">
        <f>p_B!S128^2</f>
        <v>0</v>
      </c>
      <c r="T128" s="3">
        <f>p_B!T128^2</f>
        <v>0</v>
      </c>
      <c r="U128" s="3">
        <f>p_B!U128^2</f>
        <v>0</v>
      </c>
      <c r="V128" s="3">
        <f>p_B!V128^2</f>
        <v>0</v>
      </c>
      <c r="W128" s="3">
        <f>p_B!W128^2</f>
        <v>0</v>
      </c>
      <c r="X128" s="3">
        <f>p_B!X128^2</f>
        <v>7.5793653843353101E-5</v>
      </c>
      <c r="Y128" s="3">
        <f>p_B!Y128^2</f>
        <v>0</v>
      </c>
      <c r="Z128" s="3">
        <f>p_B!Z128^2</f>
        <v>0</v>
      </c>
      <c r="AA128" s="3">
        <f>p_B!AA128^2</f>
        <v>0</v>
      </c>
    </row>
    <row r="129" spans="2:27" x14ac:dyDescent="0.25">
      <c r="B129" s="3">
        <f>p_B!B129^2</f>
        <v>0</v>
      </c>
      <c r="C129" s="3">
        <f>p_B!C129^2</f>
        <v>0.51404999756068992</v>
      </c>
      <c r="D129" s="3">
        <f>p_B!D129^2</f>
        <v>0</v>
      </c>
      <c r="E129" s="3">
        <f>p_B!E129^2</f>
        <v>0</v>
      </c>
      <c r="F129" s="3">
        <f>p_B!F129^2</f>
        <v>0</v>
      </c>
      <c r="G129" s="3">
        <f>p_B!G129^2</f>
        <v>0</v>
      </c>
      <c r="H129" s="3">
        <f>p_B!H129^2</f>
        <v>0</v>
      </c>
      <c r="I129" s="3">
        <f>p_B!I129^2</f>
        <v>1.6395938592269745E-4</v>
      </c>
      <c r="J129" s="3">
        <f>p_B!J129^2</f>
        <v>1.4858288089640848E-3</v>
      </c>
      <c r="K129" s="3">
        <f>p_B!K129^2</f>
        <v>0</v>
      </c>
      <c r="L129" s="3">
        <f>p_B!L129^2</f>
        <v>0</v>
      </c>
      <c r="M129" s="3">
        <f>p_B!M129^2</f>
        <v>0</v>
      </c>
      <c r="N129" s="3">
        <f>p_B!N129^2</f>
        <v>0</v>
      </c>
      <c r="O129" s="3">
        <f>p_B!O129^2</f>
        <v>3.3092891800311951E-4</v>
      </c>
      <c r="P129" s="3">
        <f>p_B!P129^2</f>
        <v>0</v>
      </c>
      <c r="Q129" s="3">
        <f>p_B!Q129^2</f>
        <v>0</v>
      </c>
      <c r="R129" s="3">
        <f>p_B!R129^2</f>
        <v>0</v>
      </c>
      <c r="S129" s="3">
        <f>p_B!S129^2</f>
        <v>0</v>
      </c>
      <c r="T129" s="3">
        <f>p_B!T129^2</f>
        <v>0</v>
      </c>
      <c r="U129" s="3">
        <f>p_B!U129^2</f>
        <v>0</v>
      </c>
      <c r="V129" s="3">
        <f>p_B!V129^2</f>
        <v>0</v>
      </c>
      <c r="W129" s="3">
        <f>p_B!W129^2</f>
        <v>0</v>
      </c>
      <c r="X129" s="3">
        <f>p_B!X129^2</f>
        <v>0</v>
      </c>
      <c r="Y129" s="3">
        <f>p_B!Y129^2</f>
        <v>1.4212412882003098E-6</v>
      </c>
      <c r="Z129" s="3">
        <f>p_B!Z129^2</f>
        <v>0</v>
      </c>
      <c r="AA129" s="3">
        <f>p_B!AA129^2</f>
        <v>0</v>
      </c>
    </row>
    <row r="130" spans="2:27" x14ac:dyDescent="0.25">
      <c r="B130" s="3">
        <f>p_B!B130^2</f>
        <v>0.15049048751486327</v>
      </c>
      <c r="C130" s="3">
        <f>p_B!C130^2</f>
        <v>0</v>
      </c>
      <c r="D130" s="3">
        <f>p_B!D130^2</f>
        <v>0</v>
      </c>
      <c r="E130" s="3">
        <f>p_B!E130^2</f>
        <v>7.1373365041617195E-3</v>
      </c>
      <c r="F130" s="3">
        <f>p_B!F130^2</f>
        <v>0</v>
      </c>
      <c r="G130" s="3">
        <f>p_B!G130^2</f>
        <v>0</v>
      </c>
      <c r="H130" s="3">
        <f>p_B!H130^2</f>
        <v>0</v>
      </c>
      <c r="I130" s="3">
        <f>p_B!I130^2</f>
        <v>0</v>
      </c>
      <c r="J130" s="3">
        <f>p_B!J130^2</f>
        <v>0</v>
      </c>
      <c r="K130" s="3">
        <f>p_B!K130^2</f>
        <v>0</v>
      </c>
      <c r="L130" s="3">
        <f>p_B!L130^2</f>
        <v>0</v>
      </c>
      <c r="M130" s="3">
        <f>p_B!M130^2</f>
        <v>0</v>
      </c>
      <c r="N130" s="3">
        <f>p_B!N130^2</f>
        <v>5.579369797859688E-2</v>
      </c>
      <c r="O130" s="3">
        <f>p_B!O130^2</f>
        <v>0</v>
      </c>
      <c r="P130" s="3">
        <f>p_B!P130^2</f>
        <v>0</v>
      </c>
      <c r="Q130" s="3">
        <f>p_B!Q130^2</f>
        <v>0</v>
      </c>
      <c r="R130" s="3">
        <f>p_B!R130^2</f>
        <v>0</v>
      </c>
      <c r="S130" s="3">
        <f>p_B!S130^2</f>
        <v>0</v>
      </c>
      <c r="T130" s="3">
        <f>p_B!T130^2</f>
        <v>0</v>
      </c>
      <c r="U130" s="3">
        <f>p_B!U130^2</f>
        <v>0</v>
      </c>
      <c r="V130" s="3">
        <f>p_B!V130^2</f>
        <v>0</v>
      </c>
      <c r="W130" s="3">
        <f>p_B!W130^2</f>
        <v>0</v>
      </c>
      <c r="X130" s="3">
        <f>p_B!X130^2</f>
        <v>9.6313912009512678E-4</v>
      </c>
      <c r="Y130" s="3">
        <f>p_B!Y130^2</f>
        <v>0</v>
      </c>
      <c r="Z130" s="3">
        <f>p_B!Z130^2</f>
        <v>0</v>
      </c>
      <c r="AA130" s="3">
        <f>p_B!AA130^2</f>
        <v>0</v>
      </c>
    </row>
    <row r="131" spans="2:27" x14ac:dyDescent="0.25">
      <c r="B131" s="3">
        <f>p_B!B131^2</f>
        <v>0</v>
      </c>
      <c r="C131" s="3">
        <f>p_B!C131^2</f>
        <v>0</v>
      </c>
      <c r="D131" s="3">
        <f>p_B!D131^2</f>
        <v>0</v>
      </c>
      <c r="E131" s="3">
        <f>p_B!E131^2</f>
        <v>0</v>
      </c>
      <c r="F131" s="3">
        <f>p_B!F131^2</f>
        <v>0.62671414984470353</v>
      </c>
      <c r="G131" s="3">
        <f>p_B!G131^2</f>
        <v>0</v>
      </c>
      <c r="H131" s="3">
        <f>p_B!H131^2</f>
        <v>0</v>
      </c>
      <c r="I131" s="3">
        <f>p_B!I131^2</f>
        <v>2.8541200503190601E-4</v>
      </c>
      <c r="J131" s="3">
        <f>p_B!J131^2</f>
        <v>6.3962721808117368E-3</v>
      </c>
      <c r="K131" s="3">
        <f>p_B!K131^2</f>
        <v>0</v>
      </c>
      <c r="L131" s="3">
        <f>p_B!L131^2</f>
        <v>0</v>
      </c>
      <c r="M131" s="3">
        <f>p_B!M131^2</f>
        <v>0</v>
      </c>
      <c r="N131" s="3">
        <f>p_B!N131^2</f>
        <v>0</v>
      </c>
      <c r="O131" s="3">
        <f>p_B!O131^2</f>
        <v>1.6639625860592458E-6</v>
      </c>
      <c r="P131" s="3">
        <f>p_B!P131^2</f>
        <v>0</v>
      </c>
      <c r="Q131" s="3">
        <f>p_B!Q131^2</f>
        <v>1.0726794547460911E-2</v>
      </c>
      <c r="R131" s="3">
        <f>p_B!R131^2</f>
        <v>0</v>
      </c>
      <c r="S131" s="3">
        <f>p_B!S131^2</f>
        <v>0</v>
      </c>
      <c r="T131" s="3">
        <f>p_B!T131^2</f>
        <v>0</v>
      </c>
      <c r="U131" s="3">
        <f>p_B!U131^2</f>
        <v>0</v>
      </c>
      <c r="V131" s="3">
        <f>p_B!V131^2</f>
        <v>0</v>
      </c>
      <c r="W131" s="3">
        <f>p_B!W131^2</f>
        <v>0</v>
      </c>
      <c r="X131" s="3">
        <f>p_B!X131^2</f>
        <v>0</v>
      </c>
      <c r="Y131" s="3">
        <f>p_B!Y131^2</f>
        <v>0</v>
      </c>
      <c r="Z131" s="3">
        <f>p_B!Z131^2</f>
        <v>0</v>
      </c>
      <c r="AA131" s="3">
        <f>p_B!AA131^2</f>
        <v>9.7396353242281573E-6</v>
      </c>
    </row>
    <row r="132" spans="2:27" x14ac:dyDescent="0.25">
      <c r="B132" s="3">
        <f>p_B!B132^2</f>
        <v>0</v>
      </c>
      <c r="C132" s="3">
        <f>p_B!C132^2</f>
        <v>0</v>
      </c>
      <c r="D132" s="3">
        <f>p_B!D132^2</f>
        <v>0</v>
      </c>
      <c r="E132" s="3">
        <f>p_B!E132^2</f>
        <v>0</v>
      </c>
      <c r="F132" s="3">
        <f>p_B!F132^2</f>
        <v>0.45037599262424671</v>
      </c>
      <c r="G132" s="3">
        <f>p_B!G132^2</f>
        <v>0</v>
      </c>
      <c r="H132" s="3">
        <f>p_B!H132^2</f>
        <v>0</v>
      </c>
      <c r="I132" s="3">
        <f>p_B!I132^2</f>
        <v>0</v>
      </c>
      <c r="J132" s="3">
        <f>p_B!J132^2</f>
        <v>3.0472130022354632E-2</v>
      </c>
      <c r="K132" s="3">
        <f>p_B!K132^2</f>
        <v>0</v>
      </c>
      <c r="L132" s="3">
        <f>p_B!L132^2</f>
        <v>0</v>
      </c>
      <c r="M132" s="3">
        <f>p_B!M132^2</f>
        <v>0</v>
      </c>
      <c r="N132" s="3">
        <f>p_B!N132^2</f>
        <v>1.1986130353849156E-5</v>
      </c>
      <c r="O132" s="3">
        <f>p_B!O132^2</f>
        <v>0</v>
      </c>
      <c r="P132" s="3">
        <f>p_B!P132^2</f>
        <v>0</v>
      </c>
      <c r="Q132" s="3">
        <f>p_B!Q132^2</f>
        <v>7.9394334524730339E-3</v>
      </c>
      <c r="R132" s="3">
        <f>p_B!R132^2</f>
        <v>0</v>
      </c>
      <c r="S132" s="3">
        <f>p_B!S132^2</f>
        <v>0</v>
      </c>
      <c r="T132" s="3">
        <f>p_B!T132^2</f>
        <v>0</v>
      </c>
      <c r="U132" s="3">
        <f>p_B!U132^2</f>
        <v>0</v>
      </c>
      <c r="V132" s="3">
        <f>p_B!V132^2</f>
        <v>0</v>
      </c>
      <c r="W132" s="3">
        <f>p_B!W132^2</f>
        <v>0</v>
      </c>
      <c r="X132" s="3">
        <f>p_B!X132^2</f>
        <v>0</v>
      </c>
      <c r="Y132" s="3">
        <f>p_B!Y132^2</f>
        <v>0</v>
      </c>
      <c r="Z132" s="3">
        <f>p_B!Z132^2</f>
        <v>0</v>
      </c>
      <c r="AA132" s="3">
        <f>p_B!AA132^2</f>
        <v>2.0751610723423065E-5</v>
      </c>
    </row>
  </sheetData>
  <phoneticPr fontId="1" type="noConversion"/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E3C49B-79FA-49E5-864F-89AC7FF39627}">
  <dimension ref="A1:AA132"/>
  <sheetViews>
    <sheetView topLeftCell="A112" zoomScaleNormal="100" workbookViewId="0">
      <selection activeCell="M142" sqref="M142"/>
    </sheetView>
  </sheetViews>
  <sheetFormatPr defaultRowHeight="15" x14ac:dyDescent="0.25"/>
  <sheetData>
    <row r="1" spans="1:27" x14ac:dyDescent="0.25">
      <c r="A1" t="s">
        <v>0</v>
      </c>
      <c r="B1" t="s">
        <v>4</v>
      </c>
      <c r="C1" t="s">
        <v>26</v>
      </c>
      <c r="D1" t="s">
        <v>9</v>
      </c>
      <c r="E1" t="s">
        <v>5</v>
      </c>
      <c r="F1" t="s">
        <v>6</v>
      </c>
      <c r="G1" t="s">
        <v>7</v>
      </c>
      <c r="H1" t="s">
        <v>69</v>
      </c>
      <c r="I1" t="s">
        <v>8</v>
      </c>
      <c r="J1" t="s">
        <v>10</v>
      </c>
      <c r="K1" t="s">
        <v>39</v>
      </c>
      <c r="L1" t="s">
        <v>28</v>
      </c>
      <c r="M1" t="s">
        <v>29</v>
      </c>
      <c r="N1" t="s">
        <v>30</v>
      </c>
      <c r="O1" t="s">
        <v>36</v>
      </c>
      <c r="P1" t="s">
        <v>58</v>
      </c>
      <c r="Q1" t="s">
        <v>68</v>
      </c>
      <c r="R1" t="s">
        <v>81</v>
      </c>
      <c r="S1" t="s">
        <v>82</v>
      </c>
      <c r="T1" t="s">
        <v>98</v>
      </c>
      <c r="U1" t="s">
        <v>102</v>
      </c>
      <c r="V1" t="s">
        <v>112</v>
      </c>
      <c r="X1" t="s">
        <v>119</v>
      </c>
      <c r="Y1" t="s">
        <v>126</v>
      </c>
      <c r="Z1" t="s">
        <v>127</v>
      </c>
    </row>
    <row r="2" spans="1:27" x14ac:dyDescent="0.25">
      <c r="A2" t="s">
        <v>11</v>
      </c>
      <c r="B2" s="3">
        <f>IF(ISNUMBER(p_B!B2*LN(p_B!B2)),p_B!B2*LN(p_B!B2),0)</f>
        <v>-0.35774902507538908</v>
      </c>
      <c r="C2" s="3">
        <f>IF(ISNUMBER(p_B!C2*LN(p_B!C2)),p_B!C2*LN(p_B!C2),0)</f>
        <v>-0.33581346113308402</v>
      </c>
      <c r="D2" s="3">
        <f>IF(ISNUMBER(p_B!D2*LN(p_B!D2)),p_B!D2*LN(p_B!D2),0)</f>
        <v>0</v>
      </c>
      <c r="E2" s="3">
        <f>IF(ISNUMBER(p_B!E2*LN(p_B!E2)),p_B!E2*LN(p_B!E2),0)</f>
        <v>0</v>
      </c>
      <c r="F2" s="3">
        <f>IF(ISNUMBER(p_B!F2*LN(p_B!F2)),p_B!F2*LN(p_B!F2),0)</f>
        <v>0</v>
      </c>
      <c r="G2" s="3">
        <f>IF(ISNUMBER(p_B!G2*LN(p_B!G2)),p_B!G2*LN(p_B!G2),0)</f>
        <v>0</v>
      </c>
      <c r="H2" s="3">
        <f>IF(ISNUMBER(p_B!H2*LN(p_B!H2)),p_B!H2*LN(p_B!H2),0)</f>
        <v>0</v>
      </c>
      <c r="I2" s="3">
        <f>IF(ISNUMBER(p_B!I2*LN(p_B!I2)),p_B!I2*LN(p_B!I2),0)</f>
        <v>0</v>
      </c>
      <c r="J2" s="3">
        <f>IF(ISNUMBER(p_B!J2*LN(p_B!J2)),p_B!J2*LN(p_B!J2),0)</f>
        <v>-4.8339607677798352E-2</v>
      </c>
      <c r="K2" s="3">
        <f>IF(ISNUMBER(p_B!K2*LN(p_B!K2)),p_B!K2*LN(p_B!K2),0)</f>
        <v>0</v>
      </c>
      <c r="L2" s="3">
        <f>IF(ISNUMBER(p_B!L2*LN(p_B!L2)),p_B!L2*LN(p_B!L2),0)</f>
        <v>0</v>
      </c>
      <c r="M2" s="3">
        <f>IF(ISNUMBER(p_B!M2*LN(p_B!M2)),p_B!M2*LN(p_B!M2),0)</f>
        <v>0</v>
      </c>
      <c r="N2" s="3">
        <f>IF(ISNUMBER(p_B!N2*LN(p_B!N2)),p_B!N2*LN(p_B!N2),0)</f>
        <v>0</v>
      </c>
      <c r="O2" s="3">
        <f>IF(ISNUMBER(p_B!O2*LN(p_B!O2)),p_B!O2*LN(p_B!O2),0)</f>
        <v>0</v>
      </c>
      <c r="P2" s="3">
        <f>IF(ISNUMBER(p_B!P2*LN(p_B!P2)),p_B!P2*LN(p_B!P2),0)</f>
        <v>0</v>
      </c>
      <c r="Q2" s="3">
        <f>IF(ISNUMBER(p_B!Q2*LN(p_B!Q2)),p_B!Q2*LN(p_B!Q2),0)</f>
        <v>0</v>
      </c>
      <c r="R2" s="3">
        <f>IF(ISNUMBER(p_B!R2*LN(p_B!R2)),p_B!R2*LN(p_B!R2),0)</f>
        <v>0</v>
      </c>
      <c r="S2" s="3">
        <f>IF(ISNUMBER(p_B!S2*LN(p_B!S2)),p_B!S2*LN(p_B!S2),0)</f>
        <v>0</v>
      </c>
      <c r="T2" s="3">
        <f>IF(ISNUMBER(p_B!T2*LN(p_B!T2)),p_B!T2*LN(p_B!T2),0)</f>
        <v>0</v>
      </c>
      <c r="U2" s="3">
        <f>IF(ISNUMBER(p_B!U2*LN(p_B!U2)),p_B!U2*LN(p_B!U2),0)</f>
        <v>0</v>
      </c>
      <c r="V2" s="3">
        <f>IF(ISNUMBER(p_B!V2*LN(p_B!V2)),p_B!V2*LN(p_B!V2),0)</f>
        <v>0</v>
      </c>
      <c r="W2" s="3">
        <f>IF(ISNUMBER(p_B!W2*LN(p_B!W2)),p_B!W2*LN(p_B!W2),0)</f>
        <v>0</v>
      </c>
      <c r="X2" s="3">
        <f>IF(ISNUMBER(p_B!X2*LN(p_B!X2)),p_B!X2*LN(p_B!X2),0)</f>
        <v>0</v>
      </c>
      <c r="Y2" s="3">
        <f>IF(ISNUMBER(p_B!Y2*LN(p_B!Y2)),p_B!Y2*LN(p_B!Y2),0)</f>
        <v>0</v>
      </c>
      <c r="Z2" s="3">
        <f>IF(ISNUMBER(p_B!Z2*LN(p_B!Z2)),p_B!Z2*LN(p_B!Z2),0)</f>
        <v>0</v>
      </c>
      <c r="AA2" s="3">
        <f>IF(ISNUMBER(p_B!AA2*LN(p_B!AA2)),p_B!AA2*LN(p_B!AA2),0)</f>
        <v>0</v>
      </c>
    </row>
    <row r="3" spans="1:27" x14ac:dyDescent="0.25">
      <c r="A3" t="s">
        <v>12</v>
      </c>
      <c r="B3" s="3">
        <f>IF(ISNUMBER(p_B!B3*LN(p_B!B3)),p_B!B3*LN(p_B!B3),0)</f>
        <v>-0.34235398695709413</v>
      </c>
      <c r="C3" s="3">
        <f>IF(ISNUMBER(p_B!C3*LN(p_B!C3)),p_B!C3*LN(p_B!C3),0)</f>
        <v>-0.20831087334265552</v>
      </c>
      <c r="D3" s="3">
        <f>IF(ISNUMBER(p_B!D3*LN(p_B!D3)),p_B!D3*LN(p_B!D3),0)</f>
        <v>0</v>
      </c>
      <c r="E3" s="3">
        <f>IF(ISNUMBER(p_B!E3*LN(p_B!E3)),p_B!E3*LN(p_B!E3),0)</f>
        <v>0</v>
      </c>
      <c r="F3" s="3">
        <f>IF(ISNUMBER(p_B!F3*LN(p_B!F3)),p_B!F3*LN(p_B!F3),0)</f>
        <v>0</v>
      </c>
      <c r="G3" s="3">
        <f>IF(ISNUMBER(p_B!G3*LN(p_B!G3)),p_B!G3*LN(p_B!G3),0)</f>
        <v>0</v>
      </c>
      <c r="H3" s="3">
        <f>IF(ISNUMBER(p_B!H3*LN(p_B!H3)),p_B!H3*LN(p_B!H3),0)</f>
        <v>0</v>
      </c>
      <c r="I3" s="3">
        <f>IF(ISNUMBER(p_B!I3*LN(p_B!I3)),p_B!I3*LN(p_B!I3),0)</f>
        <v>0</v>
      </c>
      <c r="J3" s="3">
        <f>IF(ISNUMBER(p_B!J3*LN(p_B!J3)),p_B!J3*LN(p_B!J3),0)</f>
        <v>0</v>
      </c>
      <c r="K3" s="3">
        <f>IF(ISNUMBER(p_B!K3*LN(p_B!K3)),p_B!K3*LN(p_B!K3),0)</f>
        <v>0</v>
      </c>
      <c r="L3" s="3">
        <f>IF(ISNUMBER(p_B!L3*LN(p_B!L3)),p_B!L3*LN(p_B!L3),0)</f>
        <v>0</v>
      </c>
      <c r="M3" s="3">
        <f>IF(ISNUMBER(p_B!M3*LN(p_B!M3)),p_B!M3*LN(p_B!M3),0)</f>
        <v>0</v>
      </c>
      <c r="N3" s="3">
        <f>IF(ISNUMBER(p_B!N3*LN(p_B!N3)),p_B!N3*LN(p_B!N3),0)</f>
        <v>0</v>
      </c>
      <c r="O3" s="3">
        <f>IF(ISNUMBER(p_B!O3*LN(p_B!O3)),p_B!O3*LN(p_B!O3),0)</f>
        <v>0</v>
      </c>
      <c r="P3" s="3">
        <f>IF(ISNUMBER(p_B!P3*LN(p_B!P3)),p_B!P3*LN(p_B!P3),0)</f>
        <v>0</v>
      </c>
      <c r="Q3" s="3">
        <f>IF(ISNUMBER(p_B!Q3*LN(p_B!Q3)),p_B!Q3*LN(p_B!Q3),0)</f>
        <v>0</v>
      </c>
      <c r="R3" s="3">
        <f>IF(ISNUMBER(p_B!R3*LN(p_B!R3)),p_B!R3*LN(p_B!R3),0)</f>
        <v>0</v>
      </c>
      <c r="S3" s="3">
        <f>IF(ISNUMBER(p_B!S3*LN(p_B!S3)),p_B!S3*LN(p_B!S3),0)</f>
        <v>0</v>
      </c>
      <c r="T3" s="3">
        <f>IF(ISNUMBER(p_B!T3*LN(p_B!T3)),p_B!T3*LN(p_B!T3),0)</f>
        <v>0</v>
      </c>
      <c r="U3" s="3">
        <f>IF(ISNUMBER(p_B!U3*LN(p_B!U3)),p_B!U3*LN(p_B!U3),0)</f>
        <v>0</v>
      </c>
      <c r="V3" s="3">
        <f>IF(ISNUMBER(p_B!V3*LN(p_B!V3)),p_B!V3*LN(p_B!V3),0)</f>
        <v>0</v>
      </c>
      <c r="W3" s="3">
        <f>IF(ISNUMBER(p_B!W3*LN(p_B!W3)),p_B!W3*LN(p_B!W3),0)</f>
        <v>0</v>
      </c>
      <c r="X3" s="3">
        <f>IF(ISNUMBER(p_B!X3*LN(p_B!X3)),p_B!X3*LN(p_B!X3),0)</f>
        <v>0</v>
      </c>
      <c r="Y3" s="3">
        <f>IF(ISNUMBER(p_B!Y3*LN(p_B!Y3)),p_B!Y3*LN(p_B!Y3),0)</f>
        <v>0</v>
      </c>
      <c r="Z3" s="3">
        <f>IF(ISNUMBER(p_B!Z3*LN(p_B!Z3)),p_B!Z3*LN(p_B!Z3),0)</f>
        <v>0</v>
      </c>
      <c r="AA3" s="3">
        <f>IF(ISNUMBER(p_B!AA3*LN(p_B!AA3)),p_B!AA3*LN(p_B!AA3),0)</f>
        <v>0</v>
      </c>
    </row>
    <row r="4" spans="1:27" x14ac:dyDescent="0.25">
      <c r="A4" t="s">
        <v>13</v>
      </c>
      <c r="B4" s="3">
        <f>IF(ISNUMBER(p_B!B4*LN(p_B!B4)),p_B!B4*LN(p_B!B4),0)</f>
        <v>-0.31947693671249866</v>
      </c>
      <c r="C4" s="3">
        <f>IF(ISNUMBER(p_B!C4*LN(p_B!C4)),p_B!C4*LN(p_B!C4),0)</f>
        <v>-0.36367654841862962</v>
      </c>
      <c r="D4" s="3">
        <f>IF(ISNUMBER(p_B!D4*LN(p_B!D4)),p_B!D4*LN(p_B!D4),0)</f>
        <v>0</v>
      </c>
      <c r="E4" s="3">
        <f>IF(ISNUMBER(p_B!E4*LN(p_B!E4)),p_B!E4*LN(p_B!E4),0)</f>
        <v>0</v>
      </c>
      <c r="F4" s="3">
        <f>IF(ISNUMBER(p_B!F4*LN(p_B!F4)),p_B!F4*LN(p_B!F4),0)</f>
        <v>0</v>
      </c>
      <c r="G4" s="3">
        <f>IF(ISNUMBER(p_B!G4*LN(p_B!G4)),p_B!G4*LN(p_B!G4),0)</f>
        <v>0</v>
      </c>
      <c r="H4" s="3">
        <f>IF(ISNUMBER(p_B!H4*LN(p_B!H4)),p_B!H4*LN(p_B!H4),0)</f>
        <v>0</v>
      </c>
      <c r="I4" s="3">
        <f>IF(ISNUMBER(p_B!I4*LN(p_B!I4)),p_B!I4*LN(p_B!I4),0)</f>
        <v>0</v>
      </c>
      <c r="J4" s="3">
        <f>IF(ISNUMBER(p_B!J4*LN(p_B!J4)),p_B!J4*LN(p_B!J4),0)</f>
        <v>-1.7480988040899433E-2</v>
      </c>
      <c r="K4" s="3">
        <f>IF(ISNUMBER(p_B!K4*LN(p_B!K4)),p_B!K4*LN(p_B!K4),0)</f>
        <v>0</v>
      </c>
      <c r="L4" s="3">
        <f>IF(ISNUMBER(p_B!L4*LN(p_B!L4)),p_B!L4*LN(p_B!L4),0)</f>
        <v>0</v>
      </c>
      <c r="M4" s="3">
        <f>IF(ISNUMBER(p_B!M4*LN(p_B!M4)),p_B!M4*LN(p_B!M4),0)</f>
        <v>0</v>
      </c>
      <c r="N4" s="3">
        <f>IF(ISNUMBER(p_B!N4*LN(p_B!N4)),p_B!N4*LN(p_B!N4),0)</f>
        <v>0</v>
      </c>
      <c r="O4" s="3">
        <f>IF(ISNUMBER(p_B!O4*LN(p_B!O4)),p_B!O4*LN(p_B!O4),0)</f>
        <v>0</v>
      </c>
      <c r="P4" s="3">
        <f>IF(ISNUMBER(p_B!P4*LN(p_B!P4)),p_B!P4*LN(p_B!P4),0)</f>
        <v>0</v>
      </c>
      <c r="Q4" s="3">
        <f>IF(ISNUMBER(p_B!Q4*LN(p_B!Q4)),p_B!Q4*LN(p_B!Q4),0)</f>
        <v>0</v>
      </c>
      <c r="R4" s="3">
        <f>IF(ISNUMBER(p_B!R4*LN(p_B!R4)),p_B!R4*LN(p_B!R4),0)</f>
        <v>0</v>
      </c>
      <c r="S4" s="3">
        <f>IF(ISNUMBER(p_B!S4*LN(p_B!S4)),p_B!S4*LN(p_B!S4),0)</f>
        <v>0</v>
      </c>
      <c r="T4" s="3">
        <f>IF(ISNUMBER(p_B!T4*LN(p_B!T4)),p_B!T4*LN(p_B!T4),0)</f>
        <v>0</v>
      </c>
      <c r="U4" s="3">
        <f>IF(ISNUMBER(p_B!U4*LN(p_B!U4)),p_B!U4*LN(p_B!U4),0)</f>
        <v>0</v>
      </c>
      <c r="V4" s="3">
        <f>IF(ISNUMBER(p_B!V4*LN(p_B!V4)),p_B!V4*LN(p_B!V4),0)</f>
        <v>0</v>
      </c>
      <c r="W4" s="3">
        <f>IF(ISNUMBER(p_B!W4*LN(p_B!W4)),p_B!W4*LN(p_B!W4),0)</f>
        <v>0</v>
      </c>
      <c r="X4" s="3">
        <f>IF(ISNUMBER(p_B!X4*LN(p_B!X4)),p_B!X4*LN(p_B!X4),0)</f>
        <v>0</v>
      </c>
      <c r="Y4" s="3">
        <f>IF(ISNUMBER(p_B!Y4*LN(p_B!Y4)),p_B!Y4*LN(p_B!Y4),0)</f>
        <v>0</v>
      </c>
      <c r="Z4" s="3">
        <f>IF(ISNUMBER(p_B!Z4*LN(p_B!Z4)),p_B!Z4*LN(p_B!Z4),0)</f>
        <v>0</v>
      </c>
      <c r="AA4" s="3">
        <f>IF(ISNUMBER(p_B!AA4*LN(p_B!AA4)),p_B!AA4*LN(p_B!AA4),0)</f>
        <v>0</v>
      </c>
    </row>
    <row r="5" spans="1:27" x14ac:dyDescent="0.25">
      <c r="A5" t="s">
        <v>14</v>
      </c>
      <c r="B5" s="3">
        <f>IF(ISNUMBER(p_B!B5*LN(p_B!B5)),p_B!B5*LN(p_B!B5),0)</f>
        <v>-9.1830284206323817E-2</v>
      </c>
      <c r="C5" s="3">
        <f>IF(ISNUMBER(p_B!C5*LN(p_B!C5)),p_B!C5*LN(p_B!C5),0)</f>
        <v>-5.7653384577024624E-2</v>
      </c>
      <c r="D5" s="3">
        <f>IF(ISNUMBER(p_B!D5*LN(p_B!D5)),p_B!D5*LN(p_B!D5),0)</f>
        <v>-4.2533206051188953E-2</v>
      </c>
      <c r="E5" s="3">
        <f>IF(ISNUMBER(p_B!E5*LN(p_B!E5)),p_B!E5*LN(p_B!E5),0)</f>
        <v>0</v>
      </c>
      <c r="F5" s="3">
        <f>IF(ISNUMBER(p_B!F5*LN(p_B!F5)),p_B!F5*LN(p_B!F5),0)</f>
        <v>0</v>
      </c>
      <c r="G5" s="3">
        <f>IF(ISNUMBER(p_B!G5*LN(p_B!G5)),p_B!G5*LN(p_B!G5),0)</f>
        <v>0</v>
      </c>
      <c r="H5" s="3">
        <f>IF(ISNUMBER(p_B!H5*LN(p_B!H5)),p_B!H5*LN(p_B!H5),0)</f>
        <v>0</v>
      </c>
      <c r="I5" s="3">
        <f>IF(ISNUMBER(p_B!I5*LN(p_B!I5)),p_B!I5*LN(p_B!I5),0)</f>
        <v>0</v>
      </c>
      <c r="J5" s="3">
        <f>IF(ISNUMBER(p_B!J5*LN(p_B!J5)),p_B!J5*LN(p_B!J5),0)</f>
        <v>0</v>
      </c>
      <c r="K5" s="3">
        <f>IF(ISNUMBER(p_B!K5*LN(p_B!K5)),p_B!K5*LN(p_B!K5),0)</f>
        <v>0</v>
      </c>
      <c r="L5" s="3">
        <f>IF(ISNUMBER(p_B!L5*LN(p_B!L5)),p_B!L5*LN(p_B!L5),0)</f>
        <v>0</v>
      </c>
      <c r="M5" s="3">
        <f>IF(ISNUMBER(p_B!M5*LN(p_B!M5)),p_B!M5*LN(p_B!M5),0)</f>
        <v>-0.19183314631368048</v>
      </c>
      <c r="N5" s="3">
        <f>IF(ISNUMBER(p_B!N5*LN(p_B!N5)),p_B!N5*LN(p_B!N5),0)</f>
        <v>0</v>
      </c>
      <c r="O5" s="3">
        <f>IF(ISNUMBER(p_B!O5*LN(p_B!O5)),p_B!O5*LN(p_B!O5),0)</f>
        <v>0</v>
      </c>
      <c r="P5" s="3">
        <f>IF(ISNUMBER(p_B!P5*LN(p_B!P5)),p_B!P5*LN(p_B!P5),0)</f>
        <v>0</v>
      </c>
      <c r="Q5" s="3">
        <f>IF(ISNUMBER(p_B!Q5*LN(p_B!Q5)),p_B!Q5*LN(p_B!Q5),0)</f>
        <v>0</v>
      </c>
      <c r="R5" s="3">
        <f>IF(ISNUMBER(p_B!R5*LN(p_B!R5)),p_B!R5*LN(p_B!R5),0)</f>
        <v>-5.6178693504319666E-3</v>
      </c>
      <c r="S5" s="3">
        <f>IF(ISNUMBER(p_B!S5*LN(p_B!S5)),p_B!S5*LN(p_B!S5),0)</f>
        <v>0</v>
      </c>
      <c r="T5" s="3">
        <f>IF(ISNUMBER(p_B!T5*LN(p_B!T5)),p_B!T5*LN(p_B!T5),0)</f>
        <v>0</v>
      </c>
      <c r="U5" s="3">
        <f>IF(ISNUMBER(p_B!U5*LN(p_B!U5)),p_B!U5*LN(p_B!U5),0)</f>
        <v>0</v>
      </c>
      <c r="V5" s="3">
        <f>IF(ISNUMBER(p_B!V5*LN(p_B!V5)),p_B!V5*LN(p_B!V5),0)</f>
        <v>0</v>
      </c>
      <c r="W5" s="3">
        <f>IF(ISNUMBER(p_B!W5*LN(p_B!W5)),p_B!W5*LN(p_B!W5),0)</f>
        <v>0</v>
      </c>
      <c r="X5" s="3">
        <f>IF(ISNUMBER(p_B!X5*LN(p_B!X5)),p_B!X5*LN(p_B!X5),0)</f>
        <v>0</v>
      </c>
      <c r="Y5" s="3">
        <f>IF(ISNUMBER(p_B!Y5*LN(p_B!Y5)),p_B!Y5*LN(p_B!Y5),0)</f>
        <v>0</v>
      </c>
      <c r="Z5" s="3">
        <f>IF(ISNUMBER(p_B!Z5*LN(p_B!Z5)),p_B!Z5*LN(p_B!Z5),0)</f>
        <v>0</v>
      </c>
      <c r="AA5" s="3">
        <f>IF(ISNUMBER(p_B!AA5*LN(p_B!AA5)),p_B!AA5*LN(p_B!AA5),0)</f>
        <v>0</v>
      </c>
    </row>
    <row r="6" spans="1:27" x14ac:dyDescent="0.25">
      <c r="A6" t="s">
        <v>15</v>
      </c>
      <c r="B6" s="3">
        <f>IF(ISNUMBER(p_B!B6*LN(p_B!B6)),p_B!B6*LN(p_B!B6),0)</f>
        <v>-4.6374601043737852E-3</v>
      </c>
      <c r="C6" s="3">
        <f>IF(ISNUMBER(p_B!C6*LN(p_B!C6)),p_B!C6*LN(p_B!C6),0)</f>
        <v>-2.4967111826540531E-2</v>
      </c>
      <c r="D6" s="3">
        <f>IF(ISNUMBER(p_B!D6*LN(p_B!D6)),p_B!D6*LN(p_B!D6),0)</f>
        <v>0</v>
      </c>
      <c r="E6" s="3">
        <f>IF(ISNUMBER(p_B!E6*LN(p_B!E6)),p_B!E6*LN(p_B!E6),0)</f>
        <v>0</v>
      </c>
      <c r="F6" s="3">
        <f>IF(ISNUMBER(p_B!F6*LN(p_B!F6)),p_B!F6*LN(p_B!F6),0)</f>
        <v>0</v>
      </c>
      <c r="G6" s="3">
        <f>IF(ISNUMBER(p_B!G6*LN(p_B!G6)),p_B!G6*LN(p_B!G6),0)</f>
        <v>0</v>
      </c>
      <c r="H6" s="3">
        <f>IF(ISNUMBER(p_B!H6*LN(p_B!H6)),p_B!H6*LN(p_B!H6),0)</f>
        <v>0</v>
      </c>
      <c r="I6" s="3">
        <f>IF(ISNUMBER(p_B!I6*LN(p_B!I6)),p_B!I6*LN(p_B!I6),0)</f>
        <v>0</v>
      </c>
      <c r="J6" s="3">
        <f>IF(ISNUMBER(p_B!J6*LN(p_B!J6)),p_B!J6*LN(p_B!J6),0)</f>
        <v>0</v>
      </c>
      <c r="K6" s="3">
        <f>IF(ISNUMBER(p_B!K6*LN(p_B!K6)),p_B!K6*LN(p_B!K6),0)</f>
        <v>0</v>
      </c>
      <c r="L6" s="3">
        <f>IF(ISNUMBER(p_B!L6*LN(p_B!L6)),p_B!L6*LN(p_B!L6),0)</f>
        <v>0</v>
      </c>
      <c r="M6" s="3">
        <f>IF(ISNUMBER(p_B!M6*LN(p_B!M6)),p_B!M6*LN(p_B!M6),0)</f>
        <v>0</v>
      </c>
      <c r="N6" s="3">
        <f>IF(ISNUMBER(p_B!N6*LN(p_B!N6)),p_B!N6*LN(p_B!N6),0)</f>
        <v>0</v>
      </c>
      <c r="O6" s="3">
        <f>IF(ISNUMBER(p_B!O6*LN(p_B!O6)),p_B!O6*LN(p_B!O6),0)</f>
        <v>0</v>
      </c>
      <c r="P6" s="3">
        <f>IF(ISNUMBER(p_B!P6*LN(p_B!P6)),p_B!P6*LN(p_B!P6),0)</f>
        <v>0</v>
      </c>
      <c r="Q6" s="3">
        <f>IF(ISNUMBER(p_B!Q6*LN(p_B!Q6)),p_B!Q6*LN(p_B!Q6),0)</f>
        <v>0</v>
      </c>
      <c r="R6" s="3">
        <f>IF(ISNUMBER(p_B!R6*LN(p_B!R6)),p_B!R6*LN(p_B!R6),0)</f>
        <v>0</v>
      </c>
      <c r="S6" s="3">
        <f>IF(ISNUMBER(p_B!S6*LN(p_B!S6)),p_B!S6*LN(p_B!S6),0)</f>
        <v>0</v>
      </c>
      <c r="T6" s="3">
        <f>IF(ISNUMBER(p_B!T6*LN(p_B!T6)),p_B!T6*LN(p_B!T6),0)</f>
        <v>0</v>
      </c>
      <c r="U6" s="3">
        <f>IF(ISNUMBER(p_B!U6*LN(p_B!U6)),p_B!U6*LN(p_B!U6),0)</f>
        <v>0</v>
      </c>
      <c r="V6" s="3">
        <f>IF(ISNUMBER(p_B!V6*LN(p_B!V6)),p_B!V6*LN(p_B!V6),0)</f>
        <v>0</v>
      </c>
      <c r="W6" s="3">
        <f>IF(ISNUMBER(p_B!W6*LN(p_B!W6)),p_B!W6*LN(p_B!W6),0)</f>
        <v>0</v>
      </c>
      <c r="X6" s="3">
        <f>IF(ISNUMBER(p_B!X6*LN(p_B!X6)),p_B!X6*LN(p_B!X6),0)</f>
        <v>0</v>
      </c>
      <c r="Y6" s="3">
        <f>IF(ISNUMBER(p_B!Y6*LN(p_B!Y6)),p_B!Y6*LN(p_B!Y6),0)</f>
        <v>0</v>
      </c>
      <c r="Z6" s="3">
        <f>IF(ISNUMBER(p_B!Z6*LN(p_B!Z6)),p_B!Z6*LN(p_B!Z6),0)</f>
        <v>0</v>
      </c>
      <c r="AA6" s="3">
        <f>IF(ISNUMBER(p_B!AA6*LN(p_B!AA6)),p_B!AA6*LN(p_B!AA6),0)</f>
        <v>0</v>
      </c>
    </row>
    <row r="7" spans="1:27" x14ac:dyDescent="0.25">
      <c r="A7" t="s">
        <v>16</v>
      </c>
      <c r="B7" s="3">
        <f>IF(ISNUMBER(p_B!B7*LN(p_B!B7)),p_B!B7*LN(p_B!B7),0)</f>
        <v>-0.36153300651523268</v>
      </c>
      <c r="C7" s="3">
        <f>IF(ISNUMBER(p_B!C7*LN(p_B!C7)),p_B!C7*LN(p_B!C7),0)</f>
        <v>-0.3239802172469366</v>
      </c>
      <c r="D7" s="3">
        <f>IF(ISNUMBER(p_B!D7*LN(p_B!D7)),p_B!D7*LN(p_B!D7),0)</f>
        <v>0</v>
      </c>
      <c r="E7" s="3">
        <f>IF(ISNUMBER(p_B!E7*LN(p_B!E7)),p_B!E7*LN(p_B!E7),0)</f>
        <v>0</v>
      </c>
      <c r="F7" s="3">
        <f>IF(ISNUMBER(p_B!F7*LN(p_B!F7)),p_B!F7*LN(p_B!F7),0)</f>
        <v>0</v>
      </c>
      <c r="G7" s="3">
        <f>IF(ISNUMBER(p_B!G7*LN(p_B!G7)),p_B!G7*LN(p_B!G7),0)</f>
        <v>0</v>
      </c>
      <c r="H7" s="3">
        <f>IF(ISNUMBER(p_B!H7*LN(p_B!H7)),p_B!H7*LN(p_B!H7),0)</f>
        <v>0</v>
      </c>
      <c r="I7" s="3">
        <f>IF(ISNUMBER(p_B!I7*LN(p_B!I7)),p_B!I7*LN(p_B!I7),0)</f>
        <v>0</v>
      </c>
      <c r="J7" s="3">
        <f>IF(ISNUMBER(p_B!J7*LN(p_B!J7)),p_B!J7*LN(p_B!J7),0)</f>
        <v>0</v>
      </c>
      <c r="K7" s="3">
        <f>IF(ISNUMBER(p_B!K7*LN(p_B!K7)),p_B!K7*LN(p_B!K7),0)</f>
        <v>0</v>
      </c>
      <c r="L7" s="3">
        <f>IF(ISNUMBER(p_B!L7*LN(p_B!L7)),p_B!L7*LN(p_B!L7),0)</f>
        <v>0</v>
      </c>
      <c r="M7" s="3">
        <f>IF(ISNUMBER(p_B!M7*LN(p_B!M7)),p_B!M7*LN(p_B!M7),0)</f>
        <v>0</v>
      </c>
      <c r="N7" s="3">
        <f>IF(ISNUMBER(p_B!N7*LN(p_B!N7)),p_B!N7*LN(p_B!N7),0)</f>
        <v>0</v>
      </c>
      <c r="O7" s="3">
        <f>IF(ISNUMBER(p_B!O7*LN(p_B!O7)),p_B!O7*LN(p_B!O7),0)</f>
        <v>0</v>
      </c>
      <c r="P7" s="3">
        <f>IF(ISNUMBER(p_B!P7*LN(p_B!P7)),p_B!P7*LN(p_B!P7),0)</f>
        <v>0</v>
      </c>
      <c r="Q7" s="3">
        <f>IF(ISNUMBER(p_B!Q7*LN(p_B!Q7)),p_B!Q7*LN(p_B!Q7),0)</f>
        <v>0</v>
      </c>
      <c r="R7" s="3">
        <f>IF(ISNUMBER(p_B!R7*LN(p_B!R7)),p_B!R7*LN(p_B!R7),0)</f>
        <v>0</v>
      </c>
      <c r="S7" s="3">
        <f>IF(ISNUMBER(p_B!S7*LN(p_B!S7)),p_B!S7*LN(p_B!S7),0)</f>
        <v>0</v>
      </c>
      <c r="T7" s="3">
        <f>IF(ISNUMBER(p_B!T7*LN(p_B!T7)),p_B!T7*LN(p_B!T7),0)</f>
        <v>0</v>
      </c>
      <c r="U7" s="3">
        <f>IF(ISNUMBER(p_B!U7*LN(p_B!U7)),p_B!U7*LN(p_B!U7),0)</f>
        <v>0</v>
      </c>
      <c r="V7" s="3">
        <f>IF(ISNUMBER(p_B!V7*LN(p_B!V7)),p_B!V7*LN(p_B!V7),0)</f>
        <v>0</v>
      </c>
      <c r="W7" s="3">
        <f>IF(ISNUMBER(p_B!W7*LN(p_B!W7)),p_B!W7*LN(p_B!W7),0)</f>
        <v>0</v>
      </c>
      <c r="X7" s="3">
        <f>IF(ISNUMBER(p_B!X7*LN(p_B!X7)),p_B!X7*LN(p_B!X7),0)</f>
        <v>0</v>
      </c>
      <c r="Y7" s="3">
        <f>IF(ISNUMBER(p_B!Y7*LN(p_B!Y7)),p_B!Y7*LN(p_B!Y7),0)</f>
        <v>0</v>
      </c>
      <c r="Z7" s="3">
        <f>IF(ISNUMBER(p_B!Z7*LN(p_B!Z7)),p_B!Z7*LN(p_B!Z7),0)</f>
        <v>0</v>
      </c>
      <c r="AA7" s="3">
        <f>IF(ISNUMBER(p_B!AA7*LN(p_B!AA7)),p_B!AA7*LN(p_B!AA7),0)</f>
        <v>0</v>
      </c>
    </row>
    <row r="8" spans="1:27" x14ac:dyDescent="0.25">
      <c r="A8" t="s">
        <v>17</v>
      </c>
      <c r="B8" s="3">
        <f>IF(ISNUMBER(p_B!B8*LN(p_B!B8)),p_B!B8*LN(p_B!B8),0)</f>
        <v>-9.8491667775542094E-2</v>
      </c>
      <c r="C8" s="3">
        <f>IF(ISNUMBER(p_B!C8*LN(p_B!C8)),p_B!C8*LN(p_B!C8),0)</f>
        <v>-2.8530137934370117E-2</v>
      </c>
      <c r="D8" s="3">
        <f>IF(ISNUMBER(p_B!D8*LN(p_B!D8)),p_B!D8*LN(p_B!D8),0)</f>
        <v>0</v>
      </c>
      <c r="E8" s="3">
        <f>IF(ISNUMBER(p_B!E8*LN(p_B!E8)),p_B!E8*LN(p_B!E8),0)</f>
        <v>0</v>
      </c>
      <c r="F8" s="3">
        <f>IF(ISNUMBER(p_B!F8*LN(p_B!F8)),p_B!F8*LN(p_B!F8),0)</f>
        <v>0</v>
      </c>
      <c r="G8" s="3">
        <f>IF(ISNUMBER(p_B!G8*LN(p_B!G8)),p_B!G8*LN(p_B!G8),0)</f>
        <v>0</v>
      </c>
      <c r="H8" s="3">
        <f>IF(ISNUMBER(p_B!H8*LN(p_B!H8)),p_B!H8*LN(p_B!H8),0)</f>
        <v>0</v>
      </c>
      <c r="I8" s="3">
        <f>IF(ISNUMBER(p_B!I8*LN(p_B!I8)),p_B!I8*LN(p_B!I8),0)</f>
        <v>0</v>
      </c>
      <c r="J8" s="3">
        <f>IF(ISNUMBER(p_B!J8*LN(p_B!J8)),p_B!J8*LN(p_B!J8),0)</f>
        <v>-2.3802273860106325E-2</v>
      </c>
      <c r="K8" s="3">
        <f>IF(ISNUMBER(p_B!K8*LN(p_B!K8)),p_B!K8*LN(p_B!K8),0)</f>
        <v>0</v>
      </c>
      <c r="L8" s="3">
        <f>IF(ISNUMBER(p_B!L8*LN(p_B!L8)),p_B!L8*LN(p_B!L8),0)</f>
        <v>0</v>
      </c>
      <c r="M8" s="3">
        <f>IF(ISNUMBER(p_B!M8*LN(p_B!M8)),p_B!M8*LN(p_B!M8),0)</f>
        <v>0</v>
      </c>
      <c r="N8" s="3">
        <f>IF(ISNUMBER(p_B!N8*LN(p_B!N8)),p_B!N8*LN(p_B!N8),0)</f>
        <v>0</v>
      </c>
      <c r="O8" s="3">
        <f>IF(ISNUMBER(p_B!O8*LN(p_B!O8)),p_B!O8*LN(p_B!O8),0)</f>
        <v>-0.21023493937954002</v>
      </c>
      <c r="P8" s="3">
        <f>IF(ISNUMBER(p_B!P8*LN(p_B!P8)),p_B!P8*LN(p_B!P8),0)</f>
        <v>0</v>
      </c>
      <c r="Q8" s="3">
        <f>IF(ISNUMBER(p_B!Q8*LN(p_B!Q8)),p_B!Q8*LN(p_B!Q8),0)</f>
        <v>0</v>
      </c>
      <c r="R8" s="3">
        <f>IF(ISNUMBER(p_B!R8*LN(p_B!R8)),p_B!R8*LN(p_B!R8),0)</f>
        <v>0</v>
      </c>
      <c r="S8" s="3">
        <f>IF(ISNUMBER(p_B!S8*LN(p_B!S8)),p_B!S8*LN(p_B!S8),0)</f>
        <v>-4.1527640931741897E-2</v>
      </c>
      <c r="T8" s="3">
        <f>IF(ISNUMBER(p_B!T8*LN(p_B!T8)),p_B!T8*LN(p_B!T8),0)</f>
        <v>0</v>
      </c>
      <c r="U8" s="3">
        <f>IF(ISNUMBER(p_B!U8*LN(p_B!U8)),p_B!U8*LN(p_B!U8),0)</f>
        <v>0</v>
      </c>
      <c r="V8" s="3">
        <f>IF(ISNUMBER(p_B!V8*LN(p_B!V8)),p_B!V8*LN(p_B!V8),0)</f>
        <v>0</v>
      </c>
      <c r="W8" s="3">
        <f>IF(ISNUMBER(p_B!W8*LN(p_B!W8)),p_B!W8*LN(p_B!W8),0)</f>
        <v>0</v>
      </c>
      <c r="X8" s="3">
        <f>IF(ISNUMBER(p_B!X8*LN(p_B!X8)),p_B!X8*LN(p_B!X8),0)</f>
        <v>0</v>
      </c>
      <c r="Y8" s="3">
        <f>IF(ISNUMBER(p_B!Y8*LN(p_B!Y8)),p_B!Y8*LN(p_B!Y8),0)</f>
        <v>0</v>
      </c>
      <c r="Z8" s="3">
        <f>IF(ISNUMBER(p_B!Z8*LN(p_B!Z8)),p_B!Z8*LN(p_B!Z8),0)</f>
        <v>0</v>
      </c>
      <c r="AA8" s="3">
        <f>IF(ISNUMBER(p_B!AA8*LN(p_B!AA8)),p_B!AA8*LN(p_B!AA8),0)</f>
        <v>0</v>
      </c>
    </row>
    <row r="9" spans="1:27" x14ac:dyDescent="0.25">
      <c r="A9" t="s">
        <v>73</v>
      </c>
      <c r="B9" s="3">
        <f>IF(ISNUMBER(p_B!B9*LN(p_B!B9)),p_B!B9*LN(p_B!B9),0)</f>
        <v>-0.36744845524705394</v>
      </c>
      <c r="C9" s="3">
        <f>IF(ISNUMBER(p_B!C9*LN(p_B!C9)),p_B!C9*LN(p_B!C9),0)</f>
        <v>-0.36066274169377993</v>
      </c>
      <c r="D9" s="3">
        <f>IF(ISNUMBER(p_B!D9*LN(p_B!D9)),p_B!D9*LN(p_B!D9),0)</f>
        <v>0</v>
      </c>
      <c r="E9" s="3">
        <f>IF(ISNUMBER(p_B!E9*LN(p_B!E9)),p_B!E9*LN(p_B!E9),0)</f>
        <v>0</v>
      </c>
      <c r="F9" s="3">
        <f>IF(ISNUMBER(p_B!F9*LN(p_B!F9)),p_B!F9*LN(p_B!F9),0)</f>
        <v>0</v>
      </c>
      <c r="G9" s="3">
        <f>IF(ISNUMBER(p_B!G9*LN(p_B!G9)),p_B!G9*LN(p_B!G9),0)</f>
        <v>0</v>
      </c>
      <c r="H9" s="3">
        <f>IF(ISNUMBER(p_B!H9*LN(p_B!H9)),p_B!H9*LN(p_B!H9),0)</f>
        <v>0</v>
      </c>
      <c r="I9" s="3">
        <f>IF(ISNUMBER(p_B!I9*LN(p_B!I9)),p_B!I9*LN(p_B!I9),0)</f>
        <v>0</v>
      </c>
      <c r="J9" s="3">
        <f>IF(ISNUMBER(p_B!J9*LN(p_B!J9)),p_B!J9*LN(p_B!J9),0)</f>
        <v>0</v>
      </c>
      <c r="K9" s="3">
        <f>IF(ISNUMBER(p_B!K9*LN(p_B!K9)),p_B!K9*LN(p_B!K9),0)</f>
        <v>0</v>
      </c>
      <c r="L9" s="3">
        <f>IF(ISNUMBER(p_B!L9*LN(p_B!L9)),p_B!L9*LN(p_B!L9),0)</f>
        <v>0</v>
      </c>
      <c r="M9" s="3">
        <f>IF(ISNUMBER(p_B!M9*LN(p_B!M9)),p_B!M9*LN(p_B!M9),0)</f>
        <v>0</v>
      </c>
      <c r="N9" s="3">
        <f>IF(ISNUMBER(p_B!N9*LN(p_B!N9)),p_B!N9*LN(p_B!N9),0)</f>
        <v>0</v>
      </c>
      <c r="O9" s="3">
        <f>IF(ISNUMBER(p_B!O9*LN(p_B!O9)),p_B!O9*LN(p_B!O9),0)</f>
        <v>0</v>
      </c>
      <c r="P9" s="3">
        <f>IF(ISNUMBER(p_B!P9*LN(p_B!P9)),p_B!P9*LN(p_B!P9),0)</f>
        <v>0</v>
      </c>
      <c r="Q9" s="3">
        <f>IF(ISNUMBER(p_B!Q9*LN(p_B!Q9)),p_B!Q9*LN(p_B!Q9),0)</f>
        <v>0</v>
      </c>
      <c r="R9" s="3">
        <f>IF(ISNUMBER(p_B!R9*LN(p_B!R9)),p_B!R9*LN(p_B!R9),0)</f>
        <v>0</v>
      </c>
      <c r="S9" s="3">
        <f>IF(ISNUMBER(p_B!S9*LN(p_B!S9)),p_B!S9*LN(p_B!S9),0)</f>
        <v>0</v>
      </c>
      <c r="T9" s="3">
        <f>IF(ISNUMBER(p_B!T9*LN(p_B!T9)),p_B!T9*LN(p_B!T9),0)</f>
        <v>0</v>
      </c>
      <c r="U9" s="3">
        <f>IF(ISNUMBER(p_B!U9*LN(p_B!U9)),p_B!U9*LN(p_B!U9),0)</f>
        <v>0</v>
      </c>
      <c r="V9" s="3">
        <f>IF(ISNUMBER(p_B!V9*LN(p_B!V9)),p_B!V9*LN(p_B!V9),0)</f>
        <v>-0.32176338862158321</v>
      </c>
      <c r="W9" s="3">
        <f>IF(ISNUMBER(p_B!W9*LN(p_B!W9)),p_B!W9*LN(p_B!W9),0)</f>
        <v>-3.4224533098997589E-2</v>
      </c>
      <c r="X9" s="3">
        <f>IF(ISNUMBER(p_B!X9*LN(p_B!X9)),p_B!X9*LN(p_B!X9),0)</f>
        <v>0</v>
      </c>
      <c r="Y9" s="3">
        <f>IF(ISNUMBER(p_B!Y9*LN(p_B!Y9)),p_B!Y9*LN(p_B!Y9),0)</f>
        <v>0</v>
      </c>
      <c r="Z9" s="3">
        <f>IF(ISNUMBER(p_B!Z9*LN(p_B!Z9)),p_B!Z9*LN(p_B!Z9),0)</f>
        <v>0</v>
      </c>
      <c r="AA9" s="3">
        <f>IF(ISNUMBER(p_B!AA9*LN(p_B!AA9)),p_B!AA9*LN(p_B!AA9),0)</f>
        <v>0</v>
      </c>
    </row>
    <row r="10" spans="1:27" x14ac:dyDescent="0.25">
      <c r="A10" t="s">
        <v>74</v>
      </c>
      <c r="B10" s="3">
        <f>IF(ISNUMBER(p_B!B10*LN(p_B!B10)),p_B!B10*LN(p_B!B10),0)</f>
        <v>-0.36454390650987584</v>
      </c>
      <c r="C10" s="3">
        <f>IF(ISNUMBER(p_B!C10*LN(p_B!C10)),p_B!C10*LN(p_B!C10),0)</f>
        <v>-0.36785409559939386</v>
      </c>
      <c r="D10" s="3">
        <f>IF(ISNUMBER(p_B!D10*LN(p_B!D10)),p_B!D10*LN(p_B!D10),0)</f>
        <v>0</v>
      </c>
      <c r="E10" s="3">
        <f>IF(ISNUMBER(p_B!E10*LN(p_B!E10)),p_B!E10*LN(p_B!E10),0)</f>
        <v>0</v>
      </c>
      <c r="F10" s="3">
        <f>IF(ISNUMBER(p_B!F10*LN(p_B!F10)),p_B!F10*LN(p_B!F10),0)</f>
        <v>0</v>
      </c>
      <c r="G10" s="3">
        <f>IF(ISNUMBER(p_B!G10*LN(p_B!G10)),p_B!G10*LN(p_B!G10),0)</f>
        <v>0</v>
      </c>
      <c r="H10" s="3">
        <f>IF(ISNUMBER(p_B!H10*LN(p_B!H10)),p_B!H10*LN(p_B!H10),0)</f>
        <v>0</v>
      </c>
      <c r="I10" s="3">
        <f>IF(ISNUMBER(p_B!I10*LN(p_B!I10)),p_B!I10*LN(p_B!I10),0)</f>
        <v>0</v>
      </c>
      <c r="J10" s="3">
        <f>IF(ISNUMBER(p_B!J10*LN(p_B!J10)),p_B!J10*LN(p_B!J10),0)</f>
        <v>-2.5851121043122881E-2</v>
      </c>
      <c r="K10" s="3">
        <f>IF(ISNUMBER(p_B!K10*LN(p_B!K10)),p_B!K10*LN(p_B!K10),0)</f>
        <v>0</v>
      </c>
      <c r="L10" s="3">
        <f>IF(ISNUMBER(p_B!L10*LN(p_B!L10)),p_B!L10*LN(p_B!L10),0)</f>
        <v>0</v>
      </c>
      <c r="M10" s="3">
        <f>IF(ISNUMBER(p_B!M10*LN(p_B!M10)),p_B!M10*LN(p_B!M10),0)</f>
        <v>0</v>
      </c>
      <c r="N10" s="3">
        <f>IF(ISNUMBER(p_B!N10*LN(p_B!N10)),p_B!N10*LN(p_B!N10),0)</f>
        <v>0</v>
      </c>
      <c r="O10" s="3">
        <f>IF(ISNUMBER(p_B!O10*LN(p_B!O10)),p_B!O10*LN(p_B!O10),0)</f>
        <v>-0.36342142718362647</v>
      </c>
      <c r="P10" s="3">
        <f>IF(ISNUMBER(p_B!P10*LN(p_B!P10)),p_B!P10*LN(p_B!P10),0)</f>
        <v>0</v>
      </c>
      <c r="Q10" s="3">
        <f>IF(ISNUMBER(p_B!Q10*LN(p_B!Q10)),p_B!Q10*LN(p_B!Q10),0)</f>
        <v>0</v>
      </c>
      <c r="R10" s="3">
        <f>IF(ISNUMBER(p_B!R10*LN(p_B!R10)),p_B!R10*LN(p_B!R10),0)</f>
        <v>0</v>
      </c>
      <c r="S10" s="3">
        <f>IF(ISNUMBER(p_B!S10*LN(p_B!S10)),p_B!S10*LN(p_B!S10),0)</f>
        <v>0</v>
      </c>
      <c r="T10" s="3">
        <f>IF(ISNUMBER(p_B!T10*LN(p_B!T10)),p_B!T10*LN(p_B!T10),0)</f>
        <v>0</v>
      </c>
      <c r="U10" s="3">
        <f>IF(ISNUMBER(p_B!U10*LN(p_B!U10)),p_B!U10*LN(p_B!U10),0)</f>
        <v>0</v>
      </c>
      <c r="V10" s="3">
        <f>IF(ISNUMBER(p_B!V10*LN(p_B!V10)),p_B!V10*LN(p_B!V10),0)</f>
        <v>0</v>
      </c>
      <c r="W10" s="3">
        <f>IF(ISNUMBER(p_B!W10*LN(p_B!W10)),p_B!W10*LN(p_B!W10),0)</f>
        <v>0</v>
      </c>
      <c r="X10" s="3">
        <f>IF(ISNUMBER(p_B!X10*LN(p_B!X10)),p_B!X10*LN(p_B!X10),0)</f>
        <v>0</v>
      </c>
      <c r="Y10" s="3">
        <f>IF(ISNUMBER(p_B!Y10*LN(p_B!Y10)),p_B!Y10*LN(p_B!Y10),0)</f>
        <v>0</v>
      </c>
      <c r="Z10" s="3">
        <f>IF(ISNUMBER(p_B!Z10*LN(p_B!Z10)),p_B!Z10*LN(p_B!Z10),0)</f>
        <v>0</v>
      </c>
      <c r="AA10" s="3">
        <f>IF(ISNUMBER(p_B!AA10*LN(p_B!AA10)),p_B!AA10*LN(p_B!AA10),0)</f>
        <v>0</v>
      </c>
    </row>
    <row r="11" spans="1:27" x14ac:dyDescent="0.25">
      <c r="A11" t="s">
        <v>75</v>
      </c>
      <c r="B11" s="3">
        <f>IF(ISNUMBER(p_B!B11*LN(p_B!B11)),p_B!B11*LN(p_B!B11),0)</f>
        <v>-0.34072162270451023</v>
      </c>
      <c r="C11" s="3">
        <f>IF(ISNUMBER(p_B!C11*LN(p_B!C11)),p_B!C11*LN(p_B!C11),0)</f>
        <v>-0.33367368866310515</v>
      </c>
      <c r="D11" s="3">
        <f>IF(ISNUMBER(p_B!D11*LN(p_B!D11)),p_B!D11*LN(p_B!D11),0)</f>
        <v>0</v>
      </c>
      <c r="E11" s="3">
        <f>IF(ISNUMBER(p_B!E11*LN(p_B!E11)),p_B!E11*LN(p_B!E11),0)</f>
        <v>0</v>
      </c>
      <c r="F11" s="3">
        <f>IF(ISNUMBER(p_B!F11*LN(p_B!F11)),p_B!F11*LN(p_B!F11),0)</f>
        <v>0</v>
      </c>
      <c r="G11" s="3">
        <f>IF(ISNUMBER(p_B!G11*LN(p_B!G11)),p_B!G11*LN(p_B!G11),0)</f>
        <v>0</v>
      </c>
      <c r="H11" s="3">
        <f>IF(ISNUMBER(p_B!H11*LN(p_B!H11)),p_B!H11*LN(p_B!H11),0)</f>
        <v>0</v>
      </c>
      <c r="I11" s="3">
        <f>IF(ISNUMBER(p_B!I11*LN(p_B!I11)),p_B!I11*LN(p_B!I11),0)</f>
        <v>0</v>
      </c>
      <c r="J11" s="3">
        <f>IF(ISNUMBER(p_B!J11*LN(p_B!J11)),p_B!J11*LN(p_B!J11),0)</f>
        <v>0</v>
      </c>
      <c r="K11" s="3">
        <f>IF(ISNUMBER(p_B!K11*LN(p_B!K11)),p_B!K11*LN(p_B!K11),0)</f>
        <v>0</v>
      </c>
      <c r="L11" s="3">
        <f>IF(ISNUMBER(p_B!L11*LN(p_B!L11)),p_B!L11*LN(p_B!L11),0)</f>
        <v>0</v>
      </c>
      <c r="M11" s="3">
        <f>IF(ISNUMBER(p_B!M11*LN(p_B!M11)),p_B!M11*LN(p_B!M11),0)</f>
        <v>0</v>
      </c>
      <c r="N11" s="3">
        <f>IF(ISNUMBER(p_B!N11*LN(p_B!N11)),p_B!N11*LN(p_B!N11),0)</f>
        <v>0</v>
      </c>
      <c r="O11" s="3">
        <f>IF(ISNUMBER(p_B!O11*LN(p_B!O11)),p_B!O11*LN(p_B!O11),0)</f>
        <v>-0.33637692983014794</v>
      </c>
      <c r="P11" s="3">
        <f>IF(ISNUMBER(p_B!P11*LN(p_B!P11)),p_B!P11*LN(p_B!P11),0)</f>
        <v>0</v>
      </c>
      <c r="Q11" s="3">
        <f>IF(ISNUMBER(p_B!Q11*LN(p_B!Q11)),p_B!Q11*LN(p_B!Q11),0)</f>
        <v>0</v>
      </c>
      <c r="R11" s="3">
        <f>IF(ISNUMBER(p_B!R11*LN(p_B!R11)),p_B!R11*LN(p_B!R11),0)</f>
        <v>0</v>
      </c>
      <c r="S11" s="3">
        <f>IF(ISNUMBER(p_B!S11*LN(p_B!S11)),p_B!S11*LN(p_B!S11),0)</f>
        <v>0</v>
      </c>
      <c r="T11" s="3">
        <f>IF(ISNUMBER(p_B!T11*LN(p_B!T11)),p_B!T11*LN(p_B!T11),0)</f>
        <v>0</v>
      </c>
      <c r="U11" s="3">
        <f>IF(ISNUMBER(p_B!U11*LN(p_B!U11)),p_B!U11*LN(p_B!U11),0)</f>
        <v>0</v>
      </c>
      <c r="V11" s="3">
        <f>IF(ISNUMBER(p_B!V11*LN(p_B!V11)),p_B!V11*LN(p_B!V11),0)</f>
        <v>0</v>
      </c>
      <c r="W11" s="3">
        <f>IF(ISNUMBER(p_B!W11*LN(p_B!W11)),p_B!W11*LN(p_B!W11),0)</f>
        <v>0</v>
      </c>
      <c r="X11" s="3">
        <f>IF(ISNUMBER(p_B!X11*LN(p_B!X11)),p_B!X11*LN(p_B!X11),0)</f>
        <v>0</v>
      </c>
      <c r="Y11" s="3">
        <f>IF(ISNUMBER(p_B!Y11*LN(p_B!Y11)),p_B!Y11*LN(p_B!Y11),0)</f>
        <v>0</v>
      </c>
      <c r="Z11" s="3">
        <f>IF(ISNUMBER(p_B!Z11*LN(p_B!Z11)),p_B!Z11*LN(p_B!Z11),0)</f>
        <v>0</v>
      </c>
      <c r="AA11" s="3">
        <f>IF(ISNUMBER(p_B!AA11*LN(p_B!AA11)),p_B!AA11*LN(p_B!AA11),0)</f>
        <v>0</v>
      </c>
    </row>
    <row r="12" spans="1:27" x14ac:dyDescent="0.25">
      <c r="A12" t="s">
        <v>76</v>
      </c>
      <c r="B12" s="3">
        <f>IF(ISNUMBER(p_B!B12*LN(p_B!B12)),p_B!B12*LN(p_B!B12),0)</f>
        <v>-0.33819441864954691</v>
      </c>
      <c r="C12" s="3">
        <f>IF(ISNUMBER(p_B!C12*LN(p_B!C12)),p_B!C12*LN(p_B!C12),0)</f>
        <v>-0.35180149974821689</v>
      </c>
      <c r="D12" s="3">
        <f>IF(ISNUMBER(p_B!D12*LN(p_B!D12)),p_B!D12*LN(p_B!D12),0)</f>
        <v>0</v>
      </c>
      <c r="E12" s="3">
        <f>IF(ISNUMBER(p_B!E12*LN(p_B!E12)),p_B!E12*LN(p_B!E12),0)</f>
        <v>0</v>
      </c>
      <c r="F12" s="3">
        <f>IF(ISNUMBER(p_B!F12*LN(p_B!F12)),p_B!F12*LN(p_B!F12),0)</f>
        <v>0</v>
      </c>
      <c r="G12" s="3">
        <f>IF(ISNUMBER(p_B!G12*LN(p_B!G12)),p_B!G12*LN(p_B!G12),0)</f>
        <v>0</v>
      </c>
      <c r="H12" s="3">
        <f>IF(ISNUMBER(p_B!H12*LN(p_B!H12)),p_B!H12*LN(p_B!H12),0)</f>
        <v>0</v>
      </c>
      <c r="I12" s="3">
        <f>IF(ISNUMBER(p_B!I12*LN(p_B!I12)),p_B!I12*LN(p_B!I12),0)</f>
        <v>0</v>
      </c>
      <c r="J12" s="3">
        <f>IF(ISNUMBER(p_B!J12*LN(p_B!J12)),p_B!J12*LN(p_B!J12),0)</f>
        <v>0</v>
      </c>
      <c r="K12" s="3">
        <f>IF(ISNUMBER(p_B!K12*LN(p_B!K12)),p_B!K12*LN(p_B!K12),0)</f>
        <v>0</v>
      </c>
      <c r="L12" s="3">
        <f>IF(ISNUMBER(p_B!L12*LN(p_B!L12)),p_B!L12*LN(p_B!L12),0)</f>
        <v>0</v>
      </c>
      <c r="M12" s="3">
        <f>IF(ISNUMBER(p_B!M12*LN(p_B!M12)),p_B!M12*LN(p_B!M12),0)</f>
        <v>0</v>
      </c>
      <c r="N12" s="3">
        <f>IF(ISNUMBER(p_B!N12*LN(p_B!N12)),p_B!N12*LN(p_B!N12),0)</f>
        <v>0</v>
      </c>
      <c r="O12" s="3">
        <f>IF(ISNUMBER(p_B!O12*LN(p_B!O12)),p_B!O12*LN(p_B!O12),0)</f>
        <v>0</v>
      </c>
      <c r="P12" s="3">
        <f>IF(ISNUMBER(p_B!P12*LN(p_B!P12)),p_B!P12*LN(p_B!P12),0)</f>
        <v>0</v>
      </c>
      <c r="Q12" s="3">
        <f>IF(ISNUMBER(p_B!Q12*LN(p_B!Q12)),p_B!Q12*LN(p_B!Q12),0)</f>
        <v>-0.34500785929291239</v>
      </c>
      <c r="R12" s="3">
        <f>IF(ISNUMBER(p_B!R12*LN(p_B!R12)),p_B!R12*LN(p_B!R12),0)</f>
        <v>0</v>
      </c>
      <c r="S12" s="3">
        <f>IF(ISNUMBER(p_B!S12*LN(p_B!S12)),p_B!S12*LN(p_B!S12),0)</f>
        <v>0</v>
      </c>
      <c r="T12" s="3">
        <f>IF(ISNUMBER(p_B!T12*LN(p_B!T12)),p_B!T12*LN(p_B!T12),0)</f>
        <v>0</v>
      </c>
      <c r="U12" s="3">
        <f>IF(ISNUMBER(p_B!U12*LN(p_B!U12)),p_B!U12*LN(p_B!U12),0)</f>
        <v>0</v>
      </c>
      <c r="V12" s="3">
        <f>IF(ISNUMBER(p_B!V12*LN(p_B!V12)),p_B!V12*LN(p_B!V12),0)</f>
        <v>0</v>
      </c>
      <c r="W12" s="3">
        <f>IF(ISNUMBER(p_B!W12*LN(p_B!W12)),p_B!W12*LN(p_B!W12),0)</f>
        <v>0</v>
      </c>
      <c r="X12" s="3">
        <f>IF(ISNUMBER(p_B!X12*LN(p_B!X12)),p_B!X12*LN(p_B!X12),0)</f>
        <v>0</v>
      </c>
      <c r="Y12" s="3">
        <f>IF(ISNUMBER(p_B!Y12*LN(p_B!Y12)),p_B!Y12*LN(p_B!Y12),0)</f>
        <v>0</v>
      </c>
      <c r="Z12" s="3">
        <f>IF(ISNUMBER(p_B!Z12*LN(p_B!Z12)),p_B!Z12*LN(p_B!Z12),0)</f>
        <v>0</v>
      </c>
      <c r="AA12" s="3">
        <f>IF(ISNUMBER(p_B!AA12*LN(p_B!AA12)),p_B!AA12*LN(p_B!AA12),0)</f>
        <v>0</v>
      </c>
    </row>
    <row r="13" spans="1:27" x14ac:dyDescent="0.25">
      <c r="A13" t="s">
        <v>83</v>
      </c>
      <c r="B13" s="3">
        <f>IF(ISNUMBER(p_B!B13*LN(p_B!B13)),p_B!B13*LN(p_B!B13),0)</f>
        <v>-0.36772637725168789</v>
      </c>
      <c r="C13" s="3">
        <f>IF(ISNUMBER(p_B!C13*LN(p_B!C13)),p_B!C13*LN(p_B!C13),0)</f>
        <v>-0.35560107986838524</v>
      </c>
      <c r="D13" s="3">
        <f>IF(ISNUMBER(p_B!D13*LN(p_B!D13)),p_B!D13*LN(p_B!D13),0)</f>
        <v>0</v>
      </c>
      <c r="E13" s="3">
        <f>IF(ISNUMBER(p_B!E13*LN(p_B!E13)),p_B!E13*LN(p_B!E13),0)</f>
        <v>0</v>
      </c>
      <c r="F13" s="3">
        <f>IF(ISNUMBER(p_B!F13*LN(p_B!F13)),p_B!F13*LN(p_B!F13),0)</f>
        <v>0</v>
      </c>
      <c r="G13" s="3">
        <f>IF(ISNUMBER(p_B!G13*LN(p_B!G13)),p_B!G13*LN(p_B!G13),0)</f>
        <v>0</v>
      </c>
      <c r="H13" s="3">
        <f>IF(ISNUMBER(p_B!H13*LN(p_B!H13)),p_B!H13*LN(p_B!H13),0)</f>
        <v>0</v>
      </c>
      <c r="I13" s="3">
        <f>IF(ISNUMBER(p_B!I13*LN(p_B!I13)),p_B!I13*LN(p_B!I13),0)</f>
        <v>0</v>
      </c>
      <c r="J13" s="3">
        <f>IF(ISNUMBER(p_B!J13*LN(p_B!J13)),p_B!J13*LN(p_B!J13),0)</f>
        <v>0</v>
      </c>
      <c r="K13" s="3">
        <f>IF(ISNUMBER(p_B!K13*LN(p_B!K13)),p_B!K13*LN(p_B!K13),0)</f>
        <v>0</v>
      </c>
      <c r="L13" s="3">
        <f>IF(ISNUMBER(p_B!L13*LN(p_B!L13)),p_B!L13*LN(p_B!L13),0)</f>
        <v>0</v>
      </c>
      <c r="M13" s="3">
        <f>IF(ISNUMBER(p_B!M13*LN(p_B!M13)),p_B!M13*LN(p_B!M13),0)</f>
        <v>0</v>
      </c>
      <c r="N13" s="3">
        <f>IF(ISNUMBER(p_B!N13*LN(p_B!N13)),p_B!N13*LN(p_B!N13),0)</f>
        <v>0</v>
      </c>
      <c r="O13" s="3">
        <f>IF(ISNUMBER(p_B!O13*LN(p_B!O13)),p_B!O13*LN(p_B!O13),0)</f>
        <v>0</v>
      </c>
      <c r="P13" s="3">
        <f>IF(ISNUMBER(p_B!P13*LN(p_B!P13)),p_B!P13*LN(p_B!P13),0)</f>
        <v>0</v>
      </c>
      <c r="Q13" s="3">
        <f>IF(ISNUMBER(p_B!Q13*LN(p_B!Q13)),p_B!Q13*LN(p_B!Q13),0)</f>
        <v>-0.28855634866876551</v>
      </c>
      <c r="R13" s="3">
        <f>IF(ISNUMBER(p_B!R13*LN(p_B!R13)),p_B!R13*LN(p_B!R13),0)</f>
        <v>0</v>
      </c>
      <c r="S13" s="3">
        <f>IF(ISNUMBER(p_B!S13*LN(p_B!S13)),p_B!S13*LN(p_B!S13),0)</f>
        <v>0</v>
      </c>
      <c r="T13" s="3">
        <f>IF(ISNUMBER(p_B!T13*LN(p_B!T13)),p_B!T13*LN(p_B!T13),0)</f>
        <v>0</v>
      </c>
      <c r="U13" s="3">
        <f>IF(ISNUMBER(p_B!U13*LN(p_B!U13)),p_B!U13*LN(p_B!U13),0)</f>
        <v>0</v>
      </c>
      <c r="V13" s="3">
        <f>IF(ISNUMBER(p_B!V13*LN(p_B!V13)),p_B!V13*LN(p_B!V13),0)</f>
        <v>0</v>
      </c>
      <c r="W13" s="3">
        <f>IF(ISNUMBER(p_B!W13*LN(p_B!W13)),p_B!W13*LN(p_B!W13),0)</f>
        <v>0</v>
      </c>
      <c r="X13" s="3">
        <f>IF(ISNUMBER(p_B!X13*LN(p_B!X13)),p_B!X13*LN(p_B!X13),0)</f>
        <v>0</v>
      </c>
      <c r="Y13" s="3">
        <f>IF(ISNUMBER(p_B!Y13*LN(p_B!Y13)),p_B!Y13*LN(p_B!Y13),0)</f>
        <v>0</v>
      </c>
      <c r="Z13" s="3">
        <f>IF(ISNUMBER(p_B!Z13*LN(p_B!Z13)),p_B!Z13*LN(p_B!Z13),0)</f>
        <v>0</v>
      </c>
      <c r="AA13" s="3">
        <f>IF(ISNUMBER(p_B!AA13*LN(p_B!AA13)),p_B!AA13*LN(p_B!AA13),0)</f>
        <v>0</v>
      </c>
    </row>
    <row r="14" spans="1:27" x14ac:dyDescent="0.25">
      <c r="A14" t="s">
        <v>84</v>
      </c>
      <c r="B14" s="3">
        <f>IF(ISNUMBER(p_B!B14*LN(p_B!B14)),p_B!B14*LN(p_B!B14),0)</f>
        <v>-0.35627827217100883</v>
      </c>
      <c r="C14" s="3">
        <f>IF(ISNUMBER(p_B!C14*LN(p_B!C14)),p_B!C14*LN(p_B!C14),0)</f>
        <v>-0.33428319628813152</v>
      </c>
      <c r="D14" s="3">
        <f>IF(ISNUMBER(p_B!D14*LN(p_B!D14)),p_B!D14*LN(p_B!D14),0)</f>
        <v>0</v>
      </c>
      <c r="E14" s="3">
        <f>IF(ISNUMBER(p_B!E14*LN(p_B!E14)),p_B!E14*LN(p_B!E14),0)</f>
        <v>0</v>
      </c>
      <c r="F14" s="3">
        <f>IF(ISNUMBER(p_B!F14*LN(p_B!F14)),p_B!F14*LN(p_B!F14),0)</f>
        <v>0</v>
      </c>
      <c r="G14" s="3">
        <f>IF(ISNUMBER(p_B!G14*LN(p_B!G14)),p_B!G14*LN(p_B!G14),0)</f>
        <v>0</v>
      </c>
      <c r="H14" s="3">
        <f>IF(ISNUMBER(p_B!H14*LN(p_B!H14)),p_B!H14*LN(p_B!H14),0)</f>
        <v>0</v>
      </c>
      <c r="I14" s="3">
        <f>IF(ISNUMBER(p_B!I14*LN(p_B!I14)),p_B!I14*LN(p_B!I14),0)</f>
        <v>0</v>
      </c>
      <c r="J14" s="3">
        <f>IF(ISNUMBER(p_B!J14*LN(p_B!J14)),p_B!J14*LN(p_B!J14),0)</f>
        <v>0</v>
      </c>
      <c r="K14" s="3">
        <f>IF(ISNUMBER(p_B!K14*LN(p_B!K14)),p_B!K14*LN(p_B!K14),0)</f>
        <v>0</v>
      </c>
      <c r="L14" s="3">
        <f>IF(ISNUMBER(p_B!L14*LN(p_B!L14)),p_B!L14*LN(p_B!L14),0)</f>
        <v>0</v>
      </c>
      <c r="M14" s="3">
        <f>IF(ISNUMBER(p_B!M14*LN(p_B!M14)),p_B!M14*LN(p_B!M14),0)</f>
        <v>0</v>
      </c>
      <c r="N14" s="3">
        <f>IF(ISNUMBER(p_B!N14*LN(p_B!N14)),p_B!N14*LN(p_B!N14),0)</f>
        <v>0</v>
      </c>
      <c r="O14" s="3">
        <f>IF(ISNUMBER(p_B!O14*LN(p_B!O14)),p_B!O14*LN(p_B!O14),0)</f>
        <v>0</v>
      </c>
      <c r="P14" s="3">
        <f>IF(ISNUMBER(p_B!P14*LN(p_B!P14)),p_B!P14*LN(p_B!P14),0)</f>
        <v>0</v>
      </c>
      <c r="Q14" s="3">
        <f>IF(ISNUMBER(p_B!Q14*LN(p_B!Q14)),p_B!Q14*LN(p_B!Q14),0)</f>
        <v>0</v>
      </c>
      <c r="R14" s="3">
        <f>IF(ISNUMBER(p_B!R14*LN(p_B!R14)),p_B!R14*LN(p_B!R14),0)</f>
        <v>0</v>
      </c>
      <c r="S14" s="3">
        <f>IF(ISNUMBER(p_B!S14*LN(p_B!S14)),p_B!S14*LN(p_B!S14),0)</f>
        <v>0</v>
      </c>
      <c r="T14" s="3">
        <f>IF(ISNUMBER(p_B!T14*LN(p_B!T14)),p_B!T14*LN(p_B!T14),0)</f>
        <v>0</v>
      </c>
      <c r="U14" s="3">
        <f>IF(ISNUMBER(p_B!U14*LN(p_B!U14)),p_B!U14*LN(p_B!U14),0)</f>
        <v>0</v>
      </c>
      <c r="V14" s="3">
        <f>IF(ISNUMBER(p_B!V14*LN(p_B!V14)),p_B!V14*LN(p_B!V14),0)</f>
        <v>0</v>
      </c>
      <c r="W14" s="3">
        <f>IF(ISNUMBER(p_B!W14*LN(p_B!W14)),p_B!W14*LN(p_B!W14),0)</f>
        <v>0</v>
      </c>
      <c r="X14" s="3">
        <f>IF(ISNUMBER(p_B!X14*LN(p_B!X14)),p_B!X14*LN(p_B!X14),0)</f>
        <v>0</v>
      </c>
      <c r="Y14" s="3">
        <f>IF(ISNUMBER(p_B!Y14*LN(p_B!Y14)),p_B!Y14*LN(p_B!Y14),0)</f>
        <v>0</v>
      </c>
      <c r="Z14" s="3">
        <f>IF(ISNUMBER(p_B!Z14*LN(p_B!Z14)),p_B!Z14*LN(p_B!Z14),0)</f>
        <v>0</v>
      </c>
      <c r="AA14" s="3">
        <f>IF(ISNUMBER(p_B!AA14*LN(p_B!AA14)),p_B!AA14*LN(p_B!AA14),0)</f>
        <v>0</v>
      </c>
    </row>
    <row r="15" spans="1:27" x14ac:dyDescent="0.25">
      <c r="A15" t="s">
        <v>85</v>
      </c>
      <c r="B15" s="3">
        <f>IF(ISNUMBER(p_B!B15*LN(p_B!B15)),p_B!B15*LN(p_B!B15),0)</f>
        <v>-0.35574787000725827</v>
      </c>
      <c r="C15" s="3">
        <f>IF(ISNUMBER(p_B!C15*LN(p_B!C15)),p_B!C15*LN(p_B!C15),0)</f>
        <v>-0.24664598871348903</v>
      </c>
      <c r="D15" s="3">
        <f>IF(ISNUMBER(p_B!D15*LN(p_B!D15)),p_B!D15*LN(p_B!D15),0)</f>
        <v>0</v>
      </c>
      <c r="E15" s="3">
        <f>IF(ISNUMBER(p_B!E15*LN(p_B!E15)),p_B!E15*LN(p_B!E15),0)</f>
        <v>0</v>
      </c>
      <c r="F15" s="3">
        <f>IF(ISNUMBER(p_B!F15*LN(p_B!F15)),p_B!F15*LN(p_B!F15),0)</f>
        <v>0</v>
      </c>
      <c r="G15" s="3">
        <f>IF(ISNUMBER(p_B!G15*LN(p_B!G15)),p_B!G15*LN(p_B!G15),0)</f>
        <v>0</v>
      </c>
      <c r="H15" s="3">
        <f>IF(ISNUMBER(p_B!H15*LN(p_B!H15)),p_B!H15*LN(p_B!H15),0)</f>
        <v>0</v>
      </c>
      <c r="I15" s="3">
        <f>IF(ISNUMBER(p_B!I15*LN(p_B!I15)),p_B!I15*LN(p_B!I15),0)</f>
        <v>0</v>
      </c>
      <c r="J15" s="3">
        <f>IF(ISNUMBER(p_B!J15*LN(p_B!J15)),p_B!J15*LN(p_B!J15),0)</f>
        <v>-7.1649252241815856E-2</v>
      </c>
      <c r="K15" s="3">
        <f>IF(ISNUMBER(p_B!K15*LN(p_B!K15)),p_B!K15*LN(p_B!K15),0)</f>
        <v>0</v>
      </c>
      <c r="L15" s="3">
        <f>IF(ISNUMBER(p_B!L15*LN(p_B!L15)),p_B!L15*LN(p_B!L15),0)</f>
        <v>0</v>
      </c>
      <c r="M15" s="3">
        <f>IF(ISNUMBER(p_B!M15*LN(p_B!M15)),p_B!M15*LN(p_B!M15),0)</f>
        <v>0</v>
      </c>
      <c r="N15" s="3">
        <f>IF(ISNUMBER(p_B!N15*LN(p_B!N15)),p_B!N15*LN(p_B!N15),0)</f>
        <v>0</v>
      </c>
      <c r="O15" s="3">
        <f>IF(ISNUMBER(p_B!O15*LN(p_B!O15)),p_B!O15*LN(p_B!O15),0)</f>
        <v>0</v>
      </c>
      <c r="P15" s="3">
        <f>IF(ISNUMBER(p_B!P15*LN(p_B!P15)),p_B!P15*LN(p_B!P15),0)</f>
        <v>0</v>
      </c>
      <c r="Q15" s="3">
        <f>IF(ISNUMBER(p_B!Q15*LN(p_B!Q15)),p_B!Q15*LN(p_B!Q15),0)</f>
        <v>0</v>
      </c>
      <c r="R15" s="3">
        <f>IF(ISNUMBER(p_B!R15*LN(p_B!R15)),p_B!R15*LN(p_B!R15),0)</f>
        <v>0</v>
      </c>
      <c r="S15" s="3">
        <f>IF(ISNUMBER(p_B!S15*LN(p_B!S15)),p_B!S15*LN(p_B!S15),0)</f>
        <v>0</v>
      </c>
      <c r="T15" s="3">
        <f>IF(ISNUMBER(p_B!T15*LN(p_B!T15)),p_B!T15*LN(p_B!T15),0)</f>
        <v>0</v>
      </c>
      <c r="U15" s="3">
        <f>IF(ISNUMBER(p_B!U15*LN(p_B!U15)),p_B!U15*LN(p_B!U15),0)</f>
        <v>0</v>
      </c>
      <c r="V15" s="3">
        <f>IF(ISNUMBER(p_B!V15*LN(p_B!V15)),p_B!V15*LN(p_B!V15),0)</f>
        <v>0</v>
      </c>
      <c r="W15" s="3">
        <f>IF(ISNUMBER(p_B!W15*LN(p_B!W15)),p_B!W15*LN(p_B!W15),0)</f>
        <v>0</v>
      </c>
      <c r="X15" s="3">
        <f>IF(ISNUMBER(p_B!X15*LN(p_B!X15)),p_B!X15*LN(p_B!X15),0)</f>
        <v>0</v>
      </c>
      <c r="Y15" s="3">
        <f>IF(ISNUMBER(p_B!Y15*LN(p_B!Y15)),p_B!Y15*LN(p_B!Y15),0)</f>
        <v>0</v>
      </c>
      <c r="Z15" s="3">
        <f>IF(ISNUMBER(p_B!Z15*LN(p_B!Z15)),p_B!Z15*LN(p_B!Z15),0)</f>
        <v>0</v>
      </c>
      <c r="AA15" s="3">
        <f>IF(ISNUMBER(p_B!AA15*LN(p_B!AA15)),p_B!AA15*LN(p_B!AA15),0)</f>
        <v>0</v>
      </c>
    </row>
    <row r="16" spans="1:27" x14ac:dyDescent="0.25">
      <c r="A16" t="s">
        <v>86</v>
      </c>
      <c r="B16" s="3">
        <f>IF(ISNUMBER(p_B!B16*LN(p_B!B16)),p_B!B16*LN(p_B!B16),0)</f>
        <v>-0.33854313995182195</v>
      </c>
      <c r="C16" s="3">
        <f>IF(ISNUMBER(p_B!C16*LN(p_B!C16)),p_B!C16*LN(p_B!C16),0)</f>
        <v>0</v>
      </c>
      <c r="D16" s="3">
        <f>IF(ISNUMBER(p_B!D16*LN(p_B!D16)),p_B!D16*LN(p_B!D16),0)</f>
        <v>0</v>
      </c>
      <c r="E16" s="3">
        <f>IF(ISNUMBER(p_B!E16*LN(p_B!E16)),p_B!E16*LN(p_B!E16),0)</f>
        <v>0</v>
      </c>
      <c r="F16" s="3">
        <f>IF(ISNUMBER(p_B!F16*LN(p_B!F16)),p_B!F16*LN(p_B!F16),0)</f>
        <v>0</v>
      </c>
      <c r="G16" s="3">
        <f>IF(ISNUMBER(p_B!G16*LN(p_B!G16)),p_B!G16*LN(p_B!G16),0)</f>
        <v>0</v>
      </c>
      <c r="H16" s="3">
        <f>IF(ISNUMBER(p_B!H16*LN(p_B!H16)),p_B!H16*LN(p_B!H16),0)</f>
        <v>0</v>
      </c>
      <c r="I16" s="3">
        <f>IF(ISNUMBER(p_B!I16*LN(p_B!I16)),p_B!I16*LN(p_B!I16),0)</f>
        <v>0</v>
      </c>
      <c r="J16" s="3">
        <f>IF(ISNUMBER(p_B!J16*LN(p_B!J16)),p_B!J16*LN(p_B!J16),0)</f>
        <v>0</v>
      </c>
      <c r="K16" s="3">
        <f>IF(ISNUMBER(p_B!K16*LN(p_B!K16)),p_B!K16*LN(p_B!K16),0)</f>
        <v>0</v>
      </c>
      <c r="L16" s="3">
        <f>IF(ISNUMBER(p_B!L16*LN(p_B!L16)),p_B!L16*LN(p_B!L16),0)</f>
        <v>0</v>
      </c>
      <c r="M16" s="3">
        <f>IF(ISNUMBER(p_B!M16*LN(p_B!M16)),p_B!M16*LN(p_B!M16),0)</f>
        <v>0</v>
      </c>
      <c r="N16" s="3">
        <f>IF(ISNUMBER(p_B!N16*LN(p_B!N16)),p_B!N16*LN(p_B!N16),0)</f>
        <v>0</v>
      </c>
      <c r="O16" s="3">
        <f>IF(ISNUMBER(p_B!O16*LN(p_B!O16)),p_B!O16*LN(p_B!O16),0)</f>
        <v>0</v>
      </c>
      <c r="P16" s="3">
        <f>IF(ISNUMBER(p_B!P16*LN(p_B!P16)),p_B!P16*LN(p_B!P16),0)</f>
        <v>0</v>
      </c>
      <c r="Q16" s="3">
        <f>IF(ISNUMBER(p_B!Q16*LN(p_B!Q16)),p_B!Q16*LN(p_B!Q16),0)</f>
        <v>-0.20206836832185721</v>
      </c>
      <c r="R16" s="3">
        <f>IF(ISNUMBER(p_B!R16*LN(p_B!R16)),p_B!R16*LN(p_B!R16),0)</f>
        <v>0</v>
      </c>
      <c r="S16" s="3">
        <f>IF(ISNUMBER(p_B!S16*LN(p_B!S16)),p_B!S16*LN(p_B!S16),0)</f>
        <v>0</v>
      </c>
      <c r="T16" s="3">
        <f>IF(ISNUMBER(p_B!T16*LN(p_B!T16)),p_B!T16*LN(p_B!T16),0)</f>
        <v>0</v>
      </c>
      <c r="U16" s="3">
        <f>IF(ISNUMBER(p_B!U16*LN(p_B!U16)),p_B!U16*LN(p_B!U16),0)</f>
        <v>0</v>
      </c>
      <c r="V16" s="3">
        <f>IF(ISNUMBER(p_B!V16*LN(p_B!V16)),p_B!V16*LN(p_B!V16),0)</f>
        <v>0</v>
      </c>
      <c r="W16" s="3">
        <f>IF(ISNUMBER(p_B!W16*LN(p_B!W16)),p_B!W16*LN(p_B!W16),0)</f>
        <v>0</v>
      </c>
      <c r="X16" s="3">
        <f>IF(ISNUMBER(p_B!X16*LN(p_B!X16)),p_B!X16*LN(p_B!X16),0)</f>
        <v>0</v>
      </c>
      <c r="Y16" s="3">
        <f>IF(ISNUMBER(p_B!Y16*LN(p_B!Y16)),p_B!Y16*LN(p_B!Y16),0)</f>
        <v>0</v>
      </c>
      <c r="Z16" s="3">
        <f>IF(ISNUMBER(p_B!Z16*LN(p_B!Z16)),p_B!Z16*LN(p_B!Z16),0)</f>
        <v>0</v>
      </c>
      <c r="AA16" s="3">
        <f>IF(ISNUMBER(p_B!AA16*LN(p_B!AA16)),p_B!AA16*LN(p_B!AA16),0)</f>
        <v>0</v>
      </c>
    </row>
    <row r="17" spans="1:27" x14ac:dyDescent="0.25">
      <c r="A17" t="s">
        <v>90</v>
      </c>
      <c r="B17" s="3">
        <f>IF(ISNUMBER(p_B!B17*LN(p_B!B17)),p_B!B17*LN(p_B!B17),0)</f>
        <v>-0.1233138090102551</v>
      </c>
      <c r="C17" s="3">
        <f>IF(ISNUMBER(p_B!C17*LN(p_B!C17)),p_B!C17*LN(p_B!C17),0)</f>
        <v>-7.5784714617845861E-2</v>
      </c>
      <c r="D17" s="3">
        <f>IF(ISNUMBER(p_B!D17*LN(p_B!D17)),p_B!D17*LN(p_B!D17),0)</f>
        <v>0</v>
      </c>
      <c r="E17" s="3">
        <f>IF(ISNUMBER(p_B!E17*LN(p_B!E17)),p_B!E17*LN(p_B!E17),0)</f>
        <v>0</v>
      </c>
      <c r="F17" s="3">
        <f>IF(ISNUMBER(p_B!F17*LN(p_B!F17)),p_B!F17*LN(p_B!F17),0)</f>
        <v>0</v>
      </c>
      <c r="G17" s="3">
        <f>IF(ISNUMBER(p_B!G17*LN(p_B!G17)),p_B!G17*LN(p_B!G17),0)</f>
        <v>0</v>
      </c>
      <c r="H17" s="3">
        <f>IF(ISNUMBER(p_B!H17*LN(p_B!H17)),p_B!H17*LN(p_B!H17),0)</f>
        <v>-1.0199126578743539E-2</v>
      </c>
      <c r="I17" s="3">
        <f>IF(ISNUMBER(p_B!I17*LN(p_B!I17)),p_B!I17*LN(p_B!I17),0)</f>
        <v>0</v>
      </c>
      <c r="J17" s="3">
        <f>IF(ISNUMBER(p_B!J17*LN(p_B!J17)),p_B!J17*LN(p_B!J17),0)</f>
        <v>-4.788333704905226E-2</v>
      </c>
      <c r="K17" s="3">
        <f>IF(ISNUMBER(p_B!K17*LN(p_B!K17)),p_B!K17*LN(p_B!K17),0)</f>
        <v>0</v>
      </c>
      <c r="L17" s="3">
        <f>IF(ISNUMBER(p_B!L17*LN(p_B!L17)),p_B!L17*LN(p_B!L17),0)</f>
        <v>0</v>
      </c>
      <c r="M17" s="3">
        <f>IF(ISNUMBER(p_B!M17*LN(p_B!M17)),p_B!M17*LN(p_B!M17),0)</f>
        <v>-6.3515578208194839E-2</v>
      </c>
      <c r="N17" s="3">
        <f>IF(ISNUMBER(p_B!N17*LN(p_B!N17)),p_B!N17*LN(p_B!N17),0)</f>
        <v>0</v>
      </c>
      <c r="O17" s="3">
        <f>IF(ISNUMBER(p_B!O17*LN(p_B!O17)),p_B!O17*LN(p_B!O17),0)</f>
        <v>-0.33667533220814494</v>
      </c>
      <c r="P17" s="3">
        <f>IF(ISNUMBER(p_B!P17*LN(p_B!P17)),p_B!P17*LN(p_B!P17),0)</f>
        <v>0</v>
      </c>
      <c r="Q17" s="3">
        <f>IF(ISNUMBER(p_B!Q17*LN(p_B!Q17)),p_B!Q17*LN(p_B!Q17),0)</f>
        <v>0</v>
      </c>
      <c r="R17" s="3">
        <f>IF(ISNUMBER(p_B!R17*LN(p_B!R17)),p_B!R17*LN(p_B!R17),0)</f>
        <v>0</v>
      </c>
      <c r="S17" s="3">
        <f>IF(ISNUMBER(p_B!S17*LN(p_B!S17)),p_B!S17*LN(p_B!S17),0)</f>
        <v>0</v>
      </c>
      <c r="T17" s="3">
        <f>IF(ISNUMBER(p_B!T17*LN(p_B!T17)),p_B!T17*LN(p_B!T17),0)</f>
        <v>0</v>
      </c>
      <c r="U17" s="3">
        <f>IF(ISNUMBER(p_B!U17*LN(p_B!U17)),p_B!U17*LN(p_B!U17),0)</f>
        <v>0</v>
      </c>
      <c r="V17" s="3">
        <f>IF(ISNUMBER(p_B!V17*LN(p_B!V17)),p_B!V17*LN(p_B!V17),0)</f>
        <v>0</v>
      </c>
      <c r="W17" s="3">
        <f>IF(ISNUMBER(p_B!W17*LN(p_B!W17)),p_B!W17*LN(p_B!W17),0)</f>
        <v>0</v>
      </c>
      <c r="X17" s="3">
        <f>IF(ISNUMBER(p_B!X17*LN(p_B!X17)),p_B!X17*LN(p_B!X17),0)</f>
        <v>-0.36653126992039042</v>
      </c>
      <c r="Y17" s="3">
        <f>IF(ISNUMBER(p_B!Y17*LN(p_B!Y17)),p_B!Y17*LN(p_B!Y17),0)</f>
        <v>-6.3515578208194839E-2</v>
      </c>
      <c r="Z17" s="3">
        <f>IF(ISNUMBER(p_B!Z17*LN(p_B!Z17)),p_B!Z17*LN(p_B!Z17),0)</f>
        <v>0</v>
      </c>
      <c r="AA17" s="3">
        <f>IF(ISNUMBER(p_B!AA17*LN(p_B!AA17)),p_B!AA17*LN(p_B!AA17),0)</f>
        <v>0</v>
      </c>
    </row>
    <row r="18" spans="1:27" x14ac:dyDescent="0.25">
      <c r="A18" t="s">
        <v>91</v>
      </c>
      <c r="B18" s="3">
        <f>IF(ISNUMBER(p_B!B18*LN(p_B!B18)),p_B!B18*LN(p_B!B18),0)</f>
        <v>-0.34061621640268225</v>
      </c>
      <c r="C18" s="3">
        <f>IF(ISNUMBER(p_B!C18*LN(p_B!C18)),p_B!C18*LN(p_B!C18),0)</f>
        <v>-4.4096857496475905E-2</v>
      </c>
      <c r="D18" s="3">
        <f>IF(ISNUMBER(p_B!D18*LN(p_B!D18)),p_B!D18*LN(p_B!D18),0)</f>
        <v>0</v>
      </c>
      <c r="E18" s="3">
        <f>IF(ISNUMBER(p_B!E18*LN(p_B!E18)),p_B!E18*LN(p_B!E18),0)</f>
        <v>0</v>
      </c>
      <c r="F18" s="3">
        <f>IF(ISNUMBER(p_B!F18*LN(p_B!F18)),p_B!F18*LN(p_B!F18),0)</f>
        <v>0</v>
      </c>
      <c r="G18" s="3">
        <f>IF(ISNUMBER(p_B!G18*LN(p_B!G18)),p_B!G18*LN(p_B!G18),0)</f>
        <v>0</v>
      </c>
      <c r="H18" s="3">
        <f>IF(ISNUMBER(p_B!H18*LN(p_B!H18)),p_B!H18*LN(p_B!H18),0)</f>
        <v>-0.36418242263494333</v>
      </c>
      <c r="I18" s="3">
        <f>IF(ISNUMBER(p_B!I18*LN(p_B!I18)),p_B!I18*LN(p_B!I18),0)</f>
        <v>0</v>
      </c>
      <c r="J18" s="3">
        <f>IF(ISNUMBER(p_B!J18*LN(p_B!J18)),p_B!J18*LN(p_B!J18),0)</f>
        <v>-0.16505888307649014</v>
      </c>
      <c r="K18" s="3">
        <f>IF(ISNUMBER(p_B!K18*LN(p_B!K18)),p_B!K18*LN(p_B!K18),0)</f>
        <v>0</v>
      </c>
      <c r="L18" s="3">
        <f>IF(ISNUMBER(p_B!L18*LN(p_B!L18)),p_B!L18*LN(p_B!L18),0)</f>
        <v>0</v>
      </c>
      <c r="M18" s="3">
        <f>IF(ISNUMBER(p_B!M18*LN(p_B!M18)),p_B!M18*LN(p_B!M18),0)</f>
        <v>0</v>
      </c>
      <c r="N18" s="3">
        <f>IF(ISNUMBER(p_B!N18*LN(p_B!N18)),p_B!N18*LN(p_B!N18),0)</f>
        <v>0</v>
      </c>
      <c r="O18" s="3">
        <f>IF(ISNUMBER(p_B!O18*LN(p_B!O18)),p_B!O18*LN(p_B!O18),0)</f>
        <v>0</v>
      </c>
      <c r="P18" s="3">
        <f>IF(ISNUMBER(p_B!P18*LN(p_B!P18)),p_B!P18*LN(p_B!P18),0)</f>
        <v>0</v>
      </c>
      <c r="Q18" s="3">
        <f>IF(ISNUMBER(p_B!Q18*LN(p_B!Q18)),p_B!Q18*LN(p_B!Q18),0)</f>
        <v>-0.22667776824070002</v>
      </c>
      <c r="R18" s="3">
        <f>IF(ISNUMBER(p_B!R18*LN(p_B!R18)),p_B!R18*LN(p_B!R18),0)</f>
        <v>0</v>
      </c>
      <c r="S18" s="3">
        <f>IF(ISNUMBER(p_B!S18*LN(p_B!S18)),p_B!S18*LN(p_B!S18),0)</f>
        <v>0</v>
      </c>
      <c r="T18" s="3">
        <f>IF(ISNUMBER(p_B!T18*LN(p_B!T18)),p_B!T18*LN(p_B!T18),0)</f>
        <v>0</v>
      </c>
      <c r="U18" s="3">
        <f>IF(ISNUMBER(p_B!U18*LN(p_B!U18)),p_B!U18*LN(p_B!U18),0)</f>
        <v>0</v>
      </c>
      <c r="V18" s="3">
        <f>IF(ISNUMBER(p_B!V18*LN(p_B!V18)),p_B!V18*LN(p_B!V18),0)</f>
        <v>0</v>
      </c>
      <c r="W18" s="3">
        <f>IF(ISNUMBER(p_B!W18*LN(p_B!W18)),p_B!W18*LN(p_B!W18),0)</f>
        <v>0</v>
      </c>
      <c r="X18" s="3">
        <f>IF(ISNUMBER(p_B!X18*LN(p_B!X18)),p_B!X18*LN(p_B!X18),0)</f>
        <v>0</v>
      </c>
      <c r="Y18" s="3">
        <f>IF(ISNUMBER(p_B!Y18*LN(p_B!Y18)),p_B!Y18*LN(p_B!Y18),0)</f>
        <v>0</v>
      </c>
      <c r="Z18" s="3">
        <f>IF(ISNUMBER(p_B!Z18*LN(p_B!Z18)),p_B!Z18*LN(p_B!Z18),0)</f>
        <v>0</v>
      </c>
      <c r="AA18" s="3">
        <f>IF(ISNUMBER(p_B!AA18*LN(p_B!AA18)),p_B!AA18*LN(p_B!AA18),0)</f>
        <v>0</v>
      </c>
    </row>
    <row r="19" spans="1:27" x14ac:dyDescent="0.25">
      <c r="A19" t="s">
        <v>92</v>
      </c>
      <c r="B19" s="3">
        <f>IF(ISNUMBER(p_B!B19*LN(p_B!B19)),p_B!B19*LN(p_B!B19),0)</f>
        <v>-0.22218343710707728</v>
      </c>
      <c r="C19" s="3">
        <f>IF(ISNUMBER(p_B!C19*LN(p_B!C19)),p_B!C19*LN(p_B!C19),0)</f>
        <v>0</v>
      </c>
      <c r="D19" s="3">
        <f>IF(ISNUMBER(p_B!D19*LN(p_B!D19)),p_B!D19*LN(p_B!D19),0)</f>
        <v>0</v>
      </c>
      <c r="E19" s="3">
        <f>IF(ISNUMBER(p_B!E19*LN(p_B!E19)),p_B!E19*LN(p_B!E19),0)</f>
        <v>0</v>
      </c>
      <c r="F19" s="3">
        <f>IF(ISNUMBER(p_B!F19*LN(p_B!F19)),p_B!F19*LN(p_B!F19),0)</f>
        <v>0</v>
      </c>
      <c r="G19" s="3">
        <f>IF(ISNUMBER(p_B!G19*LN(p_B!G19)),p_B!G19*LN(p_B!G19),0)</f>
        <v>0</v>
      </c>
      <c r="H19" s="3">
        <f>IF(ISNUMBER(p_B!H19*LN(p_B!H19)),p_B!H19*LN(p_B!H19),0)</f>
        <v>0</v>
      </c>
      <c r="I19" s="3">
        <f>IF(ISNUMBER(p_B!I19*LN(p_B!I19)),p_B!I19*LN(p_B!I19),0)</f>
        <v>0</v>
      </c>
      <c r="J19" s="3">
        <f>IF(ISNUMBER(p_B!J19*LN(p_B!J19)),p_B!J19*LN(p_B!J19),0)</f>
        <v>-0.10241619014374455</v>
      </c>
      <c r="K19" s="3">
        <f>IF(ISNUMBER(p_B!K19*LN(p_B!K19)),p_B!K19*LN(p_B!K19),0)</f>
        <v>0</v>
      </c>
      <c r="L19" s="3">
        <f>IF(ISNUMBER(p_B!L19*LN(p_B!L19)),p_B!L19*LN(p_B!L19),0)</f>
        <v>0</v>
      </c>
      <c r="M19" s="3">
        <f>IF(ISNUMBER(p_B!M19*LN(p_B!M19)),p_B!M19*LN(p_B!M19),0)</f>
        <v>0</v>
      </c>
      <c r="N19" s="3">
        <f>IF(ISNUMBER(p_B!N19*LN(p_B!N19)),p_B!N19*LN(p_B!N19),0)</f>
        <v>0</v>
      </c>
      <c r="O19" s="3">
        <f>IF(ISNUMBER(p_B!O19*LN(p_B!O19)),p_B!O19*LN(p_B!O19),0)</f>
        <v>-0.33811665842757593</v>
      </c>
      <c r="P19" s="3">
        <f>IF(ISNUMBER(p_B!P19*LN(p_B!P19)),p_B!P19*LN(p_B!P19),0)</f>
        <v>0</v>
      </c>
      <c r="Q19" s="3">
        <f>IF(ISNUMBER(p_B!Q19*LN(p_B!Q19)),p_B!Q19*LN(p_B!Q19),0)</f>
        <v>0</v>
      </c>
      <c r="R19" s="3">
        <f>IF(ISNUMBER(p_B!R19*LN(p_B!R19)),p_B!R19*LN(p_B!R19),0)</f>
        <v>0</v>
      </c>
      <c r="S19" s="3">
        <f>IF(ISNUMBER(p_B!S19*LN(p_B!S19)),p_B!S19*LN(p_B!S19),0)</f>
        <v>0</v>
      </c>
      <c r="T19" s="3">
        <f>IF(ISNUMBER(p_B!T19*LN(p_B!T19)),p_B!T19*LN(p_B!T19),0)</f>
        <v>0</v>
      </c>
      <c r="U19" s="3">
        <f>IF(ISNUMBER(p_B!U19*LN(p_B!U19)),p_B!U19*LN(p_B!U19),0)</f>
        <v>0</v>
      </c>
      <c r="V19" s="3">
        <f>IF(ISNUMBER(p_B!V19*LN(p_B!V19)),p_B!V19*LN(p_B!V19),0)</f>
        <v>0</v>
      </c>
      <c r="W19" s="3">
        <f>IF(ISNUMBER(p_B!W19*LN(p_B!W19)),p_B!W19*LN(p_B!W19),0)</f>
        <v>0</v>
      </c>
      <c r="X19" s="3">
        <f>IF(ISNUMBER(p_B!X19*LN(p_B!X19)),p_B!X19*LN(p_B!X19),0)</f>
        <v>0</v>
      </c>
      <c r="Y19" s="3">
        <f>IF(ISNUMBER(p_B!Y19*LN(p_B!Y19)),p_B!Y19*LN(p_B!Y19),0)</f>
        <v>0</v>
      </c>
      <c r="Z19" s="3">
        <f>IF(ISNUMBER(p_B!Z19*LN(p_B!Z19)),p_B!Z19*LN(p_B!Z19),0)</f>
        <v>0</v>
      </c>
      <c r="AA19" s="3">
        <f>IF(ISNUMBER(p_B!AA19*LN(p_B!AA19)),p_B!AA19*LN(p_B!AA19),0)</f>
        <v>0</v>
      </c>
    </row>
    <row r="20" spans="1:27" x14ac:dyDescent="0.25">
      <c r="A20" t="s">
        <v>93</v>
      </c>
      <c r="B20" s="3">
        <f>IF(ISNUMBER(p_B!B20*LN(p_B!B20)),p_B!B20*LN(p_B!B20),0)</f>
        <v>-0.36243733683894841</v>
      </c>
      <c r="C20" s="3">
        <f>IF(ISNUMBER(p_B!C20*LN(p_B!C20)),p_B!C20*LN(p_B!C20),0)</f>
        <v>0</v>
      </c>
      <c r="D20" s="3">
        <f>IF(ISNUMBER(p_B!D20*LN(p_B!D20)),p_B!D20*LN(p_B!D20),0)</f>
        <v>0</v>
      </c>
      <c r="E20" s="3">
        <f>IF(ISNUMBER(p_B!E20*LN(p_B!E20)),p_B!E20*LN(p_B!E20),0)</f>
        <v>0</v>
      </c>
      <c r="F20" s="3">
        <f>IF(ISNUMBER(p_B!F20*LN(p_B!F20)),p_B!F20*LN(p_B!F20),0)</f>
        <v>0</v>
      </c>
      <c r="G20" s="3">
        <f>IF(ISNUMBER(p_B!G20*LN(p_B!G20)),p_B!G20*LN(p_B!G20),0)</f>
        <v>0</v>
      </c>
      <c r="H20" s="3">
        <f>IF(ISNUMBER(p_B!H20*LN(p_B!H20)),p_B!H20*LN(p_B!H20),0)</f>
        <v>0</v>
      </c>
      <c r="I20" s="3">
        <f>IF(ISNUMBER(p_B!I20*LN(p_B!I20)),p_B!I20*LN(p_B!I20),0)</f>
        <v>0</v>
      </c>
      <c r="J20" s="3">
        <f>IF(ISNUMBER(p_B!J20*LN(p_B!J20)),p_B!J20*LN(p_B!J20),0)</f>
        <v>-9.9247369489583404E-2</v>
      </c>
      <c r="K20" s="3">
        <f>IF(ISNUMBER(p_B!K20*LN(p_B!K20)),p_B!K20*LN(p_B!K20),0)</f>
        <v>0</v>
      </c>
      <c r="L20" s="3">
        <f>IF(ISNUMBER(p_B!L20*LN(p_B!L20)),p_B!L20*LN(p_B!L20),0)</f>
        <v>0</v>
      </c>
      <c r="M20" s="3">
        <f>IF(ISNUMBER(p_B!M20*LN(p_B!M20)),p_B!M20*LN(p_B!M20),0)</f>
        <v>0</v>
      </c>
      <c r="N20" s="3">
        <f>IF(ISNUMBER(p_B!N20*LN(p_B!N20)),p_B!N20*LN(p_B!N20),0)</f>
        <v>0</v>
      </c>
      <c r="O20" s="3">
        <f>IF(ISNUMBER(p_B!O20*LN(p_B!O20)),p_B!O20*LN(p_B!O20),0)</f>
        <v>0</v>
      </c>
      <c r="P20" s="3">
        <f>IF(ISNUMBER(p_B!P20*LN(p_B!P20)),p_B!P20*LN(p_B!P20),0)</f>
        <v>0</v>
      </c>
      <c r="Q20" s="3">
        <f>IF(ISNUMBER(p_B!Q20*LN(p_B!Q20)),p_B!Q20*LN(p_B!Q20),0)</f>
        <v>-0.27076943372799156</v>
      </c>
      <c r="R20" s="3">
        <f>IF(ISNUMBER(p_B!R20*LN(p_B!R20)),p_B!R20*LN(p_B!R20),0)</f>
        <v>0</v>
      </c>
      <c r="S20" s="3">
        <f>IF(ISNUMBER(p_B!S20*LN(p_B!S20)),p_B!S20*LN(p_B!S20),0)</f>
        <v>0</v>
      </c>
      <c r="T20" s="3">
        <f>IF(ISNUMBER(p_B!T20*LN(p_B!T20)),p_B!T20*LN(p_B!T20),0)</f>
        <v>0</v>
      </c>
      <c r="U20" s="3">
        <f>IF(ISNUMBER(p_B!U20*LN(p_B!U20)),p_B!U20*LN(p_B!U20),0)</f>
        <v>0</v>
      </c>
      <c r="V20" s="3">
        <f>IF(ISNUMBER(p_B!V20*LN(p_B!V20)),p_B!V20*LN(p_B!V20),0)</f>
        <v>0</v>
      </c>
      <c r="W20" s="3">
        <f>IF(ISNUMBER(p_B!W20*LN(p_B!W20)),p_B!W20*LN(p_B!W20),0)</f>
        <v>0</v>
      </c>
      <c r="X20" s="3">
        <f>IF(ISNUMBER(p_B!X20*LN(p_B!X20)),p_B!X20*LN(p_B!X20),0)</f>
        <v>0</v>
      </c>
      <c r="Y20" s="3">
        <f>IF(ISNUMBER(p_B!Y20*LN(p_B!Y20)),p_B!Y20*LN(p_B!Y20),0)</f>
        <v>0</v>
      </c>
      <c r="Z20" s="3">
        <f>IF(ISNUMBER(p_B!Z20*LN(p_B!Z20)),p_B!Z20*LN(p_B!Z20),0)</f>
        <v>0</v>
      </c>
      <c r="AA20" s="3">
        <f>IF(ISNUMBER(p_B!AA20*LN(p_B!AA20)),p_B!AA20*LN(p_B!AA20),0)</f>
        <v>0</v>
      </c>
    </row>
    <row r="21" spans="1:27" x14ac:dyDescent="0.25">
      <c r="A21" t="s">
        <v>18</v>
      </c>
      <c r="B21" s="3">
        <f>IF(ISNUMBER(p_B!B21*LN(p_B!B21)),p_B!B21*LN(p_B!B21),0)</f>
        <v>-2.6593042587450107E-2</v>
      </c>
      <c r="C21" s="3">
        <f>IF(ISNUMBER(p_B!C21*LN(p_B!C21)),p_B!C21*LN(p_B!C21),0)</f>
        <v>-2.2750774720809316E-2</v>
      </c>
      <c r="D21" s="3">
        <f>IF(ISNUMBER(p_B!D21*LN(p_B!D21)),p_B!D21*LN(p_B!D21),0)</f>
        <v>0</v>
      </c>
      <c r="E21" s="3">
        <f>IF(ISNUMBER(p_B!E21*LN(p_B!E21)),p_B!E21*LN(p_B!E21),0)</f>
        <v>-8.624035798929014E-2</v>
      </c>
      <c r="F21" s="3">
        <f>IF(ISNUMBER(p_B!F21*LN(p_B!F21)),p_B!F21*LN(p_B!F21),0)</f>
        <v>0</v>
      </c>
      <c r="G21" s="3">
        <f>IF(ISNUMBER(p_B!G21*LN(p_B!G21)),p_B!G21*LN(p_B!G21),0)</f>
        <v>0</v>
      </c>
      <c r="H21" s="3">
        <f>IF(ISNUMBER(p_B!H21*LN(p_B!H21)),p_B!H21*LN(p_B!H21),0)</f>
        <v>0</v>
      </c>
      <c r="I21" s="3">
        <f>IF(ISNUMBER(p_B!I21*LN(p_B!I21)),p_B!I21*LN(p_B!I21),0)</f>
        <v>0</v>
      </c>
      <c r="J21" s="3">
        <f>IF(ISNUMBER(p_B!J21*LN(p_B!J21)),p_B!J21*LN(p_B!J21),0)</f>
        <v>0</v>
      </c>
      <c r="K21" s="3">
        <f>IF(ISNUMBER(p_B!K21*LN(p_B!K21)),p_B!K21*LN(p_B!K21),0)</f>
        <v>0</v>
      </c>
      <c r="L21" s="3">
        <f>IF(ISNUMBER(p_B!L21*LN(p_B!L21)),p_B!L21*LN(p_B!L21),0)</f>
        <v>0</v>
      </c>
      <c r="M21" s="3">
        <f>IF(ISNUMBER(p_B!M21*LN(p_B!M21)),p_B!M21*LN(p_B!M21),0)</f>
        <v>0</v>
      </c>
      <c r="N21" s="3">
        <f>IF(ISNUMBER(p_B!N21*LN(p_B!N21)),p_B!N21*LN(p_B!N21),0)</f>
        <v>0</v>
      </c>
      <c r="O21" s="3">
        <f>IF(ISNUMBER(p_B!O21*LN(p_B!O21)),p_B!O21*LN(p_B!O21),0)</f>
        <v>0</v>
      </c>
      <c r="P21" s="3">
        <f>IF(ISNUMBER(p_B!P21*LN(p_B!P21)),p_B!P21*LN(p_B!P21),0)</f>
        <v>0</v>
      </c>
      <c r="Q21" s="3">
        <f>IF(ISNUMBER(p_B!Q21*LN(p_B!Q21)),p_B!Q21*LN(p_B!Q21),0)</f>
        <v>0</v>
      </c>
      <c r="R21" s="3">
        <f>IF(ISNUMBER(p_B!R21*LN(p_B!R21)),p_B!R21*LN(p_B!R21),0)</f>
        <v>0</v>
      </c>
      <c r="S21" s="3">
        <f>IF(ISNUMBER(p_B!S21*LN(p_B!S21)),p_B!S21*LN(p_B!S21),0)</f>
        <v>0</v>
      </c>
      <c r="T21" s="3">
        <f>IF(ISNUMBER(p_B!T21*LN(p_B!T21)),p_B!T21*LN(p_B!T21),0)</f>
        <v>0</v>
      </c>
      <c r="U21" s="3">
        <f>IF(ISNUMBER(p_B!U21*LN(p_B!U21)),p_B!U21*LN(p_B!U21),0)</f>
        <v>0</v>
      </c>
      <c r="V21" s="3">
        <f>IF(ISNUMBER(p_B!V21*LN(p_B!V21)),p_B!V21*LN(p_B!V21),0)</f>
        <v>0</v>
      </c>
      <c r="W21" s="3">
        <f>IF(ISNUMBER(p_B!W21*LN(p_B!W21)),p_B!W21*LN(p_B!W21),0)</f>
        <v>0</v>
      </c>
      <c r="X21" s="3">
        <f>IF(ISNUMBER(p_B!X21*LN(p_B!X21)),p_B!X21*LN(p_B!X21),0)</f>
        <v>0</v>
      </c>
      <c r="Y21" s="3">
        <f>IF(ISNUMBER(p_B!Y21*LN(p_B!Y21)),p_B!Y21*LN(p_B!Y21),0)</f>
        <v>0</v>
      </c>
      <c r="Z21" s="3">
        <f>IF(ISNUMBER(p_B!Z21*LN(p_B!Z21)),p_B!Z21*LN(p_B!Z21),0)</f>
        <v>0</v>
      </c>
      <c r="AA21" s="3">
        <f>IF(ISNUMBER(p_B!AA21*LN(p_B!AA21)),p_B!AA21*LN(p_B!AA21),0)</f>
        <v>0</v>
      </c>
    </row>
    <row r="22" spans="1:27" x14ac:dyDescent="0.25">
      <c r="A22" t="s">
        <v>19</v>
      </c>
      <c r="B22" s="3">
        <f>IF(ISNUMBER(p_B!B22*LN(p_B!B22)),p_B!B22*LN(p_B!B22),0)</f>
        <v>-1.5937069538868906E-2</v>
      </c>
      <c r="C22" s="3">
        <f>IF(ISNUMBER(p_B!C22*LN(p_B!C22)),p_B!C22*LN(p_B!C22),0)</f>
        <v>-4.4747655883381685E-2</v>
      </c>
      <c r="D22" s="3">
        <f>IF(ISNUMBER(p_B!D22*LN(p_B!D22)),p_B!D22*LN(p_B!D22),0)</f>
        <v>0</v>
      </c>
      <c r="E22" s="3">
        <f>IF(ISNUMBER(p_B!E22*LN(p_B!E22)),p_B!E22*LN(p_B!E22),0)</f>
        <v>0</v>
      </c>
      <c r="F22" s="3">
        <f>IF(ISNUMBER(p_B!F22*LN(p_B!F22)),p_B!F22*LN(p_B!F22),0)</f>
        <v>0</v>
      </c>
      <c r="G22" s="3">
        <f>IF(ISNUMBER(p_B!G22*LN(p_B!G22)),p_B!G22*LN(p_B!G22),0)</f>
        <v>0</v>
      </c>
      <c r="H22" s="3">
        <f>IF(ISNUMBER(p_B!H22*LN(p_B!H22)),p_B!H22*LN(p_B!H22),0)</f>
        <v>-3.1128874105560728E-2</v>
      </c>
      <c r="I22" s="3">
        <f>IF(ISNUMBER(p_B!I22*LN(p_B!I22)),p_B!I22*LN(p_B!I22),0)</f>
        <v>0</v>
      </c>
      <c r="J22" s="3">
        <f>IF(ISNUMBER(p_B!J22*LN(p_B!J22)),p_B!J22*LN(p_B!J22),0)</f>
        <v>0</v>
      </c>
      <c r="K22" s="3">
        <f>IF(ISNUMBER(p_B!K22*LN(p_B!K22)),p_B!K22*LN(p_B!K22),0)</f>
        <v>0</v>
      </c>
      <c r="L22" s="3">
        <f>IF(ISNUMBER(p_B!L22*LN(p_B!L22)),p_B!L22*LN(p_B!L22),0)</f>
        <v>0</v>
      </c>
      <c r="M22" s="3">
        <f>IF(ISNUMBER(p_B!M22*LN(p_B!M22)),p_B!M22*LN(p_B!M22),0)</f>
        <v>0</v>
      </c>
      <c r="N22" s="3">
        <f>IF(ISNUMBER(p_B!N22*LN(p_B!N22)),p_B!N22*LN(p_B!N22),0)</f>
        <v>0</v>
      </c>
      <c r="O22" s="3">
        <f>IF(ISNUMBER(p_B!O22*LN(p_B!O22)),p_B!O22*LN(p_B!O22),0)</f>
        <v>0</v>
      </c>
      <c r="P22" s="3">
        <f>IF(ISNUMBER(p_B!P22*LN(p_B!P22)),p_B!P22*LN(p_B!P22),0)</f>
        <v>0</v>
      </c>
      <c r="Q22" s="3">
        <f>IF(ISNUMBER(p_B!Q22*LN(p_B!Q22)),p_B!Q22*LN(p_B!Q22),0)</f>
        <v>-2.5845182793374942E-3</v>
      </c>
      <c r="R22" s="3">
        <f>IF(ISNUMBER(p_B!R22*LN(p_B!R22)),p_B!R22*LN(p_B!R22),0)</f>
        <v>0</v>
      </c>
      <c r="S22" s="3">
        <f>IF(ISNUMBER(p_B!S22*LN(p_B!S22)),p_B!S22*LN(p_B!S22),0)</f>
        <v>0</v>
      </c>
      <c r="T22" s="3">
        <f>IF(ISNUMBER(p_B!T22*LN(p_B!T22)),p_B!T22*LN(p_B!T22),0)</f>
        <v>0</v>
      </c>
      <c r="U22" s="3">
        <f>IF(ISNUMBER(p_B!U22*LN(p_B!U22)),p_B!U22*LN(p_B!U22),0)</f>
        <v>0</v>
      </c>
      <c r="V22" s="3">
        <f>IF(ISNUMBER(p_B!V22*LN(p_B!V22)),p_B!V22*LN(p_B!V22),0)</f>
        <v>0</v>
      </c>
      <c r="W22" s="3">
        <f>IF(ISNUMBER(p_B!W22*LN(p_B!W22)),p_B!W22*LN(p_B!W22),0)</f>
        <v>0</v>
      </c>
      <c r="X22" s="3">
        <f>IF(ISNUMBER(p_B!X22*LN(p_B!X22)),p_B!X22*LN(p_B!X22),0)</f>
        <v>0</v>
      </c>
      <c r="Y22" s="3">
        <f>IF(ISNUMBER(p_B!Y22*LN(p_B!Y22)),p_B!Y22*LN(p_B!Y22),0)</f>
        <v>0</v>
      </c>
      <c r="Z22" s="3">
        <f>IF(ISNUMBER(p_B!Z22*LN(p_B!Z22)),p_B!Z22*LN(p_B!Z22),0)</f>
        <v>0</v>
      </c>
      <c r="AA22" s="3">
        <f>IF(ISNUMBER(p_B!AA22*LN(p_B!AA22)),p_B!AA22*LN(p_B!AA22),0)</f>
        <v>0</v>
      </c>
    </row>
    <row r="23" spans="1:27" x14ac:dyDescent="0.25">
      <c r="A23" t="s">
        <v>20</v>
      </c>
      <c r="B23" s="3">
        <f>IF(ISNUMBER(p_B!B23*LN(p_B!B23)),p_B!B23*LN(p_B!B23),0)</f>
        <v>-0.16604710134775238</v>
      </c>
      <c r="C23" s="3">
        <f>IF(ISNUMBER(p_B!C23*LN(p_B!C23)),p_B!C23*LN(p_B!C23),0)</f>
        <v>-8.0115110598746722E-2</v>
      </c>
      <c r="D23" s="3">
        <f>IF(ISNUMBER(p_B!D23*LN(p_B!D23)),p_B!D23*LN(p_B!D23),0)</f>
        <v>0</v>
      </c>
      <c r="E23" s="3">
        <f>IF(ISNUMBER(p_B!E23*LN(p_B!E23)),p_B!E23*LN(p_B!E23),0)</f>
        <v>-1.3626770608069163E-2</v>
      </c>
      <c r="F23" s="3">
        <f>IF(ISNUMBER(p_B!F23*LN(p_B!F23)),p_B!F23*LN(p_B!F23),0)</f>
        <v>0</v>
      </c>
      <c r="G23" s="3">
        <f>IF(ISNUMBER(p_B!G23*LN(p_B!G23)),p_B!G23*LN(p_B!G23),0)</f>
        <v>0</v>
      </c>
      <c r="H23" s="3">
        <f>IF(ISNUMBER(p_B!H23*LN(p_B!H23)),p_B!H23*LN(p_B!H23),0)</f>
        <v>-0.17328679513998635</v>
      </c>
      <c r="I23" s="3">
        <f>IF(ISNUMBER(p_B!I23*LN(p_B!I23)),p_B!I23*LN(p_B!I23),0)</f>
        <v>0</v>
      </c>
      <c r="J23" s="3">
        <f>IF(ISNUMBER(p_B!J23*LN(p_B!J23)),p_B!J23*LN(p_B!J23),0)</f>
        <v>-6.6735469387781063E-2</v>
      </c>
      <c r="K23" s="3">
        <f>IF(ISNUMBER(p_B!K23*LN(p_B!K23)),p_B!K23*LN(p_B!K23),0)</f>
        <v>0</v>
      </c>
      <c r="L23" s="3">
        <f>IF(ISNUMBER(p_B!L23*LN(p_B!L23)),p_B!L23*LN(p_B!L23),0)</f>
        <v>0</v>
      </c>
      <c r="M23" s="3">
        <f>IF(ISNUMBER(p_B!M23*LN(p_B!M23)),p_B!M23*LN(p_B!M23),0)</f>
        <v>0</v>
      </c>
      <c r="N23" s="3">
        <f>IF(ISNUMBER(p_B!N23*LN(p_B!N23)),p_B!N23*LN(p_B!N23),0)</f>
        <v>0</v>
      </c>
      <c r="O23" s="3">
        <f>IF(ISNUMBER(p_B!O23*LN(p_B!O23)),p_B!O23*LN(p_B!O23),0)</f>
        <v>-0.20596738132035303</v>
      </c>
      <c r="P23" s="3">
        <f>IF(ISNUMBER(p_B!P23*LN(p_B!P23)),p_B!P23*LN(p_B!P23),0)</f>
        <v>0</v>
      </c>
      <c r="Q23" s="3">
        <f>IF(ISNUMBER(p_B!Q23*LN(p_B!Q23)),p_B!Q23*LN(p_B!Q23),0)</f>
        <v>0</v>
      </c>
      <c r="R23" s="3">
        <f>IF(ISNUMBER(p_B!R23*LN(p_B!R23)),p_B!R23*LN(p_B!R23),0)</f>
        <v>0</v>
      </c>
      <c r="S23" s="3">
        <f>IF(ISNUMBER(p_B!S23*LN(p_B!S23)),p_B!S23*LN(p_B!S23),0)</f>
        <v>0</v>
      </c>
      <c r="T23" s="3">
        <f>IF(ISNUMBER(p_B!T23*LN(p_B!T23)),p_B!T23*LN(p_B!T23),0)</f>
        <v>0</v>
      </c>
      <c r="U23" s="3">
        <f>IF(ISNUMBER(p_B!U23*LN(p_B!U23)),p_B!U23*LN(p_B!U23),0)</f>
        <v>0</v>
      </c>
      <c r="V23" s="3">
        <f>IF(ISNUMBER(p_B!V23*LN(p_B!V23)),p_B!V23*LN(p_B!V23),0)</f>
        <v>0</v>
      </c>
      <c r="W23" s="3">
        <f>IF(ISNUMBER(p_B!W23*LN(p_B!W23)),p_B!W23*LN(p_B!W23),0)</f>
        <v>0</v>
      </c>
      <c r="X23" s="3">
        <f>IF(ISNUMBER(p_B!X23*LN(p_B!X23)),p_B!X23*LN(p_B!X23),0)</f>
        <v>0</v>
      </c>
      <c r="Y23" s="3">
        <f>IF(ISNUMBER(p_B!Y23*LN(p_B!Y23)),p_B!Y23*LN(p_B!Y23),0)</f>
        <v>0</v>
      </c>
      <c r="Z23" s="3">
        <f>IF(ISNUMBER(p_B!Z23*LN(p_B!Z23)),p_B!Z23*LN(p_B!Z23),0)</f>
        <v>0</v>
      </c>
      <c r="AA23" s="3">
        <f>IF(ISNUMBER(p_B!AA23*LN(p_B!AA23)),p_B!AA23*LN(p_B!AA23),0)</f>
        <v>0</v>
      </c>
    </row>
    <row r="24" spans="1:27" x14ac:dyDescent="0.25">
      <c r="A24" t="s">
        <v>21</v>
      </c>
      <c r="B24" s="3">
        <f>IF(ISNUMBER(p_B!B24*LN(p_B!B24)),p_B!B24*LN(p_B!B24),0)</f>
        <v>-7.2890142481944642E-2</v>
      </c>
      <c r="C24" s="3">
        <f>IF(ISNUMBER(p_B!C24*LN(p_B!C24)),p_B!C24*LN(p_B!C24),0)</f>
        <v>-2.5885350807556329E-2</v>
      </c>
      <c r="D24" s="3">
        <f>IF(ISNUMBER(p_B!D24*LN(p_B!D24)),p_B!D24*LN(p_B!D24),0)</f>
        <v>-4.6289243404319183E-2</v>
      </c>
      <c r="E24" s="3">
        <f>IF(ISNUMBER(p_B!E24*LN(p_B!E24)),p_B!E24*LN(p_B!E24),0)</f>
        <v>0</v>
      </c>
      <c r="F24" s="3">
        <f>IF(ISNUMBER(p_B!F24*LN(p_B!F24)),p_B!F24*LN(p_B!F24),0)</f>
        <v>0</v>
      </c>
      <c r="G24" s="3">
        <f>IF(ISNUMBER(p_B!G24*LN(p_B!G24)),p_B!G24*LN(p_B!G24),0)</f>
        <v>0</v>
      </c>
      <c r="H24" s="3">
        <f>IF(ISNUMBER(p_B!H24*LN(p_B!H24)),p_B!H24*LN(p_B!H24),0)</f>
        <v>-0.16889274464474407</v>
      </c>
      <c r="I24" s="3">
        <f>IF(ISNUMBER(p_B!I24*LN(p_B!I24)),p_B!I24*LN(p_B!I24),0)</f>
        <v>0</v>
      </c>
      <c r="J24" s="3">
        <f>IF(ISNUMBER(p_B!J24*LN(p_B!J24)),p_B!J24*LN(p_B!J24),0)</f>
        <v>0</v>
      </c>
      <c r="K24" s="3">
        <f>IF(ISNUMBER(p_B!K24*LN(p_B!K24)),p_B!K24*LN(p_B!K24),0)</f>
        <v>0</v>
      </c>
      <c r="L24" s="3">
        <f>IF(ISNUMBER(p_B!L24*LN(p_B!L24)),p_B!L24*LN(p_B!L24),0)</f>
        <v>0</v>
      </c>
      <c r="M24" s="3">
        <f>IF(ISNUMBER(p_B!M24*LN(p_B!M24)),p_B!M24*LN(p_B!M24),0)</f>
        <v>0</v>
      </c>
      <c r="N24" s="3">
        <f>IF(ISNUMBER(p_B!N24*LN(p_B!N24)),p_B!N24*LN(p_B!N24),0)</f>
        <v>-5.0487647028980096E-3</v>
      </c>
      <c r="O24" s="3">
        <f>IF(ISNUMBER(p_B!O24*LN(p_B!O24)),p_B!O24*LN(p_B!O24),0)</f>
        <v>0</v>
      </c>
      <c r="P24" s="3">
        <f>IF(ISNUMBER(p_B!P24*LN(p_B!P24)),p_B!P24*LN(p_B!P24),0)</f>
        <v>-1.5027837410004294E-3</v>
      </c>
      <c r="Q24" s="3">
        <f>IF(ISNUMBER(p_B!Q24*LN(p_B!Q24)),p_B!Q24*LN(p_B!Q24),0)</f>
        <v>0</v>
      </c>
      <c r="R24" s="3">
        <f>IF(ISNUMBER(p_B!R24*LN(p_B!R24)),p_B!R24*LN(p_B!R24),0)</f>
        <v>0</v>
      </c>
      <c r="S24" s="3">
        <f>IF(ISNUMBER(p_B!S24*LN(p_B!S24)),p_B!S24*LN(p_B!S24),0)</f>
        <v>0</v>
      </c>
      <c r="T24" s="3">
        <f>IF(ISNUMBER(p_B!T24*LN(p_B!T24)),p_B!T24*LN(p_B!T24),0)</f>
        <v>0</v>
      </c>
      <c r="U24" s="3">
        <f>IF(ISNUMBER(p_B!U24*LN(p_B!U24)),p_B!U24*LN(p_B!U24),0)</f>
        <v>0</v>
      </c>
      <c r="V24" s="3">
        <f>IF(ISNUMBER(p_B!V24*LN(p_B!V24)),p_B!V24*LN(p_B!V24),0)</f>
        <v>0</v>
      </c>
      <c r="W24" s="3">
        <f>IF(ISNUMBER(p_B!W24*LN(p_B!W24)),p_B!W24*LN(p_B!W24),0)</f>
        <v>0</v>
      </c>
      <c r="X24" s="3">
        <f>IF(ISNUMBER(p_B!X24*LN(p_B!X24)),p_B!X24*LN(p_B!X24),0)</f>
        <v>0</v>
      </c>
      <c r="Y24" s="3">
        <f>IF(ISNUMBER(p_B!Y24*LN(p_B!Y24)),p_B!Y24*LN(p_B!Y24),0)</f>
        <v>0</v>
      </c>
      <c r="Z24" s="3">
        <f>IF(ISNUMBER(p_B!Z24*LN(p_B!Z24)),p_B!Z24*LN(p_B!Z24),0)</f>
        <v>0</v>
      </c>
      <c r="AA24" s="3">
        <f>IF(ISNUMBER(p_B!AA24*LN(p_B!AA24)),p_B!AA24*LN(p_B!AA24),0)</f>
        <v>0</v>
      </c>
    </row>
    <row r="25" spans="1:27" x14ac:dyDescent="0.25">
      <c r="A25" t="s">
        <v>22</v>
      </c>
      <c r="B25" s="3">
        <f>IF(ISNUMBER(p_B!B25*LN(p_B!B25)),p_B!B25*LN(p_B!B25),0)</f>
        <v>-0.19431679103781754</v>
      </c>
      <c r="C25" s="3">
        <f>IF(ISNUMBER(p_B!C25*LN(p_B!C25)),p_B!C25*LN(p_B!C25),0)</f>
        <v>-1.5864669049097019E-2</v>
      </c>
      <c r="D25" s="3">
        <f>IF(ISNUMBER(p_B!D25*LN(p_B!D25)),p_B!D25*LN(p_B!D25),0)</f>
        <v>0</v>
      </c>
      <c r="E25" s="3">
        <f>IF(ISNUMBER(p_B!E25*LN(p_B!E25)),p_B!E25*LN(p_B!E25),0)</f>
        <v>0</v>
      </c>
      <c r="F25" s="3">
        <f>IF(ISNUMBER(p_B!F25*LN(p_B!F25)),p_B!F25*LN(p_B!F25),0)</f>
        <v>0</v>
      </c>
      <c r="G25" s="3">
        <f>IF(ISNUMBER(p_B!G25*LN(p_B!G25)),p_B!G25*LN(p_B!G25),0)</f>
        <v>0</v>
      </c>
      <c r="H25" s="3">
        <f>IF(ISNUMBER(p_B!H25*LN(p_B!H25)),p_B!H25*LN(p_B!H25),0)</f>
        <v>-0.31318210429904952</v>
      </c>
      <c r="I25" s="3">
        <f>IF(ISNUMBER(p_B!I25*LN(p_B!I25)),p_B!I25*LN(p_B!I25),0)</f>
        <v>0</v>
      </c>
      <c r="J25" s="3">
        <f>IF(ISNUMBER(p_B!J25*LN(p_B!J25)),p_B!J25*LN(p_B!J25),0)</f>
        <v>-9.4246821865416108E-2</v>
      </c>
      <c r="K25" s="3">
        <f>IF(ISNUMBER(p_B!K25*LN(p_B!K25)),p_B!K25*LN(p_B!K25),0)</f>
        <v>0</v>
      </c>
      <c r="L25" s="3">
        <f>IF(ISNUMBER(p_B!L25*LN(p_B!L25)),p_B!L25*LN(p_B!L25),0)</f>
        <v>0</v>
      </c>
      <c r="M25" s="3">
        <f>IF(ISNUMBER(p_B!M25*LN(p_B!M25)),p_B!M25*LN(p_B!M25),0)</f>
        <v>0</v>
      </c>
      <c r="N25" s="3">
        <f>IF(ISNUMBER(p_B!N25*LN(p_B!N25)),p_B!N25*LN(p_B!N25),0)</f>
        <v>0</v>
      </c>
      <c r="O25" s="3">
        <f>IF(ISNUMBER(p_B!O25*LN(p_B!O25)),p_B!O25*LN(p_B!O25),0)</f>
        <v>0</v>
      </c>
      <c r="P25" s="3">
        <f>IF(ISNUMBER(p_B!P25*LN(p_B!P25)),p_B!P25*LN(p_B!P25),0)</f>
        <v>0</v>
      </c>
      <c r="Q25" s="3">
        <f>IF(ISNUMBER(p_B!Q25*LN(p_B!Q25)),p_B!Q25*LN(p_B!Q25),0)</f>
        <v>-2.9743280341735078E-2</v>
      </c>
      <c r="R25" s="3">
        <f>IF(ISNUMBER(p_B!R25*LN(p_B!R25)),p_B!R25*LN(p_B!R25),0)</f>
        <v>0</v>
      </c>
      <c r="S25" s="3">
        <f>IF(ISNUMBER(p_B!S25*LN(p_B!S25)),p_B!S25*LN(p_B!S25),0)</f>
        <v>0</v>
      </c>
      <c r="T25" s="3">
        <f>IF(ISNUMBER(p_B!T25*LN(p_B!T25)),p_B!T25*LN(p_B!T25),0)</f>
        <v>0</v>
      </c>
      <c r="U25" s="3">
        <f>IF(ISNUMBER(p_B!U25*LN(p_B!U25)),p_B!U25*LN(p_B!U25),0)</f>
        <v>0</v>
      </c>
      <c r="V25" s="3">
        <f>IF(ISNUMBER(p_B!V25*LN(p_B!V25)),p_B!V25*LN(p_B!V25),0)</f>
        <v>0</v>
      </c>
      <c r="W25" s="3">
        <f>IF(ISNUMBER(p_B!W25*LN(p_B!W25)),p_B!W25*LN(p_B!W25),0)</f>
        <v>0</v>
      </c>
      <c r="X25" s="3">
        <f>IF(ISNUMBER(p_B!X25*LN(p_B!X25)),p_B!X25*LN(p_B!X25),0)</f>
        <v>0</v>
      </c>
      <c r="Y25" s="3">
        <f>IF(ISNUMBER(p_B!Y25*LN(p_B!Y25)),p_B!Y25*LN(p_B!Y25),0)</f>
        <v>0</v>
      </c>
      <c r="Z25" s="3">
        <f>IF(ISNUMBER(p_B!Z25*LN(p_B!Z25)),p_B!Z25*LN(p_B!Z25),0)</f>
        <v>0</v>
      </c>
      <c r="AA25" s="3">
        <f>IF(ISNUMBER(p_B!AA25*LN(p_B!AA25)),p_B!AA25*LN(p_B!AA25),0)</f>
        <v>0</v>
      </c>
    </row>
    <row r="26" spans="1:27" x14ac:dyDescent="0.25">
      <c r="A26" t="s">
        <v>23</v>
      </c>
      <c r="B26" s="3">
        <f>IF(ISNUMBER(p_B!B26*LN(p_B!B26)),p_B!B26*LN(p_B!B26),0)</f>
        <v>-0.25667724719929169</v>
      </c>
      <c r="C26" s="3">
        <f>IF(ISNUMBER(p_B!C26*LN(p_B!C26)),p_B!C26*LN(p_B!C26),0)</f>
        <v>-2.0901924889771179E-2</v>
      </c>
      <c r="D26" s="3">
        <f>IF(ISNUMBER(p_B!D26*LN(p_B!D26)),p_B!D26*LN(p_B!D26),0)</f>
        <v>0</v>
      </c>
      <c r="E26" s="3">
        <f>IF(ISNUMBER(p_B!E26*LN(p_B!E26)),p_B!E26*LN(p_B!E26),0)</f>
        <v>0</v>
      </c>
      <c r="F26" s="3">
        <f>IF(ISNUMBER(p_B!F26*LN(p_B!F26)),p_B!F26*LN(p_B!F26),0)</f>
        <v>0</v>
      </c>
      <c r="G26" s="3">
        <f>IF(ISNUMBER(p_B!G26*LN(p_B!G26)),p_B!G26*LN(p_B!G26),0)</f>
        <v>0</v>
      </c>
      <c r="H26" s="3">
        <f>IF(ISNUMBER(p_B!H26*LN(p_B!H26)),p_B!H26*LN(p_B!H26),0)</f>
        <v>-0.29569265233315295</v>
      </c>
      <c r="I26" s="3">
        <f>IF(ISNUMBER(p_B!I26*LN(p_B!I26)),p_B!I26*LN(p_B!I26),0)</f>
        <v>0</v>
      </c>
      <c r="J26" s="3">
        <f>IF(ISNUMBER(p_B!J26*LN(p_B!J26)),p_B!J26*LN(p_B!J26),0)</f>
        <v>-0.34101349328482455</v>
      </c>
      <c r="K26" s="3">
        <f>IF(ISNUMBER(p_B!K26*LN(p_B!K26)),p_B!K26*LN(p_B!K26),0)</f>
        <v>0</v>
      </c>
      <c r="L26" s="3">
        <f>IF(ISNUMBER(p_B!L26*LN(p_B!L26)),p_B!L26*LN(p_B!L26),0)</f>
        <v>0</v>
      </c>
      <c r="M26" s="3">
        <f>IF(ISNUMBER(p_B!M26*LN(p_B!M26)),p_B!M26*LN(p_B!M26),0)</f>
        <v>0</v>
      </c>
      <c r="N26" s="3">
        <f>IF(ISNUMBER(p_B!N26*LN(p_B!N26)),p_B!N26*LN(p_B!N26),0)</f>
        <v>-3.5848965446855564E-3</v>
      </c>
      <c r="O26" s="3">
        <f>IF(ISNUMBER(p_B!O26*LN(p_B!O26)),p_B!O26*LN(p_B!O26),0)</f>
        <v>-6.5834001062109529E-2</v>
      </c>
      <c r="P26" s="3">
        <f>IF(ISNUMBER(p_B!P26*LN(p_B!P26)),p_B!P26*LN(p_B!P26),0)</f>
        <v>0</v>
      </c>
      <c r="Q26" s="3">
        <f>IF(ISNUMBER(p_B!Q26*LN(p_B!Q26)),p_B!Q26*LN(p_B!Q26),0)</f>
        <v>0</v>
      </c>
      <c r="R26" s="3">
        <f>IF(ISNUMBER(p_B!R26*LN(p_B!R26)),p_B!R26*LN(p_B!R26),0)</f>
        <v>0</v>
      </c>
      <c r="S26" s="3">
        <f>IF(ISNUMBER(p_B!S26*LN(p_B!S26)),p_B!S26*LN(p_B!S26),0)</f>
        <v>0</v>
      </c>
      <c r="T26" s="3">
        <f>IF(ISNUMBER(p_B!T26*LN(p_B!T26)),p_B!T26*LN(p_B!T26),0)</f>
        <v>0</v>
      </c>
      <c r="U26" s="3">
        <f>IF(ISNUMBER(p_B!U26*LN(p_B!U26)),p_B!U26*LN(p_B!U26),0)</f>
        <v>0</v>
      </c>
      <c r="V26" s="3">
        <f>IF(ISNUMBER(p_B!V26*LN(p_B!V26)),p_B!V26*LN(p_B!V26),0)</f>
        <v>0</v>
      </c>
      <c r="W26" s="3">
        <f>IF(ISNUMBER(p_B!W26*LN(p_B!W26)),p_B!W26*LN(p_B!W26),0)</f>
        <v>0</v>
      </c>
      <c r="X26" s="3">
        <f>IF(ISNUMBER(p_B!X26*LN(p_B!X26)),p_B!X26*LN(p_B!X26),0)</f>
        <v>0</v>
      </c>
      <c r="Y26" s="3">
        <f>IF(ISNUMBER(p_B!Y26*LN(p_B!Y26)),p_B!Y26*LN(p_B!Y26),0)</f>
        <v>0</v>
      </c>
      <c r="Z26" s="3">
        <f>IF(ISNUMBER(p_B!Z26*LN(p_B!Z26)),p_B!Z26*LN(p_B!Z26),0)</f>
        <v>0</v>
      </c>
      <c r="AA26" s="3">
        <f>IF(ISNUMBER(p_B!AA26*LN(p_B!AA26)),p_B!AA26*LN(p_B!AA26),0)</f>
        <v>0</v>
      </c>
    </row>
    <row r="27" spans="1:27" x14ac:dyDescent="0.25">
      <c r="A27" t="s">
        <v>24</v>
      </c>
      <c r="B27" s="3">
        <f>IF(ISNUMBER(p_B!B27*LN(p_B!B27)),p_B!B27*LN(p_B!B27),0)</f>
        <v>-0.19345638396140505</v>
      </c>
      <c r="C27" s="3">
        <f>IF(ISNUMBER(p_B!C27*LN(p_B!C27)),p_B!C27*LN(p_B!C27),0)</f>
        <v>-5.019513710874203E-2</v>
      </c>
      <c r="D27" s="3">
        <f>IF(ISNUMBER(p_B!D27*LN(p_B!D27)),p_B!D27*LN(p_B!D27),0)</f>
        <v>0</v>
      </c>
      <c r="E27" s="3">
        <f>IF(ISNUMBER(p_B!E27*LN(p_B!E27)),p_B!E27*LN(p_B!E27),0)</f>
        <v>0</v>
      </c>
      <c r="F27" s="3">
        <f>IF(ISNUMBER(p_B!F27*LN(p_B!F27)),p_B!F27*LN(p_B!F27),0)</f>
        <v>0</v>
      </c>
      <c r="G27" s="3">
        <f>IF(ISNUMBER(p_B!G27*LN(p_B!G27)),p_B!G27*LN(p_B!G27),0)</f>
        <v>0</v>
      </c>
      <c r="H27" s="3">
        <f>IF(ISNUMBER(p_B!H27*LN(p_B!H27)),p_B!H27*LN(p_B!H27),0)</f>
        <v>-0.22039317430938149</v>
      </c>
      <c r="I27" s="3">
        <f>IF(ISNUMBER(p_B!I27*LN(p_B!I27)),p_B!I27*LN(p_B!I27),0)</f>
        <v>0</v>
      </c>
      <c r="J27" s="3">
        <f>IF(ISNUMBER(p_B!J27*LN(p_B!J27)),p_B!J27*LN(p_B!J27),0)</f>
        <v>-8.4196300983871417E-2</v>
      </c>
      <c r="K27" s="3">
        <f>IF(ISNUMBER(p_B!K27*LN(p_B!K27)),p_B!K27*LN(p_B!K27),0)</f>
        <v>0</v>
      </c>
      <c r="L27" s="3">
        <f>IF(ISNUMBER(p_B!L27*LN(p_B!L27)),p_B!L27*LN(p_B!L27),0)</f>
        <v>0</v>
      </c>
      <c r="M27" s="3">
        <f>IF(ISNUMBER(p_B!M27*LN(p_B!M27)),p_B!M27*LN(p_B!M27),0)</f>
        <v>0</v>
      </c>
      <c r="N27" s="3">
        <f>IF(ISNUMBER(p_B!N27*LN(p_B!N27)),p_B!N27*LN(p_B!N27),0)</f>
        <v>0</v>
      </c>
      <c r="O27" s="3">
        <f>IF(ISNUMBER(p_B!O27*LN(p_B!O27)),p_B!O27*LN(p_B!O27),0)</f>
        <v>-0.14098381909957322</v>
      </c>
      <c r="P27" s="3">
        <f>IF(ISNUMBER(p_B!P27*LN(p_B!P27)),p_B!P27*LN(p_B!P27),0)</f>
        <v>0</v>
      </c>
      <c r="Q27" s="3">
        <f>IF(ISNUMBER(p_B!Q27*LN(p_B!Q27)),p_B!Q27*LN(p_B!Q27),0)</f>
        <v>-0.1456925681692669</v>
      </c>
      <c r="R27" s="3">
        <f>IF(ISNUMBER(p_B!R27*LN(p_B!R27)),p_B!R27*LN(p_B!R27),0)</f>
        <v>0</v>
      </c>
      <c r="S27" s="3">
        <f>IF(ISNUMBER(p_B!S27*LN(p_B!S27)),p_B!S27*LN(p_B!S27),0)</f>
        <v>0</v>
      </c>
      <c r="T27" s="3">
        <f>IF(ISNUMBER(p_B!T27*LN(p_B!T27)),p_B!T27*LN(p_B!T27),0)</f>
        <v>0</v>
      </c>
      <c r="U27" s="3">
        <f>IF(ISNUMBER(p_B!U27*LN(p_B!U27)),p_B!U27*LN(p_B!U27),0)</f>
        <v>0</v>
      </c>
      <c r="V27" s="3">
        <f>IF(ISNUMBER(p_B!V27*LN(p_B!V27)),p_B!V27*LN(p_B!V27),0)</f>
        <v>0</v>
      </c>
      <c r="W27" s="3">
        <f>IF(ISNUMBER(p_B!W27*LN(p_B!W27)),p_B!W27*LN(p_B!W27),0)</f>
        <v>0</v>
      </c>
      <c r="X27" s="3">
        <f>IF(ISNUMBER(p_B!X27*LN(p_B!X27)),p_B!X27*LN(p_B!X27),0)</f>
        <v>0</v>
      </c>
      <c r="Y27" s="3">
        <f>IF(ISNUMBER(p_B!Y27*LN(p_B!Y27)),p_B!Y27*LN(p_B!Y27),0)</f>
        <v>0</v>
      </c>
      <c r="Z27" s="3">
        <f>IF(ISNUMBER(p_B!Z27*LN(p_B!Z27)),p_B!Z27*LN(p_B!Z27),0)</f>
        <v>0</v>
      </c>
      <c r="AA27" s="3">
        <f>IF(ISNUMBER(p_B!AA27*LN(p_B!AA27)),p_B!AA27*LN(p_B!AA27),0)</f>
        <v>0</v>
      </c>
    </row>
    <row r="28" spans="1:27" x14ac:dyDescent="0.25">
      <c r="A28" t="s">
        <v>63</v>
      </c>
      <c r="B28" s="3">
        <f>IF(ISNUMBER(p_B!B28*LN(p_B!B28)),p_B!B28*LN(p_B!B28),0)</f>
        <v>-0.1979533815558249</v>
      </c>
      <c r="C28" s="3">
        <f>IF(ISNUMBER(p_B!C28*LN(p_B!C28)),p_B!C28*LN(p_B!C28),0)</f>
        <v>0</v>
      </c>
      <c r="D28" s="3">
        <f>IF(ISNUMBER(p_B!D28*LN(p_B!D28)),p_B!D28*LN(p_B!D28),0)</f>
        <v>0</v>
      </c>
      <c r="E28" s="3">
        <f>IF(ISNUMBER(p_B!E28*LN(p_B!E28)),p_B!E28*LN(p_B!E28),0)</f>
        <v>0</v>
      </c>
      <c r="F28" s="3">
        <f>IF(ISNUMBER(p_B!F28*LN(p_B!F28)),p_B!F28*LN(p_B!F28),0)</f>
        <v>0</v>
      </c>
      <c r="G28" s="3">
        <f>IF(ISNUMBER(p_B!G28*LN(p_B!G28)),p_B!G28*LN(p_B!G28),0)</f>
        <v>0</v>
      </c>
      <c r="H28" s="3">
        <f>IF(ISNUMBER(p_B!H28*LN(p_B!H28)),p_B!H28*LN(p_B!H28),0)</f>
        <v>-1.256996975288523E-2</v>
      </c>
      <c r="I28" s="3">
        <f>IF(ISNUMBER(p_B!I28*LN(p_B!I28)),p_B!I28*LN(p_B!I28),0)</f>
        <v>0</v>
      </c>
      <c r="J28" s="3">
        <f>IF(ISNUMBER(p_B!J28*LN(p_B!J28)),p_B!J28*LN(p_B!J28),0)</f>
        <v>0</v>
      </c>
      <c r="K28" s="3">
        <f>IF(ISNUMBER(p_B!K28*LN(p_B!K28)),p_B!K28*LN(p_B!K28),0)</f>
        <v>0</v>
      </c>
      <c r="L28" s="3">
        <f>IF(ISNUMBER(p_B!L28*LN(p_B!L28)),p_B!L28*LN(p_B!L28),0)</f>
        <v>0</v>
      </c>
      <c r="M28" s="3">
        <f>IF(ISNUMBER(p_B!M28*LN(p_B!M28)),p_B!M28*LN(p_B!M28),0)</f>
        <v>0</v>
      </c>
      <c r="N28" s="3">
        <f>IF(ISNUMBER(p_B!N28*LN(p_B!N28)),p_B!N28*LN(p_B!N28),0)</f>
        <v>0</v>
      </c>
      <c r="O28" s="3">
        <f>IF(ISNUMBER(p_B!O28*LN(p_B!O28)),p_B!O28*LN(p_B!O28),0)</f>
        <v>-7.6129638033952937E-2</v>
      </c>
      <c r="P28" s="3">
        <f>IF(ISNUMBER(p_B!P28*LN(p_B!P28)),p_B!P28*LN(p_B!P28),0)</f>
        <v>0</v>
      </c>
      <c r="Q28" s="3">
        <f>IF(ISNUMBER(p_B!Q28*LN(p_B!Q28)),p_B!Q28*LN(p_B!Q28),0)</f>
        <v>0</v>
      </c>
      <c r="R28" s="3">
        <f>IF(ISNUMBER(p_B!R28*LN(p_B!R28)),p_B!R28*LN(p_B!R28),0)</f>
        <v>0</v>
      </c>
      <c r="S28" s="3">
        <f>IF(ISNUMBER(p_B!S28*LN(p_B!S28)),p_B!S28*LN(p_B!S28),0)</f>
        <v>0</v>
      </c>
      <c r="T28" s="3">
        <f>IF(ISNUMBER(p_B!T28*LN(p_B!T28)),p_B!T28*LN(p_B!T28),0)</f>
        <v>0</v>
      </c>
      <c r="U28" s="3">
        <f>IF(ISNUMBER(p_B!U28*LN(p_B!U28)),p_B!U28*LN(p_B!U28),0)</f>
        <v>0</v>
      </c>
      <c r="V28" s="3">
        <f>IF(ISNUMBER(p_B!V28*LN(p_B!V28)),p_B!V28*LN(p_B!V28),0)</f>
        <v>0</v>
      </c>
      <c r="W28" s="3">
        <f>IF(ISNUMBER(p_B!W28*LN(p_B!W28)),p_B!W28*LN(p_B!W28),0)</f>
        <v>0</v>
      </c>
      <c r="X28" s="3">
        <f>IF(ISNUMBER(p_B!X28*LN(p_B!X28)),p_B!X28*LN(p_B!X28),0)</f>
        <v>0</v>
      </c>
      <c r="Y28" s="3">
        <f>IF(ISNUMBER(p_B!Y28*LN(p_B!Y28)),p_B!Y28*LN(p_B!Y28),0)</f>
        <v>0</v>
      </c>
      <c r="Z28" s="3">
        <f>IF(ISNUMBER(p_B!Z28*LN(p_B!Z28)),p_B!Z28*LN(p_B!Z28),0)</f>
        <v>0</v>
      </c>
      <c r="AA28" s="3">
        <f>IF(ISNUMBER(p_B!AA28*LN(p_B!AA28)),p_B!AA28*LN(p_B!AA28),0)</f>
        <v>0</v>
      </c>
    </row>
    <row r="29" spans="1:27" x14ac:dyDescent="0.25">
      <c r="A29" t="s">
        <v>64</v>
      </c>
      <c r="B29" s="3">
        <f>IF(ISNUMBER(p_B!B29*LN(p_B!B29)),p_B!B29*LN(p_B!B29),0)</f>
        <v>-4.5412790896731121E-2</v>
      </c>
      <c r="C29" s="3">
        <f>IF(ISNUMBER(p_B!C29*LN(p_B!C29)),p_B!C29*LN(p_B!C29),0)</f>
        <v>0</v>
      </c>
      <c r="D29" s="3">
        <f>IF(ISNUMBER(p_B!D29*LN(p_B!D29)),p_B!D29*LN(p_B!D29),0)</f>
        <v>0</v>
      </c>
      <c r="E29" s="3">
        <f>IF(ISNUMBER(p_B!E29*LN(p_B!E29)),p_B!E29*LN(p_B!E29),0)</f>
        <v>0</v>
      </c>
      <c r="F29" s="3">
        <f>IF(ISNUMBER(p_B!F29*LN(p_B!F29)),p_B!F29*LN(p_B!F29),0)</f>
        <v>0</v>
      </c>
      <c r="G29" s="3">
        <f>IF(ISNUMBER(p_B!G29*LN(p_B!G29)),p_B!G29*LN(p_B!G29),0)</f>
        <v>0</v>
      </c>
      <c r="H29" s="3">
        <f>IF(ISNUMBER(p_B!H29*LN(p_B!H29)),p_B!H29*LN(p_B!H29),0)</f>
        <v>-0.13740253045345927</v>
      </c>
      <c r="I29" s="3">
        <f>IF(ISNUMBER(p_B!I29*LN(p_B!I29)),p_B!I29*LN(p_B!I29),0)</f>
        <v>0</v>
      </c>
      <c r="J29" s="3">
        <f>IF(ISNUMBER(p_B!J29*LN(p_B!J29)),p_B!J29*LN(p_B!J29),0)</f>
        <v>-1.5117299291578717E-2</v>
      </c>
      <c r="K29" s="3">
        <f>IF(ISNUMBER(p_B!K29*LN(p_B!K29)),p_B!K29*LN(p_B!K29),0)</f>
        <v>0</v>
      </c>
      <c r="L29" s="3">
        <f>IF(ISNUMBER(p_B!L29*LN(p_B!L29)),p_B!L29*LN(p_B!L29),0)</f>
        <v>0</v>
      </c>
      <c r="M29" s="3">
        <f>IF(ISNUMBER(p_B!M29*LN(p_B!M29)),p_B!M29*LN(p_B!M29),0)</f>
        <v>0</v>
      </c>
      <c r="N29" s="3">
        <f>IF(ISNUMBER(p_B!N29*LN(p_B!N29)),p_B!N29*LN(p_B!N29),0)</f>
        <v>0</v>
      </c>
      <c r="O29" s="3">
        <f>IF(ISNUMBER(p_B!O29*LN(p_B!O29)),p_B!O29*LN(p_B!O29),0)</f>
        <v>0</v>
      </c>
      <c r="P29" s="3">
        <f>IF(ISNUMBER(p_B!P29*LN(p_B!P29)),p_B!P29*LN(p_B!P29),0)</f>
        <v>0</v>
      </c>
      <c r="Q29" s="3">
        <f>IF(ISNUMBER(p_B!Q29*LN(p_B!Q29)),p_B!Q29*LN(p_B!Q29),0)</f>
        <v>0</v>
      </c>
      <c r="R29" s="3">
        <f>IF(ISNUMBER(p_B!R29*LN(p_B!R29)),p_B!R29*LN(p_B!R29),0)</f>
        <v>0</v>
      </c>
      <c r="S29" s="3">
        <f>IF(ISNUMBER(p_B!S29*LN(p_B!S29)),p_B!S29*LN(p_B!S29),0)</f>
        <v>0</v>
      </c>
      <c r="T29" s="3">
        <f>IF(ISNUMBER(p_B!T29*LN(p_B!T29)),p_B!T29*LN(p_B!T29),0)</f>
        <v>0</v>
      </c>
      <c r="U29" s="3">
        <f>IF(ISNUMBER(p_B!U29*LN(p_B!U29)),p_B!U29*LN(p_B!U29),0)</f>
        <v>0</v>
      </c>
      <c r="V29" s="3">
        <f>IF(ISNUMBER(p_B!V29*LN(p_B!V29)),p_B!V29*LN(p_B!V29),0)</f>
        <v>0</v>
      </c>
      <c r="W29" s="3">
        <f>IF(ISNUMBER(p_B!W29*LN(p_B!W29)),p_B!W29*LN(p_B!W29),0)</f>
        <v>0</v>
      </c>
      <c r="X29" s="3">
        <f>IF(ISNUMBER(p_B!X29*LN(p_B!X29)),p_B!X29*LN(p_B!X29),0)</f>
        <v>0</v>
      </c>
      <c r="Y29" s="3">
        <f>IF(ISNUMBER(p_B!Y29*LN(p_B!Y29)),p_B!Y29*LN(p_B!Y29),0)</f>
        <v>0</v>
      </c>
      <c r="Z29" s="3">
        <f>IF(ISNUMBER(p_B!Z29*LN(p_B!Z29)),p_B!Z29*LN(p_B!Z29),0)</f>
        <v>0</v>
      </c>
      <c r="AA29" s="3">
        <f>IF(ISNUMBER(p_B!AA29*LN(p_B!AA29)),p_B!AA29*LN(p_B!AA29),0)</f>
        <v>0</v>
      </c>
    </row>
    <row r="30" spans="1:27" x14ac:dyDescent="0.25">
      <c r="A30" t="s">
        <v>65</v>
      </c>
      <c r="B30" s="3">
        <f>IF(ISNUMBER(p_B!B30*LN(p_B!B30)),p_B!B30*LN(p_B!B30),0)</f>
        <v>-0.33134831058586967</v>
      </c>
      <c r="C30" s="3">
        <f>IF(ISNUMBER(p_B!C30*LN(p_B!C30)),p_B!C30*LN(p_B!C30),0)</f>
        <v>-1.0672805796102625E-2</v>
      </c>
      <c r="D30" s="3">
        <f>IF(ISNUMBER(p_B!D30*LN(p_B!D30)),p_B!D30*LN(p_B!D30),0)</f>
        <v>0</v>
      </c>
      <c r="E30" s="3">
        <f>IF(ISNUMBER(p_B!E30*LN(p_B!E30)),p_B!E30*LN(p_B!E30),0)</f>
        <v>0</v>
      </c>
      <c r="F30" s="3">
        <f>IF(ISNUMBER(p_B!F30*LN(p_B!F30)),p_B!F30*LN(p_B!F30),0)</f>
        <v>0</v>
      </c>
      <c r="G30" s="3">
        <f>IF(ISNUMBER(p_B!G30*LN(p_B!G30)),p_B!G30*LN(p_B!G30),0)</f>
        <v>0</v>
      </c>
      <c r="H30" s="3">
        <f>IF(ISNUMBER(p_B!H30*LN(p_B!H30)),p_B!H30*LN(p_B!H30),0)</f>
        <v>-0.33514336676679352</v>
      </c>
      <c r="I30" s="3">
        <f>IF(ISNUMBER(p_B!I30*LN(p_B!I30)),p_B!I30*LN(p_B!I30),0)</f>
        <v>0</v>
      </c>
      <c r="J30" s="3">
        <f>IF(ISNUMBER(p_B!J30*LN(p_B!J30)),p_B!J30*LN(p_B!J30),0)</f>
        <v>-0.20661035191166813</v>
      </c>
      <c r="K30" s="3">
        <f>IF(ISNUMBER(p_B!K30*LN(p_B!K30)),p_B!K30*LN(p_B!K30),0)</f>
        <v>0</v>
      </c>
      <c r="L30" s="3">
        <f>IF(ISNUMBER(p_B!L30*LN(p_B!L30)),p_B!L30*LN(p_B!L30),0)</f>
        <v>0</v>
      </c>
      <c r="M30" s="3">
        <f>IF(ISNUMBER(p_B!M30*LN(p_B!M30)),p_B!M30*LN(p_B!M30),0)</f>
        <v>0</v>
      </c>
      <c r="N30" s="3">
        <f>IF(ISNUMBER(p_B!N30*LN(p_B!N30)),p_B!N30*LN(p_B!N30),0)</f>
        <v>-0.2824728484524055</v>
      </c>
      <c r="O30" s="3">
        <f>IF(ISNUMBER(p_B!O30*LN(p_B!O30)),p_B!O30*LN(p_B!O30),0)</f>
        <v>0</v>
      </c>
      <c r="P30" s="3">
        <f>IF(ISNUMBER(p_B!P30*LN(p_B!P30)),p_B!P30*LN(p_B!P30),0)</f>
        <v>0</v>
      </c>
      <c r="Q30" s="3">
        <f>IF(ISNUMBER(p_B!Q30*LN(p_B!Q30)),p_B!Q30*LN(p_B!Q30),0)</f>
        <v>0</v>
      </c>
      <c r="R30" s="3">
        <f>IF(ISNUMBER(p_B!R30*LN(p_B!R30)),p_B!R30*LN(p_B!R30),0)</f>
        <v>0</v>
      </c>
      <c r="S30" s="3">
        <f>IF(ISNUMBER(p_B!S30*LN(p_B!S30)),p_B!S30*LN(p_B!S30),0)</f>
        <v>0</v>
      </c>
      <c r="T30" s="3">
        <f>IF(ISNUMBER(p_B!T30*LN(p_B!T30)),p_B!T30*LN(p_B!T30),0)</f>
        <v>0</v>
      </c>
      <c r="U30" s="3">
        <f>IF(ISNUMBER(p_B!U30*LN(p_B!U30)),p_B!U30*LN(p_B!U30),0)</f>
        <v>0</v>
      </c>
      <c r="V30" s="3">
        <f>IF(ISNUMBER(p_B!V30*LN(p_B!V30)),p_B!V30*LN(p_B!V30),0)</f>
        <v>0</v>
      </c>
      <c r="W30" s="3">
        <f>IF(ISNUMBER(p_B!W30*LN(p_B!W30)),p_B!W30*LN(p_B!W30),0)</f>
        <v>0</v>
      </c>
      <c r="X30" s="3">
        <f>IF(ISNUMBER(p_B!X30*LN(p_B!X30)),p_B!X30*LN(p_B!X30),0)</f>
        <v>0</v>
      </c>
      <c r="Y30" s="3">
        <f>IF(ISNUMBER(p_B!Y30*LN(p_B!Y30)),p_B!Y30*LN(p_B!Y30),0)</f>
        <v>0</v>
      </c>
      <c r="Z30" s="3">
        <f>IF(ISNUMBER(p_B!Z30*LN(p_B!Z30)),p_B!Z30*LN(p_B!Z30),0)</f>
        <v>0</v>
      </c>
      <c r="AA30" s="3">
        <f>IF(ISNUMBER(p_B!AA30*LN(p_B!AA30)),p_B!AA30*LN(p_B!AA30),0)</f>
        <v>0</v>
      </c>
    </row>
    <row r="31" spans="1:27" x14ac:dyDescent="0.25">
      <c r="A31" t="s">
        <v>66</v>
      </c>
      <c r="B31" s="3">
        <f>IF(ISNUMBER(p_B!B31*LN(p_B!B31)),p_B!B31*LN(p_B!B31),0)</f>
        <v>-0.26895007822534844</v>
      </c>
      <c r="C31" s="3">
        <f>IF(ISNUMBER(p_B!C31*LN(p_B!C31)),p_B!C31*LN(p_B!C31),0)</f>
        <v>-9.5702353913589293E-4</v>
      </c>
      <c r="D31" s="3">
        <f>IF(ISNUMBER(p_B!D31*LN(p_B!D31)),p_B!D31*LN(p_B!D31),0)</f>
        <v>0</v>
      </c>
      <c r="E31" s="3">
        <f>IF(ISNUMBER(p_B!E31*LN(p_B!E31)),p_B!E31*LN(p_B!E31),0)</f>
        <v>0</v>
      </c>
      <c r="F31" s="3">
        <f>IF(ISNUMBER(p_B!F31*LN(p_B!F31)),p_B!F31*LN(p_B!F31),0)</f>
        <v>0</v>
      </c>
      <c r="G31" s="3">
        <f>IF(ISNUMBER(p_B!G31*LN(p_B!G31)),p_B!G31*LN(p_B!G31),0)</f>
        <v>0</v>
      </c>
      <c r="H31" s="3">
        <f>IF(ISNUMBER(p_B!H31*LN(p_B!H31)),p_B!H31*LN(p_B!H31),0)</f>
        <v>-0.30460572524354412</v>
      </c>
      <c r="I31" s="3">
        <f>IF(ISNUMBER(p_B!I31*LN(p_B!I31)),p_B!I31*LN(p_B!I31),0)</f>
        <v>0</v>
      </c>
      <c r="J31" s="3">
        <f>IF(ISNUMBER(p_B!J31*LN(p_B!J31)),p_B!J31*LN(p_B!J31),0)</f>
        <v>-5.5571928935301773E-2</v>
      </c>
      <c r="K31" s="3">
        <f>IF(ISNUMBER(p_B!K31*LN(p_B!K31)),p_B!K31*LN(p_B!K31),0)</f>
        <v>0</v>
      </c>
      <c r="L31" s="3">
        <f>IF(ISNUMBER(p_B!L31*LN(p_B!L31)),p_B!L31*LN(p_B!L31),0)</f>
        <v>0</v>
      </c>
      <c r="M31" s="3">
        <f>IF(ISNUMBER(p_B!M31*LN(p_B!M31)),p_B!M31*LN(p_B!M31),0)</f>
        <v>0</v>
      </c>
      <c r="N31" s="3">
        <f>IF(ISNUMBER(p_B!N31*LN(p_B!N31)),p_B!N31*LN(p_B!N31),0)</f>
        <v>0</v>
      </c>
      <c r="O31" s="3">
        <f>IF(ISNUMBER(p_B!O31*LN(p_B!O31)),p_B!O31*LN(p_B!O31),0)</f>
        <v>-0.26280912394697165</v>
      </c>
      <c r="P31" s="3">
        <f>IF(ISNUMBER(p_B!P31*LN(p_B!P31)),p_B!P31*LN(p_B!P31),0)</f>
        <v>0</v>
      </c>
      <c r="Q31" s="3">
        <f>IF(ISNUMBER(p_B!Q31*LN(p_B!Q31)),p_B!Q31*LN(p_B!Q31),0)</f>
        <v>0</v>
      </c>
      <c r="R31" s="3">
        <f>IF(ISNUMBER(p_B!R31*LN(p_B!R31)),p_B!R31*LN(p_B!R31),0)</f>
        <v>0</v>
      </c>
      <c r="S31" s="3">
        <f>IF(ISNUMBER(p_B!S31*LN(p_B!S31)),p_B!S31*LN(p_B!S31),0)</f>
        <v>0</v>
      </c>
      <c r="T31" s="3">
        <f>IF(ISNUMBER(p_B!T31*LN(p_B!T31)),p_B!T31*LN(p_B!T31),0)</f>
        <v>0</v>
      </c>
      <c r="U31" s="3">
        <f>IF(ISNUMBER(p_B!U31*LN(p_B!U31)),p_B!U31*LN(p_B!U31),0)</f>
        <v>0</v>
      </c>
      <c r="V31" s="3">
        <f>IF(ISNUMBER(p_B!V31*LN(p_B!V31)),p_B!V31*LN(p_B!V31),0)</f>
        <v>0</v>
      </c>
      <c r="W31" s="3">
        <f>IF(ISNUMBER(p_B!W31*LN(p_B!W31)),p_B!W31*LN(p_B!W31),0)</f>
        <v>0</v>
      </c>
      <c r="X31" s="3">
        <f>IF(ISNUMBER(p_B!X31*LN(p_B!X31)),p_B!X31*LN(p_B!X31),0)</f>
        <v>0</v>
      </c>
      <c r="Y31" s="3">
        <f>IF(ISNUMBER(p_B!Y31*LN(p_B!Y31)),p_B!Y31*LN(p_B!Y31),0)</f>
        <v>0</v>
      </c>
      <c r="Z31" s="3">
        <f>IF(ISNUMBER(p_B!Z31*LN(p_B!Z31)),p_B!Z31*LN(p_B!Z31),0)</f>
        <v>0</v>
      </c>
      <c r="AA31" s="3">
        <f>IF(ISNUMBER(p_B!AA31*LN(p_B!AA31)),p_B!AA31*LN(p_B!AA31),0)</f>
        <v>0</v>
      </c>
    </row>
    <row r="32" spans="1:27" x14ac:dyDescent="0.25">
      <c r="A32" t="s">
        <v>88</v>
      </c>
      <c r="B32" s="3">
        <f>IF(ISNUMBER(p_B!B32*LN(p_B!B32)),p_B!B32*LN(p_B!B32),0)</f>
        <v>-0.30039073099742286</v>
      </c>
      <c r="C32" s="3">
        <f>IF(ISNUMBER(p_B!C32*LN(p_B!C32)),p_B!C32*LN(p_B!C32),0)</f>
        <v>-9.7431301726957457E-3</v>
      </c>
      <c r="D32" s="3">
        <f>IF(ISNUMBER(p_B!D32*LN(p_B!D32)),p_B!D32*LN(p_B!D32),0)</f>
        <v>0</v>
      </c>
      <c r="E32" s="3">
        <f>IF(ISNUMBER(p_B!E32*LN(p_B!E32)),p_B!E32*LN(p_B!E32),0)</f>
        <v>0</v>
      </c>
      <c r="F32" s="3">
        <f>IF(ISNUMBER(p_B!F32*LN(p_B!F32)),p_B!F32*LN(p_B!F32),0)</f>
        <v>0</v>
      </c>
      <c r="G32" s="3">
        <f>IF(ISNUMBER(p_B!G32*LN(p_B!G32)),p_B!G32*LN(p_B!G32),0)</f>
        <v>0</v>
      </c>
      <c r="H32" s="3">
        <f>IF(ISNUMBER(p_B!H32*LN(p_B!H32)),p_B!H32*LN(p_B!H32),0)</f>
        <v>-0.30520717508714468</v>
      </c>
      <c r="I32" s="3">
        <f>IF(ISNUMBER(p_B!I32*LN(p_B!I32)),p_B!I32*LN(p_B!I32),0)</f>
        <v>0</v>
      </c>
      <c r="J32" s="3">
        <f>IF(ISNUMBER(p_B!J32*LN(p_B!J32)),p_B!J32*LN(p_B!J32),0)</f>
        <v>-9.9864449302492234E-2</v>
      </c>
      <c r="K32" s="3">
        <f>IF(ISNUMBER(p_B!K32*LN(p_B!K32)),p_B!K32*LN(p_B!K32),0)</f>
        <v>0</v>
      </c>
      <c r="L32" s="3">
        <f>IF(ISNUMBER(p_B!L32*LN(p_B!L32)),p_B!L32*LN(p_B!L32),0)</f>
        <v>0</v>
      </c>
      <c r="M32" s="3">
        <f>IF(ISNUMBER(p_B!M32*LN(p_B!M32)),p_B!M32*LN(p_B!M32),0)</f>
        <v>0</v>
      </c>
      <c r="N32" s="3">
        <f>IF(ISNUMBER(p_B!N32*LN(p_B!N32)),p_B!N32*LN(p_B!N32),0)</f>
        <v>-3.0665138751487745E-2</v>
      </c>
      <c r="O32" s="3">
        <f>IF(ISNUMBER(p_B!O32*LN(p_B!O32)),p_B!O32*LN(p_B!O32),0)</f>
        <v>-0.31754345277590568</v>
      </c>
      <c r="P32" s="3">
        <f>IF(ISNUMBER(p_B!P32*LN(p_B!P32)),p_B!P32*LN(p_B!P32),0)</f>
        <v>0</v>
      </c>
      <c r="Q32" s="3">
        <f>IF(ISNUMBER(p_B!Q32*LN(p_B!Q32)),p_B!Q32*LN(p_B!Q32),0)</f>
        <v>0</v>
      </c>
      <c r="R32" s="3">
        <f>IF(ISNUMBER(p_B!R32*LN(p_B!R32)),p_B!R32*LN(p_B!R32),0)</f>
        <v>0</v>
      </c>
      <c r="S32" s="3">
        <f>IF(ISNUMBER(p_B!S32*LN(p_B!S32)),p_B!S32*LN(p_B!S32),0)</f>
        <v>0</v>
      </c>
      <c r="T32" s="3">
        <f>IF(ISNUMBER(p_B!T32*LN(p_B!T32)),p_B!T32*LN(p_B!T32),0)</f>
        <v>0</v>
      </c>
      <c r="U32" s="3">
        <f>IF(ISNUMBER(p_B!U32*LN(p_B!U32)),p_B!U32*LN(p_B!U32),0)</f>
        <v>0</v>
      </c>
      <c r="V32" s="3">
        <f>IF(ISNUMBER(p_B!V32*LN(p_B!V32)),p_B!V32*LN(p_B!V32),0)</f>
        <v>0</v>
      </c>
      <c r="W32" s="3">
        <f>IF(ISNUMBER(p_B!W32*LN(p_B!W32)),p_B!W32*LN(p_B!W32),0)</f>
        <v>0</v>
      </c>
      <c r="X32" s="3">
        <f>IF(ISNUMBER(p_B!X32*LN(p_B!X32)),p_B!X32*LN(p_B!X32),0)</f>
        <v>0</v>
      </c>
      <c r="Y32" s="3">
        <f>IF(ISNUMBER(p_B!Y32*LN(p_B!Y32)),p_B!Y32*LN(p_B!Y32),0)</f>
        <v>0</v>
      </c>
      <c r="Z32" s="3">
        <f>IF(ISNUMBER(p_B!Z32*LN(p_B!Z32)),p_B!Z32*LN(p_B!Z32),0)</f>
        <v>0</v>
      </c>
      <c r="AA32" s="3">
        <f>IF(ISNUMBER(p_B!AA32*LN(p_B!AA32)),p_B!AA32*LN(p_B!AA32),0)</f>
        <v>0</v>
      </c>
    </row>
    <row r="33" spans="1:27" x14ac:dyDescent="0.25">
      <c r="A33" t="s">
        <v>89</v>
      </c>
      <c r="B33" s="3">
        <f>IF(ISNUMBER(p_B!B33*LN(p_B!B33)),p_B!B33*LN(p_B!B33),0)</f>
        <v>-0.17298192033425625</v>
      </c>
      <c r="C33" s="3">
        <f>IF(ISNUMBER(p_B!C33*LN(p_B!C33)),p_B!C33*LN(p_B!C33),0)</f>
        <v>0</v>
      </c>
      <c r="D33" s="3">
        <f>IF(ISNUMBER(p_B!D33*LN(p_B!D33)),p_B!D33*LN(p_B!D33),0)</f>
        <v>0</v>
      </c>
      <c r="E33" s="3">
        <f>IF(ISNUMBER(p_B!E33*LN(p_B!E33)),p_B!E33*LN(p_B!E33),0)</f>
        <v>0</v>
      </c>
      <c r="F33" s="3">
        <f>IF(ISNUMBER(p_B!F33*LN(p_B!F33)),p_B!F33*LN(p_B!F33),0)</f>
        <v>0</v>
      </c>
      <c r="G33" s="3">
        <f>IF(ISNUMBER(p_B!G33*LN(p_B!G33)),p_B!G33*LN(p_B!G33),0)</f>
        <v>0</v>
      </c>
      <c r="H33" s="3">
        <f>IF(ISNUMBER(p_B!H33*LN(p_B!H33)),p_B!H33*LN(p_B!H33),0)</f>
        <v>-0.26014723617546803</v>
      </c>
      <c r="I33" s="3">
        <f>IF(ISNUMBER(p_B!I33*LN(p_B!I33)),p_B!I33*LN(p_B!I33),0)</f>
        <v>0</v>
      </c>
      <c r="J33" s="3">
        <f>IF(ISNUMBER(p_B!J33*LN(p_B!J33)),p_B!J33*LN(p_B!J33),0)</f>
        <v>-0.15493294791561263</v>
      </c>
      <c r="K33" s="3">
        <f>IF(ISNUMBER(p_B!K33*LN(p_B!K33)),p_B!K33*LN(p_B!K33),0)</f>
        <v>0</v>
      </c>
      <c r="L33" s="3">
        <f>IF(ISNUMBER(p_B!L33*LN(p_B!L33)),p_B!L33*LN(p_B!L33),0)</f>
        <v>0</v>
      </c>
      <c r="M33" s="3">
        <f>IF(ISNUMBER(p_B!M33*LN(p_B!M33)),p_B!M33*LN(p_B!M33),0)</f>
        <v>0</v>
      </c>
      <c r="N33" s="3">
        <f>IF(ISNUMBER(p_B!N33*LN(p_B!N33)),p_B!N33*LN(p_B!N33),0)</f>
        <v>0</v>
      </c>
      <c r="O33" s="3">
        <f>IF(ISNUMBER(p_B!O33*LN(p_B!O33)),p_B!O33*LN(p_B!O33),0)</f>
        <v>-0.32288628477154541</v>
      </c>
      <c r="P33" s="3">
        <f>IF(ISNUMBER(p_B!P33*LN(p_B!P33)),p_B!P33*LN(p_B!P33),0)</f>
        <v>0</v>
      </c>
      <c r="Q33" s="3">
        <f>IF(ISNUMBER(p_B!Q33*LN(p_B!Q33)),p_B!Q33*LN(p_B!Q33),0)</f>
        <v>0</v>
      </c>
      <c r="R33" s="3">
        <f>IF(ISNUMBER(p_B!R33*LN(p_B!R33)),p_B!R33*LN(p_B!R33),0)</f>
        <v>0</v>
      </c>
      <c r="S33" s="3">
        <f>IF(ISNUMBER(p_B!S33*LN(p_B!S33)),p_B!S33*LN(p_B!S33),0)</f>
        <v>0</v>
      </c>
      <c r="T33" s="3">
        <f>IF(ISNUMBER(p_B!T33*LN(p_B!T33)),p_B!T33*LN(p_B!T33),0)</f>
        <v>0</v>
      </c>
      <c r="U33" s="3">
        <f>IF(ISNUMBER(p_B!U33*LN(p_B!U33)),p_B!U33*LN(p_B!U33),0)</f>
        <v>0</v>
      </c>
      <c r="V33" s="3">
        <f>IF(ISNUMBER(p_B!V33*LN(p_B!V33)),p_B!V33*LN(p_B!V33),0)</f>
        <v>0</v>
      </c>
      <c r="W33" s="3">
        <f>IF(ISNUMBER(p_B!W33*LN(p_B!W33)),p_B!W33*LN(p_B!W33),0)</f>
        <v>0</v>
      </c>
      <c r="X33" s="3">
        <f>IF(ISNUMBER(p_B!X33*LN(p_B!X33)),p_B!X33*LN(p_B!X33),0)</f>
        <v>0</v>
      </c>
      <c r="Y33" s="3">
        <f>IF(ISNUMBER(p_B!Y33*LN(p_B!Y33)),p_B!Y33*LN(p_B!Y33),0)</f>
        <v>0</v>
      </c>
      <c r="Z33" s="3">
        <f>IF(ISNUMBER(p_B!Z33*LN(p_B!Z33)),p_B!Z33*LN(p_B!Z33),0)</f>
        <v>0</v>
      </c>
      <c r="AA33" s="3">
        <f>IF(ISNUMBER(p_B!AA33*LN(p_B!AA33)),p_B!AA33*LN(p_B!AA33),0)</f>
        <v>0</v>
      </c>
    </row>
    <row r="34" spans="1:27" x14ac:dyDescent="0.25">
      <c r="A34" t="s">
        <v>115</v>
      </c>
      <c r="B34" s="3">
        <f>IF(ISNUMBER(p_B!B34*LN(p_B!B34)),p_B!B34*LN(p_B!B34),0)</f>
        <v>0</v>
      </c>
      <c r="C34" s="3">
        <f>IF(ISNUMBER(p_B!C34*LN(p_B!C34)),p_B!C34*LN(p_B!C34),0)</f>
        <v>0</v>
      </c>
      <c r="D34" s="3">
        <f>IF(ISNUMBER(p_B!D34*LN(p_B!D34)),p_B!D34*LN(p_B!D34),0)</f>
        <v>0</v>
      </c>
      <c r="E34" s="3">
        <f>IF(ISNUMBER(p_B!E34*LN(p_B!E34)),p_B!E34*LN(p_B!E34),0)</f>
        <v>0</v>
      </c>
      <c r="F34" s="3">
        <f>IF(ISNUMBER(p_B!F34*LN(p_B!F34)),p_B!F34*LN(p_B!F34),0)</f>
        <v>0</v>
      </c>
      <c r="G34" s="3">
        <f>IF(ISNUMBER(p_B!G34*LN(p_B!G34)),p_B!G34*LN(p_B!G34),0)</f>
        <v>0</v>
      </c>
      <c r="H34" s="3">
        <f>IF(ISNUMBER(p_B!H34*LN(p_B!H34)),p_B!H34*LN(p_B!H34),0)</f>
        <v>-5.9486040807291193E-3</v>
      </c>
      <c r="I34" s="3">
        <f>IF(ISNUMBER(p_B!I34*LN(p_B!I34)),p_B!I34*LN(p_B!I34),0)</f>
        <v>0</v>
      </c>
      <c r="J34" s="3">
        <f>IF(ISNUMBER(p_B!J34*LN(p_B!J34)),p_B!J34*LN(p_B!J34),0)</f>
        <v>-3.055774298681074E-2</v>
      </c>
      <c r="K34" s="3">
        <f>IF(ISNUMBER(p_B!K34*LN(p_B!K34)),p_B!K34*LN(p_B!K34),0)</f>
        <v>0</v>
      </c>
      <c r="L34" s="3">
        <f>IF(ISNUMBER(p_B!L34*LN(p_B!L34)),p_B!L34*LN(p_B!L34),0)</f>
        <v>0</v>
      </c>
      <c r="M34" s="3">
        <f>IF(ISNUMBER(p_B!M34*LN(p_B!M34)),p_B!M34*LN(p_B!M34),0)</f>
        <v>0</v>
      </c>
      <c r="N34" s="3">
        <f>IF(ISNUMBER(p_B!N34*LN(p_B!N34)),p_B!N34*LN(p_B!N34),0)</f>
        <v>0</v>
      </c>
      <c r="O34" s="3">
        <f>IF(ISNUMBER(p_B!O34*LN(p_B!O34)),p_B!O34*LN(p_B!O34),0)</f>
        <v>0</v>
      </c>
      <c r="P34" s="3">
        <f>IF(ISNUMBER(p_B!P34*LN(p_B!P34)),p_B!P34*LN(p_B!P34),0)</f>
        <v>0</v>
      </c>
      <c r="Q34" s="3">
        <f>IF(ISNUMBER(p_B!Q34*LN(p_B!Q34)),p_B!Q34*LN(p_B!Q34),0)</f>
        <v>0</v>
      </c>
      <c r="R34" s="3">
        <f>IF(ISNUMBER(p_B!R34*LN(p_B!R34)),p_B!R34*LN(p_B!R34),0)</f>
        <v>0</v>
      </c>
      <c r="S34" s="3">
        <f>IF(ISNUMBER(p_B!S34*LN(p_B!S34)),p_B!S34*LN(p_B!S34),0)</f>
        <v>0</v>
      </c>
      <c r="T34" s="3">
        <f>IF(ISNUMBER(p_B!T34*LN(p_B!T34)),p_B!T34*LN(p_B!T34),0)</f>
        <v>0</v>
      </c>
      <c r="U34" s="3">
        <f>IF(ISNUMBER(p_B!U34*LN(p_B!U34)),p_B!U34*LN(p_B!U34),0)</f>
        <v>0</v>
      </c>
      <c r="V34" s="3">
        <f>IF(ISNUMBER(p_B!V34*LN(p_B!V34)),p_B!V34*LN(p_B!V34),0)</f>
        <v>0</v>
      </c>
      <c r="W34" s="3">
        <f>IF(ISNUMBER(p_B!W34*LN(p_B!W34)),p_B!W34*LN(p_B!W34),0)</f>
        <v>0</v>
      </c>
      <c r="X34" s="3">
        <f>IF(ISNUMBER(p_B!X34*LN(p_B!X34)),p_B!X34*LN(p_B!X34),0)</f>
        <v>0</v>
      </c>
      <c r="Y34" s="3">
        <f>IF(ISNUMBER(p_B!Y34*LN(p_B!Y34)),p_B!Y34*LN(p_B!Y34),0)</f>
        <v>0</v>
      </c>
      <c r="Z34" s="3">
        <f>IF(ISNUMBER(p_B!Z34*LN(p_B!Z34)),p_B!Z34*LN(p_B!Z34),0)</f>
        <v>0</v>
      </c>
      <c r="AA34" s="3">
        <f>IF(ISNUMBER(p_B!AA34*LN(p_B!AA34)),p_B!AA34*LN(p_B!AA34),0)</f>
        <v>0</v>
      </c>
    </row>
    <row r="35" spans="1:27" x14ac:dyDescent="0.25">
      <c r="A35" t="s">
        <v>116</v>
      </c>
      <c r="B35" s="3">
        <f>IF(ISNUMBER(p_B!B35*LN(p_B!B35)),p_B!B35*LN(p_B!B35),0)</f>
        <v>-1.5412297704084636E-2</v>
      </c>
      <c r="C35" s="3">
        <f>IF(ISNUMBER(p_B!C35*LN(p_B!C35)),p_B!C35*LN(p_B!C35),0)</f>
        <v>-3.6838617605268603E-2</v>
      </c>
      <c r="D35" s="3">
        <f>IF(ISNUMBER(p_B!D35*LN(p_B!D35)),p_B!D35*LN(p_B!D35),0)</f>
        <v>0</v>
      </c>
      <c r="E35" s="3">
        <f>IF(ISNUMBER(p_B!E35*LN(p_B!E35)),p_B!E35*LN(p_B!E35),0)</f>
        <v>0</v>
      </c>
      <c r="F35" s="3">
        <f>IF(ISNUMBER(p_B!F35*LN(p_B!F35)),p_B!F35*LN(p_B!F35),0)</f>
        <v>0</v>
      </c>
      <c r="G35" s="3">
        <f>IF(ISNUMBER(p_B!G35*LN(p_B!G35)),p_B!G35*LN(p_B!G35),0)</f>
        <v>0</v>
      </c>
      <c r="H35" s="3">
        <f>IF(ISNUMBER(p_B!H35*LN(p_B!H35)),p_B!H35*LN(p_B!H35),0)</f>
        <v>-0.18725971325817656</v>
      </c>
      <c r="I35" s="3">
        <f>IF(ISNUMBER(p_B!I35*LN(p_B!I35)),p_B!I35*LN(p_B!I35),0)</f>
        <v>0</v>
      </c>
      <c r="J35" s="3">
        <f>IF(ISNUMBER(p_B!J35*LN(p_B!J35)),p_B!J35*LN(p_B!J35),0)</f>
        <v>-0.12659674570874002</v>
      </c>
      <c r="K35" s="3">
        <f>IF(ISNUMBER(p_B!K35*LN(p_B!K35)),p_B!K35*LN(p_B!K35),0)</f>
        <v>0</v>
      </c>
      <c r="L35" s="3">
        <f>IF(ISNUMBER(p_B!L35*LN(p_B!L35)),p_B!L35*LN(p_B!L35),0)</f>
        <v>0</v>
      </c>
      <c r="M35" s="3">
        <f>IF(ISNUMBER(p_B!M35*LN(p_B!M35)),p_B!M35*LN(p_B!M35),0)</f>
        <v>0</v>
      </c>
      <c r="N35" s="3">
        <f>IF(ISNUMBER(p_B!N35*LN(p_B!N35)),p_B!N35*LN(p_B!N35),0)</f>
        <v>-2.2814992506969348E-2</v>
      </c>
      <c r="O35" s="3">
        <f>IF(ISNUMBER(p_B!O35*LN(p_B!O35)),p_B!O35*LN(p_B!O35),0)</f>
        <v>-0.28207014661876806</v>
      </c>
      <c r="P35" s="3">
        <f>IF(ISNUMBER(p_B!P35*LN(p_B!P35)),p_B!P35*LN(p_B!P35),0)</f>
        <v>0</v>
      </c>
      <c r="Q35" s="3">
        <f>IF(ISNUMBER(p_B!Q35*LN(p_B!Q35)),p_B!Q35*LN(p_B!Q35),0)</f>
        <v>0</v>
      </c>
      <c r="R35" s="3">
        <f>IF(ISNUMBER(p_B!R35*LN(p_B!R35)),p_B!R35*LN(p_B!R35),0)</f>
        <v>0</v>
      </c>
      <c r="S35" s="3">
        <f>IF(ISNUMBER(p_B!S35*LN(p_B!S35)),p_B!S35*LN(p_B!S35),0)</f>
        <v>0</v>
      </c>
      <c r="T35" s="3">
        <f>IF(ISNUMBER(p_B!T35*LN(p_B!T35)),p_B!T35*LN(p_B!T35),0)</f>
        <v>0</v>
      </c>
      <c r="U35" s="3">
        <f>IF(ISNUMBER(p_B!U35*LN(p_B!U35)),p_B!U35*LN(p_B!U35),0)</f>
        <v>0</v>
      </c>
      <c r="V35" s="3">
        <f>IF(ISNUMBER(p_B!V35*LN(p_B!V35)),p_B!V35*LN(p_B!V35),0)</f>
        <v>0</v>
      </c>
      <c r="W35" s="3">
        <f>IF(ISNUMBER(p_B!W35*LN(p_B!W35)),p_B!W35*LN(p_B!W35),0)</f>
        <v>0</v>
      </c>
      <c r="X35" s="3">
        <f>IF(ISNUMBER(p_B!X35*LN(p_B!X35)),p_B!X35*LN(p_B!X35),0)</f>
        <v>0</v>
      </c>
      <c r="Y35" s="3">
        <f>IF(ISNUMBER(p_B!Y35*LN(p_B!Y35)),p_B!Y35*LN(p_B!Y35),0)</f>
        <v>0</v>
      </c>
      <c r="Z35" s="3">
        <f>IF(ISNUMBER(p_B!Z35*LN(p_B!Z35)),p_B!Z35*LN(p_B!Z35),0)</f>
        <v>0</v>
      </c>
      <c r="AA35" s="3">
        <f>IF(ISNUMBER(p_B!AA35*LN(p_B!AA35)),p_B!AA35*LN(p_B!AA35),0)</f>
        <v>0</v>
      </c>
    </row>
    <row r="36" spans="1:27" x14ac:dyDescent="0.25">
      <c r="A36" t="s">
        <v>117</v>
      </c>
      <c r="B36" s="3">
        <f>IF(ISNUMBER(p_B!B36*LN(p_B!B36)),p_B!B36*LN(p_B!B36),0)</f>
        <v>-9.8012293160056357E-2</v>
      </c>
      <c r="C36" s="3">
        <f>IF(ISNUMBER(p_B!C36*LN(p_B!C36)),p_B!C36*LN(p_B!C36),0)</f>
        <v>-8.6380299033274079E-3</v>
      </c>
      <c r="D36" s="3">
        <f>IF(ISNUMBER(p_B!D36*LN(p_B!D36)),p_B!D36*LN(p_B!D36),0)</f>
        <v>0</v>
      </c>
      <c r="E36" s="3">
        <f>IF(ISNUMBER(p_B!E36*LN(p_B!E36)),p_B!E36*LN(p_B!E36),0)</f>
        <v>0</v>
      </c>
      <c r="F36" s="3">
        <f>IF(ISNUMBER(p_B!F36*LN(p_B!F36)),p_B!F36*LN(p_B!F36),0)</f>
        <v>0</v>
      </c>
      <c r="G36" s="3">
        <f>IF(ISNUMBER(p_B!G36*LN(p_B!G36)),p_B!G36*LN(p_B!G36),0)</f>
        <v>0</v>
      </c>
      <c r="H36" s="3">
        <f>IF(ISNUMBER(p_B!H36*LN(p_B!H36)),p_B!H36*LN(p_B!H36),0)</f>
        <v>-3.2276036237716847E-2</v>
      </c>
      <c r="I36" s="3">
        <f>IF(ISNUMBER(p_B!I36*LN(p_B!I36)),p_B!I36*LN(p_B!I36),0)</f>
        <v>0</v>
      </c>
      <c r="J36" s="3">
        <f>IF(ISNUMBER(p_B!J36*LN(p_B!J36)),p_B!J36*LN(p_B!J36),0)</f>
        <v>-2.1630072986406405E-2</v>
      </c>
      <c r="K36" s="3">
        <f>IF(ISNUMBER(p_B!K36*LN(p_B!K36)),p_B!K36*LN(p_B!K36),0)</f>
        <v>0</v>
      </c>
      <c r="L36" s="3">
        <f>IF(ISNUMBER(p_B!L36*LN(p_B!L36)),p_B!L36*LN(p_B!L36),0)</f>
        <v>0</v>
      </c>
      <c r="M36" s="3">
        <f>IF(ISNUMBER(p_B!M36*LN(p_B!M36)),p_B!M36*LN(p_B!M36),0)</f>
        <v>0</v>
      </c>
      <c r="N36" s="3">
        <f>IF(ISNUMBER(p_B!N36*LN(p_B!N36)),p_B!N36*LN(p_B!N36),0)</f>
        <v>0</v>
      </c>
      <c r="O36" s="3">
        <f>IF(ISNUMBER(p_B!O36*LN(p_B!O36)),p_B!O36*LN(p_B!O36),0)</f>
        <v>0</v>
      </c>
      <c r="P36" s="3">
        <f>IF(ISNUMBER(p_B!P36*LN(p_B!P36)),p_B!P36*LN(p_B!P36),0)</f>
        <v>0</v>
      </c>
      <c r="Q36" s="3">
        <f>IF(ISNUMBER(p_B!Q36*LN(p_B!Q36)),p_B!Q36*LN(p_B!Q36),0)</f>
        <v>0</v>
      </c>
      <c r="R36" s="3">
        <f>IF(ISNUMBER(p_B!R36*LN(p_B!R36)),p_B!R36*LN(p_B!R36),0)</f>
        <v>0</v>
      </c>
      <c r="S36" s="3">
        <f>IF(ISNUMBER(p_B!S36*LN(p_B!S36)),p_B!S36*LN(p_B!S36),0)</f>
        <v>0</v>
      </c>
      <c r="T36" s="3">
        <f>IF(ISNUMBER(p_B!T36*LN(p_B!T36)),p_B!T36*LN(p_B!T36),0)</f>
        <v>0</v>
      </c>
      <c r="U36" s="3">
        <f>IF(ISNUMBER(p_B!U36*LN(p_B!U36)),p_B!U36*LN(p_B!U36),0)</f>
        <v>0</v>
      </c>
      <c r="V36" s="3">
        <f>IF(ISNUMBER(p_B!V36*LN(p_B!V36)),p_B!V36*LN(p_B!V36),0)</f>
        <v>0</v>
      </c>
      <c r="W36" s="3">
        <f>IF(ISNUMBER(p_B!W36*LN(p_B!W36)),p_B!W36*LN(p_B!W36),0)</f>
        <v>0</v>
      </c>
      <c r="X36" s="3">
        <f>IF(ISNUMBER(p_B!X36*LN(p_B!X36)),p_B!X36*LN(p_B!X36),0)</f>
        <v>0</v>
      </c>
      <c r="Y36" s="3">
        <f>IF(ISNUMBER(p_B!Y36*LN(p_B!Y36)),p_B!Y36*LN(p_B!Y36),0)</f>
        <v>0</v>
      </c>
      <c r="Z36" s="3">
        <f>IF(ISNUMBER(p_B!Z36*LN(p_B!Z36)),p_B!Z36*LN(p_B!Z36),0)</f>
        <v>0</v>
      </c>
      <c r="AA36" s="3">
        <f>IF(ISNUMBER(p_B!AA36*LN(p_B!AA36)),p_B!AA36*LN(p_B!AA36),0)</f>
        <v>0</v>
      </c>
    </row>
    <row r="37" spans="1:27" x14ac:dyDescent="0.25">
      <c r="A37" t="s">
        <v>118</v>
      </c>
      <c r="B37" s="3">
        <f>IF(ISNUMBER(p_B!B37*LN(p_B!B37)),p_B!B37*LN(p_B!B37),0)</f>
        <v>-9.5397416725624531E-2</v>
      </c>
      <c r="C37" s="3">
        <f>IF(ISNUMBER(p_B!C37*LN(p_B!C37)),p_B!C37*LN(p_B!C37),0)</f>
        <v>-0.11643271668650547</v>
      </c>
      <c r="D37" s="3">
        <f>IF(ISNUMBER(p_B!D37*LN(p_B!D37)),p_B!D37*LN(p_B!D37),0)</f>
        <v>0</v>
      </c>
      <c r="E37" s="3">
        <f>IF(ISNUMBER(p_B!E37*LN(p_B!E37)),p_B!E37*LN(p_B!E37),0)</f>
        <v>0</v>
      </c>
      <c r="F37" s="3">
        <f>IF(ISNUMBER(p_B!F37*LN(p_B!F37)),p_B!F37*LN(p_B!F37),0)</f>
        <v>0</v>
      </c>
      <c r="G37" s="3">
        <f>IF(ISNUMBER(p_B!G37*LN(p_B!G37)),p_B!G37*LN(p_B!G37),0)</f>
        <v>0</v>
      </c>
      <c r="H37" s="3">
        <f>IF(ISNUMBER(p_B!H37*LN(p_B!H37)),p_B!H37*LN(p_B!H37),0)</f>
        <v>-0.22711820201635841</v>
      </c>
      <c r="I37" s="3">
        <f>IF(ISNUMBER(p_B!I37*LN(p_B!I37)),p_B!I37*LN(p_B!I37),0)</f>
        <v>0</v>
      </c>
      <c r="J37" s="3">
        <f>IF(ISNUMBER(p_B!J37*LN(p_B!J37)),p_B!J37*LN(p_B!J37),0)</f>
        <v>0</v>
      </c>
      <c r="K37" s="3">
        <f>IF(ISNUMBER(p_B!K37*LN(p_B!K37)),p_B!K37*LN(p_B!K37),0)</f>
        <v>0</v>
      </c>
      <c r="L37" s="3">
        <f>IF(ISNUMBER(p_B!L37*LN(p_B!L37)),p_B!L37*LN(p_B!L37),0)</f>
        <v>0</v>
      </c>
      <c r="M37" s="3">
        <f>IF(ISNUMBER(p_B!M37*LN(p_B!M37)),p_B!M37*LN(p_B!M37),0)</f>
        <v>0</v>
      </c>
      <c r="N37" s="3">
        <f>IF(ISNUMBER(p_B!N37*LN(p_B!N37)),p_B!N37*LN(p_B!N37),0)</f>
        <v>0</v>
      </c>
      <c r="O37" s="3">
        <f>IF(ISNUMBER(p_B!O37*LN(p_B!O37)),p_B!O37*LN(p_B!O37),0)</f>
        <v>-5.2570718862169968E-3</v>
      </c>
      <c r="P37" s="3">
        <f>IF(ISNUMBER(p_B!P37*LN(p_B!P37)),p_B!P37*LN(p_B!P37),0)</f>
        <v>0</v>
      </c>
      <c r="Q37" s="3">
        <f>IF(ISNUMBER(p_B!Q37*LN(p_B!Q37)),p_B!Q37*LN(p_B!Q37),0)</f>
        <v>0</v>
      </c>
      <c r="R37" s="3">
        <f>IF(ISNUMBER(p_B!R37*LN(p_B!R37)),p_B!R37*LN(p_B!R37),0)</f>
        <v>0</v>
      </c>
      <c r="S37" s="3">
        <f>IF(ISNUMBER(p_B!S37*LN(p_B!S37)),p_B!S37*LN(p_B!S37),0)</f>
        <v>0</v>
      </c>
      <c r="T37" s="3">
        <f>IF(ISNUMBER(p_B!T37*LN(p_B!T37)),p_B!T37*LN(p_B!T37),0)</f>
        <v>0</v>
      </c>
      <c r="U37" s="3">
        <f>IF(ISNUMBER(p_B!U37*LN(p_B!U37)),p_B!U37*LN(p_B!U37),0)</f>
        <v>0</v>
      </c>
      <c r="V37" s="3">
        <f>IF(ISNUMBER(p_B!V37*LN(p_B!V37)),p_B!V37*LN(p_B!V37),0)</f>
        <v>0</v>
      </c>
      <c r="W37" s="3">
        <f>IF(ISNUMBER(p_B!W37*LN(p_B!W37)),p_B!W37*LN(p_B!W37),0)</f>
        <v>0</v>
      </c>
      <c r="X37" s="3">
        <f>IF(ISNUMBER(p_B!X37*LN(p_B!X37)),p_B!X37*LN(p_B!X37),0)</f>
        <v>0</v>
      </c>
      <c r="Y37" s="3">
        <f>IF(ISNUMBER(p_B!Y37*LN(p_B!Y37)),p_B!Y37*LN(p_B!Y37),0)</f>
        <v>0</v>
      </c>
      <c r="Z37" s="3">
        <f>IF(ISNUMBER(p_B!Z37*LN(p_B!Z37)),p_B!Z37*LN(p_B!Z37),0)</f>
        <v>0</v>
      </c>
      <c r="AA37" s="3">
        <f>IF(ISNUMBER(p_B!AA37*LN(p_B!AA37)),p_B!AA37*LN(p_B!AA37),0)</f>
        <v>0</v>
      </c>
    </row>
    <row r="38" spans="1:27" x14ac:dyDescent="0.25">
      <c r="A38" t="s">
        <v>120</v>
      </c>
      <c r="B38" s="3">
        <f>IF(ISNUMBER(p_B!B38*LN(p_B!B38)),p_B!B38*LN(p_B!B38),0)</f>
        <v>-4.0539169110017283E-3</v>
      </c>
      <c r="C38" s="3">
        <f>IF(ISNUMBER(p_B!C38*LN(p_B!C38)),p_B!C38*LN(p_B!C38),0)</f>
        <v>0</v>
      </c>
      <c r="D38" s="3">
        <f>IF(ISNUMBER(p_B!D38*LN(p_B!D38)),p_B!D38*LN(p_B!D38),0)</f>
        <v>0</v>
      </c>
      <c r="E38" s="3">
        <f>IF(ISNUMBER(p_B!E38*LN(p_B!E38)),p_B!E38*LN(p_B!E38),0)</f>
        <v>0</v>
      </c>
      <c r="F38" s="3">
        <f>IF(ISNUMBER(p_B!F38*LN(p_B!F38)),p_B!F38*LN(p_B!F38),0)</f>
        <v>0</v>
      </c>
      <c r="G38" s="3">
        <f>IF(ISNUMBER(p_B!G38*LN(p_B!G38)),p_B!G38*LN(p_B!G38),0)</f>
        <v>0</v>
      </c>
      <c r="H38" s="3">
        <f>IF(ISNUMBER(p_B!H38*LN(p_B!H38)),p_B!H38*LN(p_B!H38),0)</f>
        <v>-1.3374405334797316E-2</v>
      </c>
      <c r="I38" s="3">
        <f>IF(ISNUMBER(p_B!I38*LN(p_B!I38)),p_B!I38*LN(p_B!I38),0)</f>
        <v>0</v>
      </c>
      <c r="J38" s="3">
        <f>IF(ISNUMBER(p_B!J38*LN(p_B!J38)),p_B!J38*LN(p_B!J38),0)</f>
        <v>-5.6211763093196858E-2</v>
      </c>
      <c r="K38" s="3">
        <f>IF(ISNUMBER(p_B!K38*LN(p_B!K38)),p_B!K38*LN(p_B!K38),0)</f>
        <v>0</v>
      </c>
      <c r="L38" s="3">
        <f>IF(ISNUMBER(p_B!L38*LN(p_B!L38)),p_B!L38*LN(p_B!L38),0)</f>
        <v>0</v>
      </c>
      <c r="M38" s="3">
        <f>IF(ISNUMBER(p_B!M38*LN(p_B!M38)),p_B!M38*LN(p_B!M38),0)</f>
        <v>0</v>
      </c>
      <c r="N38" s="3">
        <f>IF(ISNUMBER(p_B!N38*LN(p_B!N38)),p_B!N38*LN(p_B!N38),0)</f>
        <v>0</v>
      </c>
      <c r="O38" s="3">
        <f>IF(ISNUMBER(p_B!O38*LN(p_B!O38)),p_B!O38*LN(p_B!O38),0)</f>
        <v>0</v>
      </c>
      <c r="P38" s="3">
        <f>IF(ISNUMBER(p_B!P38*LN(p_B!P38)),p_B!P38*LN(p_B!P38),0)</f>
        <v>0</v>
      </c>
      <c r="Q38" s="3">
        <f>IF(ISNUMBER(p_B!Q38*LN(p_B!Q38)),p_B!Q38*LN(p_B!Q38),0)</f>
        <v>0</v>
      </c>
      <c r="R38" s="3">
        <f>IF(ISNUMBER(p_B!R38*LN(p_B!R38)),p_B!R38*LN(p_B!R38),0)</f>
        <v>0</v>
      </c>
      <c r="S38" s="3">
        <f>IF(ISNUMBER(p_B!S38*LN(p_B!S38)),p_B!S38*LN(p_B!S38),0)</f>
        <v>0</v>
      </c>
      <c r="T38" s="3">
        <f>IF(ISNUMBER(p_B!T38*LN(p_B!T38)),p_B!T38*LN(p_B!T38),0)</f>
        <v>0</v>
      </c>
      <c r="U38" s="3">
        <f>IF(ISNUMBER(p_B!U38*LN(p_B!U38)),p_B!U38*LN(p_B!U38),0)</f>
        <v>0</v>
      </c>
      <c r="V38" s="3">
        <f>IF(ISNUMBER(p_B!V38*LN(p_B!V38)),p_B!V38*LN(p_B!V38),0)</f>
        <v>0</v>
      </c>
      <c r="W38" s="3">
        <f>IF(ISNUMBER(p_B!W38*LN(p_B!W38)),p_B!W38*LN(p_B!W38),0)</f>
        <v>0</v>
      </c>
      <c r="X38" s="3">
        <f>IF(ISNUMBER(p_B!X38*LN(p_B!X38)),p_B!X38*LN(p_B!X38),0)</f>
        <v>0</v>
      </c>
      <c r="Y38" s="3">
        <f>IF(ISNUMBER(p_B!Y38*LN(p_B!Y38)),p_B!Y38*LN(p_B!Y38),0)</f>
        <v>0</v>
      </c>
      <c r="Z38" s="3">
        <f>IF(ISNUMBER(p_B!Z38*LN(p_B!Z38)),p_B!Z38*LN(p_B!Z38),0)</f>
        <v>0</v>
      </c>
      <c r="AA38" s="3">
        <f>IF(ISNUMBER(p_B!AA38*LN(p_B!AA38)),p_B!AA38*LN(p_B!AA38),0)</f>
        <v>0</v>
      </c>
    </row>
    <row r="39" spans="1:27" x14ac:dyDescent="0.25">
      <c r="A39" t="s">
        <v>121</v>
      </c>
      <c r="B39" s="3">
        <f>IF(ISNUMBER(p_B!B39*LN(p_B!B39)),p_B!B39*LN(p_B!B39),0)</f>
        <v>-7.186323726921507E-3</v>
      </c>
      <c r="C39" s="3">
        <f>IF(ISNUMBER(p_B!C39*LN(p_B!C39)),p_B!C39*LN(p_B!C39),0)</f>
        <v>-0.12263716247926081</v>
      </c>
      <c r="D39" s="3">
        <f>IF(ISNUMBER(p_B!D39*LN(p_B!D39)),p_B!D39*LN(p_B!D39),0)</f>
        <v>0</v>
      </c>
      <c r="E39" s="3">
        <f>IF(ISNUMBER(p_B!E39*LN(p_B!E39)),p_B!E39*LN(p_B!E39),0)</f>
        <v>0</v>
      </c>
      <c r="F39" s="3">
        <f>IF(ISNUMBER(p_B!F39*LN(p_B!F39)),p_B!F39*LN(p_B!F39),0)</f>
        <v>0</v>
      </c>
      <c r="G39" s="3">
        <f>IF(ISNUMBER(p_B!G39*LN(p_B!G39)),p_B!G39*LN(p_B!G39),0)</f>
        <v>0</v>
      </c>
      <c r="H39" s="3">
        <f>IF(ISNUMBER(p_B!H39*LN(p_B!H39)),p_B!H39*LN(p_B!H39),0)</f>
        <v>-4.6997987114777574E-2</v>
      </c>
      <c r="I39" s="3">
        <f>IF(ISNUMBER(p_B!I39*LN(p_B!I39)),p_B!I39*LN(p_B!I39),0)</f>
        <v>0</v>
      </c>
      <c r="J39" s="3">
        <f>IF(ISNUMBER(p_B!J39*LN(p_B!J39)),p_B!J39*LN(p_B!J39),0)</f>
        <v>-2.3869871125404778E-2</v>
      </c>
      <c r="K39" s="3">
        <f>IF(ISNUMBER(p_B!K39*LN(p_B!K39)),p_B!K39*LN(p_B!K39),0)</f>
        <v>0</v>
      </c>
      <c r="L39" s="3">
        <f>IF(ISNUMBER(p_B!L39*LN(p_B!L39)),p_B!L39*LN(p_B!L39),0)</f>
        <v>0</v>
      </c>
      <c r="M39" s="3">
        <f>IF(ISNUMBER(p_B!M39*LN(p_B!M39)),p_B!M39*LN(p_B!M39),0)</f>
        <v>0</v>
      </c>
      <c r="N39" s="3">
        <f>IF(ISNUMBER(p_B!N39*LN(p_B!N39)),p_B!N39*LN(p_B!N39),0)</f>
        <v>0</v>
      </c>
      <c r="O39" s="3">
        <f>IF(ISNUMBER(p_B!O39*LN(p_B!O39)),p_B!O39*LN(p_B!O39),0)</f>
        <v>-2.2937610110367785E-2</v>
      </c>
      <c r="P39" s="3">
        <f>IF(ISNUMBER(p_B!P39*LN(p_B!P39)),p_B!P39*LN(p_B!P39),0)</f>
        <v>0</v>
      </c>
      <c r="Q39" s="3">
        <f>IF(ISNUMBER(p_B!Q39*LN(p_B!Q39)),p_B!Q39*LN(p_B!Q39),0)</f>
        <v>0</v>
      </c>
      <c r="R39" s="3">
        <f>IF(ISNUMBER(p_B!R39*LN(p_B!R39)),p_B!R39*LN(p_B!R39),0)</f>
        <v>0</v>
      </c>
      <c r="S39" s="3">
        <f>IF(ISNUMBER(p_B!S39*LN(p_B!S39)),p_B!S39*LN(p_B!S39),0)</f>
        <v>0</v>
      </c>
      <c r="T39" s="3">
        <f>IF(ISNUMBER(p_B!T39*LN(p_B!T39)),p_B!T39*LN(p_B!T39),0)</f>
        <v>0</v>
      </c>
      <c r="U39" s="3">
        <f>IF(ISNUMBER(p_B!U39*LN(p_B!U39)),p_B!U39*LN(p_B!U39),0)</f>
        <v>0</v>
      </c>
      <c r="V39" s="3">
        <f>IF(ISNUMBER(p_B!V39*LN(p_B!V39)),p_B!V39*LN(p_B!V39),0)</f>
        <v>0</v>
      </c>
      <c r="W39" s="3">
        <f>IF(ISNUMBER(p_B!W39*LN(p_B!W39)),p_B!W39*LN(p_B!W39),0)</f>
        <v>0</v>
      </c>
      <c r="X39" s="3">
        <f>IF(ISNUMBER(p_B!X39*LN(p_B!X39)),p_B!X39*LN(p_B!X39),0)</f>
        <v>0</v>
      </c>
      <c r="Y39" s="3">
        <f>IF(ISNUMBER(p_B!Y39*LN(p_B!Y39)),p_B!Y39*LN(p_B!Y39),0)</f>
        <v>0</v>
      </c>
      <c r="Z39" s="3">
        <f>IF(ISNUMBER(p_B!Z39*LN(p_B!Z39)),p_B!Z39*LN(p_B!Z39),0)</f>
        <v>0</v>
      </c>
      <c r="AA39" s="3">
        <f>IF(ISNUMBER(p_B!AA39*LN(p_B!AA39)),p_B!AA39*LN(p_B!AA39),0)</f>
        <v>0</v>
      </c>
    </row>
    <row r="40" spans="1:27" x14ac:dyDescent="0.25">
      <c r="A40" t="s">
        <v>122</v>
      </c>
      <c r="B40" s="3">
        <f>IF(ISNUMBER(p_B!B40*LN(p_B!B40)),p_B!B40*LN(p_B!B40),0)</f>
        <v>0</v>
      </c>
      <c r="C40" s="3">
        <f>IF(ISNUMBER(p_B!C40*LN(p_B!C40)),p_B!C40*LN(p_B!C40),0)</f>
        <v>-0.31114499179803112</v>
      </c>
      <c r="D40" s="3">
        <f>IF(ISNUMBER(p_B!D40*LN(p_B!D40)),p_B!D40*LN(p_B!D40),0)</f>
        <v>0</v>
      </c>
      <c r="E40" s="3">
        <f>IF(ISNUMBER(p_B!E40*LN(p_B!E40)),p_B!E40*LN(p_B!E40),0)</f>
        <v>0</v>
      </c>
      <c r="F40" s="3">
        <f>IF(ISNUMBER(p_B!F40*LN(p_B!F40)),p_B!F40*LN(p_B!F40),0)</f>
        <v>0</v>
      </c>
      <c r="G40" s="3">
        <f>IF(ISNUMBER(p_B!G40*LN(p_B!G40)),p_B!G40*LN(p_B!G40),0)</f>
        <v>0</v>
      </c>
      <c r="H40" s="3">
        <f>IF(ISNUMBER(p_B!H40*LN(p_B!H40)),p_B!H40*LN(p_B!H40),0)</f>
        <v>-0.36489880928282026</v>
      </c>
      <c r="I40" s="3">
        <f>IF(ISNUMBER(p_B!I40*LN(p_B!I40)),p_B!I40*LN(p_B!I40),0)</f>
        <v>0</v>
      </c>
      <c r="J40" s="3">
        <f>IF(ISNUMBER(p_B!J40*LN(p_B!J40)),p_B!J40*LN(p_B!J40),0)</f>
        <v>-4.3705454419304325E-2</v>
      </c>
      <c r="K40" s="3">
        <f>IF(ISNUMBER(p_B!K40*LN(p_B!K40)),p_B!K40*LN(p_B!K40),0)</f>
        <v>0</v>
      </c>
      <c r="L40" s="3">
        <f>IF(ISNUMBER(p_B!L40*LN(p_B!L40)),p_B!L40*LN(p_B!L40),0)</f>
        <v>0</v>
      </c>
      <c r="M40" s="3">
        <f>IF(ISNUMBER(p_B!M40*LN(p_B!M40)),p_B!M40*LN(p_B!M40),0)</f>
        <v>0</v>
      </c>
      <c r="N40" s="3">
        <f>IF(ISNUMBER(p_B!N40*LN(p_B!N40)),p_B!N40*LN(p_B!N40),0)</f>
        <v>0</v>
      </c>
      <c r="O40" s="3">
        <f>IF(ISNUMBER(p_B!O40*LN(p_B!O40)),p_B!O40*LN(p_B!O40),0)</f>
        <v>-0.35212043154422534</v>
      </c>
      <c r="P40" s="3">
        <f>IF(ISNUMBER(p_B!P40*LN(p_B!P40)),p_B!P40*LN(p_B!P40),0)</f>
        <v>0</v>
      </c>
      <c r="Q40" s="3">
        <f>IF(ISNUMBER(p_B!Q40*LN(p_B!Q40)),p_B!Q40*LN(p_B!Q40),0)</f>
        <v>0</v>
      </c>
      <c r="R40" s="3">
        <f>IF(ISNUMBER(p_B!R40*LN(p_B!R40)),p_B!R40*LN(p_B!R40),0)</f>
        <v>0</v>
      </c>
      <c r="S40" s="3">
        <f>IF(ISNUMBER(p_B!S40*LN(p_B!S40)),p_B!S40*LN(p_B!S40),0)</f>
        <v>0</v>
      </c>
      <c r="T40" s="3">
        <f>IF(ISNUMBER(p_B!T40*LN(p_B!T40)),p_B!T40*LN(p_B!T40),0)</f>
        <v>0</v>
      </c>
      <c r="U40" s="3">
        <f>IF(ISNUMBER(p_B!U40*LN(p_B!U40)),p_B!U40*LN(p_B!U40),0)</f>
        <v>0</v>
      </c>
      <c r="V40" s="3">
        <f>IF(ISNUMBER(p_B!V40*LN(p_B!V40)),p_B!V40*LN(p_B!V40),0)</f>
        <v>0</v>
      </c>
      <c r="W40" s="3">
        <f>IF(ISNUMBER(p_B!W40*LN(p_B!W40)),p_B!W40*LN(p_B!W40),0)</f>
        <v>0</v>
      </c>
      <c r="X40" s="3">
        <f>IF(ISNUMBER(p_B!X40*LN(p_B!X40)),p_B!X40*LN(p_B!X40),0)</f>
        <v>0</v>
      </c>
      <c r="Y40" s="3">
        <f>IF(ISNUMBER(p_B!Y40*LN(p_B!Y40)),p_B!Y40*LN(p_B!Y40),0)</f>
        <v>0</v>
      </c>
      <c r="Z40" s="3">
        <f>IF(ISNUMBER(p_B!Z40*LN(p_B!Z40)),p_B!Z40*LN(p_B!Z40),0)</f>
        <v>0</v>
      </c>
      <c r="AA40" s="3">
        <f>IF(ISNUMBER(p_B!AA40*LN(p_B!AA40)),p_B!AA40*LN(p_B!AA40),0)</f>
        <v>0</v>
      </c>
    </row>
    <row r="41" spans="1:27" x14ac:dyDescent="0.25">
      <c r="A41" t="s">
        <v>123</v>
      </c>
      <c r="B41" s="3">
        <f>IF(ISNUMBER(p_B!B41*LN(p_B!B41)),p_B!B41*LN(p_B!B41),0)</f>
        <v>0</v>
      </c>
      <c r="C41" s="3">
        <f>IF(ISNUMBER(p_B!C41*LN(p_B!C41)),p_B!C41*LN(p_B!C41),0)</f>
        <v>-3.4773179654115062E-2</v>
      </c>
      <c r="D41" s="3">
        <f>IF(ISNUMBER(p_B!D41*LN(p_B!D41)),p_B!D41*LN(p_B!D41),0)</f>
        <v>0</v>
      </c>
      <c r="E41" s="3">
        <f>IF(ISNUMBER(p_B!E41*LN(p_B!E41)),p_B!E41*LN(p_B!E41),0)</f>
        <v>0</v>
      </c>
      <c r="F41" s="3">
        <f>IF(ISNUMBER(p_B!F41*LN(p_B!F41)),p_B!F41*LN(p_B!F41),0)</f>
        <v>0</v>
      </c>
      <c r="G41" s="3">
        <f>IF(ISNUMBER(p_B!G41*LN(p_B!G41)),p_B!G41*LN(p_B!G41),0)</f>
        <v>0</v>
      </c>
      <c r="H41" s="3">
        <f>IF(ISNUMBER(p_B!H41*LN(p_B!H41)),p_B!H41*LN(p_B!H41),0)</f>
        <v>-0.36125150790667987</v>
      </c>
      <c r="I41" s="3">
        <f>IF(ISNUMBER(p_B!I41*LN(p_B!I41)),p_B!I41*LN(p_B!I41),0)</f>
        <v>0</v>
      </c>
      <c r="J41" s="3">
        <f>IF(ISNUMBER(p_B!J41*LN(p_B!J41)),p_B!J41*LN(p_B!J41),0)</f>
        <v>0</v>
      </c>
      <c r="K41" s="3">
        <f>IF(ISNUMBER(p_B!K41*LN(p_B!K41)),p_B!K41*LN(p_B!K41),0)</f>
        <v>0</v>
      </c>
      <c r="L41" s="3">
        <f>IF(ISNUMBER(p_B!L41*LN(p_B!L41)),p_B!L41*LN(p_B!L41),0)</f>
        <v>0</v>
      </c>
      <c r="M41" s="3">
        <f>IF(ISNUMBER(p_B!M41*LN(p_B!M41)),p_B!M41*LN(p_B!M41),0)</f>
        <v>0</v>
      </c>
      <c r="N41" s="3">
        <f>IF(ISNUMBER(p_B!N41*LN(p_B!N41)),p_B!N41*LN(p_B!N41),0)</f>
        <v>0</v>
      </c>
      <c r="O41" s="3">
        <f>IF(ISNUMBER(p_B!O41*LN(p_B!O41)),p_B!O41*LN(p_B!O41),0)</f>
        <v>-0.33036815226484834</v>
      </c>
      <c r="P41" s="3">
        <f>IF(ISNUMBER(p_B!P41*LN(p_B!P41)),p_B!P41*LN(p_B!P41),0)</f>
        <v>0</v>
      </c>
      <c r="Q41" s="3">
        <f>IF(ISNUMBER(p_B!Q41*LN(p_B!Q41)),p_B!Q41*LN(p_B!Q41),0)</f>
        <v>0</v>
      </c>
      <c r="R41" s="3">
        <f>IF(ISNUMBER(p_B!R41*LN(p_B!R41)),p_B!R41*LN(p_B!R41),0)</f>
        <v>0</v>
      </c>
      <c r="S41" s="3">
        <f>IF(ISNUMBER(p_B!S41*LN(p_B!S41)),p_B!S41*LN(p_B!S41),0)</f>
        <v>0</v>
      </c>
      <c r="T41" s="3">
        <f>IF(ISNUMBER(p_B!T41*LN(p_B!T41)),p_B!T41*LN(p_B!T41),0)</f>
        <v>0</v>
      </c>
      <c r="U41" s="3">
        <f>IF(ISNUMBER(p_B!U41*LN(p_B!U41)),p_B!U41*LN(p_B!U41),0)</f>
        <v>0</v>
      </c>
      <c r="V41" s="3">
        <f>IF(ISNUMBER(p_B!V41*LN(p_B!V41)),p_B!V41*LN(p_B!V41),0)</f>
        <v>0</v>
      </c>
      <c r="W41" s="3">
        <f>IF(ISNUMBER(p_B!W41*LN(p_B!W41)),p_B!W41*LN(p_B!W41),0)</f>
        <v>0</v>
      </c>
      <c r="X41" s="3">
        <f>IF(ISNUMBER(p_B!X41*LN(p_B!X41)),p_B!X41*LN(p_B!X41),0)</f>
        <v>0</v>
      </c>
      <c r="Y41" s="3">
        <f>IF(ISNUMBER(p_B!Y41*LN(p_B!Y41)),p_B!Y41*LN(p_B!Y41),0)</f>
        <v>0</v>
      </c>
      <c r="Z41" s="3">
        <f>IF(ISNUMBER(p_B!Z41*LN(p_B!Z41)),p_B!Z41*LN(p_B!Z41),0)</f>
        <v>0</v>
      </c>
      <c r="AA41" s="3">
        <f>IF(ISNUMBER(p_B!AA41*LN(p_B!AA41)),p_B!AA41*LN(p_B!AA41),0)</f>
        <v>0</v>
      </c>
    </row>
    <row r="42" spans="1:27" x14ac:dyDescent="0.25">
      <c r="A42" t="s">
        <v>124</v>
      </c>
      <c r="B42" s="3">
        <f>IF(ISNUMBER(p_B!B42*LN(p_B!B42)),p_B!B42*LN(p_B!B42),0)</f>
        <v>0</v>
      </c>
      <c r="C42" s="3">
        <f>IF(ISNUMBER(p_B!C42*LN(p_B!C42)),p_B!C42*LN(p_B!C42),0)</f>
        <v>-0.36492292112356933</v>
      </c>
      <c r="D42" s="3">
        <f>IF(ISNUMBER(p_B!D42*LN(p_B!D42)),p_B!D42*LN(p_B!D42),0)</f>
        <v>0</v>
      </c>
      <c r="E42" s="3">
        <f>IF(ISNUMBER(p_B!E42*LN(p_B!E42)),p_B!E42*LN(p_B!E42),0)</f>
        <v>0</v>
      </c>
      <c r="F42" s="3">
        <f>IF(ISNUMBER(p_B!F42*LN(p_B!F42)),p_B!F42*LN(p_B!F42),0)</f>
        <v>0</v>
      </c>
      <c r="G42" s="3">
        <f>IF(ISNUMBER(p_B!G42*LN(p_B!G42)),p_B!G42*LN(p_B!G42),0)</f>
        <v>0</v>
      </c>
      <c r="H42" s="3">
        <f>IF(ISNUMBER(p_B!H42*LN(p_B!H42)),p_B!H42*LN(p_B!H42),0)</f>
        <v>-0.35445826127905972</v>
      </c>
      <c r="I42" s="3">
        <f>IF(ISNUMBER(p_B!I42*LN(p_B!I42)),p_B!I42*LN(p_B!I42),0)</f>
        <v>0</v>
      </c>
      <c r="J42" s="3">
        <f>IF(ISNUMBER(p_B!J42*LN(p_B!J42)),p_B!J42*LN(p_B!J42),0)</f>
        <v>-5.2444893586270677E-2</v>
      </c>
      <c r="K42" s="3">
        <f>IF(ISNUMBER(p_B!K42*LN(p_B!K42)),p_B!K42*LN(p_B!K42),0)</f>
        <v>0</v>
      </c>
      <c r="L42" s="3">
        <f>IF(ISNUMBER(p_B!L42*LN(p_B!L42)),p_B!L42*LN(p_B!L42),0)</f>
        <v>0</v>
      </c>
      <c r="M42" s="3">
        <f>IF(ISNUMBER(p_B!M42*LN(p_B!M42)),p_B!M42*LN(p_B!M42),0)</f>
        <v>0</v>
      </c>
      <c r="N42" s="3">
        <f>IF(ISNUMBER(p_B!N42*LN(p_B!N42)),p_B!N42*LN(p_B!N42),0)</f>
        <v>0</v>
      </c>
      <c r="O42" s="3">
        <f>IF(ISNUMBER(p_B!O42*LN(p_B!O42)),p_B!O42*LN(p_B!O42),0)</f>
        <v>-0.30354351245595551</v>
      </c>
      <c r="P42" s="3">
        <f>IF(ISNUMBER(p_B!P42*LN(p_B!P42)),p_B!P42*LN(p_B!P42),0)</f>
        <v>0</v>
      </c>
      <c r="Q42" s="3">
        <f>IF(ISNUMBER(p_B!Q42*LN(p_B!Q42)),p_B!Q42*LN(p_B!Q42),0)</f>
        <v>-7.0910695804144414E-2</v>
      </c>
      <c r="R42" s="3">
        <f>IF(ISNUMBER(p_B!R42*LN(p_B!R42)),p_B!R42*LN(p_B!R42),0)</f>
        <v>0</v>
      </c>
      <c r="S42" s="3">
        <f>IF(ISNUMBER(p_B!S42*LN(p_B!S42)),p_B!S42*LN(p_B!S42),0)</f>
        <v>0</v>
      </c>
      <c r="T42" s="3">
        <f>IF(ISNUMBER(p_B!T42*LN(p_B!T42)),p_B!T42*LN(p_B!T42),0)</f>
        <v>0</v>
      </c>
      <c r="U42" s="3">
        <f>IF(ISNUMBER(p_B!U42*LN(p_B!U42)),p_B!U42*LN(p_B!U42),0)</f>
        <v>0</v>
      </c>
      <c r="V42" s="3">
        <f>IF(ISNUMBER(p_B!V42*LN(p_B!V42)),p_B!V42*LN(p_B!V42),0)</f>
        <v>0</v>
      </c>
      <c r="W42" s="3">
        <f>IF(ISNUMBER(p_B!W42*LN(p_B!W42)),p_B!W42*LN(p_B!W42),0)</f>
        <v>0</v>
      </c>
      <c r="X42" s="3">
        <f>IF(ISNUMBER(p_B!X42*LN(p_B!X42)),p_B!X42*LN(p_B!X42),0)</f>
        <v>0</v>
      </c>
      <c r="Y42" s="3">
        <f>IF(ISNUMBER(p_B!Y42*LN(p_B!Y42)),p_B!Y42*LN(p_B!Y42),0)</f>
        <v>0</v>
      </c>
      <c r="Z42" s="3">
        <f>IF(ISNUMBER(p_B!Z42*LN(p_B!Z42)),p_B!Z42*LN(p_B!Z42),0)</f>
        <v>0</v>
      </c>
      <c r="AA42" s="3">
        <f>IF(ISNUMBER(p_B!AA42*LN(p_B!AA42)),p_B!AA42*LN(p_B!AA42),0)</f>
        <v>0</v>
      </c>
    </row>
    <row r="43" spans="1:27" x14ac:dyDescent="0.25">
      <c r="A43" t="s">
        <v>136</v>
      </c>
      <c r="B43" s="3">
        <f>IF(ISNUMBER(p_B!B43*LN(p_B!B43)),p_B!B43*LN(p_B!B43),0)</f>
        <v>-1.2501132662801725E-2</v>
      </c>
      <c r="C43" s="3">
        <f>IF(ISNUMBER(p_B!C43*LN(p_B!C43)),p_B!C43*LN(p_B!C43),0)</f>
        <v>-2.0998241706834106E-2</v>
      </c>
      <c r="D43" s="3">
        <f>IF(ISNUMBER(p_B!D43*LN(p_B!D43)),p_B!D43*LN(p_B!D43),0)</f>
        <v>0</v>
      </c>
      <c r="E43" s="3">
        <f>IF(ISNUMBER(p_B!E43*LN(p_B!E43)),p_B!E43*LN(p_B!E43),0)</f>
        <v>0</v>
      </c>
      <c r="F43" s="3">
        <f>IF(ISNUMBER(p_B!F43*LN(p_B!F43)),p_B!F43*LN(p_B!F43),0)</f>
        <v>0</v>
      </c>
      <c r="G43" s="3">
        <f>IF(ISNUMBER(p_B!G43*LN(p_B!G43)),p_B!G43*LN(p_B!G43),0)</f>
        <v>0</v>
      </c>
      <c r="H43" s="3">
        <f>IF(ISNUMBER(p_B!H43*LN(p_B!H43)),p_B!H43*LN(p_B!H43),0)</f>
        <v>-0.30074247867479853</v>
      </c>
      <c r="I43" s="3">
        <f>IF(ISNUMBER(p_B!I43*LN(p_B!I43)),p_B!I43*LN(p_B!I43),0)</f>
        <v>0</v>
      </c>
      <c r="J43" s="3">
        <f>IF(ISNUMBER(p_B!J43*LN(p_B!J43)),p_B!J43*LN(p_B!J43),0)</f>
        <v>0</v>
      </c>
      <c r="K43" s="3">
        <f>IF(ISNUMBER(p_B!K43*LN(p_B!K43)),p_B!K43*LN(p_B!K43),0)</f>
        <v>0</v>
      </c>
      <c r="L43" s="3">
        <f>IF(ISNUMBER(p_B!L43*LN(p_B!L43)),p_B!L43*LN(p_B!L43),0)</f>
        <v>0</v>
      </c>
      <c r="M43" s="3">
        <f>IF(ISNUMBER(p_B!M43*LN(p_B!M43)),p_B!M43*LN(p_B!M43),0)</f>
        <v>0</v>
      </c>
      <c r="N43" s="3">
        <f>IF(ISNUMBER(p_B!N43*LN(p_B!N43)),p_B!N43*LN(p_B!N43),0)</f>
        <v>-1.8795442502390711E-2</v>
      </c>
      <c r="O43" s="3">
        <f>IF(ISNUMBER(p_B!O43*LN(p_B!O43)),p_B!O43*LN(p_B!O43),0)</f>
        <v>-2.9765058914081165E-2</v>
      </c>
      <c r="P43" s="3">
        <f>IF(ISNUMBER(p_B!P43*LN(p_B!P43)),p_B!P43*LN(p_B!P43),0)</f>
        <v>0</v>
      </c>
      <c r="Q43" s="3">
        <f>IF(ISNUMBER(p_B!Q43*LN(p_B!Q43)),p_B!Q43*LN(p_B!Q43),0)</f>
        <v>-3.9176673920350118E-2</v>
      </c>
      <c r="R43" s="3">
        <f>IF(ISNUMBER(p_B!R43*LN(p_B!R43)),p_B!R43*LN(p_B!R43),0)</f>
        <v>0</v>
      </c>
      <c r="S43" s="3">
        <f>IF(ISNUMBER(p_B!S43*LN(p_B!S43)),p_B!S43*LN(p_B!S43),0)</f>
        <v>0</v>
      </c>
      <c r="T43" s="3">
        <f>IF(ISNUMBER(p_B!T43*LN(p_B!T43)),p_B!T43*LN(p_B!T43),0)</f>
        <v>0</v>
      </c>
      <c r="U43" s="3">
        <f>IF(ISNUMBER(p_B!U43*LN(p_B!U43)),p_B!U43*LN(p_B!U43),0)</f>
        <v>0</v>
      </c>
      <c r="V43" s="3">
        <f>IF(ISNUMBER(p_B!V43*LN(p_B!V43)),p_B!V43*LN(p_B!V43),0)</f>
        <v>0</v>
      </c>
      <c r="W43" s="3">
        <f>IF(ISNUMBER(p_B!W43*LN(p_B!W43)),p_B!W43*LN(p_B!W43),0)</f>
        <v>0</v>
      </c>
      <c r="X43" s="3">
        <f>IF(ISNUMBER(p_B!X43*LN(p_B!X43)),p_B!X43*LN(p_B!X43),0)</f>
        <v>-0.36617776071583896</v>
      </c>
      <c r="Y43" s="3">
        <f>IF(ISNUMBER(p_B!Y43*LN(p_B!Y43)),p_B!Y43*LN(p_B!Y43),0)</f>
        <v>0</v>
      </c>
      <c r="Z43" s="3">
        <f>IF(ISNUMBER(p_B!Z43*LN(p_B!Z43)),p_B!Z43*LN(p_B!Z43),0)</f>
        <v>0</v>
      </c>
      <c r="AA43" s="3">
        <f>IF(ISNUMBER(p_B!AA43*LN(p_B!AA43)),p_B!AA43*LN(p_B!AA43),0)</f>
        <v>0</v>
      </c>
    </row>
    <row r="44" spans="1:27" x14ac:dyDescent="0.25">
      <c r="A44" t="s">
        <v>94</v>
      </c>
      <c r="B44" s="3">
        <f>IF(ISNUMBER(p_B!B44*LN(p_B!B44)),p_B!B44*LN(p_B!B44),0)</f>
        <v>-0.32076370198566073</v>
      </c>
      <c r="C44" s="3">
        <f>IF(ISNUMBER(p_B!C44*LN(p_B!C44)),p_B!C44*LN(p_B!C44),0)</f>
        <v>0</v>
      </c>
      <c r="D44" s="3">
        <f>IF(ISNUMBER(p_B!D44*LN(p_B!D44)),p_B!D44*LN(p_B!D44),0)</f>
        <v>0</v>
      </c>
      <c r="E44" s="3">
        <f>IF(ISNUMBER(p_B!E44*LN(p_B!E44)),p_B!E44*LN(p_B!E44),0)</f>
        <v>0</v>
      </c>
      <c r="F44" s="3">
        <f>IF(ISNUMBER(p_B!F44*LN(p_B!F44)),p_B!F44*LN(p_B!F44),0)</f>
        <v>0</v>
      </c>
      <c r="G44" s="3">
        <f>IF(ISNUMBER(p_B!G44*LN(p_B!G44)),p_B!G44*LN(p_B!G44),0)</f>
        <v>0</v>
      </c>
      <c r="H44" s="3">
        <f>IF(ISNUMBER(p_B!H44*LN(p_B!H44)),p_B!H44*LN(p_B!H44),0)</f>
        <v>0</v>
      </c>
      <c r="I44" s="3">
        <f>IF(ISNUMBER(p_B!I44*LN(p_B!I44)),p_B!I44*LN(p_B!I44),0)</f>
        <v>0</v>
      </c>
      <c r="J44" s="3">
        <f>IF(ISNUMBER(p_B!J44*LN(p_B!J44)),p_B!J44*LN(p_B!J44),0)</f>
        <v>0</v>
      </c>
      <c r="K44" s="3">
        <f>IF(ISNUMBER(p_B!K44*LN(p_B!K44)),p_B!K44*LN(p_B!K44),0)</f>
        <v>0</v>
      </c>
      <c r="L44" s="3">
        <f>IF(ISNUMBER(p_B!L44*LN(p_B!L44)),p_B!L44*LN(p_B!L44),0)</f>
        <v>0</v>
      </c>
      <c r="M44" s="3">
        <f>IF(ISNUMBER(p_B!M44*LN(p_B!M44)),p_B!M44*LN(p_B!M44),0)</f>
        <v>0</v>
      </c>
      <c r="N44" s="3">
        <f>IF(ISNUMBER(p_B!N44*LN(p_B!N44)),p_B!N44*LN(p_B!N44),0)</f>
        <v>-7.2368522631320693E-3</v>
      </c>
      <c r="O44" s="3">
        <f>IF(ISNUMBER(p_B!O44*LN(p_B!O44)),p_B!O44*LN(p_B!O44),0)</f>
        <v>0</v>
      </c>
      <c r="P44" s="3">
        <f>IF(ISNUMBER(p_B!P44*LN(p_B!P44)),p_B!P44*LN(p_B!P44),0)</f>
        <v>0</v>
      </c>
      <c r="Q44" s="3">
        <f>IF(ISNUMBER(p_B!Q44*LN(p_B!Q44)),p_B!Q44*LN(p_B!Q44),0)</f>
        <v>-0.17791288800326885</v>
      </c>
      <c r="R44" s="3">
        <f>IF(ISNUMBER(p_B!R44*LN(p_B!R44)),p_B!R44*LN(p_B!R44),0)</f>
        <v>0</v>
      </c>
      <c r="S44" s="3">
        <f>IF(ISNUMBER(p_B!S44*LN(p_B!S44)),p_B!S44*LN(p_B!S44),0)</f>
        <v>0</v>
      </c>
      <c r="T44" s="3">
        <f>IF(ISNUMBER(p_B!T44*LN(p_B!T44)),p_B!T44*LN(p_B!T44),0)</f>
        <v>0</v>
      </c>
      <c r="U44" s="3">
        <f>IF(ISNUMBER(p_B!U44*LN(p_B!U44)),p_B!U44*LN(p_B!U44),0)</f>
        <v>0</v>
      </c>
      <c r="V44" s="3">
        <f>IF(ISNUMBER(p_B!V44*LN(p_B!V44)),p_B!V44*LN(p_B!V44),0)</f>
        <v>0</v>
      </c>
      <c r="W44" s="3">
        <f>IF(ISNUMBER(p_B!W44*LN(p_B!W44)),p_B!W44*LN(p_B!W44),0)</f>
        <v>0</v>
      </c>
      <c r="X44" s="3">
        <f>IF(ISNUMBER(p_B!X44*LN(p_B!X44)),p_B!X44*LN(p_B!X44),0)</f>
        <v>0</v>
      </c>
      <c r="Y44" s="3">
        <f>IF(ISNUMBER(p_B!Y44*LN(p_B!Y44)),p_B!Y44*LN(p_B!Y44),0)</f>
        <v>0</v>
      </c>
      <c r="Z44" s="3">
        <f>IF(ISNUMBER(p_B!Z44*LN(p_B!Z44)),p_B!Z44*LN(p_B!Z44),0)</f>
        <v>0</v>
      </c>
      <c r="AA44" s="3">
        <f>IF(ISNUMBER(p_B!AA44*LN(p_B!AA44)),p_B!AA44*LN(p_B!AA44),0)</f>
        <v>0</v>
      </c>
    </row>
    <row r="45" spans="1:27" x14ac:dyDescent="0.25">
      <c r="A45" t="s">
        <v>95</v>
      </c>
      <c r="B45" s="3">
        <f>IF(ISNUMBER(p_B!B45*LN(p_B!B45)),p_B!B45*LN(p_B!B45),0)</f>
        <v>-0.27543790019787345</v>
      </c>
      <c r="C45" s="3">
        <f>IF(ISNUMBER(p_B!C45*LN(p_B!C45)),p_B!C45*LN(p_B!C45),0)</f>
        <v>-8.2307155560489328E-2</v>
      </c>
      <c r="D45" s="3">
        <f>IF(ISNUMBER(p_B!D45*LN(p_B!D45)),p_B!D45*LN(p_B!D45),0)</f>
        <v>0</v>
      </c>
      <c r="E45" s="3">
        <f>IF(ISNUMBER(p_B!E45*LN(p_B!E45)),p_B!E45*LN(p_B!E45),0)</f>
        <v>0</v>
      </c>
      <c r="F45" s="3">
        <f>IF(ISNUMBER(p_B!F45*LN(p_B!F45)),p_B!F45*LN(p_B!F45),0)</f>
        <v>0</v>
      </c>
      <c r="G45" s="3">
        <f>IF(ISNUMBER(p_B!G45*LN(p_B!G45)),p_B!G45*LN(p_B!G45),0)</f>
        <v>0</v>
      </c>
      <c r="H45" s="3">
        <f>IF(ISNUMBER(p_B!H45*LN(p_B!H45)),p_B!H45*LN(p_B!H45),0)</f>
        <v>0</v>
      </c>
      <c r="I45" s="3">
        <f>IF(ISNUMBER(p_B!I45*LN(p_B!I45)),p_B!I45*LN(p_B!I45),0)</f>
        <v>0</v>
      </c>
      <c r="J45" s="3">
        <f>IF(ISNUMBER(p_B!J45*LN(p_B!J45)),p_B!J45*LN(p_B!J45),0)</f>
        <v>0</v>
      </c>
      <c r="K45" s="3">
        <f>IF(ISNUMBER(p_B!K45*LN(p_B!K45)),p_B!K45*LN(p_B!K45),0)</f>
        <v>0</v>
      </c>
      <c r="L45" s="3">
        <f>IF(ISNUMBER(p_B!L45*LN(p_B!L45)),p_B!L45*LN(p_B!L45),0)</f>
        <v>0</v>
      </c>
      <c r="M45" s="3">
        <f>IF(ISNUMBER(p_B!M45*LN(p_B!M45)),p_B!M45*LN(p_B!M45),0)</f>
        <v>0</v>
      </c>
      <c r="N45" s="3">
        <f>IF(ISNUMBER(p_B!N45*LN(p_B!N45)),p_B!N45*LN(p_B!N45),0)</f>
        <v>0</v>
      </c>
      <c r="O45" s="3">
        <f>IF(ISNUMBER(p_B!O45*LN(p_B!O45)),p_B!O45*LN(p_B!O45),0)</f>
        <v>0</v>
      </c>
      <c r="P45" s="3">
        <f>IF(ISNUMBER(p_B!P45*LN(p_B!P45)),p_B!P45*LN(p_B!P45),0)</f>
        <v>0</v>
      </c>
      <c r="Q45" s="3">
        <f>IF(ISNUMBER(p_B!Q45*LN(p_B!Q45)),p_B!Q45*LN(p_B!Q45),0)</f>
        <v>-0.14777791623884556</v>
      </c>
      <c r="R45" s="3">
        <f>IF(ISNUMBER(p_B!R45*LN(p_B!R45)),p_B!R45*LN(p_B!R45),0)</f>
        <v>0</v>
      </c>
      <c r="S45" s="3">
        <f>IF(ISNUMBER(p_B!S45*LN(p_B!S45)),p_B!S45*LN(p_B!S45),0)</f>
        <v>0</v>
      </c>
      <c r="T45" s="3">
        <f>IF(ISNUMBER(p_B!T45*LN(p_B!T45)),p_B!T45*LN(p_B!T45),0)</f>
        <v>0</v>
      </c>
      <c r="U45" s="3">
        <f>IF(ISNUMBER(p_B!U45*LN(p_B!U45)),p_B!U45*LN(p_B!U45),0)</f>
        <v>0</v>
      </c>
      <c r="V45" s="3">
        <f>IF(ISNUMBER(p_B!V45*LN(p_B!V45)),p_B!V45*LN(p_B!V45),0)</f>
        <v>0</v>
      </c>
      <c r="W45" s="3">
        <f>IF(ISNUMBER(p_B!W45*LN(p_B!W45)),p_B!W45*LN(p_B!W45),0)</f>
        <v>0</v>
      </c>
      <c r="X45" s="3">
        <f>IF(ISNUMBER(p_B!X45*LN(p_B!X45)),p_B!X45*LN(p_B!X45),0)</f>
        <v>0</v>
      </c>
      <c r="Y45" s="3">
        <f>IF(ISNUMBER(p_B!Y45*LN(p_B!Y45)),p_B!Y45*LN(p_B!Y45),0)</f>
        <v>0</v>
      </c>
      <c r="Z45" s="3">
        <f>IF(ISNUMBER(p_B!Z45*LN(p_B!Z45)),p_B!Z45*LN(p_B!Z45),0)</f>
        <v>0</v>
      </c>
      <c r="AA45" s="3">
        <f>IF(ISNUMBER(p_B!AA45*LN(p_B!AA45)),p_B!AA45*LN(p_B!AA45),0)</f>
        <v>0</v>
      </c>
    </row>
    <row r="46" spans="1:27" x14ac:dyDescent="0.25">
      <c r="A46" t="s">
        <v>96</v>
      </c>
      <c r="B46" s="3">
        <f>IF(ISNUMBER(p_B!B46*LN(p_B!B46)),p_B!B46*LN(p_B!B46),0)</f>
        <v>0</v>
      </c>
      <c r="C46" s="3">
        <f>IF(ISNUMBER(p_B!C46*LN(p_B!C46)),p_B!C46*LN(p_B!C46),0)</f>
        <v>0</v>
      </c>
      <c r="D46" s="3">
        <f>IF(ISNUMBER(p_B!D46*LN(p_B!D46)),p_B!D46*LN(p_B!D46),0)</f>
        <v>0</v>
      </c>
      <c r="E46" s="3">
        <f>IF(ISNUMBER(p_B!E46*LN(p_B!E46)),p_B!E46*LN(p_B!E46),0)</f>
        <v>0</v>
      </c>
      <c r="F46" s="3">
        <f>IF(ISNUMBER(p_B!F46*LN(p_B!F46)),p_B!F46*LN(p_B!F46),0)</f>
        <v>0</v>
      </c>
      <c r="G46" s="3">
        <f>IF(ISNUMBER(p_B!G46*LN(p_B!G46)),p_B!G46*LN(p_B!G46),0)</f>
        <v>0</v>
      </c>
      <c r="H46" s="3">
        <f>IF(ISNUMBER(p_B!H46*LN(p_B!H46)),p_B!H46*LN(p_B!H46),0)</f>
        <v>0</v>
      </c>
      <c r="I46" s="3">
        <f>IF(ISNUMBER(p_B!I46*LN(p_B!I46)),p_B!I46*LN(p_B!I46),0)</f>
        <v>0</v>
      </c>
      <c r="J46" s="3">
        <f>IF(ISNUMBER(p_B!J46*LN(p_B!J46)),p_B!J46*LN(p_B!J46),0)</f>
        <v>0</v>
      </c>
      <c r="K46" s="3">
        <f>IF(ISNUMBER(p_B!K46*LN(p_B!K46)),p_B!K46*LN(p_B!K46),0)</f>
        <v>0</v>
      </c>
      <c r="L46" s="3">
        <f>IF(ISNUMBER(p_B!L46*LN(p_B!L46)),p_B!L46*LN(p_B!L46),0)</f>
        <v>0</v>
      </c>
      <c r="M46" s="3">
        <f>IF(ISNUMBER(p_B!M46*LN(p_B!M46)),p_B!M46*LN(p_B!M46),0)</f>
        <v>0</v>
      </c>
      <c r="N46" s="3">
        <f>IF(ISNUMBER(p_B!N46*LN(p_B!N46)),p_B!N46*LN(p_B!N46),0)</f>
        <v>0</v>
      </c>
      <c r="O46" s="3">
        <f>IF(ISNUMBER(p_B!O46*LN(p_B!O46)),p_B!O46*LN(p_B!O46),0)</f>
        <v>0</v>
      </c>
      <c r="P46" s="3">
        <f>IF(ISNUMBER(p_B!P46*LN(p_B!P46)),p_B!P46*LN(p_B!P46),0)</f>
        <v>0</v>
      </c>
      <c r="Q46" s="3">
        <f>IF(ISNUMBER(p_B!Q46*LN(p_B!Q46)),p_B!Q46*LN(p_B!Q46),0)</f>
        <v>0</v>
      </c>
      <c r="R46" s="3">
        <f>IF(ISNUMBER(p_B!R46*LN(p_B!R46)),p_B!R46*LN(p_B!R46),0)</f>
        <v>0</v>
      </c>
      <c r="S46" s="3">
        <f>IF(ISNUMBER(p_B!S46*LN(p_B!S46)),p_B!S46*LN(p_B!S46),0)</f>
        <v>0</v>
      </c>
      <c r="T46" s="3">
        <f>IF(ISNUMBER(p_B!T46*LN(p_B!T46)),p_B!T46*LN(p_B!T46),0)</f>
        <v>0</v>
      </c>
      <c r="U46" s="3">
        <f>IF(ISNUMBER(p_B!U46*LN(p_B!U46)),p_B!U46*LN(p_B!U46),0)</f>
        <v>0</v>
      </c>
      <c r="V46" s="3">
        <f>IF(ISNUMBER(p_B!V46*LN(p_B!V46)),p_B!V46*LN(p_B!V46),0)</f>
        <v>0</v>
      </c>
      <c r="W46" s="3">
        <f>IF(ISNUMBER(p_B!W46*LN(p_B!W46)),p_B!W46*LN(p_B!W46),0)</f>
        <v>0</v>
      </c>
      <c r="X46" s="3">
        <f>IF(ISNUMBER(p_B!X46*LN(p_B!X46)),p_B!X46*LN(p_B!X46),0)</f>
        <v>0</v>
      </c>
      <c r="Y46" s="3">
        <f>IF(ISNUMBER(p_B!Y46*LN(p_B!Y46)),p_B!Y46*LN(p_B!Y46),0)</f>
        <v>0</v>
      </c>
      <c r="Z46" s="3">
        <f>IF(ISNUMBER(p_B!Z46*LN(p_B!Z46)),p_B!Z46*LN(p_B!Z46),0)</f>
        <v>0</v>
      </c>
      <c r="AA46" s="3">
        <f>IF(ISNUMBER(p_B!AA46*LN(p_B!AA46)),p_B!AA46*LN(p_B!AA46),0)</f>
        <v>0</v>
      </c>
    </row>
    <row r="47" spans="1:27" x14ac:dyDescent="0.25">
      <c r="A47" t="s">
        <v>128</v>
      </c>
      <c r="B47" s="3">
        <f>IF(ISNUMBER(p_B!B47*LN(p_B!B47)),p_B!B47*LN(p_B!B47),0)</f>
        <v>-9.0626261569193636E-2</v>
      </c>
      <c r="C47" s="3">
        <f>IF(ISNUMBER(p_B!C47*LN(p_B!C47)),p_B!C47*LN(p_B!C47),0)</f>
        <v>0</v>
      </c>
      <c r="D47" s="3">
        <f>IF(ISNUMBER(p_B!D47*LN(p_B!D47)),p_B!D47*LN(p_B!D47),0)</f>
        <v>0</v>
      </c>
      <c r="E47" s="3">
        <f>IF(ISNUMBER(p_B!E47*LN(p_B!E47)),p_B!E47*LN(p_B!E47),0)</f>
        <v>0</v>
      </c>
      <c r="F47" s="3">
        <f>IF(ISNUMBER(p_B!F47*LN(p_B!F47)),p_B!F47*LN(p_B!F47),0)</f>
        <v>0</v>
      </c>
      <c r="G47" s="3">
        <f>IF(ISNUMBER(p_B!G47*LN(p_B!G47)),p_B!G47*LN(p_B!G47),0)</f>
        <v>0</v>
      </c>
      <c r="H47" s="3">
        <f>IF(ISNUMBER(p_B!H47*LN(p_B!H47)),p_B!H47*LN(p_B!H47),0)</f>
        <v>0</v>
      </c>
      <c r="I47" s="3">
        <f>IF(ISNUMBER(p_B!I47*LN(p_B!I47)),p_B!I47*LN(p_B!I47),0)</f>
        <v>0</v>
      </c>
      <c r="J47" s="3">
        <f>IF(ISNUMBER(p_B!J47*LN(p_B!J47)),p_B!J47*LN(p_B!J47),0)</f>
        <v>-3.571027540281805E-3</v>
      </c>
      <c r="K47" s="3">
        <f>IF(ISNUMBER(p_B!K47*LN(p_B!K47)),p_B!K47*LN(p_B!K47),0)</f>
        <v>0</v>
      </c>
      <c r="L47" s="3">
        <f>IF(ISNUMBER(p_B!L47*LN(p_B!L47)),p_B!L47*LN(p_B!L47),0)</f>
        <v>0</v>
      </c>
      <c r="M47" s="3">
        <f>IF(ISNUMBER(p_B!M47*LN(p_B!M47)),p_B!M47*LN(p_B!M47),0)</f>
        <v>0</v>
      </c>
      <c r="N47" s="3">
        <f>IF(ISNUMBER(p_B!N47*LN(p_B!N47)),p_B!N47*LN(p_B!N47),0)</f>
        <v>0</v>
      </c>
      <c r="O47" s="3">
        <f>IF(ISNUMBER(p_B!O47*LN(p_B!O47)),p_B!O47*LN(p_B!O47),0)</f>
        <v>0</v>
      </c>
      <c r="P47" s="3">
        <f>IF(ISNUMBER(p_B!P47*LN(p_B!P47)),p_B!P47*LN(p_B!P47),0)</f>
        <v>0</v>
      </c>
      <c r="Q47" s="3">
        <f>IF(ISNUMBER(p_B!Q47*LN(p_B!Q47)),p_B!Q47*LN(p_B!Q47),0)</f>
        <v>-2.667749262805659E-2</v>
      </c>
      <c r="R47" s="3">
        <f>IF(ISNUMBER(p_B!R47*LN(p_B!R47)),p_B!R47*LN(p_B!R47),0)</f>
        <v>0</v>
      </c>
      <c r="S47" s="3">
        <f>IF(ISNUMBER(p_B!S47*LN(p_B!S47)),p_B!S47*LN(p_B!S47),0)</f>
        <v>0</v>
      </c>
      <c r="T47" s="3">
        <f>IF(ISNUMBER(p_B!T47*LN(p_B!T47)),p_B!T47*LN(p_B!T47),0)</f>
        <v>0</v>
      </c>
      <c r="U47" s="3">
        <f>IF(ISNUMBER(p_B!U47*LN(p_B!U47)),p_B!U47*LN(p_B!U47),0)</f>
        <v>0</v>
      </c>
      <c r="V47" s="3">
        <f>IF(ISNUMBER(p_B!V47*LN(p_B!V47)),p_B!V47*LN(p_B!V47),0)</f>
        <v>0</v>
      </c>
      <c r="W47" s="3">
        <f>IF(ISNUMBER(p_B!W47*LN(p_B!W47)),p_B!W47*LN(p_B!W47),0)</f>
        <v>0</v>
      </c>
      <c r="X47" s="3">
        <f>IF(ISNUMBER(p_B!X47*LN(p_B!X47)),p_B!X47*LN(p_B!X47),0)</f>
        <v>0</v>
      </c>
      <c r="Y47" s="3">
        <f>IF(ISNUMBER(p_B!Y47*LN(p_B!Y47)),p_B!Y47*LN(p_B!Y47),0)</f>
        <v>0</v>
      </c>
      <c r="Z47" s="3">
        <f>IF(ISNUMBER(p_B!Z47*LN(p_B!Z47)),p_B!Z47*LN(p_B!Z47),0)</f>
        <v>0</v>
      </c>
      <c r="AA47" s="3">
        <f>IF(ISNUMBER(p_B!AA47*LN(p_B!AA47)),p_B!AA47*LN(p_B!AA47),0)</f>
        <v>-1.3318945691173572E-2</v>
      </c>
    </row>
    <row r="48" spans="1:27" x14ac:dyDescent="0.25">
      <c r="A48" t="s">
        <v>129</v>
      </c>
      <c r="B48" s="3">
        <f>IF(ISNUMBER(p_B!B48*LN(p_B!B48)),p_B!B48*LN(p_B!B48),0)</f>
        <v>-1.228883562724873E-2</v>
      </c>
      <c r="C48" s="3">
        <f>IF(ISNUMBER(p_B!C48*LN(p_B!C48)),p_B!C48*LN(p_B!C48),0)</f>
        <v>0</v>
      </c>
      <c r="D48" s="3">
        <f>IF(ISNUMBER(p_B!D48*LN(p_B!D48)),p_B!D48*LN(p_B!D48),0)</f>
        <v>0</v>
      </c>
      <c r="E48" s="3">
        <f>IF(ISNUMBER(p_B!E48*LN(p_B!E48)),p_B!E48*LN(p_B!E48),0)</f>
        <v>0</v>
      </c>
      <c r="F48" s="3">
        <f>IF(ISNUMBER(p_B!F48*LN(p_B!F48)),p_B!F48*LN(p_B!F48),0)</f>
        <v>0</v>
      </c>
      <c r="G48" s="3">
        <f>IF(ISNUMBER(p_B!G48*LN(p_B!G48)),p_B!G48*LN(p_B!G48),0)</f>
        <v>0</v>
      </c>
      <c r="H48" s="3">
        <f>IF(ISNUMBER(p_B!H48*LN(p_B!H48)),p_B!H48*LN(p_B!H48),0)</f>
        <v>0</v>
      </c>
      <c r="I48" s="3">
        <f>IF(ISNUMBER(p_B!I48*LN(p_B!I48)),p_B!I48*LN(p_B!I48),0)</f>
        <v>0</v>
      </c>
      <c r="J48" s="3">
        <f>IF(ISNUMBER(p_B!J48*LN(p_B!J48)),p_B!J48*LN(p_B!J48),0)</f>
        <v>-9.4517125884875284E-4</v>
      </c>
      <c r="K48" s="3">
        <f>IF(ISNUMBER(p_B!K48*LN(p_B!K48)),p_B!K48*LN(p_B!K48),0)</f>
        <v>0</v>
      </c>
      <c r="L48" s="3">
        <f>IF(ISNUMBER(p_B!L48*LN(p_B!L48)),p_B!L48*LN(p_B!L48),0)</f>
        <v>0</v>
      </c>
      <c r="M48" s="3">
        <f>IF(ISNUMBER(p_B!M48*LN(p_B!M48)),p_B!M48*LN(p_B!M48),0)</f>
        <v>0</v>
      </c>
      <c r="N48" s="3">
        <f>IF(ISNUMBER(p_B!N48*LN(p_B!N48)),p_B!N48*LN(p_B!N48),0)</f>
        <v>0</v>
      </c>
      <c r="O48" s="3">
        <f>IF(ISNUMBER(p_B!O48*LN(p_B!O48)),p_B!O48*LN(p_B!O48),0)</f>
        <v>0</v>
      </c>
      <c r="P48" s="3">
        <f>IF(ISNUMBER(p_B!P48*LN(p_B!P48)),p_B!P48*LN(p_B!P48),0)</f>
        <v>0</v>
      </c>
      <c r="Q48" s="3">
        <f>IF(ISNUMBER(p_B!Q48*LN(p_B!Q48)),p_B!Q48*LN(p_B!Q48),0)</f>
        <v>-2.6986540144790694E-3</v>
      </c>
      <c r="R48" s="3">
        <f>IF(ISNUMBER(p_B!R48*LN(p_B!R48)),p_B!R48*LN(p_B!R48),0)</f>
        <v>0</v>
      </c>
      <c r="S48" s="3">
        <f>IF(ISNUMBER(p_B!S48*LN(p_B!S48)),p_B!S48*LN(p_B!S48),0)</f>
        <v>0</v>
      </c>
      <c r="T48" s="3">
        <f>IF(ISNUMBER(p_B!T48*LN(p_B!T48)),p_B!T48*LN(p_B!T48),0)</f>
        <v>0</v>
      </c>
      <c r="U48" s="3">
        <f>IF(ISNUMBER(p_B!U48*LN(p_B!U48)),p_B!U48*LN(p_B!U48),0)</f>
        <v>0</v>
      </c>
      <c r="V48" s="3">
        <f>IF(ISNUMBER(p_B!V48*LN(p_B!V48)),p_B!V48*LN(p_B!V48),0)</f>
        <v>0</v>
      </c>
      <c r="W48" s="3">
        <f>IF(ISNUMBER(p_B!W48*LN(p_B!W48)),p_B!W48*LN(p_B!W48),0)</f>
        <v>0</v>
      </c>
      <c r="X48" s="3">
        <f>IF(ISNUMBER(p_B!X48*LN(p_B!X48)),p_B!X48*LN(p_B!X48),0)</f>
        <v>0</v>
      </c>
      <c r="Y48" s="3">
        <f>IF(ISNUMBER(p_B!Y48*LN(p_B!Y48)),p_B!Y48*LN(p_B!Y48),0)</f>
        <v>0</v>
      </c>
      <c r="Z48" s="3">
        <f>IF(ISNUMBER(p_B!Z48*LN(p_B!Z48)),p_B!Z48*LN(p_B!Z48),0)</f>
        <v>0</v>
      </c>
      <c r="AA48" s="3">
        <f>IF(ISNUMBER(p_B!AA48*LN(p_B!AA48)),p_B!AA48*LN(p_B!AA48),0)</f>
        <v>-4.6190656863109754E-3</v>
      </c>
    </row>
    <row r="49" spans="1:27" x14ac:dyDescent="0.25">
      <c r="A49" t="s">
        <v>130</v>
      </c>
      <c r="B49" s="3">
        <f>IF(ISNUMBER(p_B!B49*LN(p_B!B49)),p_B!B49*LN(p_B!B49),0)</f>
        <v>-1.4588301262394085E-2</v>
      </c>
      <c r="C49" s="3">
        <f>IF(ISNUMBER(p_B!C49*LN(p_B!C49)),p_B!C49*LN(p_B!C49),0)</f>
        <v>-0.33594063820249243</v>
      </c>
      <c r="D49" s="3">
        <f>IF(ISNUMBER(p_B!D49*LN(p_B!D49)),p_B!D49*LN(p_B!D49),0)</f>
        <v>0</v>
      </c>
      <c r="E49" s="3">
        <f>IF(ISNUMBER(p_B!E49*LN(p_B!E49)),p_B!E49*LN(p_B!E49),0)</f>
        <v>0</v>
      </c>
      <c r="F49" s="3">
        <f>IF(ISNUMBER(p_B!F49*LN(p_B!F49)),p_B!F49*LN(p_B!F49),0)</f>
        <v>0</v>
      </c>
      <c r="G49" s="3">
        <f>IF(ISNUMBER(p_B!G49*LN(p_B!G49)),p_B!G49*LN(p_B!G49),0)</f>
        <v>0</v>
      </c>
      <c r="H49" s="3">
        <f>IF(ISNUMBER(p_B!H49*LN(p_B!H49)),p_B!H49*LN(p_B!H49),0)</f>
        <v>0</v>
      </c>
      <c r="I49" s="3">
        <f>IF(ISNUMBER(p_B!I49*LN(p_B!I49)),p_B!I49*LN(p_B!I49),0)</f>
        <v>0</v>
      </c>
      <c r="J49" s="3">
        <f>IF(ISNUMBER(p_B!J49*LN(p_B!J49)),p_B!J49*LN(p_B!J49),0)</f>
        <v>-0.16256928555745381</v>
      </c>
      <c r="K49" s="3">
        <f>IF(ISNUMBER(p_B!K49*LN(p_B!K49)),p_B!K49*LN(p_B!K49),0)</f>
        <v>0</v>
      </c>
      <c r="L49" s="3">
        <f>IF(ISNUMBER(p_B!L49*LN(p_B!L49)),p_B!L49*LN(p_B!L49),0)</f>
        <v>0</v>
      </c>
      <c r="M49" s="3">
        <f>IF(ISNUMBER(p_B!M49*LN(p_B!M49)),p_B!M49*LN(p_B!M49),0)</f>
        <v>0</v>
      </c>
      <c r="N49" s="3">
        <f>IF(ISNUMBER(p_B!N49*LN(p_B!N49)),p_B!N49*LN(p_B!N49),0)</f>
        <v>0</v>
      </c>
      <c r="O49" s="3">
        <f>IF(ISNUMBER(p_B!O49*LN(p_B!O49)),p_B!O49*LN(p_B!O49),0)</f>
        <v>-8.1335659270613432E-3</v>
      </c>
      <c r="P49" s="3">
        <f>IF(ISNUMBER(p_B!P49*LN(p_B!P49)),p_B!P49*LN(p_B!P49),0)</f>
        <v>0</v>
      </c>
      <c r="Q49" s="3">
        <f>IF(ISNUMBER(p_B!Q49*LN(p_B!Q49)),p_B!Q49*LN(p_B!Q49),0)</f>
        <v>-0.36573960774164099</v>
      </c>
      <c r="R49" s="3">
        <f>IF(ISNUMBER(p_B!R49*LN(p_B!R49)),p_B!R49*LN(p_B!R49),0)</f>
        <v>0</v>
      </c>
      <c r="S49" s="3">
        <f>IF(ISNUMBER(p_B!S49*LN(p_B!S49)),p_B!S49*LN(p_B!S49),0)</f>
        <v>0</v>
      </c>
      <c r="T49" s="3">
        <f>IF(ISNUMBER(p_B!T49*LN(p_B!T49)),p_B!T49*LN(p_B!T49),0)</f>
        <v>0</v>
      </c>
      <c r="U49" s="3">
        <f>IF(ISNUMBER(p_B!U49*LN(p_B!U49)),p_B!U49*LN(p_B!U49),0)</f>
        <v>0</v>
      </c>
      <c r="V49" s="3">
        <f>IF(ISNUMBER(p_B!V49*LN(p_B!V49)),p_B!V49*LN(p_B!V49),0)</f>
        <v>0</v>
      </c>
      <c r="W49" s="3">
        <f>IF(ISNUMBER(p_B!W49*LN(p_B!W49)),p_B!W49*LN(p_B!W49),0)</f>
        <v>0</v>
      </c>
      <c r="X49" s="3">
        <f>IF(ISNUMBER(p_B!X49*LN(p_B!X49)),p_B!X49*LN(p_B!X49),0)</f>
        <v>0</v>
      </c>
      <c r="Y49" s="3">
        <f>IF(ISNUMBER(p_B!Y49*LN(p_B!Y49)),p_B!Y49*LN(p_B!Y49),0)</f>
        <v>0</v>
      </c>
      <c r="Z49" s="3">
        <f>IF(ISNUMBER(p_B!Z49*LN(p_B!Z49)),p_B!Z49*LN(p_B!Z49),0)</f>
        <v>0</v>
      </c>
      <c r="AA49" s="3">
        <f>IF(ISNUMBER(p_B!AA49*LN(p_B!AA49)),p_B!AA49*LN(p_B!AA49),0)</f>
        <v>0</v>
      </c>
    </row>
    <row r="50" spans="1:27" x14ac:dyDescent="0.25">
      <c r="A50" t="s">
        <v>131</v>
      </c>
      <c r="B50" s="3">
        <f>IF(ISNUMBER(p_B!B50*LN(p_B!B50)),p_B!B50*LN(p_B!B50),0)</f>
        <v>0</v>
      </c>
      <c r="C50" s="3">
        <f>IF(ISNUMBER(p_B!C50*LN(p_B!C50)),p_B!C50*LN(p_B!C50),0)</f>
        <v>-0.10827346472460647</v>
      </c>
      <c r="D50" s="3">
        <f>IF(ISNUMBER(p_B!D50*LN(p_B!D50)),p_B!D50*LN(p_B!D50),0)</f>
        <v>0</v>
      </c>
      <c r="E50" s="3">
        <f>IF(ISNUMBER(p_B!E50*LN(p_B!E50)),p_B!E50*LN(p_B!E50),0)</f>
        <v>0</v>
      </c>
      <c r="F50" s="3">
        <f>IF(ISNUMBER(p_B!F50*LN(p_B!F50)),p_B!F50*LN(p_B!F50),0)</f>
        <v>0</v>
      </c>
      <c r="G50" s="3">
        <f>IF(ISNUMBER(p_B!G50*LN(p_B!G50)),p_B!G50*LN(p_B!G50),0)</f>
        <v>0</v>
      </c>
      <c r="H50" s="3">
        <f>IF(ISNUMBER(p_B!H50*LN(p_B!H50)),p_B!H50*LN(p_B!H50),0)</f>
        <v>0</v>
      </c>
      <c r="I50" s="3">
        <f>IF(ISNUMBER(p_B!I50*LN(p_B!I50)),p_B!I50*LN(p_B!I50),0)</f>
        <v>0</v>
      </c>
      <c r="J50" s="3">
        <f>IF(ISNUMBER(p_B!J50*LN(p_B!J50)),p_B!J50*LN(p_B!J50),0)</f>
        <v>-0.16767036463209525</v>
      </c>
      <c r="K50" s="3">
        <f>IF(ISNUMBER(p_B!K50*LN(p_B!K50)),p_B!K50*LN(p_B!K50),0)</f>
        <v>0</v>
      </c>
      <c r="L50" s="3">
        <f>IF(ISNUMBER(p_B!L50*LN(p_B!L50)),p_B!L50*LN(p_B!L50),0)</f>
        <v>0</v>
      </c>
      <c r="M50" s="3">
        <f>IF(ISNUMBER(p_B!M50*LN(p_B!M50)),p_B!M50*LN(p_B!M50),0)</f>
        <v>0</v>
      </c>
      <c r="N50" s="3">
        <f>IF(ISNUMBER(p_B!N50*LN(p_B!N50)),p_B!N50*LN(p_B!N50),0)</f>
        <v>0</v>
      </c>
      <c r="O50" s="3">
        <f>IF(ISNUMBER(p_B!O50*LN(p_B!O50)),p_B!O50*LN(p_B!O50),0)</f>
        <v>-7.812676170456369E-4</v>
      </c>
      <c r="P50" s="3">
        <f>IF(ISNUMBER(p_B!P50*LN(p_B!P50)),p_B!P50*LN(p_B!P50),0)</f>
        <v>0</v>
      </c>
      <c r="Q50" s="3">
        <f>IF(ISNUMBER(p_B!Q50*LN(p_B!Q50)),p_B!Q50*LN(p_B!Q50),0)</f>
        <v>-0.15787675490646741</v>
      </c>
      <c r="R50" s="3">
        <f>IF(ISNUMBER(p_B!R50*LN(p_B!R50)),p_B!R50*LN(p_B!R50),0)</f>
        <v>0</v>
      </c>
      <c r="S50" s="3">
        <f>IF(ISNUMBER(p_B!S50*LN(p_B!S50)),p_B!S50*LN(p_B!S50),0)</f>
        <v>0</v>
      </c>
      <c r="T50" s="3">
        <f>IF(ISNUMBER(p_B!T50*LN(p_B!T50)),p_B!T50*LN(p_B!T50),0)</f>
        <v>0</v>
      </c>
      <c r="U50" s="3">
        <f>IF(ISNUMBER(p_B!U50*LN(p_B!U50)),p_B!U50*LN(p_B!U50),0)</f>
        <v>0</v>
      </c>
      <c r="V50" s="3">
        <f>IF(ISNUMBER(p_B!V50*LN(p_B!V50)),p_B!V50*LN(p_B!V50),0)</f>
        <v>0</v>
      </c>
      <c r="W50" s="3">
        <f>IF(ISNUMBER(p_B!W50*LN(p_B!W50)),p_B!W50*LN(p_B!W50),0)</f>
        <v>0</v>
      </c>
      <c r="X50" s="3">
        <f>IF(ISNUMBER(p_B!X50*LN(p_B!X50)),p_B!X50*LN(p_B!X50),0)</f>
        <v>0</v>
      </c>
      <c r="Y50" s="3">
        <f>IF(ISNUMBER(p_B!Y50*LN(p_B!Y50)),p_B!Y50*LN(p_B!Y50),0)</f>
        <v>0</v>
      </c>
      <c r="Z50" s="3">
        <f>IF(ISNUMBER(p_B!Z50*LN(p_B!Z50)),p_B!Z50*LN(p_B!Z50),0)</f>
        <v>0</v>
      </c>
      <c r="AA50" s="3">
        <f>IF(ISNUMBER(p_B!AA50*LN(p_B!AA50)),p_B!AA50*LN(p_B!AA50),0)</f>
        <v>0</v>
      </c>
    </row>
    <row r="51" spans="1:27" x14ac:dyDescent="0.25">
      <c r="A51" t="s">
        <v>132</v>
      </c>
      <c r="B51" s="3">
        <f>IF(ISNUMBER(p_B!B51*LN(p_B!B51)),p_B!B51*LN(p_B!B51),0)</f>
        <v>-1.510738478426191E-2</v>
      </c>
      <c r="C51" s="3">
        <f>IF(ISNUMBER(p_B!C51*LN(p_B!C51)),p_B!C51*LN(p_B!C51),0)</f>
        <v>-2.3139182507105269E-2</v>
      </c>
      <c r="D51" s="3">
        <f>IF(ISNUMBER(p_B!D51*LN(p_B!D51)),p_B!D51*LN(p_B!D51),0)</f>
        <v>0</v>
      </c>
      <c r="E51" s="3">
        <f>IF(ISNUMBER(p_B!E51*LN(p_B!E51)),p_B!E51*LN(p_B!E51),0)</f>
        <v>0</v>
      </c>
      <c r="F51" s="3">
        <f>IF(ISNUMBER(p_B!F51*LN(p_B!F51)),p_B!F51*LN(p_B!F51),0)</f>
        <v>0</v>
      </c>
      <c r="G51" s="3">
        <f>IF(ISNUMBER(p_B!G51*LN(p_B!G51)),p_B!G51*LN(p_B!G51),0)</f>
        <v>0</v>
      </c>
      <c r="H51" s="3">
        <f>IF(ISNUMBER(p_B!H51*LN(p_B!H51)),p_B!H51*LN(p_B!H51),0)</f>
        <v>0</v>
      </c>
      <c r="I51" s="3">
        <f>IF(ISNUMBER(p_B!I51*LN(p_B!I51)),p_B!I51*LN(p_B!I51),0)</f>
        <v>0</v>
      </c>
      <c r="J51" s="3">
        <f>IF(ISNUMBER(p_B!J51*LN(p_B!J51)),p_B!J51*LN(p_B!J51),0)</f>
        <v>0</v>
      </c>
      <c r="K51" s="3">
        <f>IF(ISNUMBER(p_B!K51*LN(p_B!K51)),p_B!K51*LN(p_B!K51),0)</f>
        <v>0</v>
      </c>
      <c r="L51" s="3">
        <f>IF(ISNUMBER(p_B!L51*LN(p_B!L51)),p_B!L51*LN(p_B!L51),0)</f>
        <v>0</v>
      </c>
      <c r="M51" s="3">
        <f>IF(ISNUMBER(p_B!M51*LN(p_B!M51)),p_B!M51*LN(p_B!M51),0)</f>
        <v>0</v>
      </c>
      <c r="N51" s="3">
        <f>IF(ISNUMBER(p_B!N51*LN(p_B!N51)),p_B!N51*LN(p_B!N51),0)</f>
        <v>0</v>
      </c>
      <c r="O51" s="3">
        <f>IF(ISNUMBER(p_B!O51*LN(p_B!O51)),p_B!O51*LN(p_B!O51),0)</f>
        <v>0</v>
      </c>
      <c r="P51" s="3">
        <f>IF(ISNUMBER(p_B!P51*LN(p_B!P51)),p_B!P51*LN(p_B!P51),0)</f>
        <v>0</v>
      </c>
      <c r="Q51" s="3">
        <f>IF(ISNUMBER(p_B!Q51*LN(p_B!Q51)),p_B!Q51*LN(p_B!Q51),0)</f>
        <v>0</v>
      </c>
      <c r="R51" s="3">
        <f>IF(ISNUMBER(p_B!R51*LN(p_B!R51)),p_B!R51*LN(p_B!R51),0)</f>
        <v>0</v>
      </c>
      <c r="S51" s="3">
        <f>IF(ISNUMBER(p_B!S51*LN(p_B!S51)),p_B!S51*LN(p_B!S51),0)</f>
        <v>0</v>
      </c>
      <c r="T51" s="3">
        <f>IF(ISNUMBER(p_B!T51*LN(p_B!T51)),p_B!T51*LN(p_B!T51),0)</f>
        <v>0</v>
      </c>
      <c r="U51" s="3">
        <f>IF(ISNUMBER(p_B!U51*LN(p_B!U51)),p_B!U51*LN(p_B!U51),0)</f>
        <v>0</v>
      </c>
      <c r="V51" s="3">
        <f>IF(ISNUMBER(p_B!V51*LN(p_B!V51)),p_B!V51*LN(p_B!V51),0)</f>
        <v>0</v>
      </c>
      <c r="W51" s="3">
        <f>IF(ISNUMBER(p_B!W51*LN(p_B!W51)),p_B!W51*LN(p_B!W51),0)</f>
        <v>0</v>
      </c>
      <c r="X51" s="3">
        <f>IF(ISNUMBER(p_B!X51*LN(p_B!X51)),p_B!X51*LN(p_B!X51),0)</f>
        <v>-0.34797669618580251</v>
      </c>
      <c r="Y51" s="3">
        <f>IF(ISNUMBER(p_B!Y51*LN(p_B!Y51)),p_B!Y51*LN(p_B!Y51),0)</f>
        <v>0</v>
      </c>
      <c r="Z51" s="3">
        <f>IF(ISNUMBER(p_B!Z51*LN(p_B!Z51)),p_B!Z51*LN(p_B!Z51),0)</f>
        <v>0</v>
      </c>
      <c r="AA51" s="3">
        <f>IF(ISNUMBER(p_B!AA51*LN(p_B!AA51)),p_B!AA51*LN(p_B!AA51),0)</f>
        <v>0</v>
      </c>
    </row>
    <row r="52" spans="1:27" x14ac:dyDescent="0.25">
      <c r="A52" t="s">
        <v>25</v>
      </c>
      <c r="B52" s="3">
        <f>IF(ISNUMBER(p_B!B52*LN(p_B!B52)),p_B!B52*LN(p_B!B52),0)</f>
        <v>-0.2468532560378352</v>
      </c>
      <c r="C52" s="3">
        <f>IF(ISNUMBER(p_B!C52*LN(p_B!C52)),p_B!C52*LN(p_B!C52),0)</f>
        <v>0</v>
      </c>
      <c r="D52" s="3">
        <f>IF(ISNUMBER(p_B!D52*LN(p_B!D52)),p_B!D52*LN(p_B!D52),0)</f>
        <v>0</v>
      </c>
      <c r="E52" s="3">
        <f>IF(ISNUMBER(p_B!E52*LN(p_B!E52)),p_B!E52*LN(p_B!E52),0)</f>
        <v>0</v>
      </c>
      <c r="F52" s="3">
        <f>IF(ISNUMBER(p_B!F52*LN(p_B!F52)),p_B!F52*LN(p_B!F52),0)</f>
        <v>0</v>
      </c>
      <c r="G52" s="3">
        <f>IF(ISNUMBER(p_B!G52*LN(p_B!G52)),p_B!G52*LN(p_B!G52),0)</f>
        <v>-0.31922333049429252</v>
      </c>
      <c r="H52" s="3">
        <f>IF(ISNUMBER(p_B!H52*LN(p_B!H52)),p_B!H52*LN(p_B!H52),0)</f>
        <v>0</v>
      </c>
      <c r="I52" s="3">
        <f>IF(ISNUMBER(p_B!I52*LN(p_B!I52)),p_B!I52*LN(p_B!I52),0)</f>
        <v>0</v>
      </c>
      <c r="J52" s="3">
        <f>IF(ISNUMBER(p_B!J52*LN(p_B!J52)),p_B!J52*LN(p_B!J52),0)</f>
        <v>0</v>
      </c>
      <c r="K52" s="3">
        <f>IF(ISNUMBER(p_B!K52*LN(p_B!K52)),p_B!K52*LN(p_B!K52),0)</f>
        <v>0</v>
      </c>
      <c r="L52" s="3">
        <f>IF(ISNUMBER(p_B!L52*LN(p_B!L52)),p_B!L52*LN(p_B!L52),0)</f>
        <v>0</v>
      </c>
      <c r="M52" s="3">
        <f>IF(ISNUMBER(p_B!M52*LN(p_B!M52)),p_B!M52*LN(p_B!M52),0)</f>
        <v>0</v>
      </c>
      <c r="N52" s="3">
        <f>IF(ISNUMBER(p_B!N52*LN(p_B!N52)),p_B!N52*LN(p_B!N52),0)</f>
        <v>0</v>
      </c>
      <c r="O52" s="3">
        <f>IF(ISNUMBER(p_B!O52*LN(p_B!O52)),p_B!O52*LN(p_B!O52),0)</f>
        <v>0</v>
      </c>
      <c r="P52" s="3">
        <f>IF(ISNUMBER(p_B!P52*LN(p_B!P52)),p_B!P52*LN(p_B!P52),0)</f>
        <v>-4.3956832129093827E-2</v>
      </c>
      <c r="Q52" s="3">
        <f>IF(ISNUMBER(p_B!Q52*LN(p_B!Q52)),p_B!Q52*LN(p_B!Q52),0)</f>
        <v>-0.21743259676311871</v>
      </c>
      <c r="R52" s="3">
        <f>IF(ISNUMBER(p_B!R52*LN(p_B!R52)),p_B!R52*LN(p_B!R52),0)</f>
        <v>0</v>
      </c>
      <c r="S52" s="3">
        <f>IF(ISNUMBER(p_B!S52*LN(p_B!S52)),p_B!S52*LN(p_B!S52),0)</f>
        <v>0</v>
      </c>
      <c r="T52" s="3">
        <f>IF(ISNUMBER(p_B!T52*LN(p_B!T52)),p_B!T52*LN(p_B!T52),0)</f>
        <v>0</v>
      </c>
      <c r="U52" s="3">
        <f>IF(ISNUMBER(p_B!U52*LN(p_B!U52)),p_B!U52*LN(p_B!U52),0)</f>
        <v>0</v>
      </c>
      <c r="V52" s="3">
        <f>IF(ISNUMBER(p_B!V52*LN(p_B!V52)),p_B!V52*LN(p_B!V52),0)</f>
        <v>0</v>
      </c>
      <c r="W52" s="3">
        <f>IF(ISNUMBER(p_B!W52*LN(p_B!W52)),p_B!W52*LN(p_B!W52),0)</f>
        <v>0</v>
      </c>
      <c r="X52" s="3">
        <f>IF(ISNUMBER(p_B!X52*LN(p_B!X52)),p_B!X52*LN(p_B!X52),0)</f>
        <v>0</v>
      </c>
      <c r="Y52" s="3">
        <f>IF(ISNUMBER(p_B!Y52*LN(p_B!Y52)),p_B!Y52*LN(p_B!Y52),0)</f>
        <v>0</v>
      </c>
      <c r="Z52" s="3">
        <f>IF(ISNUMBER(p_B!Z52*LN(p_B!Z52)),p_B!Z52*LN(p_B!Z52),0)</f>
        <v>0</v>
      </c>
      <c r="AA52" s="3">
        <f>IF(ISNUMBER(p_B!AA52*LN(p_B!AA52)),p_B!AA52*LN(p_B!AA52),0)</f>
        <v>0</v>
      </c>
    </row>
    <row r="53" spans="1:27" x14ac:dyDescent="0.25">
      <c r="A53" t="s">
        <v>37</v>
      </c>
      <c r="B53" s="3">
        <f>IF(ISNUMBER(p_B!B53*LN(p_B!B53)),p_B!B53*LN(p_B!B53),0)</f>
        <v>-9.1592654600195791E-2</v>
      </c>
      <c r="C53" s="3">
        <f>IF(ISNUMBER(p_B!C53*LN(p_B!C53)),p_B!C53*LN(p_B!C53),0)</f>
        <v>0</v>
      </c>
      <c r="D53" s="3">
        <f>IF(ISNUMBER(p_B!D53*LN(p_B!D53)),p_B!D53*LN(p_B!D53),0)</f>
        <v>0</v>
      </c>
      <c r="E53" s="3">
        <f>IF(ISNUMBER(p_B!E53*LN(p_B!E53)),p_B!E53*LN(p_B!E53),0)</f>
        <v>0</v>
      </c>
      <c r="F53" s="3">
        <f>IF(ISNUMBER(p_B!F53*LN(p_B!F53)),p_B!F53*LN(p_B!F53),0)</f>
        <v>0</v>
      </c>
      <c r="G53" s="3">
        <f>IF(ISNUMBER(p_B!G53*LN(p_B!G53)),p_B!G53*LN(p_B!G53),0)</f>
        <v>0</v>
      </c>
      <c r="H53" s="3">
        <f>IF(ISNUMBER(p_B!H53*LN(p_B!H53)),p_B!H53*LN(p_B!H53),0)</f>
        <v>0</v>
      </c>
      <c r="I53" s="3">
        <f>IF(ISNUMBER(p_B!I53*LN(p_B!I53)),p_B!I53*LN(p_B!I53),0)</f>
        <v>0</v>
      </c>
      <c r="J53" s="3">
        <f>IF(ISNUMBER(p_B!J53*LN(p_B!J53)),p_B!J53*LN(p_B!J53),0)</f>
        <v>-5.4076713993099088E-2</v>
      </c>
      <c r="K53" s="3">
        <f>IF(ISNUMBER(p_B!K53*LN(p_B!K53)),p_B!K53*LN(p_B!K53),0)</f>
        <v>0</v>
      </c>
      <c r="L53" s="3">
        <f>IF(ISNUMBER(p_B!L53*LN(p_B!L53)),p_B!L53*LN(p_B!L53),0)</f>
        <v>0</v>
      </c>
      <c r="M53" s="3">
        <f>IF(ISNUMBER(p_B!M53*LN(p_B!M53)),p_B!M53*LN(p_B!M53),0)</f>
        <v>0</v>
      </c>
      <c r="N53" s="3">
        <f>IF(ISNUMBER(p_B!N53*LN(p_B!N53)),p_B!N53*LN(p_B!N53),0)</f>
        <v>0</v>
      </c>
      <c r="O53" s="3">
        <f>IF(ISNUMBER(p_B!O53*LN(p_B!O53)),p_B!O53*LN(p_B!O53),0)</f>
        <v>0</v>
      </c>
      <c r="P53" s="3">
        <f>IF(ISNUMBER(p_B!P53*LN(p_B!P53)),p_B!P53*LN(p_B!P53),0)</f>
        <v>0</v>
      </c>
      <c r="Q53" s="3">
        <f>IF(ISNUMBER(p_B!Q53*LN(p_B!Q53)),p_B!Q53*LN(p_B!Q53),0)</f>
        <v>-0.20821298190867898</v>
      </c>
      <c r="R53" s="3">
        <f>IF(ISNUMBER(p_B!R53*LN(p_B!R53)),p_B!R53*LN(p_B!R53),0)</f>
        <v>0</v>
      </c>
      <c r="S53" s="3">
        <f>IF(ISNUMBER(p_B!S53*LN(p_B!S53)),p_B!S53*LN(p_B!S53),0)</f>
        <v>0</v>
      </c>
      <c r="T53" s="3">
        <f>IF(ISNUMBER(p_B!T53*LN(p_B!T53)),p_B!T53*LN(p_B!T53),0)</f>
        <v>0</v>
      </c>
      <c r="U53" s="3">
        <f>IF(ISNUMBER(p_B!U53*LN(p_B!U53)),p_B!U53*LN(p_B!U53),0)</f>
        <v>0</v>
      </c>
      <c r="V53" s="3">
        <f>IF(ISNUMBER(p_B!V53*LN(p_B!V53)),p_B!V53*LN(p_B!V53),0)</f>
        <v>0</v>
      </c>
      <c r="W53" s="3">
        <f>IF(ISNUMBER(p_B!W53*LN(p_B!W53)),p_B!W53*LN(p_B!W53),0)</f>
        <v>0</v>
      </c>
      <c r="X53" s="3">
        <f>IF(ISNUMBER(p_B!X53*LN(p_B!X53)),p_B!X53*LN(p_B!X53),0)</f>
        <v>0</v>
      </c>
      <c r="Y53" s="3">
        <f>IF(ISNUMBER(p_B!Y53*LN(p_B!Y53)),p_B!Y53*LN(p_B!Y53),0)</f>
        <v>0</v>
      </c>
      <c r="Z53" s="3">
        <f>IF(ISNUMBER(p_B!Z53*LN(p_B!Z53)),p_B!Z53*LN(p_B!Z53),0)</f>
        <v>0</v>
      </c>
      <c r="AA53" s="3">
        <f>IF(ISNUMBER(p_B!AA53*LN(p_B!AA53)),p_B!AA53*LN(p_B!AA53),0)</f>
        <v>0</v>
      </c>
    </row>
    <row r="54" spans="1:27" x14ac:dyDescent="0.25">
      <c r="A54" s="13" t="s">
        <v>147</v>
      </c>
      <c r="B54" s="3">
        <f>IF(ISNUMBER(p_B!B54*LN(p_B!B54)),p_B!B54*LN(p_B!B54),0)</f>
        <v>-4.1813053512391894E-3</v>
      </c>
      <c r="C54" s="3">
        <f>IF(ISNUMBER(p_B!C54*LN(p_B!C54)),p_B!C54*LN(p_B!C54),0)</f>
        <v>0</v>
      </c>
      <c r="D54" s="3">
        <f>IF(ISNUMBER(p_B!D54*LN(p_B!D54)),p_B!D54*LN(p_B!D54),0)</f>
        <v>0</v>
      </c>
      <c r="E54" s="3">
        <f>IF(ISNUMBER(p_B!E54*LN(p_B!E54)),p_B!E54*LN(p_B!E54),0)</f>
        <v>0</v>
      </c>
      <c r="F54" s="3">
        <f>IF(ISNUMBER(p_B!F54*LN(p_B!F54)),p_B!F54*LN(p_B!F54),0)</f>
        <v>0</v>
      </c>
      <c r="G54" s="3">
        <f>IF(ISNUMBER(p_B!G54*LN(p_B!G54)),p_B!G54*LN(p_B!G54),0)</f>
        <v>0</v>
      </c>
      <c r="H54" s="3">
        <f>IF(ISNUMBER(p_B!H54*LN(p_B!H54)),p_B!H54*LN(p_B!H54),0)</f>
        <v>0</v>
      </c>
      <c r="I54" s="3">
        <f>IF(ISNUMBER(p_B!I54*LN(p_B!I54)),p_B!I54*LN(p_B!I54),0)</f>
        <v>0</v>
      </c>
      <c r="J54" s="3">
        <f>IF(ISNUMBER(p_B!J54*LN(p_B!J54)),p_B!J54*LN(p_B!J54),0)</f>
        <v>-0.11010644901830489</v>
      </c>
      <c r="K54" s="3">
        <f>IF(ISNUMBER(p_B!K54*LN(p_B!K54)),p_B!K54*LN(p_B!K54),0)</f>
        <v>0</v>
      </c>
      <c r="L54" s="3">
        <f>IF(ISNUMBER(p_B!L54*LN(p_B!L54)),p_B!L54*LN(p_B!L54),0)</f>
        <v>0</v>
      </c>
      <c r="M54" s="3">
        <f>IF(ISNUMBER(p_B!M54*LN(p_B!M54)),p_B!M54*LN(p_B!M54),0)</f>
        <v>0</v>
      </c>
      <c r="N54" s="3">
        <f>IF(ISNUMBER(p_B!N54*LN(p_B!N54)),p_B!N54*LN(p_B!N54),0)</f>
        <v>0</v>
      </c>
      <c r="O54" s="3">
        <f>IF(ISNUMBER(p_B!O54*LN(p_B!O54)),p_B!O54*LN(p_B!O54),0)</f>
        <v>-1.1599064485235552E-2</v>
      </c>
      <c r="P54" s="3">
        <f>IF(ISNUMBER(p_B!P54*LN(p_B!P54)),p_B!P54*LN(p_B!P54),0)</f>
        <v>0</v>
      </c>
      <c r="Q54" s="3">
        <f>IF(ISNUMBER(p_B!Q54*LN(p_B!Q54)),p_B!Q54*LN(p_B!Q54),0)</f>
        <v>-6.0938799717842017E-2</v>
      </c>
      <c r="R54" s="3">
        <f>IF(ISNUMBER(p_B!R54*LN(p_B!R54)),p_B!R54*LN(p_B!R54),0)</f>
        <v>0</v>
      </c>
      <c r="S54" s="3">
        <f>IF(ISNUMBER(p_B!S54*LN(p_B!S54)),p_B!S54*LN(p_B!S54),0)</f>
        <v>0</v>
      </c>
      <c r="T54" s="3">
        <f>IF(ISNUMBER(p_B!T54*LN(p_B!T54)),p_B!T54*LN(p_B!T54),0)</f>
        <v>0</v>
      </c>
      <c r="U54" s="3">
        <f>IF(ISNUMBER(p_B!U54*LN(p_B!U54)),p_B!U54*LN(p_B!U54),0)</f>
        <v>-0.10160174883651507</v>
      </c>
      <c r="V54" s="3">
        <f>IF(ISNUMBER(p_B!V54*LN(p_B!V54)),p_B!V54*LN(p_B!V54),0)</f>
        <v>0</v>
      </c>
      <c r="W54" s="3">
        <f>IF(ISNUMBER(p_B!W54*LN(p_B!W54)),p_B!W54*LN(p_B!W54),0)</f>
        <v>0</v>
      </c>
      <c r="X54" s="3">
        <f>IF(ISNUMBER(p_B!X54*LN(p_B!X54)),p_B!X54*LN(p_B!X54),0)</f>
        <v>0</v>
      </c>
      <c r="Y54" s="3">
        <f>IF(ISNUMBER(p_B!Y54*LN(p_B!Y54)),p_B!Y54*LN(p_B!Y54),0)</f>
        <v>0</v>
      </c>
      <c r="Z54" s="3">
        <f>IF(ISNUMBER(p_B!Z54*LN(p_B!Z54)),p_B!Z54*LN(p_B!Z54),0)</f>
        <v>0</v>
      </c>
      <c r="AA54" s="3">
        <f>IF(ISNUMBER(p_B!AA54*LN(p_B!AA54)),p_B!AA54*LN(p_B!AA54),0)</f>
        <v>0</v>
      </c>
    </row>
    <row r="55" spans="1:27" x14ac:dyDescent="0.25">
      <c r="A55" s="13" t="s">
        <v>148</v>
      </c>
      <c r="B55" s="3">
        <f>IF(ISNUMBER(p_B!B55*LN(p_B!B55)),p_B!B55*LN(p_B!B55),0)</f>
        <v>-0.21283350696598913</v>
      </c>
      <c r="C55" s="3">
        <f>IF(ISNUMBER(p_B!C55*LN(p_B!C55)),p_B!C55*LN(p_B!C55),0)</f>
        <v>0</v>
      </c>
      <c r="D55" s="3">
        <f>IF(ISNUMBER(p_B!D55*LN(p_B!D55)),p_B!D55*LN(p_B!D55),0)</f>
        <v>0</v>
      </c>
      <c r="E55" s="3">
        <f>IF(ISNUMBER(p_B!E55*LN(p_B!E55)),p_B!E55*LN(p_B!E55),0)</f>
        <v>0</v>
      </c>
      <c r="F55" s="3">
        <f>IF(ISNUMBER(p_B!F55*LN(p_B!F55)),p_B!F55*LN(p_B!F55),0)</f>
        <v>0</v>
      </c>
      <c r="G55" s="3">
        <f>IF(ISNUMBER(p_B!G55*LN(p_B!G55)),p_B!G55*LN(p_B!G55),0)</f>
        <v>0</v>
      </c>
      <c r="H55" s="3">
        <f>IF(ISNUMBER(p_B!H55*LN(p_B!H55)),p_B!H55*LN(p_B!H55),0)</f>
        <v>0</v>
      </c>
      <c r="I55" s="3">
        <f>IF(ISNUMBER(p_B!I55*LN(p_B!I55)),p_B!I55*LN(p_B!I55),0)</f>
        <v>0</v>
      </c>
      <c r="J55" s="3">
        <f>IF(ISNUMBER(p_B!J55*LN(p_B!J55)),p_B!J55*LN(p_B!J55),0)</f>
        <v>-9.9687753405873894E-2</v>
      </c>
      <c r="K55" s="3">
        <f>IF(ISNUMBER(p_B!K55*LN(p_B!K55)),p_B!K55*LN(p_B!K55),0)</f>
        <v>0</v>
      </c>
      <c r="L55" s="3">
        <f>IF(ISNUMBER(p_B!L55*LN(p_B!L55)),p_B!L55*LN(p_B!L55),0)</f>
        <v>0</v>
      </c>
      <c r="M55" s="3">
        <f>IF(ISNUMBER(p_B!M55*LN(p_B!M55)),p_B!M55*LN(p_B!M55),0)</f>
        <v>0</v>
      </c>
      <c r="N55" s="3">
        <f>IF(ISNUMBER(p_B!N55*LN(p_B!N55)),p_B!N55*LN(p_B!N55),0)</f>
        <v>0</v>
      </c>
      <c r="O55" s="3">
        <f>IF(ISNUMBER(p_B!O55*LN(p_B!O55)),p_B!O55*LN(p_B!O55),0)</f>
        <v>-3.5808173942593641E-2</v>
      </c>
      <c r="P55" s="3">
        <f>IF(ISNUMBER(p_B!P55*LN(p_B!P55)),p_B!P55*LN(p_B!P55),0)</f>
        <v>-1.1472578687684575E-2</v>
      </c>
      <c r="Q55" s="3">
        <f>IF(ISNUMBER(p_B!Q55*LN(p_B!Q55)),p_B!Q55*LN(p_B!Q55),0)</f>
        <v>0</v>
      </c>
      <c r="R55" s="3">
        <f>IF(ISNUMBER(p_B!R55*LN(p_B!R55)),p_B!R55*LN(p_B!R55),0)</f>
        <v>0</v>
      </c>
      <c r="S55" s="3">
        <f>IF(ISNUMBER(p_B!S55*LN(p_B!S55)),p_B!S55*LN(p_B!S55),0)</f>
        <v>0</v>
      </c>
      <c r="T55" s="3">
        <f>IF(ISNUMBER(p_B!T55*LN(p_B!T55)),p_B!T55*LN(p_B!T55),0)</f>
        <v>0</v>
      </c>
      <c r="U55" s="3">
        <f>IF(ISNUMBER(p_B!U55*LN(p_B!U55)),p_B!U55*LN(p_B!U55),0)</f>
        <v>-4.2731639689021966E-2</v>
      </c>
      <c r="V55" s="3">
        <f>IF(ISNUMBER(p_B!V55*LN(p_B!V55)),p_B!V55*LN(p_B!V55),0)</f>
        <v>0</v>
      </c>
      <c r="W55" s="3">
        <f>IF(ISNUMBER(p_B!W55*LN(p_B!W55)),p_B!W55*LN(p_B!W55),0)</f>
        <v>0</v>
      </c>
      <c r="X55" s="3">
        <f>IF(ISNUMBER(p_B!X55*LN(p_B!X55)),p_B!X55*LN(p_B!X55),0)</f>
        <v>0</v>
      </c>
      <c r="Y55" s="3">
        <f>IF(ISNUMBER(p_B!Y55*LN(p_B!Y55)),p_B!Y55*LN(p_B!Y55),0)</f>
        <v>0</v>
      </c>
      <c r="Z55" s="3">
        <f>IF(ISNUMBER(p_B!Z55*LN(p_B!Z55)),p_B!Z55*LN(p_B!Z55),0)</f>
        <v>0</v>
      </c>
      <c r="AA55" s="3">
        <f>IF(ISNUMBER(p_B!AA55*LN(p_B!AA55)),p_B!AA55*LN(p_B!AA55),0)</f>
        <v>0</v>
      </c>
    </row>
    <row r="56" spans="1:27" x14ac:dyDescent="0.25">
      <c r="A56" s="13" t="s">
        <v>149</v>
      </c>
      <c r="B56" s="3">
        <f>IF(ISNUMBER(p_B!B56*LN(p_B!B56)),p_B!B56*LN(p_B!B56),0)</f>
        <v>-0.27964706146748652</v>
      </c>
      <c r="C56" s="3">
        <f>IF(ISNUMBER(p_B!C56*LN(p_B!C56)),p_B!C56*LN(p_B!C56),0)</f>
        <v>0</v>
      </c>
      <c r="D56" s="3">
        <f>IF(ISNUMBER(p_B!D56*LN(p_B!D56)),p_B!D56*LN(p_B!D56),0)</f>
        <v>0</v>
      </c>
      <c r="E56" s="3">
        <f>IF(ISNUMBER(p_B!E56*LN(p_B!E56)),p_B!E56*LN(p_B!E56),0)</f>
        <v>0</v>
      </c>
      <c r="F56" s="3">
        <f>IF(ISNUMBER(p_B!F56*LN(p_B!F56)),p_B!F56*LN(p_B!F56),0)</f>
        <v>0</v>
      </c>
      <c r="G56" s="3">
        <f>IF(ISNUMBER(p_B!G56*LN(p_B!G56)),p_B!G56*LN(p_B!G56),0)</f>
        <v>0</v>
      </c>
      <c r="H56" s="3">
        <f>IF(ISNUMBER(p_B!H56*LN(p_B!H56)),p_B!H56*LN(p_B!H56),0)</f>
        <v>0</v>
      </c>
      <c r="I56" s="3">
        <f>IF(ISNUMBER(p_B!I56*LN(p_B!I56)),p_B!I56*LN(p_B!I56),0)</f>
        <v>0</v>
      </c>
      <c r="J56" s="3">
        <f>IF(ISNUMBER(p_B!J56*LN(p_B!J56)),p_B!J56*LN(p_B!J56),0)</f>
        <v>-0.3643479088295643</v>
      </c>
      <c r="K56" s="3">
        <f>IF(ISNUMBER(p_B!K56*LN(p_B!K56)),p_B!K56*LN(p_B!K56),0)</f>
        <v>0</v>
      </c>
      <c r="L56" s="3">
        <f>IF(ISNUMBER(p_B!L56*LN(p_B!L56)),p_B!L56*LN(p_B!L56),0)</f>
        <v>0</v>
      </c>
      <c r="M56" s="3">
        <f>IF(ISNUMBER(p_B!M56*LN(p_B!M56)),p_B!M56*LN(p_B!M56),0)</f>
        <v>0</v>
      </c>
      <c r="N56" s="3">
        <f>IF(ISNUMBER(p_B!N56*LN(p_B!N56)),p_B!N56*LN(p_B!N56),0)</f>
        <v>0</v>
      </c>
      <c r="O56" s="3">
        <f>IF(ISNUMBER(p_B!O56*LN(p_B!O56)),p_B!O56*LN(p_B!O56),0)</f>
        <v>-0.35221737740219222</v>
      </c>
      <c r="P56" s="3">
        <f>IF(ISNUMBER(p_B!P56*LN(p_B!P56)),p_B!P56*LN(p_B!P56),0)</f>
        <v>0</v>
      </c>
      <c r="Q56" s="3">
        <f>IF(ISNUMBER(p_B!Q56*LN(p_B!Q56)),p_B!Q56*LN(p_B!Q56),0)</f>
        <v>0</v>
      </c>
      <c r="R56" s="3">
        <f>IF(ISNUMBER(p_B!R56*LN(p_B!R56)),p_B!R56*LN(p_B!R56),0)</f>
        <v>0</v>
      </c>
      <c r="S56" s="3">
        <f>IF(ISNUMBER(p_B!S56*LN(p_B!S56)),p_B!S56*LN(p_B!S56),0)</f>
        <v>0</v>
      </c>
      <c r="T56" s="3">
        <f>IF(ISNUMBER(p_B!T56*LN(p_B!T56)),p_B!T56*LN(p_B!T56),0)</f>
        <v>0</v>
      </c>
      <c r="U56" s="3">
        <f>IF(ISNUMBER(p_B!U56*LN(p_B!U56)),p_B!U56*LN(p_B!U56),0)</f>
        <v>-0.16319518604003508</v>
      </c>
      <c r="V56" s="3">
        <f>IF(ISNUMBER(p_B!V56*LN(p_B!V56)),p_B!V56*LN(p_B!V56),0)</f>
        <v>0</v>
      </c>
      <c r="W56" s="3">
        <f>IF(ISNUMBER(p_B!W56*LN(p_B!W56)),p_B!W56*LN(p_B!W56),0)</f>
        <v>0</v>
      </c>
      <c r="X56" s="3">
        <f>IF(ISNUMBER(p_B!X56*LN(p_B!X56)),p_B!X56*LN(p_B!X56),0)</f>
        <v>0</v>
      </c>
      <c r="Y56" s="3">
        <f>IF(ISNUMBER(p_B!Y56*LN(p_B!Y56)),p_B!Y56*LN(p_B!Y56),0)</f>
        <v>0</v>
      </c>
      <c r="Z56" s="3">
        <f>IF(ISNUMBER(p_B!Z56*LN(p_B!Z56)),p_B!Z56*LN(p_B!Z56),0)</f>
        <v>0</v>
      </c>
      <c r="AA56" s="3">
        <f>IF(ISNUMBER(p_B!AA56*LN(p_B!AA56)),p_B!AA56*LN(p_B!AA56),0)</f>
        <v>0</v>
      </c>
    </row>
    <row r="57" spans="1:27" x14ac:dyDescent="0.25">
      <c r="A57" t="s">
        <v>38</v>
      </c>
      <c r="B57" s="3">
        <f>IF(ISNUMBER(p_B!B57*LN(p_B!B57)),p_B!B57*LN(p_B!B57),0)</f>
        <v>-0.36787044944364489</v>
      </c>
      <c r="C57" s="3">
        <f>IF(ISNUMBER(p_B!C57*LN(p_B!C57)),p_B!C57*LN(p_B!C57),0)</f>
        <v>0</v>
      </c>
      <c r="D57" s="3">
        <f>IF(ISNUMBER(p_B!D57*LN(p_B!D57)),p_B!D57*LN(p_B!D57),0)</f>
        <v>0</v>
      </c>
      <c r="E57" s="3">
        <f>IF(ISNUMBER(p_B!E57*LN(p_B!E57)),p_B!E57*LN(p_B!E57),0)</f>
        <v>0</v>
      </c>
      <c r="F57" s="3">
        <f>IF(ISNUMBER(p_B!F57*LN(p_B!F57)),p_B!F57*LN(p_B!F57),0)</f>
        <v>0</v>
      </c>
      <c r="G57" s="3">
        <f>IF(ISNUMBER(p_B!G57*LN(p_B!G57)),p_B!G57*LN(p_B!G57),0)</f>
        <v>-0.18150474876227962</v>
      </c>
      <c r="H57" s="3">
        <f>IF(ISNUMBER(p_B!H57*LN(p_B!H57)),p_B!H57*LN(p_B!H57),0)</f>
        <v>0</v>
      </c>
      <c r="I57" s="3">
        <f>IF(ISNUMBER(p_B!I57*LN(p_B!I57)),p_B!I57*LN(p_B!I57),0)</f>
        <v>0</v>
      </c>
      <c r="J57" s="3">
        <f>IF(ISNUMBER(p_B!J57*LN(p_B!J57)),p_B!J57*LN(p_B!J57),0)</f>
        <v>-8.3347758249765438E-2</v>
      </c>
      <c r="K57" s="3">
        <f>IF(ISNUMBER(p_B!K57*LN(p_B!K57)),p_B!K57*LN(p_B!K57),0)</f>
        <v>0</v>
      </c>
      <c r="L57" s="3">
        <f>IF(ISNUMBER(p_B!L57*LN(p_B!L57)),p_B!L57*LN(p_B!L57),0)</f>
        <v>0</v>
      </c>
      <c r="M57" s="3">
        <f>IF(ISNUMBER(p_B!M57*LN(p_B!M57)),p_B!M57*LN(p_B!M57),0)</f>
        <v>0</v>
      </c>
      <c r="N57" s="3">
        <f>IF(ISNUMBER(p_B!N57*LN(p_B!N57)),p_B!N57*LN(p_B!N57),0)</f>
        <v>0</v>
      </c>
      <c r="O57" s="3">
        <f>IF(ISNUMBER(p_B!O57*LN(p_B!O57)),p_B!O57*LN(p_B!O57),0)</f>
        <v>0</v>
      </c>
      <c r="P57" s="3">
        <f>IF(ISNUMBER(p_B!P57*LN(p_B!P57)),p_B!P57*LN(p_B!P57),0)</f>
        <v>-5.8568389877512526E-2</v>
      </c>
      <c r="Q57" s="3">
        <f>IF(ISNUMBER(p_B!Q57*LN(p_B!Q57)),p_B!Q57*LN(p_B!Q57),0)</f>
        <v>-0.33761045525217209</v>
      </c>
      <c r="R57" s="3">
        <f>IF(ISNUMBER(p_B!R57*LN(p_B!R57)),p_B!R57*LN(p_B!R57),0)</f>
        <v>0</v>
      </c>
      <c r="S57" s="3">
        <f>IF(ISNUMBER(p_B!S57*LN(p_B!S57)),p_B!S57*LN(p_B!S57),0)</f>
        <v>0</v>
      </c>
      <c r="T57" s="3">
        <f>IF(ISNUMBER(p_B!T57*LN(p_B!T57)),p_B!T57*LN(p_B!T57),0)</f>
        <v>0</v>
      </c>
      <c r="U57" s="3">
        <f>IF(ISNUMBER(p_B!U57*LN(p_B!U57)),p_B!U57*LN(p_B!U57),0)</f>
        <v>0</v>
      </c>
      <c r="V57" s="3">
        <f>IF(ISNUMBER(p_B!V57*LN(p_B!V57)),p_B!V57*LN(p_B!V57),0)</f>
        <v>0</v>
      </c>
      <c r="W57" s="3">
        <f>IF(ISNUMBER(p_B!W57*LN(p_B!W57)),p_B!W57*LN(p_B!W57),0)</f>
        <v>0</v>
      </c>
      <c r="X57" s="3">
        <f>IF(ISNUMBER(p_B!X57*LN(p_B!X57)),p_B!X57*LN(p_B!X57),0)</f>
        <v>0</v>
      </c>
      <c r="Y57" s="3">
        <f>IF(ISNUMBER(p_B!Y57*LN(p_B!Y57)),p_B!Y57*LN(p_B!Y57),0)</f>
        <v>0</v>
      </c>
      <c r="Z57" s="3">
        <f>IF(ISNUMBER(p_B!Z57*LN(p_B!Z57)),p_B!Z57*LN(p_B!Z57),0)</f>
        <v>0</v>
      </c>
      <c r="AA57" s="3">
        <f>IF(ISNUMBER(p_B!AA57*LN(p_B!AA57)),p_B!AA57*LN(p_B!AA57),0)</f>
        <v>0</v>
      </c>
    </row>
    <row r="58" spans="1:27" x14ac:dyDescent="0.25">
      <c r="A58" t="s">
        <v>50</v>
      </c>
      <c r="B58" s="3">
        <f>IF(ISNUMBER(p_B!B58*LN(p_B!B58)),p_B!B58*LN(p_B!B58),0)</f>
        <v>-0.35129063249574938</v>
      </c>
      <c r="C58" s="3">
        <f>IF(ISNUMBER(p_B!C58*LN(p_B!C58)),p_B!C58*LN(p_B!C58),0)</f>
        <v>0</v>
      </c>
      <c r="D58" s="3">
        <f>IF(ISNUMBER(p_B!D58*LN(p_B!D58)),p_B!D58*LN(p_B!D58),0)</f>
        <v>0</v>
      </c>
      <c r="E58" s="3">
        <f>IF(ISNUMBER(p_B!E58*LN(p_B!E58)),p_B!E58*LN(p_B!E58),0)</f>
        <v>0</v>
      </c>
      <c r="F58" s="3">
        <f>IF(ISNUMBER(p_B!F58*LN(p_B!F58)),p_B!F58*LN(p_B!F58),0)</f>
        <v>0</v>
      </c>
      <c r="G58" s="3">
        <f>IF(ISNUMBER(p_B!G58*LN(p_B!G58)),p_B!G58*LN(p_B!G58),0)</f>
        <v>-0.30175928588677614</v>
      </c>
      <c r="H58" s="3">
        <f>IF(ISNUMBER(p_B!H58*LN(p_B!H58)),p_B!H58*LN(p_B!H58),0)</f>
        <v>0</v>
      </c>
      <c r="I58" s="3">
        <f>IF(ISNUMBER(p_B!I58*LN(p_B!I58)),p_B!I58*LN(p_B!I58),0)</f>
        <v>0</v>
      </c>
      <c r="J58" s="3">
        <f>IF(ISNUMBER(p_B!J58*LN(p_B!J58)),p_B!J58*LN(p_B!J58),0)</f>
        <v>-6.8621108844713216E-2</v>
      </c>
      <c r="K58" s="3">
        <f>IF(ISNUMBER(p_B!K58*LN(p_B!K58)),p_B!K58*LN(p_B!K58),0)</f>
        <v>0</v>
      </c>
      <c r="L58" s="3">
        <f>IF(ISNUMBER(p_B!L58*LN(p_B!L58)),p_B!L58*LN(p_B!L58),0)</f>
        <v>0</v>
      </c>
      <c r="M58" s="3">
        <f>IF(ISNUMBER(p_B!M58*LN(p_B!M58)),p_B!M58*LN(p_B!M58),0)</f>
        <v>0</v>
      </c>
      <c r="N58" s="3">
        <f>IF(ISNUMBER(p_B!N58*LN(p_B!N58)),p_B!N58*LN(p_B!N58),0)</f>
        <v>0</v>
      </c>
      <c r="O58" s="3">
        <f>IF(ISNUMBER(p_B!O58*LN(p_B!O58)),p_B!O58*LN(p_B!O58),0)</f>
        <v>0</v>
      </c>
      <c r="P58" s="3">
        <f>IF(ISNUMBER(p_B!P58*LN(p_B!P58)),p_B!P58*LN(p_B!P58),0)</f>
        <v>-3.3519848506572469E-2</v>
      </c>
      <c r="Q58" s="3">
        <f>IF(ISNUMBER(p_B!Q58*LN(p_B!Q58)),p_B!Q58*LN(p_B!Q58),0)</f>
        <v>-0.33167871771543467</v>
      </c>
      <c r="R58" s="3">
        <f>IF(ISNUMBER(p_B!R58*LN(p_B!R58)),p_B!R58*LN(p_B!R58),0)</f>
        <v>0</v>
      </c>
      <c r="S58" s="3">
        <f>IF(ISNUMBER(p_B!S58*LN(p_B!S58)),p_B!S58*LN(p_B!S58),0)</f>
        <v>0</v>
      </c>
      <c r="T58" s="3">
        <f>IF(ISNUMBER(p_B!T58*LN(p_B!T58)),p_B!T58*LN(p_B!T58),0)</f>
        <v>0</v>
      </c>
      <c r="U58" s="3">
        <f>IF(ISNUMBER(p_B!U58*LN(p_B!U58)),p_B!U58*LN(p_B!U58),0)</f>
        <v>0</v>
      </c>
      <c r="V58" s="3">
        <f>IF(ISNUMBER(p_B!V58*LN(p_B!V58)),p_B!V58*LN(p_B!V58),0)</f>
        <v>0</v>
      </c>
      <c r="W58" s="3">
        <f>IF(ISNUMBER(p_B!W58*LN(p_B!W58)),p_B!W58*LN(p_B!W58),0)</f>
        <v>0</v>
      </c>
      <c r="X58" s="3">
        <f>IF(ISNUMBER(p_B!X58*LN(p_B!X58)),p_B!X58*LN(p_B!X58),0)</f>
        <v>0</v>
      </c>
      <c r="Y58" s="3">
        <f>IF(ISNUMBER(p_B!Y58*LN(p_B!Y58)),p_B!Y58*LN(p_B!Y58),0)</f>
        <v>0</v>
      </c>
      <c r="Z58" s="3">
        <f>IF(ISNUMBER(p_B!Z58*LN(p_B!Z58)),p_B!Z58*LN(p_B!Z58),0)</f>
        <v>0</v>
      </c>
      <c r="AA58" s="3">
        <f>IF(ISNUMBER(p_B!AA58*LN(p_B!AA58)),p_B!AA58*LN(p_B!AA58),0)</f>
        <v>0</v>
      </c>
    </row>
    <row r="59" spans="1:27" x14ac:dyDescent="0.25">
      <c r="A59" t="s">
        <v>52</v>
      </c>
      <c r="B59" s="3">
        <f>IF(ISNUMBER(p_B!B59*LN(p_B!B59)),p_B!B59*LN(p_B!B59),0)</f>
        <v>-0.3622368442352612</v>
      </c>
      <c r="C59" s="3">
        <f>IF(ISNUMBER(p_B!C59*LN(p_B!C59)),p_B!C59*LN(p_B!C59),0)</f>
        <v>0</v>
      </c>
      <c r="D59" s="3">
        <f>IF(ISNUMBER(p_B!D59*LN(p_B!D59)),p_B!D59*LN(p_B!D59),0)</f>
        <v>0</v>
      </c>
      <c r="E59" s="3">
        <f>IF(ISNUMBER(p_B!E59*LN(p_B!E59)),p_B!E59*LN(p_B!E59),0)</f>
        <v>0</v>
      </c>
      <c r="F59" s="3">
        <f>IF(ISNUMBER(p_B!F59*LN(p_B!F59)),p_B!F59*LN(p_B!F59),0)</f>
        <v>0</v>
      </c>
      <c r="G59" s="3">
        <f>IF(ISNUMBER(p_B!G59*LN(p_B!G59)),p_B!G59*LN(p_B!G59),0)</f>
        <v>-0.34324916481079787</v>
      </c>
      <c r="H59" s="3">
        <f>IF(ISNUMBER(p_B!H59*LN(p_B!H59)),p_B!H59*LN(p_B!H59),0)</f>
        <v>0</v>
      </c>
      <c r="I59" s="3">
        <f>IF(ISNUMBER(p_B!I59*LN(p_B!I59)),p_B!I59*LN(p_B!I59),0)</f>
        <v>0</v>
      </c>
      <c r="J59" s="3">
        <f>IF(ISNUMBER(p_B!J59*LN(p_B!J59)),p_B!J59*LN(p_B!J59),0)</f>
        <v>-6.6496896402378656E-3</v>
      </c>
      <c r="K59" s="3">
        <f>IF(ISNUMBER(p_B!K59*LN(p_B!K59)),p_B!K59*LN(p_B!K59),0)</f>
        <v>0</v>
      </c>
      <c r="L59" s="3">
        <f>IF(ISNUMBER(p_B!L59*LN(p_B!L59)),p_B!L59*LN(p_B!L59),0)</f>
        <v>0</v>
      </c>
      <c r="M59" s="3">
        <f>IF(ISNUMBER(p_B!M59*LN(p_B!M59)),p_B!M59*LN(p_B!M59),0)</f>
        <v>0</v>
      </c>
      <c r="N59" s="3">
        <f>IF(ISNUMBER(p_B!N59*LN(p_B!N59)),p_B!N59*LN(p_B!N59),0)</f>
        <v>0</v>
      </c>
      <c r="O59" s="3">
        <f>IF(ISNUMBER(p_B!O59*LN(p_B!O59)),p_B!O59*LN(p_B!O59),0)</f>
        <v>0</v>
      </c>
      <c r="P59" s="3">
        <f>IF(ISNUMBER(p_B!P59*LN(p_B!P59)),p_B!P59*LN(p_B!P59),0)</f>
        <v>-0.20971942541669325</v>
      </c>
      <c r="Q59" s="3">
        <f>IF(ISNUMBER(p_B!Q59*LN(p_B!Q59)),p_B!Q59*LN(p_B!Q59),0)</f>
        <v>-0.36787788561122742</v>
      </c>
      <c r="R59" s="3">
        <f>IF(ISNUMBER(p_B!R59*LN(p_B!R59)),p_B!R59*LN(p_B!R59),0)</f>
        <v>0</v>
      </c>
      <c r="S59" s="3">
        <f>IF(ISNUMBER(p_B!S59*LN(p_B!S59)),p_B!S59*LN(p_B!S59),0)</f>
        <v>0</v>
      </c>
      <c r="T59" s="3">
        <f>IF(ISNUMBER(p_B!T59*LN(p_B!T59)),p_B!T59*LN(p_B!T59),0)</f>
        <v>0</v>
      </c>
      <c r="U59" s="3">
        <f>IF(ISNUMBER(p_B!U59*LN(p_B!U59)),p_B!U59*LN(p_B!U59),0)</f>
        <v>0</v>
      </c>
      <c r="V59" s="3">
        <f>IF(ISNUMBER(p_B!V59*LN(p_B!V59)),p_B!V59*LN(p_B!V59),0)</f>
        <v>0</v>
      </c>
      <c r="W59" s="3">
        <f>IF(ISNUMBER(p_B!W59*LN(p_B!W59)),p_B!W59*LN(p_B!W59),0)</f>
        <v>0</v>
      </c>
      <c r="X59" s="3">
        <f>IF(ISNUMBER(p_B!X59*LN(p_B!X59)),p_B!X59*LN(p_B!X59),0)</f>
        <v>0</v>
      </c>
      <c r="Y59" s="3">
        <f>IF(ISNUMBER(p_B!Y59*LN(p_B!Y59)),p_B!Y59*LN(p_B!Y59),0)</f>
        <v>0</v>
      </c>
      <c r="Z59" s="3">
        <f>IF(ISNUMBER(p_B!Z59*LN(p_B!Z59)),p_B!Z59*LN(p_B!Z59),0)</f>
        <v>0</v>
      </c>
      <c r="AA59" s="3">
        <f>IF(ISNUMBER(p_B!AA59*LN(p_B!AA59)),p_B!AA59*LN(p_B!AA59),0)</f>
        <v>0</v>
      </c>
    </row>
    <row r="60" spans="1:27" x14ac:dyDescent="0.25">
      <c r="A60" t="s">
        <v>53</v>
      </c>
      <c r="B60" s="3">
        <f>IF(ISNUMBER(p_B!B60*LN(p_B!B60)),p_B!B60*LN(p_B!B60),0)</f>
        <v>-2.8005509238689195E-3</v>
      </c>
      <c r="C60" s="3">
        <f>IF(ISNUMBER(p_B!C60*LN(p_B!C60)),p_B!C60*LN(p_B!C60),0)</f>
        <v>0</v>
      </c>
      <c r="D60" s="3">
        <f>IF(ISNUMBER(p_B!D60*LN(p_B!D60)),p_B!D60*LN(p_B!D60),0)</f>
        <v>0</v>
      </c>
      <c r="E60" s="3">
        <f>IF(ISNUMBER(p_B!E60*LN(p_B!E60)),p_B!E60*LN(p_B!E60),0)</f>
        <v>0</v>
      </c>
      <c r="F60" s="3">
        <f>IF(ISNUMBER(p_B!F60*LN(p_B!F60)),p_B!F60*LN(p_B!F60),0)</f>
        <v>0</v>
      </c>
      <c r="G60" s="3">
        <f>IF(ISNUMBER(p_B!G60*LN(p_B!G60)),p_B!G60*LN(p_B!G60),0)</f>
        <v>0</v>
      </c>
      <c r="H60" s="3">
        <f>IF(ISNUMBER(p_B!H60*LN(p_B!H60)),p_B!H60*LN(p_B!H60),0)</f>
        <v>0</v>
      </c>
      <c r="I60" s="3">
        <f>IF(ISNUMBER(p_B!I60*LN(p_B!I60)),p_B!I60*LN(p_B!I60),0)</f>
        <v>0</v>
      </c>
      <c r="J60" s="3">
        <f>IF(ISNUMBER(p_B!J60*LN(p_B!J60)),p_B!J60*LN(p_B!J60),0)</f>
        <v>-1.6480665890640241E-2</v>
      </c>
      <c r="K60" s="3">
        <f>IF(ISNUMBER(p_B!K60*LN(p_B!K60)),p_B!K60*LN(p_B!K60),0)</f>
        <v>0</v>
      </c>
      <c r="L60" s="3">
        <f>IF(ISNUMBER(p_B!L60*LN(p_B!L60)),p_B!L60*LN(p_B!L60),0)</f>
        <v>0</v>
      </c>
      <c r="M60" s="3">
        <f>IF(ISNUMBER(p_B!M60*LN(p_B!M60)),p_B!M60*LN(p_B!M60),0)</f>
        <v>0</v>
      </c>
      <c r="N60" s="3">
        <f>IF(ISNUMBER(p_B!N60*LN(p_B!N60)),p_B!N60*LN(p_B!N60),0)</f>
        <v>0</v>
      </c>
      <c r="O60" s="3">
        <f>IF(ISNUMBER(p_B!O60*LN(p_B!O60)),p_B!O60*LN(p_B!O60),0)</f>
        <v>0</v>
      </c>
      <c r="P60" s="3">
        <f>IF(ISNUMBER(p_B!P60*LN(p_B!P60)),p_B!P60*LN(p_B!P60),0)</f>
        <v>0</v>
      </c>
      <c r="Q60" s="3">
        <f>IF(ISNUMBER(p_B!Q60*LN(p_B!Q60)),p_B!Q60*LN(p_B!Q60),0)</f>
        <v>0</v>
      </c>
      <c r="R60" s="3">
        <f>IF(ISNUMBER(p_B!R60*LN(p_B!R60)),p_B!R60*LN(p_B!R60),0)</f>
        <v>0</v>
      </c>
      <c r="S60" s="3">
        <f>IF(ISNUMBER(p_B!S60*LN(p_B!S60)),p_B!S60*LN(p_B!S60),0)</f>
        <v>0</v>
      </c>
      <c r="T60" s="3">
        <f>IF(ISNUMBER(p_B!T60*LN(p_B!T60)),p_B!T60*LN(p_B!T60),0)</f>
        <v>0</v>
      </c>
      <c r="U60" s="3">
        <f>IF(ISNUMBER(p_B!U60*LN(p_B!U60)),p_B!U60*LN(p_B!U60),0)</f>
        <v>0</v>
      </c>
      <c r="V60" s="3">
        <f>IF(ISNUMBER(p_B!V60*LN(p_B!V60)),p_B!V60*LN(p_B!V60),0)</f>
        <v>0</v>
      </c>
      <c r="W60" s="3">
        <f>IF(ISNUMBER(p_B!W60*LN(p_B!W60)),p_B!W60*LN(p_B!W60),0)</f>
        <v>0</v>
      </c>
      <c r="X60" s="3">
        <f>IF(ISNUMBER(p_B!X60*LN(p_B!X60)),p_B!X60*LN(p_B!X60),0)</f>
        <v>0</v>
      </c>
      <c r="Y60" s="3">
        <f>IF(ISNUMBER(p_B!Y60*LN(p_B!Y60)),p_B!Y60*LN(p_B!Y60),0)</f>
        <v>0</v>
      </c>
      <c r="Z60" s="3">
        <f>IF(ISNUMBER(p_B!Z60*LN(p_B!Z60)),p_B!Z60*LN(p_B!Z60),0)</f>
        <v>0</v>
      </c>
      <c r="AA60" s="3">
        <f>IF(ISNUMBER(p_B!AA60*LN(p_B!AA60)),p_B!AA60*LN(p_B!AA60),0)</f>
        <v>0</v>
      </c>
    </row>
    <row r="61" spans="1:27" x14ac:dyDescent="0.25">
      <c r="A61" t="s">
        <v>54</v>
      </c>
      <c r="B61" s="3">
        <f>IF(ISNUMBER(p_B!B61*LN(p_B!B61)),p_B!B61*LN(p_B!B61),0)</f>
        <v>-1.3537407696097112E-2</v>
      </c>
      <c r="C61" s="3">
        <f>IF(ISNUMBER(p_B!C61*LN(p_B!C61)),p_B!C61*LN(p_B!C61),0)</f>
        <v>0</v>
      </c>
      <c r="D61" s="3">
        <f>IF(ISNUMBER(p_B!D61*LN(p_B!D61)),p_B!D61*LN(p_B!D61),0)</f>
        <v>0</v>
      </c>
      <c r="E61" s="3">
        <f>IF(ISNUMBER(p_B!E61*LN(p_B!E61)),p_B!E61*LN(p_B!E61),0)</f>
        <v>0</v>
      </c>
      <c r="F61" s="3">
        <f>IF(ISNUMBER(p_B!F61*LN(p_B!F61)),p_B!F61*LN(p_B!F61),0)</f>
        <v>0</v>
      </c>
      <c r="G61" s="3">
        <f>IF(ISNUMBER(p_B!G61*LN(p_B!G61)),p_B!G61*LN(p_B!G61),0)</f>
        <v>0</v>
      </c>
      <c r="H61" s="3">
        <f>IF(ISNUMBER(p_B!H61*LN(p_B!H61)),p_B!H61*LN(p_B!H61),0)</f>
        <v>0</v>
      </c>
      <c r="I61" s="3">
        <f>IF(ISNUMBER(p_B!I61*LN(p_B!I61)),p_B!I61*LN(p_B!I61),0)</f>
        <v>0</v>
      </c>
      <c r="J61" s="3">
        <f>IF(ISNUMBER(p_B!J61*LN(p_B!J61)),p_B!J61*LN(p_B!J61),0)</f>
        <v>-5.8549829430219781E-2</v>
      </c>
      <c r="K61" s="3">
        <f>IF(ISNUMBER(p_B!K61*LN(p_B!K61)),p_B!K61*LN(p_B!K61),0)</f>
        <v>0</v>
      </c>
      <c r="L61" s="3">
        <f>IF(ISNUMBER(p_B!L61*LN(p_B!L61)),p_B!L61*LN(p_B!L61),0)</f>
        <v>0</v>
      </c>
      <c r="M61" s="3">
        <f>IF(ISNUMBER(p_B!M61*LN(p_B!M61)),p_B!M61*LN(p_B!M61),0)</f>
        <v>0</v>
      </c>
      <c r="N61" s="3">
        <f>IF(ISNUMBER(p_B!N61*LN(p_B!N61)),p_B!N61*LN(p_B!N61),0)</f>
        <v>0</v>
      </c>
      <c r="O61" s="3">
        <f>IF(ISNUMBER(p_B!O61*LN(p_B!O61)),p_B!O61*LN(p_B!O61),0)</f>
        <v>0</v>
      </c>
      <c r="P61" s="3">
        <f>IF(ISNUMBER(p_B!P61*LN(p_B!P61)),p_B!P61*LN(p_B!P61),0)</f>
        <v>0</v>
      </c>
      <c r="Q61" s="3">
        <f>IF(ISNUMBER(p_B!Q61*LN(p_B!Q61)),p_B!Q61*LN(p_B!Q61),0)</f>
        <v>0</v>
      </c>
      <c r="R61" s="3">
        <f>IF(ISNUMBER(p_B!R61*LN(p_B!R61)),p_B!R61*LN(p_B!R61),0)</f>
        <v>0</v>
      </c>
      <c r="S61" s="3">
        <f>IF(ISNUMBER(p_B!S61*LN(p_B!S61)),p_B!S61*LN(p_B!S61),0)</f>
        <v>0</v>
      </c>
      <c r="T61" s="3">
        <f>IF(ISNUMBER(p_B!T61*LN(p_B!T61)),p_B!T61*LN(p_B!T61),0)</f>
        <v>0</v>
      </c>
      <c r="U61" s="3">
        <f>IF(ISNUMBER(p_B!U61*LN(p_B!U61)),p_B!U61*LN(p_B!U61),0)</f>
        <v>0</v>
      </c>
      <c r="V61" s="3">
        <f>IF(ISNUMBER(p_B!V61*LN(p_B!V61)),p_B!V61*LN(p_B!V61),0)</f>
        <v>0</v>
      </c>
      <c r="W61" s="3">
        <f>IF(ISNUMBER(p_B!W61*LN(p_B!W61)),p_B!W61*LN(p_B!W61),0)</f>
        <v>0</v>
      </c>
      <c r="X61" s="3">
        <f>IF(ISNUMBER(p_B!X61*LN(p_B!X61)),p_B!X61*LN(p_B!X61),0)</f>
        <v>0</v>
      </c>
      <c r="Y61" s="3">
        <f>IF(ISNUMBER(p_B!Y61*LN(p_B!Y61)),p_B!Y61*LN(p_B!Y61),0)</f>
        <v>0</v>
      </c>
      <c r="Z61" s="3">
        <f>IF(ISNUMBER(p_B!Z61*LN(p_B!Z61)),p_B!Z61*LN(p_B!Z61),0)</f>
        <v>0</v>
      </c>
      <c r="AA61" s="3">
        <f>IF(ISNUMBER(p_B!AA61*LN(p_B!AA61)),p_B!AA61*LN(p_B!AA61),0)</f>
        <v>0</v>
      </c>
    </row>
    <row r="62" spans="1:27" x14ac:dyDescent="0.25">
      <c r="A62" t="s">
        <v>55</v>
      </c>
      <c r="B62" s="3">
        <f>IF(ISNUMBER(p_B!B62*LN(p_B!B62)),p_B!B62*LN(p_B!B62),0)</f>
        <v>-0.15021134593060084</v>
      </c>
      <c r="C62" s="3">
        <f>IF(ISNUMBER(p_B!C62*LN(p_B!C62)),p_B!C62*LN(p_B!C62),0)</f>
        <v>0</v>
      </c>
      <c r="D62" s="3">
        <f>IF(ISNUMBER(p_B!D62*LN(p_B!D62)),p_B!D62*LN(p_B!D62),0)</f>
        <v>0</v>
      </c>
      <c r="E62" s="3">
        <f>IF(ISNUMBER(p_B!E62*LN(p_B!E62)),p_B!E62*LN(p_B!E62),0)</f>
        <v>0</v>
      </c>
      <c r="F62" s="3">
        <f>IF(ISNUMBER(p_B!F62*LN(p_B!F62)),p_B!F62*LN(p_B!F62),0)</f>
        <v>0</v>
      </c>
      <c r="G62" s="3">
        <f>IF(ISNUMBER(p_B!G62*LN(p_B!G62)),p_B!G62*LN(p_B!G62),0)</f>
        <v>0</v>
      </c>
      <c r="H62" s="3">
        <f>IF(ISNUMBER(p_B!H62*LN(p_B!H62)),p_B!H62*LN(p_B!H62),0)</f>
        <v>0</v>
      </c>
      <c r="I62" s="3">
        <f>IF(ISNUMBER(p_B!I62*LN(p_B!I62)),p_B!I62*LN(p_B!I62),0)</f>
        <v>0</v>
      </c>
      <c r="J62" s="3">
        <f>IF(ISNUMBER(p_B!J62*LN(p_B!J62)),p_B!J62*LN(p_B!J62),0)</f>
        <v>0</v>
      </c>
      <c r="K62" s="3">
        <f>IF(ISNUMBER(p_B!K62*LN(p_B!K62)),p_B!K62*LN(p_B!K62),0)</f>
        <v>0</v>
      </c>
      <c r="L62" s="3">
        <f>IF(ISNUMBER(p_B!L62*LN(p_B!L62)),p_B!L62*LN(p_B!L62),0)</f>
        <v>0</v>
      </c>
      <c r="M62" s="3">
        <f>IF(ISNUMBER(p_B!M62*LN(p_B!M62)),p_B!M62*LN(p_B!M62),0)</f>
        <v>0</v>
      </c>
      <c r="N62" s="3">
        <f>IF(ISNUMBER(p_B!N62*LN(p_B!N62)),p_B!N62*LN(p_B!N62),0)</f>
        <v>0</v>
      </c>
      <c r="O62" s="3">
        <f>IF(ISNUMBER(p_B!O62*LN(p_B!O62)),p_B!O62*LN(p_B!O62),0)</f>
        <v>0</v>
      </c>
      <c r="P62" s="3">
        <f>IF(ISNUMBER(p_B!P62*LN(p_B!P62)),p_B!P62*LN(p_B!P62),0)</f>
        <v>-0.18324685969036392</v>
      </c>
      <c r="Q62" s="3">
        <f>IF(ISNUMBER(p_B!Q62*LN(p_B!Q62)),p_B!Q62*LN(p_B!Q62),0)</f>
        <v>-0.22536679477235763</v>
      </c>
      <c r="R62" s="3">
        <f>IF(ISNUMBER(p_B!R62*LN(p_B!R62)),p_B!R62*LN(p_B!R62),0)</f>
        <v>0</v>
      </c>
      <c r="S62" s="3">
        <f>IF(ISNUMBER(p_B!S62*LN(p_B!S62)),p_B!S62*LN(p_B!S62),0)</f>
        <v>0</v>
      </c>
      <c r="T62" s="3">
        <f>IF(ISNUMBER(p_B!T62*LN(p_B!T62)),p_B!T62*LN(p_B!T62),0)</f>
        <v>0</v>
      </c>
      <c r="U62" s="3">
        <f>IF(ISNUMBER(p_B!U62*LN(p_B!U62)),p_B!U62*LN(p_B!U62),0)</f>
        <v>0</v>
      </c>
      <c r="V62" s="3">
        <f>IF(ISNUMBER(p_B!V62*LN(p_B!V62)),p_B!V62*LN(p_B!V62),0)</f>
        <v>0</v>
      </c>
      <c r="W62" s="3">
        <f>IF(ISNUMBER(p_B!W62*LN(p_B!W62)),p_B!W62*LN(p_B!W62),0)</f>
        <v>0</v>
      </c>
      <c r="X62" s="3">
        <f>IF(ISNUMBER(p_B!X62*LN(p_B!X62)),p_B!X62*LN(p_B!X62),0)</f>
        <v>0</v>
      </c>
      <c r="Y62" s="3">
        <f>IF(ISNUMBER(p_B!Y62*LN(p_B!Y62)),p_B!Y62*LN(p_B!Y62),0)</f>
        <v>0</v>
      </c>
      <c r="Z62" s="3">
        <f>IF(ISNUMBER(p_B!Z62*LN(p_B!Z62)),p_B!Z62*LN(p_B!Z62),0)</f>
        <v>0</v>
      </c>
      <c r="AA62" s="3">
        <f>IF(ISNUMBER(p_B!AA62*LN(p_B!AA62)),p_B!AA62*LN(p_B!AA62),0)</f>
        <v>0</v>
      </c>
    </row>
    <row r="63" spans="1:27" x14ac:dyDescent="0.25">
      <c r="A63" t="s">
        <v>56</v>
      </c>
      <c r="B63" s="3">
        <f>IF(ISNUMBER(p_B!B63*LN(p_B!B63)),p_B!B63*LN(p_B!B63),0)</f>
        <v>-0.19327637738294598</v>
      </c>
      <c r="C63" s="3">
        <f>IF(ISNUMBER(p_B!C63*LN(p_B!C63)),p_B!C63*LN(p_B!C63),0)</f>
        <v>0</v>
      </c>
      <c r="D63" s="3">
        <f>IF(ISNUMBER(p_B!D63*LN(p_B!D63)),p_B!D63*LN(p_B!D63),0)</f>
        <v>0</v>
      </c>
      <c r="E63" s="3">
        <f>IF(ISNUMBER(p_B!E63*LN(p_B!E63)),p_B!E63*LN(p_B!E63),0)</f>
        <v>0</v>
      </c>
      <c r="F63" s="3">
        <f>IF(ISNUMBER(p_B!F63*LN(p_B!F63)),p_B!F63*LN(p_B!F63),0)</f>
        <v>0</v>
      </c>
      <c r="G63" s="3">
        <f>IF(ISNUMBER(p_B!G63*LN(p_B!G63)),p_B!G63*LN(p_B!G63),0)</f>
        <v>0</v>
      </c>
      <c r="H63" s="3">
        <f>IF(ISNUMBER(p_B!H63*LN(p_B!H63)),p_B!H63*LN(p_B!H63),0)</f>
        <v>0</v>
      </c>
      <c r="I63" s="3">
        <f>IF(ISNUMBER(p_B!I63*LN(p_B!I63)),p_B!I63*LN(p_B!I63),0)</f>
        <v>0</v>
      </c>
      <c r="J63" s="3">
        <f>IF(ISNUMBER(p_B!J63*LN(p_B!J63)),p_B!J63*LN(p_B!J63),0)</f>
        <v>-6.0349347410323783E-3</v>
      </c>
      <c r="K63" s="3">
        <f>IF(ISNUMBER(p_B!K63*LN(p_B!K63)),p_B!K63*LN(p_B!K63),0)</f>
        <v>0</v>
      </c>
      <c r="L63" s="3">
        <f>IF(ISNUMBER(p_B!L63*LN(p_B!L63)),p_B!L63*LN(p_B!L63),0)</f>
        <v>0</v>
      </c>
      <c r="M63" s="3">
        <f>IF(ISNUMBER(p_B!M63*LN(p_B!M63)),p_B!M63*LN(p_B!M63),0)</f>
        <v>0</v>
      </c>
      <c r="N63" s="3">
        <f>IF(ISNUMBER(p_B!N63*LN(p_B!N63)),p_B!N63*LN(p_B!N63),0)</f>
        <v>0</v>
      </c>
      <c r="O63" s="3">
        <f>IF(ISNUMBER(p_B!O63*LN(p_B!O63)),p_B!O63*LN(p_B!O63),0)</f>
        <v>0</v>
      </c>
      <c r="P63" s="3">
        <f>IF(ISNUMBER(p_B!P63*LN(p_B!P63)),p_B!P63*LN(p_B!P63),0)</f>
        <v>0</v>
      </c>
      <c r="Q63" s="3">
        <f>IF(ISNUMBER(p_B!Q63*LN(p_B!Q63)),p_B!Q63*LN(p_B!Q63),0)</f>
        <v>-0.2983726637242507</v>
      </c>
      <c r="R63" s="3">
        <f>IF(ISNUMBER(p_B!R63*LN(p_B!R63)),p_B!R63*LN(p_B!R63),0)</f>
        <v>0</v>
      </c>
      <c r="S63" s="3">
        <f>IF(ISNUMBER(p_B!S63*LN(p_B!S63)),p_B!S63*LN(p_B!S63),0)</f>
        <v>0</v>
      </c>
      <c r="T63" s="3">
        <f>IF(ISNUMBER(p_B!T63*LN(p_B!T63)),p_B!T63*LN(p_B!T63),0)</f>
        <v>-0.15394070896204207</v>
      </c>
      <c r="U63" s="3">
        <f>IF(ISNUMBER(p_B!U63*LN(p_B!U63)),p_B!U63*LN(p_B!U63),0)</f>
        <v>0</v>
      </c>
      <c r="V63" s="3">
        <f>IF(ISNUMBER(p_B!V63*LN(p_B!V63)),p_B!V63*LN(p_B!V63),0)</f>
        <v>0</v>
      </c>
      <c r="W63" s="3">
        <f>IF(ISNUMBER(p_B!W63*LN(p_B!W63)),p_B!W63*LN(p_B!W63),0)</f>
        <v>0</v>
      </c>
      <c r="X63" s="3">
        <f>IF(ISNUMBER(p_B!X63*LN(p_B!X63)),p_B!X63*LN(p_B!X63),0)</f>
        <v>0</v>
      </c>
      <c r="Y63" s="3">
        <f>IF(ISNUMBER(p_B!Y63*LN(p_B!Y63)),p_B!Y63*LN(p_B!Y63),0)</f>
        <v>0</v>
      </c>
      <c r="Z63" s="3">
        <f>IF(ISNUMBER(p_B!Z63*LN(p_B!Z63)),p_B!Z63*LN(p_B!Z63),0)</f>
        <v>0</v>
      </c>
      <c r="AA63" s="3">
        <f>IF(ISNUMBER(p_B!AA63*LN(p_B!AA63)),p_B!AA63*LN(p_B!AA63),0)</f>
        <v>0</v>
      </c>
    </row>
    <row r="64" spans="1:27" x14ac:dyDescent="0.25">
      <c r="A64" t="s">
        <v>57</v>
      </c>
      <c r="B64" s="3">
        <f>IF(ISNUMBER(p_B!B64*LN(p_B!B64)),p_B!B64*LN(p_B!B64),0)</f>
        <v>-0.36571814990248824</v>
      </c>
      <c r="C64" s="3">
        <f>IF(ISNUMBER(p_B!C64*LN(p_B!C64)),p_B!C64*LN(p_B!C64),0)</f>
        <v>0</v>
      </c>
      <c r="D64" s="3">
        <f>IF(ISNUMBER(p_B!D64*LN(p_B!D64)),p_B!D64*LN(p_B!D64),0)</f>
        <v>0</v>
      </c>
      <c r="E64" s="3">
        <f>IF(ISNUMBER(p_B!E64*LN(p_B!E64)),p_B!E64*LN(p_B!E64),0)</f>
        <v>0</v>
      </c>
      <c r="F64" s="3">
        <f>IF(ISNUMBER(p_B!F64*LN(p_B!F64)),p_B!F64*LN(p_B!F64),0)</f>
        <v>0</v>
      </c>
      <c r="G64" s="3">
        <f>IF(ISNUMBER(p_B!G64*LN(p_B!G64)),p_B!G64*LN(p_B!G64),0)</f>
        <v>0</v>
      </c>
      <c r="H64" s="3">
        <f>IF(ISNUMBER(p_B!H64*LN(p_B!H64)),p_B!H64*LN(p_B!H64),0)</f>
        <v>0</v>
      </c>
      <c r="I64" s="3">
        <f>IF(ISNUMBER(p_B!I64*LN(p_B!I64)),p_B!I64*LN(p_B!I64),0)</f>
        <v>0</v>
      </c>
      <c r="J64" s="3">
        <f>IF(ISNUMBER(p_B!J64*LN(p_B!J64)),p_B!J64*LN(p_B!J64),0)</f>
        <v>0</v>
      </c>
      <c r="K64" s="3">
        <f>IF(ISNUMBER(p_B!K64*LN(p_B!K64)),p_B!K64*LN(p_B!K64),0)</f>
        <v>0</v>
      </c>
      <c r="L64" s="3">
        <f>IF(ISNUMBER(p_B!L64*LN(p_B!L64)),p_B!L64*LN(p_B!L64),0)</f>
        <v>0</v>
      </c>
      <c r="M64" s="3">
        <f>IF(ISNUMBER(p_B!M64*LN(p_B!M64)),p_B!M64*LN(p_B!M64),0)</f>
        <v>0</v>
      </c>
      <c r="N64" s="3">
        <f>IF(ISNUMBER(p_B!N64*LN(p_B!N64)),p_B!N64*LN(p_B!N64),0)</f>
        <v>0</v>
      </c>
      <c r="O64" s="3">
        <f>IF(ISNUMBER(p_B!O64*LN(p_B!O64)),p_B!O64*LN(p_B!O64),0)</f>
        <v>0</v>
      </c>
      <c r="P64" s="3">
        <f>IF(ISNUMBER(p_B!P64*LN(p_B!P64)),p_B!P64*LN(p_B!P64),0)</f>
        <v>0</v>
      </c>
      <c r="Q64" s="3">
        <f>IF(ISNUMBER(p_B!Q64*LN(p_B!Q64)),p_B!Q64*LN(p_B!Q64),0)</f>
        <v>-0.31057895674216929</v>
      </c>
      <c r="R64" s="3">
        <f>IF(ISNUMBER(p_B!R64*LN(p_B!R64)),p_B!R64*LN(p_B!R64),0)</f>
        <v>0</v>
      </c>
      <c r="S64" s="3">
        <f>IF(ISNUMBER(p_B!S64*LN(p_B!S64)),p_B!S64*LN(p_B!S64),0)</f>
        <v>0</v>
      </c>
      <c r="T64" s="3">
        <f>IF(ISNUMBER(p_B!T64*LN(p_B!T64)),p_B!T64*LN(p_B!T64),0)</f>
        <v>0</v>
      </c>
      <c r="U64" s="3">
        <f>IF(ISNUMBER(p_B!U64*LN(p_B!U64)),p_B!U64*LN(p_B!U64),0)</f>
        <v>0</v>
      </c>
      <c r="V64" s="3">
        <f>IF(ISNUMBER(p_B!V64*LN(p_B!V64)),p_B!V64*LN(p_B!V64),0)</f>
        <v>0</v>
      </c>
      <c r="W64" s="3">
        <f>IF(ISNUMBER(p_B!W64*LN(p_B!W64)),p_B!W64*LN(p_B!W64),0)</f>
        <v>0</v>
      </c>
      <c r="X64" s="3">
        <f>IF(ISNUMBER(p_B!X64*LN(p_B!X64)),p_B!X64*LN(p_B!X64),0)</f>
        <v>0</v>
      </c>
      <c r="Y64" s="3">
        <f>IF(ISNUMBER(p_B!Y64*LN(p_B!Y64)),p_B!Y64*LN(p_B!Y64),0)</f>
        <v>0</v>
      </c>
      <c r="Z64" s="3">
        <f>IF(ISNUMBER(p_B!Z64*LN(p_B!Z64)),p_B!Z64*LN(p_B!Z64),0)</f>
        <v>0</v>
      </c>
      <c r="AA64" s="3">
        <f>IF(ISNUMBER(p_B!AA64*LN(p_B!AA64)),p_B!AA64*LN(p_B!AA64),0)</f>
        <v>0</v>
      </c>
    </row>
    <row r="65" spans="1:27" x14ac:dyDescent="0.25">
      <c r="A65" t="s">
        <v>59</v>
      </c>
      <c r="B65" s="3">
        <f>IF(ISNUMBER(p_B!B65*LN(p_B!B65)),p_B!B65*LN(p_B!B65),0)</f>
        <v>-0.10309285240891232</v>
      </c>
      <c r="C65" s="3">
        <f>IF(ISNUMBER(p_B!C65*LN(p_B!C65)),p_B!C65*LN(p_B!C65),0)</f>
        <v>0</v>
      </c>
      <c r="D65" s="3">
        <f>IF(ISNUMBER(p_B!D65*LN(p_B!D65)),p_B!D65*LN(p_B!D65),0)</f>
        <v>0</v>
      </c>
      <c r="E65" s="3">
        <f>IF(ISNUMBER(p_B!E65*LN(p_B!E65)),p_B!E65*LN(p_B!E65),0)</f>
        <v>0</v>
      </c>
      <c r="F65" s="3">
        <f>IF(ISNUMBER(p_B!F65*LN(p_B!F65)),p_B!F65*LN(p_B!F65),0)</f>
        <v>0</v>
      </c>
      <c r="G65" s="3">
        <f>IF(ISNUMBER(p_B!G65*LN(p_B!G65)),p_B!G65*LN(p_B!G65),0)</f>
        <v>0</v>
      </c>
      <c r="H65" s="3">
        <f>IF(ISNUMBER(p_B!H65*LN(p_B!H65)),p_B!H65*LN(p_B!H65),0)</f>
        <v>0</v>
      </c>
      <c r="I65" s="3">
        <f>IF(ISNUMBER(p_B!I65*LN(p_B!I65)),p_B!I65*LN(p_B!I65),0)</f>
        <v>0</v>
      </c>
      <c r="J65" s="3">
        <f>IF(ISNUMBER(p_B!J65*LN(p_B!J65)),p_B!J65*LN(p_B!J65),0)</f>
        <v>0</v>
      </c>
      <c r="K65" s="3">
        <f>IF(ISNUMBER(p_B!K65*LN(p_B!K65)),p_B!K65*LN(p_B!K65),0)</f>
        <v>0</v>
      </c>
      <c r="L65" s="3">
        <f>IF(ISNUMBER(p_B!L65*LN(p_B!L65)),p_B!L65*LN(p_B!L65),0)</f>
        <v>0</v>
      </c>
      <c r="M65" s="3">
        <f>IF(ISNUMBER(p_B!M65*LN(p_B!M65)),p_B!M65*LN(p_B!M65),0)</f>
        <v>0</v>
      </c>
      <c r="N65" s="3">
        <f>IF(ISNUMBER(p_B!N65*LN(p_B!N65)),p_B!N65*LN(p_B!N65),0)</f>
        <v>0</v>
      </c>
      <c r="O65" s="3">
        <f>IF(ISNUMBER(p_B!O65*LN(p_B!O65)),p_B!O65*LN(p_B!O65),0)</f>
        <v>0</v>
      </c>
      <c r="P65" s="3">
        <f>IF(ISNUMBER(p_B!P65*LN(p_B!P65)),p_B!P65*LN(p_B!P65),0)</f>
        <v>0</v>
      </c>
      <c r="Q65" s="3">
        <f>IF(ISNUMBER(p_B!Q65*LN(p_B!Q65)),p_B!Q65*LN(p_B!Q65),0)</f>
        <v>-0.24194805373742992</v>
      </c>
      <c r="R65" s="3">
        <f>IF(ISNUMBER(p_B!R65*LN(p_B!R65)),p_B!R65*LN(p_B!R65),0)</f>
        <v>0</v>
      </c>
      <c r="S65" s="3">
        <f>IF(ISNUMBER(p_B!S65*LN(p_B!S65)),p_B!S65*LN(p_B!S65),0)</f>
        <v>0</v>
      </c>
      <c r="T65" s="3">
        <f>IF(ISNUMBER(p_B!T65*LN(p_B!T65)),p_B!T65*LN(p_B!T65),0)</f>
        <v>0</v>
      </c>
      <c r="U65" s="3">
        <f>IF(ISNUMBER(p_B!U65*LN(p_B!U65)),p_B!U65*LN(p_B!U65),0)</f>
        <v>0</v>
      </c>
      <c r="V65" s="3">
        <f>IF(ISNUMBER(p_B!V65*LN(p_B!V65)),p_B!V65*LN(p_B!V65),0)</f>
        <v>0</v>
      </c>
      <c r="W65" s="3">
        <f>IF(ISNUMBER(p_B!W65*LN(p_B!W65)),p_B!W65*LN(p_B!W65),0)</f>
        <v>0</v>
      </c>
      <c r="X65" s="3">
        <f>IF(ISNUMBER(p_B!X65*LN(p_B!X65)),p_B!X65*LN(p_B!X65),0)</f>
        <v>0</v>
      </c>
      <c r="Y65" s="3">
        <f>IF(ISNUMBER(p_B!Y65*LN(p_B!Y65)),p_B!Y65*LN(p_B!Y65),0)</f>
        <v>0</v>
      </c>
      <c r="Z65" s="3">
        <f>IF(ISNUMBER(p_B!Z65*LN(p_B!Z65)),p_B!Z65*LN(p_B!Z65),0)</f>
        <v>0</v>
      </c>
      <c r="AA65" s="3">
        <f>IF(ISNUMBER(p_B!AA65*LN(p_B!AA65)),p_B!AA65*LN(p_B!AA65),0)</f>
        <v>0</v>
      </c>
    </row>
    <row r="66" spans="1:27" x14ac:dyDescent="0.25">
      <c r="A66" t="s">
        <v>60</v>
      </c>
      <c r="B66" s="3">
        <f>IF(ISNUMBER(p_B!B66*LN(p_B!B66)),p_B!B66*LN(p_B!B66),0)</f>
        <v>-0.28983988479038159</v>
      </c>
      <c r="C66" s="3">
        <f>IF(ISNUMBER(p_B!C66*LN(p_B!C66)),p_B!C66*LN(p_B!C66),0)</f>
        <v>0</v>
      </c>
      <c r="D66" s="3">
        <f>IF(ISNUMBER(p_B!D66*LN(p_B!D66)),p_B!D66*LN(p_B!D66),0)</f>
        <v>0</v>
      </c>
      <c r="E66" s="3">
        <f>IF(ISNUMBER(p_B!E66*LN(p_B!E66)),p_B!E66*LN(p_B!E66),0)</f>
        <v>0</v>
      </c>
      <c r="F66" s="3">
        <f>IF(ISNUMBER(p_B!F66*LN(p_B!F66)),p_B!F66*LN(p_B!F66),0)</f>
        <v>0</v>
      </c>
      <c r="G66" s="3">
        <f>IF(ISNUMBER(p_B!G66*LN(p_B!G66)),p_B!G66*LN(p_B!G66),0)</f>
        <v>-0.35165483795684782</v>
      </c>
      <c r="H66" s="3">
        <f>IF(ISNUMBER(p_B!H66*LN(p_B!H66)),p_B!H66*LN(p_B!H66),0)</f>
        <v>0</v>
      </c>
      <c r="I66" s="3">
        <f>IF(ISNUMBER(p_B!I66*LN(p_B!I66)),p_B!I66*LN(p_B!I66),0)</f>
        <v>0</v>
      </c>
      <c r="J66" s="3">
        <f>IF(ISNUMBER(p_B!J66*LN(p_B!J66)),p_B!J66*LN(p_B!J66),0)</f>
        <v>-1.7132199272523589E-3</v>
      </c>
      <c r="K66" s="3">
        <f>IF(ISNUMBER(p_B!K66*LN(p_B!K66)),p_B!K66*LN(p_B!K66),0)</f>
        <v>0</v>
      </c>
      <c r="L66" s="3">
        <f>IF(ISNUMBER(p_B!L66*LN(p_B!L66)),p_B!L66*LN(p_B!L66),0)</f>
        <v>0</v>
      </c>
      <c r="M66" s="3">
        <f>IF(ISNUMBER(p_B!M66*LN(p_B!M66)),p_B!M66*LN(p_B!M66),0)</f>
        <v>0</v>
      </c>
      <c r="N66" s="3">
        <f>IF(ISNUMBER(p_B!N66*LN(p_B!N66)),p_B!N66*LN(p_B!N66),0)</f>
        <v>0</v>
      </c>
      <c r="O66" s="3">
        <f>IF(ISNUMBER(p_B!O66*LN(p_B!O66)),p_B!O66*LN(p_B!O66),0)</f>
        <v>0</v>
      </c>
      <c r="P66" s="3">
        <f>IF(ISNUMBER(p_B!P66*LN(p_B!P66)),p_B!P66*LN(p_B!P66),0)</f>
        <v>0</v>
      </c>
      <c r="Q66" s="3">
        <f>IF(ISNUMBER(p_B!Q66*LN(p_B!Q66)),p_B!Q66*LN(p_B!Q66),0)</f>
        <v>-0.3161169855182398</v>
      </c>
      <c r="R66" s="3">
        <f>IF(ISNUMBER(p_B!R66*LN(p_B!R66)),p_B!R66*LN(p_B!R66),0)</f>
        <v>0</v>
      </c>
      <c r="S66" s="3">
        <f>IF(ISNUMBER(p_B!S66*LN(p_B!S66)),p_B!S66*LN(p_B!S66),0)</f>
        <v>0</v>
      </c>
      <c r="T66" s="3">
        <f>IF(ISNUMBER(p_B!T66*LN(p_B!T66)),p_B!T66*LN(p_B!T66),0)</f>
        <v>0</v>
      </c>
      <c r="U66" s="3">
        <f>IF(ISNUMBER(p_B!U66*LN(p_B!U66)),p_B!U66*LN(p_B!U66),0)</f>
        <v>0</v>
      </c>
      <c r="V66" s="3">
        <f>IF(ISNUMBER(p_B!V66*LN(p_B!V66)),p_B!V66*LN(p_B!V66),0)</f>
        <v>0</v>
      </c>
      <c r="W66" s="3">
        <f>IF(ISNUMBER(p_B!W66*LN(p_B!W66)),p_B!W66*LN(p_B!W66),0)</f>
        <v>0</v>
      </c>
      <c r="X66" s="3">
        <f>IF(ISNUMBER(p_B!X66*LN(p_B!X66)),p_B!X66*LN(p_B!X66),0)</f>
        <v>0</v>
      </c>
      <c r="Y66" s="3">
        <f>IF(ISNUMBER(p_B!Y66*LN(p_B!Y66)),p_B!Y66*LN(p_B!Y66),0)</f>
        <v>0</v>
      </c>
      <c r="Z66" s="3">
        <f>IF(ISNUMBER(p_B!Z66*LN(p_B!Z66)),p_B!Z66*LN(p_B!Z66),0)</f>
        <v>0</v>
      </c>
      <c r="AA66" s="3">
        <f>IF(ISNUMBER(p_B!AA66*LN(p_B!AA66)),p_B!AA66*LN(p_B!AA66),0)</f>
        <v>0</v>
      </c>
    </row>
    <row r="67" spans="1:27" x14ac:dyDescent="0.25">
      <c r="A67" t="s">
        <v>61</v>
      </c>
      <c r="B67" s="3">
        <f>IF(ISNUMBER(p_B!B67*LN(p_B!B67)),p_B!B67*LN(p_B!B67),0)</f>
        <v>-5.4705016158840452E-3</v>
      </c>
      <c r="C67" s="3">
        <f>IF(ISNUMBER(p_B!C67*LN(p_B!C67)),p_B!C67*LN(p_B!C67),0)</f>
        <v>0</v>
      </c>
      <c r="D67" s="3">
        <f>IF(ISNUMBER(p_B!D67*LN(p_B!D67)),p_B!D67*LN(p_B!D67),0)</f>
        <v>0</v>
      </c>
      <c r="E67" s="3">
        <f>IF(ISNUMBER(p_B!E67*LN(p_B!E67)),p_B!E67*LN(p_B!E67),0)</f>
        <v>0</v>
      </c>
      <c r="F67" s="3">
        <f>IF(ISNUMBER(p_B!F67*LN(p_B!F67)),p_B!F67*LN(p_B!F67),0)</f>
        <v>0</v>
      </c>
      <c r="G67" s="3">
        <f>IF(ISNUMBER(p_B!G67*LN(p_B!G67)),p_B!G67*LN(p_B!G67),0)</f>
        <v>0</v>
      </c>
      <c r="H67" s="3">
        <f>IF(ISNUMBER(p_B!H67*LN(p_B!H67)),p_B!H67*LN(p_B!H67),0)</f>
        <v>0</v>
      </c>
      <c r="I67" s="3">
        <f>IF(ISNUMBER(p_B!I67*LN(p_B!I67)),p_B!I67*LN(p_B!I67),0)</f>
        <v>0</v>
      </c>
      <c r="J67" s="3">
        <f>IF(ISNUMBER(p_B!J67*LN(p_B!J67)),p_B!J67*LN(p_B!J67),0)</f>
        <v>-2.8555892087273497E-2</v>
      </c>
      <c r="K67" s="3">
        <f>IF(ISNUMBER(p_B!K67*LN(p_B!K67)),p_B!K67*LN(p_B!K67),0)</f>
        <v>0</v>
      </c>
      <c r="L67" s="3">
        <f>IF(ISNUMBER(p_B!L67*LN(p_B!L67)),p_B!L67*LN(p_B!L67),0)</f>
        <v>0</v>
      </c>
      <c r="M67" s="3">
        <f>IF(ISNUMBER(p_B!M67*LN(p_B!M67)),p_B!M67*LN(p_B!M67),0)</f>
        <v>0</v>
      </c>
      <c r="N67" s="3">
        <f>IF(ISNUMBER(p_B!N67*LN(p_B!N67)),p_B!N67*LN(p_B!N67),0)</f>
        <v>0</v>
      </c>
      <c r="O67" s="3">
        <f>IF(ISNUMBER(p_B!O67*LN(p_B!O67)),p_B!O67*LN(p_B!O67),0)</f>
        <v>0</v>
      </c>
      <c r="P67" s="3">
        <f>IF(ISNUMBER(p_B!P67*LN(p_B!P67)),p_B!P67*LN(p_B!P67),0)</f>
        <v>0</v>
      </c>
      <c r="Q67" s="3">
        <f>IF(ISNUMBER(p_B!Q67*LN(p_B!Q67)),p_B!Q67*LN(p_B!Q67),0)</f>
        <v>0</v>
      </c>
      <c r="R67" s="3">
        <f>IF(ISNUMBER(p_B!R67*LN(p_B!R67)),p_B!R67*LN(p_B!R67),0)</f>
        <v>0</v>
      </c>
      <c r="S67" s="3">
        <f>IF(ISNUMBER(p_B!S67*LN(p_B!S67)),p_B!S67*LN(p_B!S67),0)</f>
        <v>0</v>
      </c>
      <c r="T67" s="3">
        <f>IF(ISNUMBER(p_B!T67*LN(p_B!T67)),p_B!T67*LN(p_B!T67),0)</f>
        <v>0</v>
      </c>
      <c r="U67" s="3">
        <f>IF(ISNUMBER(p_B!U67*LN(p_B!U67)),p_B!U67*LN(p_B!U67),0)</f>
        <v>0</v>
      </c>
      <c r="V67" s="3">
        <f>IF(ISNUMBER(p_B!V67*LN(p_B!V67)),p_B!V67*LN(p_B!V67),0)</f>
        <v>0</v>
      </c>
      <c r="W67" s="3">
        <f>IF(ISNUMBER(p_B!W67*LN(p_B!W67)),p_B!W67*LN(p_B!W67),0)</f>
        <v>0</v>
      </c>
      <c r="X67" s="3">
        <f>IF(ISNUMBER(p_B!X67*LN(p_B!X67)),p_B!X67*LN(p_B!X67),0)</f>
        <v>0</v>
      </c>
      <c r="Y67" s="3">
        <f>IF(ISNUMBER(p_B!Y67*LN(p_B!Y67)),p_B!Y67*LN(p_B!Y67),0)</f>
        <v>0</v>
      </c>
      <c r="Z67" s="3">
        <f>IF(ISNUMBER(p_B!Z67*LN(p_B!Z67)),p_B!Z67*LN(p_B!Z67),0)</f>
        <v>0</v>
      </c>
      <c r="AA67" s="3">
        <f>IF(ISNUMBER(p_B!AA67*LN(p_B!AA67)),p_B!AA67*LN(p_B!AA67),0)</f>
        <v>0</v>
      </c>
    </row>
    <row r="68" spans="1:27" x14ac:dyDescent="0.25">
      <c r="A68" t="s">
        <v>62</v>
      </c>
      <c r="B68" s="3">
        <f>IF(ISNUMBER(p_B!B68*LN(p_B!B68)),p_B!B68*LN(p_B!B68),0)</f>
        <v>-0.3366863732608652</v>
      </c>
      <c r="C68" s="3">
        <f>IF(ISNUMBER(p_B!C68*LN(p_B!C68)),p_B!C68*LN(p_B!C68),0)</f>
        <v>0</v>
      </c>
      <c r="D68" s="3">
        <f>IF(ISNUMBER(p_B!D68*LN(p_B!D68)),p_B!D68*LN(p_B!D68),0)</f>
        <v>0</v>
      </c>
      <c r="E68" s="3">
        <f>IF(ISNUMBER(p_B!E68*LN(p_B!E68)),p_B!E68*LN(p_B!E68),0)</f>
        <v>0</v>
      </c>
      <c r="F68" s="3">
        <f>IF(ISNUMBER(p_B!F68*LN(p_B!F68)),p_B!F68*LN(p_B!F68),0)</f>
        <v>0</v>
      </c>
      <c r="G68" s="3">
        <f>IF(ISNUMBER(p_B!G68*LN(p_B!G68)),p_B!G68*LN(p_B!G68),0)</f>
        <v>-0.36415099427570541</v>
      </c>
      <c r="H68" s="3">
        <f>IF(ISNUMBER(p_B!H68*LN(p_B!H68)),p_B!H68*LN(p_B!H68),0)</f>
        <v>0</v>
      </c>
      <c r="I68" s="3">
        <f>IF(ISNUMBER(p_B!I68*LN(p_B!I68)),p_B!I68*LN(p_B!I68),0)</f>
        <v>0</v>
      </c>
      <c r="J68" s="3">
        <f>IF(ISNUMBER(p_B!J68*LN(p_B!J68)),p_B!J68*LN(p_B!J68),0)</f>
        <v>-9.664668021409855E-4</v>
      </c>
      <c r="K68" s="3">
        <f>IF(ISNUMBER(p_B!K68*LN(p_B!K68)),p_B!K68*LN(p_B!K68),0)</f>
        <v>0</v>
      </c>
      <c r="L68" s="3">
        <f>IF(ISNUMBER(p_B!L68*LN(p_B!L68)),p_B!L68*LN(p_B!L68),0)</f>
        <v>0</v>
      </c>
      <c r="M68" s="3">
        <f>IF(ISNUMBER(p_B!M68*LN(p_B!M68)),p_B!M68*LN(p_B!M68),0)</f>
        <v>0</v>
      </c>
      <c r="N68" s="3">
        <f>IF(ISNUMBER(p_B!N68*LN(p_B!N68)),p_B!N68*LN(p_B!N68),0)</f>
        <v>0</v>
      </c>
      <c r="O68" s="3">
        <f>IF(ISNUMBER(p_B!O68*LN(p_B!O68)),p_B!O68*LN(p_B!O68),0)</f>
        <v>0</v>
      </c>
      <c r="P68" s="3">
        <f>IF(ISNUMBER(p_B!P68*LN(p_B!P68)),p_B!P68*LN(p_B!P68),0)</f>
        <v>0</v>
      </c>
      <c r="Q68" s="3">
        <f>IF(ISNUMBER(p_B!Q68*LN(p_B!Q68)),p_B!Q68*LN(p_B!Q68),0)</f>
        <v>-0.26126282294404179</v>
      </c>
      <c r="R68" s="3">
        <f>IF(ISNUMBER(p_B!R68*LN(p_B!R68)),p_B!R68*LN(p_B!R68),0)</f>
        <v>0</v>
      </c>
      <c r="S68" s="3">
        <f>IF(ISNUMBER(p_B!S68*LN(p_B!S68)),p_B!S68*LN(p_B!S68),0)</f>
        <v>0</v>
      </c>
      <c r="T68" s="3">
        <f>IF(ISNUMBER(p_B!T68*LN(p_B!T68)),p_B!T68*LN(p_B!T68),0)</f>
        <v>0</v>
      </c>
      <c r="U68" s="3">
        <f>IF(ISNUMBER(p_B!U68*LN(p_B!U68)),p_B!U68*LN(p_B!U68),0)</f>
        <v>-9.8676637285383575E-2</v>
      </c>
      <c r="V68" s="3">
        <f>IF(ISNUMBER(p_B!V68*LN(p_B!V68)),p_B!V68*LN(p_B!V68),0)</f>
        <v>0</v>
      </c>
      <c r="W68" s="3">
        <f>IF(ISNUMBER(p_B!W68*LN(p_B!W68)),p_B!W68*LN(p_B!W68),0)</f>
        <v>0</v>
      </c>
      <c r="X68" s="3">
        <f>IF(ISNUMBER(p_B!X68*LN(p_B!X68)),p_B!X68*LN(p_B!X68),0)</f>
        <v>0</v>
      </c>
      <c r="Y68" s="3">
        <f>IF(ISNUMBER(p_B!Y68*LN(p_B!Y68)),p_B!Y68*LN(p_B!Y68),0)</f>
        <v>0</v>
      </c>
      <c r="Z68" s="3">
        <f>IF(ISNUMBER(p_B!Z68*LN(p_B!Z68)),p_B!Z68*LN(p_B!Z68),0)</f>
        <v>0</v>
      </c>
      <c r="AA68" s="3">
        <f>IF(ISNUMBER(p_B!AA68*LN(p_B!AA68)),p_B!AA68*LN(p_B!AA68),0)</f>
        <v>0</v>
      </c>
    </row>
    <row r="69" spans="1:27" x14ac:dyDescent="0.25">
      <c r="A69" t="s">
        <v>70</v>
      </c>
      <c r="B69" s="3">
        <f>IF(ISNUMBER(p_B!B69*LN(p_B!B69)),p_B!B69*LN(p_B!B69),0)</f>
        <v>-0.15830124568679324</v>
      </c>
      <c r="C69" s="3">
        <f>IF(ISNUMBER(p_B!C69*LN(p_B!C69)),p_B!C69*LN(p_B!C69),0)</f>
        <v>0</v>
      </c>
      <c r="D69" s="3">
        <f>IF(ISNUMBER(p_B!D69*LN(p_B!D69)),p_B!D69*LN(p_B!D69),0)</f>
        <v>0</v>
      </c>
      <c r="E69" s="3">
        <f>IF(ISNUMBER(p_B!E69*LN(p_B!E69)),p_B!E69*LN(p_B!E69),0)</f>
        <v>0</v>
      </c>
      <c r="F69" s="3">
        <f>IF(ISNUMBER(p_B!F69*LN(p_B!F69)),p_B!F69*LN(p_B!F69),0)</f>
        <v>0</v>
      </c>
      <c r="G69" s="3">
        <f>IF(ISNUMBER(p_B!G69*LN(p_B!G69)),p_B!G69*LN(p_B!G69),0)</f>
        <v>-0.21635372747999934</v>
      </c>
      <c r="H69" s="3">
        <f>IF(ISNUMBER(p_B!H69*LN(p_B!H69)),p_B!H69*LN(p_B!H69),0)</f>
        <v>0</v>
      </c>
      <c r="I69" s="3">
        <f>IF(ISNUMBER(p_B!I69*LN(p_B!I69)),p_B!I69*LN(p_B!I69),0)</f>
        <v>0</v>
      </c>
      <c r="J69" s="3">
        <f>IF(ISNUMBER(p_B!J69*LN(p_B!J69)),p_B!J69*LN(p_B!J69),0)</f>
        <v>-4.3616429356385491E-3</v>
      </c>
      <c r="K69" s="3">
        <f>IF(ISNUMBER(p_B!K69*LN(p_B!K69)),p_B!K69*LN(p_B!K69),0)</f>
        <v>0</v>
      </c>
      <c r="L69" s="3">
        <f>IF(ISNUMBER(p_B!L69*LN(p_B!L69)),p_B!L69*LN(p_B!L69),0)</f>
        <v>0</v>
      </c>
      <c r="M69" s="3">
        <f>IF(ISNUMBER(p_B!M69*LN(p_B!M69)),p_B!M69*LN(p_B!M69),0)</f>
        <v>0</v>
      </c>
      <c r="N69" s="3">
        <f>IF(ISNUMBER(p_B!N69*LN(p_B!N69)),p_B!N69*LN(p_B!N69),0)</f>
        <v>0</v>
      </c>
      <c r="O69" s="3">
        <f>IF(ISNUMBER(p_B!O69*LN(p_B!O69)),p_B!O69*LN(p_B!O69),0)</f>
        <v>-0.16437119959212779</v>
      </c>
      <c r="P69" s="3">
        <f>IF(ISNUMBER(p_B!P69*LN(p_B!P69)),p_B!P69*LN(p_B!P69),0)</f>
        <v>0</v>
      </c>
      <c r="Q69" s="3">
        <f>IF(ISNUMBER(p_B!Q69*LN(p_B!Q69)),p_B!Q69*LN(p_B!Q69),0)</f>
        <v>-0.18027590378987923</v>
      </c>
      <c r="R69" s="3">
        <f>IF(ISNUMBER(p_B!R69*LN(p_B!R69)),p_B!R69*LN(p_B!R69),0)</f>
        <v>0</v>
      </c>
      <c r="S69" s="3">
        <f>IF(ISNUMBER(p_B!S69*LN(p_B!S69)),p_B!S69*LN(p_B!S69),0)</f>
        <v>0</v>
      </c>
      <c r="T69" s="3">
        <f>IF(ISNUMBER(p_B!T69*LN(p_B!T69)),p_B!T69*LN(p_B!T69),0)</f>
        <v>0</v>
      </c>
      <c r="U69" s="3">
        <f>IF(ISNUMBER(p_B!U69*LN(p_B!U69)),p_B!U69*LN(p_B!U69),0)</f>
        <v>0</v>
      </c>
      <c r="V69" s="3">
        <f>IF(ISNUMBER(p_B!V69*LN(p_B!V69)),p_B!V69*LN(p_B!V69),0)</f>
        <v>0</v>
      </c>
      <c r="W69" s="3">
        <f>IF(ISNUMBER(p_B!W69*LN(p_B!W69)),p_B!W69*LN(p_B!W69),0)</f>
        <v>0</v>
      </c>
      <c r="X69" s="3">
        <f>IF(ISNUMBER(p_B!X69*LN(p_B!X69)),p_B!X69*LN(p_B!X69),0)</f>
        <v>0</v>
      </c>
      <c r="Y69" s="3">
        <f>IF(ISNUMBER(p_B!Y69*LN(p_B!Y69)),p_B!Y69*LN(p_B!Y69),0)</f>
        <v>0</v>
      </c>
      <c r="Z69" s="3">
        <f>IF(ISNUMBER(p_B!Z69*LN(p_B!Z69)),p_B!Z69*LN(p_B!Z69),0)</f>
        <v>0</v>
      </c>
      <c r="AA69" s="3">
        <f>IF(ISNUMBER(p_B!AA69*LN(p_B!AA69)),p_B!AA69*LN(p_B!AA69),0)</f>
        <v>0</v>
      </c>
    </row>
    <row r="70" spans="1:27" x14ac:dyDescent="0.25">
      <c r="A70" t="s">
        <v>71</v>
      </c>
      <c r="B70" s="3">
        <f>IF(ISNUMBER(p_B!B70*LN(p_B!B70)),p_B!B70*LN(p_B!B70),0)</f>
        <v>-5.0828988396831871E-2</v>
      </c>
      <c r="C70" s="3">
        <f>IF(ISNUMBER(p_B!C70*LN(p_B!C70)),p_B!C70*LN(p_B!C70),0)</f>
        <v>0</v>
      </c>
      <c r="D70" s="3">
        <f>IF(ISNUMBER(p_B!D70*LN(p_B!D70)),p_B!D70*LN(p_B!D70),0)</f>
        <v>0</v>
      </c>
      <c r="E70" s="3">
        <f>IF(ISNUMBER(p_B!E70*LN(p_B!E70)),p_B!E70*LN(p_B!E70),0)</f>
        <v>0</v>
      </c>
      <c r="F70" s="3">
        <f>IF(ISNUMBER(p_B!F70*LN(p_B!F70)),p_B!F70*LN(p_B!F70),0)</f>
        <v>0</v>
      </c>
      <c r="G70" s="3">
        <f>IF(ISNUMBER(p_B!G70*LN(p_B!G70)),p_B!G70*LN(p_B!G70),0)</f>
        <v>-0.28083477095366283</v>
      </c>
      <c r="H70" s="3">
        <f>IF(ISNUMBER(p_B!H70*LN(p_B!H70)),p_B!H70*LN(p_B!H70),0)</f>
        <v>0</v>
      </c>
      <c r="I70" s="3">
        <f>IF(ISNUMBER(p_B!I70*LN(p_B!I70)),p_B!I70*LN(p_B!I70),0)</f>
        <v>0</v>
      </c>
      <c r="J70" s="3">
        <f>IF(ISNUMBER(p_B!J70*LN(p_B!J70)),p_B!J70*LN(p_B!J70),0)</f>
        <v>0</v>
      </c>
      <c r="K70" s="3">
        <f>IF(ISNUMBER(p_B!K70*LN(p_B!K70)),p_B!K70*LN(p_B!K70),0)</f>
        <v>0</v>
      </c>
      <c r="L70" s="3">
        <f>IF(ISNUMBER(p_B!L70*LN(p_B!L70)),p_B!L70*LN(p_B!L70),0)</f>
        <v>0</v>
      </c>
      <c r="M70" s="3">
        <f>IF(ISNUMBER(p_B!M70*LN(p_B!M70)),p_B!M70*LN(p_B!M70),0)</f>
        <v>0</v>
      </c>
      <c r="N70" s="3">
        <f>IF(ISNUMBER(p_B!N70*LN(p_B!N70)),p_B!N70*LN(p_B!N70),0)</f>
        <v>0</v>
      </c>
      <c r="O70" s="3">
        <f>IF(ISNUMBER(p_B!O70*LN(p_B!O70)),p_B!O70*LN(p_B!O70),0)</f>
        <v>-9.2814399699391106E-2</v>
      </c>
      <c r="P70" s="3">
        <f>IF(ISNUMBER(p_B!P70*LN(p_B!P70)),p_B!P70*LN(p_B!P70),0)</f>
        <v>-0.1255959524689802</v>
      </c>
      <c r="Q70" s="3">
        <f>IF(ISNUMBER(p_B!Q70*LN(p_B!Q70)),p_B!Q70*LN(p_B!Q70),0)</f>
        <v>-0.19459522194818507</v>
      </c>
      <c r="R70" s="3">
        <f>IF(ISNUMBER(p_B!R70*LN(p_B!R70)),p_B!R70*LN(p_B!R70),0)</f>
        <v>0</v>
      </c>
      <c r="S70" s="3">
        <f>IF(ISNUMBER(p_B!S70*LN(p_B!S70)),p_B!S70*LN(p_B!S70),0)</f>
        <v>0</v>
      </c>
      <c r="T70" s="3">
        <f>IF(ISNUMBER(p_B!T70*LN(p_B!T70)),p_B!T70*LN(p_B!T70),0)</f>
        <v>0</v>
      </c>
      <c r="U70" s="3">
        <f>IF(ISNUMBER(p_B!U70*LN(p_B!U70)),p_B!U70*LN(p_B!U70),0)</f>
        <v>0</v>
      </c>
      <c r="V70" s="3">
        <f>IF(ISNUMBER(p_B!V70*LN(p_B!V70)),p_B!V70*LN(p_B!V70),0)</f>
        <v>0</v>
      </c>
      <c r="W70" s="3">
        <f>IF(ISNUMBER(p_B!W70*LN(p_B!W70)),p_B!W70*LN(p_B!W70),0)</f>
        <v>0</v>
      </c>
      <c r="X70" s="3">
        <f>IF(ISNUMBER(p_B!X70*LN(p_B!X70)),p_B!X70*LN(p_B!X70),0)</f>
        <v>0</v>
      </c>
      <c r="Y70" s="3">
        <f>IF(ISNUMBER(p_B!Y70*LN(p_B!Y70)),p_B!Y70*LN(p_B!Y70),0)</f>
        <v>0</v>
      </c>
      <c r="Z70" s="3">
        <f>IF(ISNUMBER(p_B!Z70*LN(p_B!Z70)),p_B!Z70*LN(p_B!Z70),0)</f>
        <v>0</v>
      </c>
      <c r="AA70" s="3">
        <f>IF(ISNUMBER(p_B!AA70*LN(p_B!AA70)),p_B!AA70*LN(p_B!AA70),0)</f>
        <v>0</v>
      </c>
    </row>
    <row r="71" spans="1:27" x14ac:dyDescent="0.25">
      <c r="A71" t="s">
        <v>72</v>
      </c>
      <c r="B71" s="3">
        <f>IF(ISNUMBER(p_B!B71*LN(p_B!B71)),p_B!B71*LN(p_B!B71),0)</f>
        <v>-0.28089588915106412</v>
      </c>
      <c r="C71" s="3">
        <f>IF(ISNUMBER(p_B!C71*LN(p_B!C71)),p_B!C71*LN(p_B!C71),0)</f>
        <v>0</v>
      </c>
      <c r="D71" s="3">
        <f>IF(ISNUMBER(p_B!D71*LN(p_B!D71)),p_B!D71*LN(p_B!D71),0)</f>
        <v>0</v>
      </c>
      <c r="E71" s="3">
        <f>IF(ISNUMBER(p_B!E71*LN(p_B!E71)),p_B!E71*LN(p_B!E71),0)</f>
        <v>0</v>
      </c>
      <c r="F71" s="3">
        <f>IF(ISNUMBER(p_B!F71*LN(p_B!F71)),p_B!F71*LN(p_B!F71),0)</f>
        <v>0</v>
      </c>
      <c r="G71" s="3">
        <f>IF(ISNUMBER(p_B!G71*LN(p_B!G71)),p_B!G71*LN(p_B!G71),0)</f>
        <v>-0.20834846858138456</v>
      </c>
      <c r="H71" s="3">
        <f>IF(ISNUMBER(p_B!H71*LN(p_B!H71)),p_B!H71*LN(p_B!H71),0)</f>
        <v>0</v>
      </c>
      <c r="I71" s="3">
        <f>IF(ISNUMBER(p_B!I71*LN(p_B!I71)),p_B!I71*LN(p_B!I71),0)</f>
        <v>0</v>
      </c>
      <c r="J71" s="3">
        <f>IF(ISNUMBER(p_B!J71*LN(p_B!J71)),p_B!J71*LN(p_B!J71),0)</f>
        <v>0</v>
      </c>
      <c r="K71" s="3">
        <f>IF(ISNUMBER(p_B!K71*LN(p_B!K71)),p_B!K71*LN(p_B!K71),0)</f>
        <v>0</v>
      </c>
      <c r="L71" s="3">
        <f>IF(ISNUMBER(p_B!L71*LN(p_B!L71)),p_B!L71*LN(p_B!L71),0)</f>
        <v>0</v>
      </c>
      <c r="M71" s="3">
        <f>IF(ISNUMBER(p_B!M71*LN(p_B!M71)),p_B!M71*LN(p_B!M71),0)</f>
        <v>0</v>
      </c>
      <c r="N71" s="3">
        <f>IF(ISNUMBER(p_B!N71*LN(p_B!N71)),p_B!N71*LN(p_B!N71),0)</f>
        <v>0</v>
      </c>
      <c r="O71" s="3">
        <f>IF(ISNUMBER(p_B!O71*LN(p_B!O71)),p_B!O71*LN(p_B!O71),0)</f>
        <v>0</v>
      </c>
      <c r="P71" s="3">
        <f>IF(ISNUMBER(p_B!P71*LN(p_B!P71)),p_B!P71*LN(p_B!P71),0)</f>
        <v>-0.36451922135017567</v>
      </c>
      <c r="Q71" s="3">
        <f>IF(ISNUMBER(p_B!Q71*LN(p_B!Q71)),p_B!Q71*LN(p_B!Q71),0)</f>
        <v>-0.36749217529542411</v>
      </c>
      <c r="R71" s="3">
        <f>IF(ISNUMBER(p_B!R71*LN(p_B!R71)),p_B!R71*LN(p_B!R71),0)</f>
        <v>0</v>
      </c>
      <c r="S71" s="3">
        <f>IF(ISNUMBER(p_B!S71*LN(p_B!S71)),p_B!S71*LN(p_B!S71),0)</f>
        <v>0</v>
      </c>
      <c r="T71" s="3">
        <f>IF(ISNUMBER(p_B!T71*LN(p_B!T71)),p_B!T71*LN(p_B!T71),0)</f>
        <v>0</v>
      </c>
      <c r="U71" s="3">
        <f>IF(ISNUMBER(p_B!U71*LN(p_B!U71)),p_B!U71*LN(p_B!U71),0)</f>
        <v>0</v>
      </c>
      <c r="V71" s="3">
        <f>IF(ISNUMBER(p_B!V71*LN(p_B!V71)),p_B!V71*LN(p_B!V71),0)</f>
        <v>0</v>
      </c>
      <c r="W71" s="3">
        <f>IF(ISNUMBER(p_B!W71*LN(p_B!W71)),p_B!W71*LN(p_B!W71),0)</f>
        <v>0</v>
      </c>
      <c r="X71" s="3">
        <f>IF(ISNUMBER(p_B!X71*LN(p_B!X71)),p_B!X71*LN(p_B!X71),0)</f>
        <v>0</v>
      </c>
      <c r="Y71" s="3">
        <f>IF(ISNUMBER(p_B!Y71*LN(p_B!Y71)),p_B!Y71*LN(p_B!Y71),0)</f>
        <v>0</v>
      </c>
      <c r="Z71" s="3">
        <f>IF(ISNUMBER(p_B!Z71*LN(p_B!Z71)),p_B!Z71*LN(p_B!Z71),0)</f>
        <v>0</v>
      </c>
      <c r="AA71" s="3">
        <f>IF(ISNUMBER(p_B!AA71*LN(p_B!AA71)),p_B!AA71*LN(p_B!AA71),0)</f>
        <v>0</v>
      </c>
    </row>
    <row r="72" spans="1:27" x14ac:dyDescent="0.25">
      <c r="A72" t="s">
        <v>77</v>
      </c>
      <c r="B72" s="3">
        <f>IF(ISNUMBER(p_B!B72*LN(p_B!B72)),p_B!B72*LN(p_B!B72),0)</f>
        <v>-0.18024851221705429</v>
      </c>
      <c r="C72" s="3">
        <f>IF(ISNUMBER(p_B!C72*LN(p_B!C72)),p_B!C72*LN(p_B!C72),0)</f>
        <v>0</v>
      </c>
      <c r="D72" s="3">
        <f>IF(ISNUMBER(p_B!D72*LN(p_B!D72)),p_B!D72*LN(p_B!D72),0)</f>
        <v>0</v>
      </c>
      <c r="E72" s="3">
        <f>IF(ISNUMBER(p_B!E72*LN(p_B!E72)),p_B!E72*LN(p_B!E72),0)</f>
        <v>0</v>
      </c>
      <c r="F72" s="3">
        <f>IF(ISNUMBER(p_B!F72*LN(p_B!F72)),p_B!F72*LN(p_B!F72),0)</f>
        <v>0</v>
      </c>
      <c r="G72" s="3">
        <f>IF(ISNUMBER(p_B!G72*LN(p_B!G72)),p_B!G72*LN(p_B!G72),0)</f>
        <v>-3.4458356653749737E-2</v>
      </c>
      <c r="H72" s="3">
        <f>IF(ISNUMBER(p_B!H72*LN(p_B!H72)),p_B!H72*LN(p_B!H72),0)</f>
        <v>0</v>
      </c>
      <c r="I72" s="3">
        <f>IF(ISNUMBER(p_B!I72*LN(p_B!I72)),p_B!I72*LN(p_B!I72),0)</f>
        <v>0</v>
      </c>
      <c r="J72" s="3">
        <f>IF(ISNUMBER(p_B!J72*LN(p_B!J72)),p_B!J72*LN(p_B!J72),0)</f>
        <v>-8.1709910665278551E-3</v>
      </c>
      <c r="K72" s="3">
        <f>IF(ISNUMBER(p_B!K72*LN(p_B!K72)),p_B!K72*LN(p_B!K72),0)</f>
        <v>0</v>
      </c>
      <c r="L72" s="3">
        <f>IF(ISNUMBER(p_B!L72*LN(p_B!L72)),p_B!L72*LN(p_B!L72),0)</f>
        <v>0</v>
      </c>
      <c r="M72" s="3">
        <f>IF(ISNUMBER(p_B!M72*LN(p_B!M72)),p_B!M72*LN(p_B!M72),0)</f>
        <v>0</v>
      </c>
      <c r="N72" s="3">
        <f>IF(ISNUMBER(p_B!N72*LN(p_B!N72)),p_B!N72*LN(p_B!N72),0)</f>
        <v>0</v>
      </c>
      <c r="O72" s="3">
        <f>IF(ISNUMBER(p_B!O72*LN(p_B!O72)),p_B!O72*LN(p_B!O72),0)</f>
        <v>0</v>
      </c>
      <c r="P72" s="3">
        <f>IF(ISNUMBER(p_B!P72*LN(p_B!P72)),p_B!P72*LN(p_B!P72),0)</f>
        <v>-0.26629535872608756</v>
      </c>
      <c r="Q72" s="3">
        <f>IF(ISNUMBER(p_B!Q72*LN(p_B!Q72)),p_B!Q72*LN(p_B!Q72),0)</f>
        <v>-0.19083788981130664</v>
      </c>
      <c r="R72" s="3">
        <f>IF(ISNUMBER(p_B!R72*LN(p_B!R72)),p_B!R72*LN(p_B!R72),0)</f>
        <v>0</v>
      </c>
      <c r="S72" s="3">
        <f>IF(ISNUMBER(p_B!S72*LN(p_B!S72)),p_B!S72*LN(p_B!S72),0)</f>
        <v>0</v>
      </c>
      <c r="T72" s="3">
        <f>IF(ISNUMBER(p_B!T72*LN(p_B!T72)),p_B!T72*LN(p_B!T72),0)</f>
        <v>0</v>
      </c>
      <c r="U72" s="3">
        <f>IF(ISNUMBER(p_B!U72*LN(p_B!U72)),p_B!U72*LN(p_B!U72),0)</f>
        <v>-4.7472247259353985E-2</v>
      </c>
      <c r="V72" s="3">
        <f>IF(ISNUMBER(p_B!V72*LN(p_B!V72)),p_B!V72*LN(p_B!V72),0)</f>
        <v>0</v>
      </c>
      <c r="W72" s="3">
        <f>IF(ISNUMBER(p_B!W72*LN(p_B!W72)),p_B!W72*LN(p_B!W72),0)</f>
        <v>0</v>
      </c>
      <c r="X72" s="3">
        <f>IF(ISNUMBER(p_B!X72*LN(p_B!X72)),p_B!X72*LN(p_B!X72),0)</f>
        <v>0</v>
      </c>
      <c r="Y72" s="3">
        <f>IF(ISNUMBER(p_B!Y72*LN(p_B!Y72)),p_B!Y72*LN(p_B!Y72),0)</f>
        <v>0</v>
      </c>
      <c r="Z72" s="3">
        <f>IF(ISNUMBER(p_B!Z72*LN(p_B!Z72)),p_B!Z72*LN(p_B!Z72),0)</f>
        <v>0</v>
      </c>
      <c r="AA72" s="3">
        <f>IF(ISNUMBER(p_B!AA72*LN(p_B!AA72)),p_B!AA72*LN(p_B!AA72),0)</f>
        <v>0</v>
      </c>
    </row>
    <row r="73" spans="1:27" x14ac:dyDescent="0.25">
      <c r="A73" t="s">
        <v>78</v>
      </c>
      <c r="B73" s="3">
        <f>IF(ISNUMBER(p_B!B73*LN(p_B!B73)),p_B!B73*LN(p_B!B73),0)</f>
        <v>-0.36388026510732174</v>
      </c>
      <c r="C73" s="3">
        <f>IF(ISNUMBER(p_B!C73*LN(p_B!C73)),p_B!C73*LN(p_B!C73),0)</f>
        <v>0</v>
      </c>
      <c r="D73" s="3">
        <f>IF(ISNUMBER(p_B!D73*LN(p_B!D73)),p_B!D73*LN(p_B!D73),0)</f>
        <v>0</v>
      </c>
      <c r="E73" s="3">
        <f>IF(ISNUMBER(p_B!E73*LN(p_B!E73)),p_B!E73*LN(p_B!E73),0)</f>
        <v>0</v>
      </c>
      <c r="F73" s="3">
        <f>IF(ISNUMBER(p_B!F73*LN(p_B!F73)),p_B!F73*LN(p_B!F73),0)</f>
        <v>0</v>
      </c>
      <c r="G73" s="3">
        <f>IF(ISNUMBER(p_B!G73*LN(p_B!G73)),p_B!G73*LN(p_B!G73),0)</f>
        <v>0</v>
      </c>
      <c r="H73" s="3">
        <f>IF(ISNUMBER(p_B!H73*LN(p_B!H73)),p_B!H73*LN(p_B!H73),0)</f>
        <v>0</v>
      </c>
      <c r="I73" s="3">
        <f>IF(ISNUMBER(p_B!I73*LN(p_B!I73)),p_B!I73*LN(p_B!I73),0)</f>
        <v>0</v>
      </c>
      <c r="J73" s="3">
        <f>IF(ISNUMBER(p_B!J73*LN(p_B!J73)),p_B!J73*LN(p_B!J73),0)</f>
        <v>-3.4633731244466024E-3</v>
      </c>
      <c r="K73" s="3">
        <f>IF(ISNUMBER(p_B!K73*LN(p_B!K73)),p_B!K73*LN(p_B!K73),0)</f>
        <v>0</v>
      </c>
      <c r="L73" s="3">
        <f>IF(ISNUMBER(p_B!L73*LN(p_B!L73)),p_B!L73*LN(p_B!L73),0)</f>
        <v>0</v>
      </c>
      <c r="M73" s="3">
        <f>IF(ISNUMBER(p_B!M73*LN(p_B!M73)),p_B!M73*LN(p_B!M73),0)</f>
        <v>0</v>
      </c>
      <c r="N73" s="3">
        <f>IF(ISNUMBER(p_B!N73*LN(p_B!N73)),p_B!N73*LN(p_B!N73),0)</f>
        <v>0</v>
      </c>
      <c r="O73" s="3">
        <f>IF(ISNUMBER(p_B!O73*LN(p_B!O73)),p_B!O73*LN(p_B!O73),0)</f>
        <v>0</v>
      </c>
      <c r="P73" s="3">
        <f>IF(ISNUMBER(p_B!P73*LN(p_B!P73)),p_B!P73*LN(p_B!P73),0)</f>
        <v>-0.36547938608834318</v>
      </c>
      <c r="Q73" s="3">
        <f>IF(ISNUMBER(p_B!Q73*LN(p_B!Q73)),p_B!Q73*LN(p_B!Q73),0)</f>
        <v>-0.35468981988152243</v>
      </c>
      <c r="R73" s="3">
        <f>IF(ISNUMBER(p_B!R73*LN(p_B!R73)),p_B!R73*LN(p_B!R73),0)</f>
        <v>0</v>
      </c>
      <c r="S73" s="3">
        <f>IF(ISNUMBER(p_B!S73*LN(p_B!S73)),p_B!S73*LN(p_B!S73),0)</f>
        <v>0</v>
      </c>
      <c r="T73" s="3">
        <f>IF(ISNUMBER(p_B!T73*LN(p_B!T73)),p_B!T73*LN(p_B!T73),0)</f>
        <v>0</v>
      </c>
      <c r="U73" s="3">
        <f>IF(ISNUMBER(p_B!U73*LN(p_B!U73)),p_B!U73*LN(p_B!U73),0)</f>
        <v>0</v>
      </c>
      <c r="V73" s="3">
        <f>IF(ISNUMBER(p_B!V73*LN(p_B!V73)),p_B!V73*LN(p_B!V73),0)</f>
        <v>0</v>
      </c>
      <c r="W73" s="3">
        <f>IF(ISNUMBER(p_B!W73*LN(p_B!W73)),p_B!W73*LN(p_B!W73),0)</f>
        <v>0</v>
      </c>
      <c r="X73" s="3">
        <f>IF(ISNUMBER(p_B!X73*LN(p_B!X73)),p_B!X73*LN(p_B!X73),0)</f>
        <v>0</v>
      </c>
      <c r="Y73" s="3">
        <f>IF(ISNUMBER(p_B!Y73*LN(p_B!Y73)),p_B!Y73*LN(p_B!Y73),0)</f>
        <v>0</v>
      </c>
      <c r="Z73" s="3">
        <f>IF(ISNUMBER(p_B!Z73*LN(p_B!Z73)),p_B!Z73*LN(p_B!Z73),0)</f>
        <v>0</v>
      </c>
      <c r="AA73" s="3">
        <f>IF(ISNUMBER(p_B!AA73*LN(p_B!AA73)),p_B!AA73*LN(p_B!AA73),0)</f>
        <v>0</v>
      </c>
    </row>
    <row r="74" spans="1:27" x14ac:dyDescent="0.25">
      <c r="A74" t="s">
        <v>79</v>
      </c>
      <c r="B74" s="3">
        <f>IF(ISNUMBER(p_B!B74*LN(p_B!B74)),p_B!B74*LN(p_B!B74),0)</f>
        <v>-0.12656019091254933</v>
      </c>
      <c r="C74" s="3">
        <f>IF(ISNUMBER(p_B!C74*LN(p_B!C74)),p_B!C74*LN(p_B!C74),0)</f>
        <v>0</v>
      </c>
      <c r="D74" s="3">
        <f>IF(ISNUMBER(p_B!D74*LN(p_B!D74)),p_B!D74*LN(p_B!D74),0)</f>
        <v>0</v>
      </c>
      <c r="E74" s="3">
        <f>IF(ISNUMBER(p_B!E74*LN(p_B!E74)),p_B!E74*LN(p_B!E74),0)</f>
        <v>0</v>
      </c>
      <c r="F74" s="3">
        <f>IF(ISNUMBER(p_B!F74*LN(p_B!F74)),p_B!F74*LN(p_B!F74),0)</f>
        <v>-6.2242425757230553E-2</v>
      </c>
      <c r="G74" s="3">
        <f>IF(ISNUMBER(p_B!G74*LN(p_B!G74)),p_B!G74*LN(p_B!G74),0)</f>
        <v>0</v>
      </c>
      <c r="H74" s="3">
        <f>IF(ISNUMBER(p_B!H74*LN(p_B!H74)),p_B!H74*LN(p_B!H74),0)</f>
        <v>0</v>
      </c>
      <c r="I74" s="3">
        <f>IF(ISNUMBER(p_B!I74*LN(p_B!I74)),p_B!I74*LN(p_B!I74),0)</f>
        <v>0</v>
      </c>
      <c r="J74" s="3">
        <f>IF(ISNUMBER(p_B!J74*LN(p_B!J74)),p_B!J74*LN(p_B!J74),0)</f>
        <v>0</v>
      </c>
      <c r="K74" s="3">
        <f>IF(ISNUMBER(p_B!K74*LN(p_B!K74)),p_B!K74*LN(p_B!K74),0)</f>
        <v>0</v>
      </c>
      <c r="L74" s="3">
        <f>IF(ISNUMBER(p_B!L74*LN(p_B!L74)),p_B!L74*LN(p_B!L74),0)</f>
        <v>0</v>
      </c>
      <c r="M74" s="3">
        <f>IF(ISNUMBER(p_B!M74*LN(p_B!M74)),p_B!M74*LN(p_B!M74),0)</f>
        <v>0</v>
      </c>
      <c r="N74" s="3">
        <f>IF(ISNUMBER(p_B!N74*LN(p_B!N74)),p_B!N74*LN(p_B!N74),0)</f>
        <v>0</v>
      </c>
      <c r="O74" s="3">
        <f>IF(ISNUMBER(p_B!O74*LN(p_B!O74)),p_B!O74*LN(p_B!O74),0)</f>
        <v>0</v>
      </c>
      <c r="P74" s="3">
        <f>IF(ISNUMBER(p_B!P74*LN(p_B!P74)),p_B!P74*LN(p_B!P74),0)</f>
        <v>-9.314215240529429E-2</v>
      </c>
      <c r="Q74" s="3">
        <f>IF(ISNUMBER(p_B!Q74*LN(p_B!Q74)),p_B!Q74*LN(p_B!Q74),0)</f>
        <v>0</v>
      </c>
      <c r="R74" s="3">
        <f>IF(ISNUMBER(p_B!R74*LN(p_B!R74)),p_B!R74*LN(p_B!R74),0)</f>
        <v>0</v>
      </c>
      <c r="S74" s="3">
        <f>IF(ISNUMBER(p_B!S74*LN(p_B!S74)),p_B!S74*LN(p_B!S74),0)</f>
        <v>0</v>
      </c>
      <c r="T74" s="3">
        <f>IF(ISNUMBER(p_B!T74*LN(p_B!T74)),p_B!T74*LN(p_B!T74),0)</f>
        <v>0</v>
      </c>
      <c r="U74" s="3">
        <f>IF(ISNUMBER(p_B!U74*LN(p_B!U74)),p_B!U74*LN(p_B!U74),0)</f>
        <v>0</v>
      </c>
      <c r="V74" s="3">
        <f>IF(ISNUMBER(p_B!V74*LN(p_B!V74)),p_B!V74*LN(p_B!V74),0)</f>
        <v>0</v>
      </c>
      <c r="W74" s="3">
        <f>IF(ISNUMBER(p_B!W74*LN(p_B!W74)),p_B!W74*LN(p_B!W74),0)</f>
        <v>0</v>
      </c>
      <c r="X74" s="3">
        <f>IF(ISNUMBER(p_B!X74*LN(p_B!X74)),p_B!X74*LN(p_B!X74),0)</f>
        <v>0</v>
      </c>
      <c r="Y74" s="3">
        <f>IF(ISNUMBER(p_B!Y74*LN(p_B!Y74)),p_B!Y74*LN(p_B!Y74),0)</f>
        <v>0</v>
      </c>
      <c r="Z74" s="3">
        <f>IF(ISNUMBER(p_B!Z74*LN(p_B!Z74)),p_B!Z74*LN(p_B!Z74),0)</f>
        <v>0</v>
      </c>
      <c r="AA74" s="3">
        <f>IF(ISNUMBER(p_B!AA74*LN(p_B!AA74)),p_B!AA74*LN(p_B!AA74),0)</f>
        <v>0</v>
      </c>
    </row>
    <row r="75" spans="1:27" x14ac:dyDescent="0.25">
      <c r="A75" t="s">
        <v>80</v>
      </c>
      <c r="B75" s="3">
        <f>IF(ISNUMBER(p_B!B75*LN(p_B!B75)),p_B!B75*LN(p_B!B75),0)</f>
        <v>-7.6553855629064305E-2</v>
      </c>
      <c r="C75" s="3">
        <f>IF(ISNUMBER(p_B!C75*LN(p_B!C75)),p_B!C75*LN(p_B!C75),0)</f>
        <v>0</v>
      </c>
      <c r="D75" s="3">
        <f>IF(ISNUMBER(p_B!D75*LN(p_B!D75)),p_B!D75*LN(p_B!D75),0)</f>
        <v>0</v>
      </c>
      <c r="E75" s="3">
        <f>IF(ISNUMBER(p_B!E75*LN(p_B!E75)),p_B!E75*LN(p_B!E75),0)</f>
        <v>0</v>
      </c>
      <c r="F75" s="3">
        <f>IF(ISNUMBER(p_B!F75*LN(p_B!F75)),p_B!F75*LN(p_B!F75),0)</f>
        <v>0</v>
      </c>
      <c r="G75" s="3">
        <f>IF(ISNUMBER(p_B!G75*LN(p_B!G75)),p_B!G75*LN(p_B!G75),0)</f>
        <v>0</v>
      </c>
      <c r="H75" s="3">
        <f>IF(ISNUMBER(p_B!H75*LN(p_B!H75)),p_B!H75*LN(p_B!H75),0)</f>
        <v>0</v>
      </c>
      <c r="I75" s="3">
        <f>IF(ISNUMBER(p_B!I75*LN(p_B!I75)),p_B!I75*LN(p_B!I75),0)</f>
        <v>0</v>
      </c>
      <c r="J75" s="3">
        <f>IF(ISNUMBER(p_B!J75*LN(p_B!J75)),p_B!J75*LN(p_B!J75),0)</f>
        <v>-1.8040813649247661E-3</v>
      </c>
      <c r="K75" s="3">
        <f>IF(ISNUMBER(p_B!K75*LN(p_B!K75)),p_B!K75*LN(p_B!K75),0)</f>
        <v>0</v>
      </c>
      <c r="L75" s="3">
        <f>IF(ISNUMBER(p_B!L75*LN(p_B!L75)),p_B!L75*LN(p_B!L75),0)</f>
        <v>0</v>
      </c>
      <c r="M75" s="3">
        <f>IF(ISNUMBER(p_B!M75*LN(p_B!M75)),p_B!M75*LN(p_B!M75),0)</f>
        <v>0</v>
      </c>
      <c r="N75" s="3">
        <f>IF(ISNUMBER(p_B!N75*LN(p_B!N75)),p_B!N75*LN(p_B!N75),0)</f>
        <v>0</v>
      </c>
      <c r="O75" s="3">
        <f>IF(ISNUMBER(p_B!O75*LN(p_B!O75)),p_B!O75*LN(p_B!O75),0)</f>
        <v>0</v>
      </c>
      <c r="P75" s="3">
        <f>IF(ISNUMBER(p_B!P75*LN(p_B!P75)),p_B!P75*LN(p_B!P75),0)</f>
        <v>0</v>
      </c>
      <c r="Q75" s="3">
        <f>IF(ISNUMBER(p_B!Q75*LN(p_B!Q75)),p_B!Q75*LN(p_B!Q75),0)</f>
        <v>-1.9443056568308775E-2</v>
      </c>
      <c r="R75" s="3">
        <f>IF(ISNUMBER(p_B!R75*LN(p_B!R75)),p_B!R75*LN(p_B!R75),0)</f>
        <v>0</v>
      </c>
      <c r="S75" s="3">
        <f>IF(ISNUMBER(p_B!S75*LN(p_B!S75)),p_B!S75*LN(p_B!S75),0)</f>
        <v>0</v>
      </c>
      <c r="T75" s="3">
        <f>IF(ISNUMBER(p_B!T75*LN(p_B!T75)),p_B!T75*LN(p_B!T75),0)</f>
        <v>0</v>
      </c>
      <c r="U75" s="3">
        <f>IF(ISNUMBER(p_B!U75*LN(p_B!U75)),p_B!U75*LN(p_B!U75),0)</f>
        <v>0</v>
      </c>
      <c r="V75" s="3">
        <f>IF(ISNUMBER(p_B!V75*LN(p_B!V75)),p_B!V75*LN(p_B!V75),0)</f>
        <v>0</v>
      </c>
      <c r="W75" s="3">
        <f>IF(ISNUMBER(p_B!W75*LN(p_B!W75)),p_B!W75*LN(p_B!W75),0)</f>
        <v>0</v>
      </c>
      <c r="X75" s="3">
        <f>IF(ISNUMBER(p_B!X75*LN(p_B!X75)),p_B!X75*LN(p_B!X75),0)</f>
        <v>0</v>
      </c>
      <c r="Y75" s="3">
        <f>IF(ISNUMBER(p_B!Y75*LN(p_B!Y75)),p_B!Y75*LN(p_B!Y75),0)</f>
        <v>0</v>
      </c>
      <c r="Z75" s="3">
        <f>IF(ISNUMBER(p_B!Z75*LN(p_B!Z75)),p_B!Z75*LN(p_B!Z75),0)</f>
        <v>0</v>
      </c>
      <c r="AA75" s="3">
        <f>IF(ISNUMBER(p_B!AA75*LN(p_B!AA75)),p_B!AA75*LN(p_B!AA75),0)</f>
        <v>0</v>
      </c>
    </row>
    <row r="76" spans="1:27" x14ac:dyDescent="0.25">
      <c r="A76" t="s">
        <v>97</v>
      </c>
      <c r="B76" s="3">
        <f>IF(ISNUMBER(p_B!B76*LN(p_B!B76)),p_B!B76*LN(p_B!B76),0)</f>
        <v>-0.12793471820710028</v>
      </c>
      <c r="C76" s="3">
        <f>IF(ISNUMBER(p_B!C76*LN(p_B!C76)),p_B!C76*LN(p_B!C76),0)</f>
        <v>0</v>
      </c>
      <c r="D76" s="3">
        <f>IF(ISNUMBER(p_B!D76*LN(p_B!D76)),p_B!D76*LN(p_B!D76),0)</f>
        <v>0</v>
      </c>
      <c r="E76" s="3">
        <f>IF(ISNUMBER(p_B!E76*LN(p_B!E76)),p_B!E76*LN(p_B!E76),0)</f>
        <v>0</v>
      </c>
      <c r="F76" s="3">
        <f>IF(ISNUMBER(p_B!F76*LN(p_B!F76)),p_B!F76*LN(p_B!F76),0)</f>
        <v>0</v>
      </c>
      <c r="G76" s="3">
        <f>IF(ISNUMBER(p_B!G76*LN(p_B!G76)),p_B!G76*LN(p_B!G76),0)</f>
        <v>-0.1399257977697263</v>
      </c>
      <c r="H76" s="3">
        <f>IF(ISNUMBER(p_B!H76*LN(p_B!H76)),p_B!H76*LN(p_B!H76),0)</f>
        <v>0</v>
      </c>
      <c r="I76" s="3">
        <f>IF(ISNUMBER(p_B!I76*LN(p_B!I76)),p_B!I76*LN(p_B!I76),0)</f>
        <v>0</v>
      </c>
      <c r="J76" s="3">
        <f>IF(ISNUMBER(p_B!J76*LN(p_B!J76)),p_B!J76*LN(p_B!J76),0)</f>
        <v>-6.8727915632362815E-4</v>
      </c>
      <c r="K76" s="3">
        <f>IF(ISNUMBER(p_B!K76*LN(p_B!K76)),p_B!K76*LN(p_B!K76),0)</f>
        <v>0</v>
      </c>
      <c r="L76" s="3">
        <f>IF(ISNUMBER(p_B!L76*LN(p_B!L76)),p_B!L76*LN(p_B!L76),0)</f>
        <v>0</v>
      </c>
      <c r="M76" s="3">
        <f>IF(ISNUMBER(p_B!M76*LN(p_B!M76)),p_B!M76*LN(p_B!M76),0)</f>
        <v>0</v>
      </c>
      <c r="N76" s="3">
        <f>IF(ISNUMBER(p_B!N76*LN(p_B!N76)),p_B!N76*LN(p_B!N76),0)</f>
        <v>0</v>
      </c>
      <c r="O76" s="3">
        <f>IF(ISNUMBER(p_B!O76*LN(p_B!O76)),p_B!O76*LN(p_B!O76),0)</f>
        <v>0</v>
      </c>
      <c r="P76" s="3">
        <f>IF(ISNUMBER(p_B!P76*LN(p_B!P76)),p_B!P76*LN(p_B!P76),0)</f>
        <v>-2.3854904330916367E-2</v>
      </c>
      <c r="Q76" s="3">
        <f>IF(ISNUMBER(p_B!Q76*LN(p_B!Q76)),p_B!Q76*LN(p_B!Q76),0)</f>
        <v>-8.5168518798639486E-2</v>
      </c>
      <c r="R76" s="3">
        <f>IF(ISNUMBER(p_B!R76*LN(p_B!R76)),p_B!R76*LN(p_B!R76),0)</f>
        <v>0</v>
      </c>
      <c r="S76" s="3">
        <f>IF(ISNUMBER(p_B!S76*LN(p_B!S76)),p_B!S76*LN(p_B!S76),0)</f>
        <v>0</v>
      </c>
      <c r="T76" s="3">
        <f>IF(ISNUMBER(p_B!T76*LN(p_B!T76)),p_B!T76*LN(p_B!T76),0)</f>
        <v>0</v>
      </c>
      <c r="U76" s="3">
        <f>IF(ISNUMBER(p_B!U76*LN(p_B!U76)),p_B!U76*LN(p_B!U76),0)</f>
        <v>0</v>
      </c>
      <c r="V76" s="3">
        <f>IF(ISNUMBER(p_B!V76*LN(p_B!V76)),p_B!V76*LN(p_B!V76),0)</f>
        <v>0</v>
      </c>
      <c r="W76" s="3">
        <f>IF(ISNUMBER(p_B!W76*LN(p_B!W76)),p_B!W76*LN(p_B!W76),0)</f>
        <v>0</v>
      </c>
      <c r="X76" s="3">
        <f>IF(ISNUMBER(p_B!X76*LN(p_B!X76)),p_B!X76*LN(p_B!X76),0)</f>
        <v>0</v>
      </c>
      <c r="Y76" s="3">
        <f>IF(ISNUMBER(p_B!Y76*LN(p_B!Y76)),p_B!Y76*LN(p_B!Y76),0)</f>
        <v>0</v>
      </c>
      <c r="Z76" s="3">
        <f>IF(ISNUMBER(p_B!Z76*LN(p_B!Z76)),p_B!Z76*LN(p_B!Z76),0)</f>
        <v>0</v>
      </c>
      <c r="AA76" s="3">
        <f>IF(ISNUMBER(p_B!AA76*LN(p_B!AA76)),p_B!AA76*LN(p_B!AA76),0)</f>
        <v>0</v>
      </c>
    </row>
    <row r="77" spans="1:27" x14ac:dyDescent="0.25">
      <c r="A77" t="s">
        <v>99</v>
      </c>
      <c r="B77" s="3">
        <f>IF(ISNUMBER(p_B!B77*LN(p_B!B77)),p_B!B77*LN(p_B!B77),0)</f>
        <v>-6.1396750823905881E-2</v>
      </c>
      <c r="C77" s="3">
        <f>IF(ISNUMBER(p_B!C77*LN(p_B!C77)),p_B!C77*LN(p_B!C77),0)</f>
        <v>0</v>
      </c>
      <c r="D77" s="3">
        <f>IF(ISNUMBER(p_B!D77*LN(p_B!D77)),p_B!D77*LN(p_B!D77),0)</f>
        <v>0</v>
      </c>
      <c r="E77" s="3">
        <f>IF(ISNUMBER(p_B!E77*LN(p_B!E77)),p_B!E77*LN(p_B!E77),0)</f>
        <v>0</v>
      </c>
      <c r="F77" s="3">
        <f>IF(ISNUMBER(p_B!F77*LN(p_B!F77)),p_B!F77*LN(p_B!F77),0)</f>
        <v>0</v>
      </c>
      <c r="G77" s="3">
        <f>IF(ISNUMBER(p_B!G77*LN(p_B!G77)),p_B!G77*LN(p_B!G77),0)</f>
        <v>0</v>
      </c>
      <c r="H77" s="3">
        <f>IF(ISNUMBER(p_B!H77*LN(p_B!H77)),p_B!H77*LN(p_B!H77),0)</f>
        <v>0</v>
      </c>
      <c r="I77" s="3">
        <f>IF(ISNUMBER(p_B!I77*LN(p_B!I77)),p_B!I77*LN(p_B!I77),0)</f>
        <v>0</v>
      </c>
      <c r="J77" s="3">
        <f>IF(ISNUMBER(p_B!J77*LN(p_B!J77)),p_B!J77*LN(p_B!J77),0)</f>
        <v>-2.5178502328012742E-3</v>
      </c>
      <c r="K77" s="3">
        <f>IF(ISNUMBER(p_B!K77*LN(p_B!K77)),p_B!K77*LN(p_B!K77),0)</f>
        <v>0</v>
      </c>
      <c r="L77" s="3">
        <f>IF(ISNUMBER(p_B!L77*LN(p_B!L77)),p_B!L77*LN(p_B!L77),0)</f>
        <v>0</v>
      </c>
      <c r="M77" s="3">
        <f>IF(ISNUMBER(p_B!M77*LN(p_B!M77)),p_B!M77*LN(p_B!M77),0)</f>
        <v>0</v>
      </c>
      <c r="N77" s="3">
        <f>IF(ISNUMBER(p_B!N77*LN(p_B!N77)),p_B!N77*LN(p_B!N77),0)</f>
        <v>0</v>
      </c>
      <c r="O77" s="3">
        <f>IF(ISNUMBER(p_B!O77*LN(p_B!O77)),p_B!O77*LN(p_B!O77),0)</f>
        <v>0</v>
      </c>
      <c r="P77" s="3">
        <f>IF(ISNUMBER(p_B!P77*LN(p_B!P77)),p_B!P77*LN(p_B!P77),0)</f>
        <v>-6.973998496772349E-2</v>
      </c>
      <c r="Q77" s="3">
        <f>IF(ISNUMBER(p_B!Q77*LN(p_B!Q77)),p_B!Q77*LN(p_B!Q77),0)</f>
        <v>-3.1452274353260909E-2</v>
      </c>
      <c r="R77" s="3">
        <f>IF(ISNUMBER(p_B!R77*LN(p_B!R77)),p_B!R77*LN(p_B!R77),0)</f>
        <v>0</v>
      </c>
      <c r="S77" s="3">
        <f>IF(ISNUMBER(p_B!S77*LN(p_B!S77)),p_B!S77*LN(p_B!S77),0)</f>
        <v>0</v>
      </c>
      <c r="T77" s="3">
        <f>IF(ISNUMBER(p_B!T77*LN(p_B!T77)),p_B!T77*LN(p_B!T77),0)</f>
        <v>0</v>
      </c>
      <c r="U77" s="3">
        <f>IF(ISNUMBER(p_B!U77*LN(p_B!U77)),p_B!U77*LN(p_B!U77),0)</f>
        <v>0</v>
      </c>
      <c r="V77" s="3">
        <f>IF(ISNUMBER(p_B!V77*LN(p_B!V77)),p_B!V77*LN(p_B!V77),0)</f>
        <v>0</v>
      </c>
      <c r="W77" s="3">
        <f>IF(ISNUMBER(p_B!W77*LN(p_B!W77)),p_B!W77*LN(p_B!W77),0)</f>
        <v>0</v>
      </c>
      <c r="X77" s="3">
        <f>IF(ISNUMBER(p_B!X77*LN(p_B!X77)),p_B!X77*LN(p_B!X77),0)</f>
        <v>0</v>
      </c>
      <c r="Y77" s="3">
        <f>IF(ISNUMBER(p_B!Y77*LN(p_B!Y77)),p_B!Y77*LN(p_B!Y77),0)</f>
        <v>0</v>
      </c>
      <c r="Z77" s="3">
        <f>IF(ISNUMBER(p_B!Z77*LN(p_B!Z77)),p_B!Z77*LN(p_B!Z77),0)</f>
        <v>0</v>
      </c>
      <c r="AA77" s="3">
        <f>IF(ISNUMBER(p_B!AA77*LN(p_B!AA77)),p_B!AA77*LN(p_B!AA77),0)</f>
        <v>0</v>
      </c>
    </row>
    <row r="78" spans="1:27" x14ac:dyDescent="0.25">
      <c r="A78" t="s">
        <v>100</v>
      </c>
      <c r="B78" s="3">
        <f>IF(ISNUMBER(p_B!B78*LN(p_B!B78)),p_B!B78*LN(p_B!B78),0)</f>
        <v>-6.815917502344282E-2</v>
      </c>
      <c r="C78" s="3">
        <f>IF(ISNUMBER(p_B!C78*LN(p_B!C78)),p_B!C78*LN(p_B!C78),0)</f>
        <v>0</v>
      </c>
      <c r="D78" s="3">
        <f>IF(ISNUMBER(p_B!D78*LN(p_B!D78)),p_B!D78*LN(p_B!D78),0)</f>
        <v>0</v>
      </c>
      <c r="E78" s="3">
        <f>IF(ISNUMBER(p_B!E78*LN(p_B!E78)),p_B!E78*LN(p_B!E78),0)</f>
        <v>0</v>
      </c>
      <c r="F78" s="3">
        <f>IF(ISNUMBER(p_B!F78*LN(p_B!F78)),p_B!F78*LN(p_B!F78),0)</f>
        <v>0</v>
      </c>
      <c r="G78" s="3">
        <f>IF(ISNUMBER(p_B!G78*LN(p_B!G78)),p_B!G78*LN(p_B!G78),0)</f>
        <v>-0.29061584538081525</v>
      </c>
      <c r="H78" s="3">
        <f>IF(ISNUMBER(p_B!H78*LN(p_B!H78)),p_B!H78*LN(p_B!H78),0)</f>
        <v>0</v>
      </c>
      <c r="I78" s="3">
        <f>IF(ISNUMBER(p_B!I78*LN(p_B!I78)),p_B!I78*LN(p_B!I78),0)</f>
        <v>0</v>
      </c>
      <c r="J78" s="3">
        <f>IF(ISNUMBER(p_B!J78*LN(p_B!J78)),p_B!J78*LN(p_B!J78),0)</f>
        <v>-2.2763012075884487E-3</v>
      </c>
      <c r="K78" s="3">
        <f>IF(ISNUMBER(p_B!K78*LN(p_B!K78)),p_B!K78*LN(p_B!K78),0)</f>
        <v>0</v>
      </c>
      <c r="L78" s="3">
        <f>IF(ISNUMBER(p_B!L78*LN(p_B!L78)),p_B!L78*LN(p_B!L78),0)</f>
        <v>0</v>
      </c>
      <c r="M78" s="3">
        <f>IF(ISNUMBER(p_B!M78*LN(p_B!M78)),p_B!M78*LN(p_B!M78),0)</f>
        <v>0</v>
      </c>
      <c r="N78" s="3">
        <f>IF(ISNUMBER(p_B!N78*LN(p_B!N78)),p_B!N78*LN(p_B!N78),0)</f>
        <v>0</v>
      </c>
      <c r="O78" s="3">
        <f>IF(ISNUMBER(p_B!O78*LN(p_B!O78)),p_B!O78*LN(p_B!O78),0)</f>
        <v>0</v>
      </c>
      <c r="P78" s="3">
        <f>IF(ISNUMBER(p_B!P78*LN(p_B!P78)),p_B!P78*LN(p_B!P78),0)</f>
        <v>0</v>
      </c>
      <c r="Q78" s="3">
        <f>IF(ISNUMBER(p_B!Q78*LN(p_B!Q78)),p_B!Q78*LN(p_B!Q78),0)</f>
        <v>-0.15776537675774013</v>
      </c>
      <c r="R78" s="3">
        <f>IF(ISNUMBER(p_B!R78*LN(p_B!R78)),p_B!R78*LN(p_B!R78),0)</f>
        <v>0</v>
      </c>
      <c r="S78" s="3">
        <f>IF(ISNUMBER(p_B!S78*LN(p_B!S78)),p_B!S78*LN(p_B!S78),0)</f>
        <v>0</v>
      </c>
      <c r="T78" s="3">
        <f>IF(ISNUMBER(p_B!T78*LN(p_B!T78)),p_B!T78*LN(p_B!T78),0)</f>
        <v>0</v>
      </c>
      <c r="U78" s="3">
        <f>IF(ISNUMBER(p_B!U78*LN(p_B!U78)),p_B!U78*LN(p_B!U78),0)</f>
        <v>0</v>
      </c>
      <c r="V78" s="3">
        <f>IF(ISNUMBER(p_B!V78*LN(p_B!V78)),p_B!V78*LN(p_B!V78),0)</f>
        <v>0</v>
      </c>
      <c r="W78" s="3">
        <f>IF(ISNUMBER(p_B!W78*LN(p_B!W78)),p_B!W78*LN(p_B!W78),0)</f>
        <v>0</v>
      </c>
      <c r="X78" s="3">
        <f>IF(ISNUMBER(p_B!X78*LN(p_B!X78)),p_B!X78*LN(p_B!X78),0)</f>
        <v>0</v>
      </c>
      <c r="Y78" s="3">
        <f>IF(ISNUMBER(p_B!Y78*LN(p_B!Y78)),p_B!Y78*LN(p_B!Y78),0)</f>
        <v>0</v>
      </c>
      <c r="Z78" s="3">
        <f>IF(ISNUMBER(p_B!Z78*LN(p_B!Z78)),p_B!Z78*LN(p_B!Z78),0)</f>
        <v>0</v>
      </c>
      <c r="AA78" s="3">
        <f>IF(ISNUMBER(p_B!AA78*LN(p_B!AA78)),p_B!AA78*LN(p_B!AA78),0)</f>
        <v>0</v>
      </c>
    </row>
    <row r="79" spans="1:27" x14ac:dyDescent="0.25">
      <c r="A79" t="s">
        <v>101</v>
      </c>
      <c r="B79" s="3">
        <f>IF(ISNUMBER(p_B!B79*LN(p_B!B79)),p_B!B79*LN(p_B!B79),0)</f>
        <v>-6.8945107294870814E-2</v>
      </c>
      <c r="C79" s="3">
        <f>IF(ISNUMBER(p_B!C79*LN(p_B!C79)),p_B!C79*LN(p_B!C79),0)</f>
        <v>0</v>
      </c>
      <c r="D79" s="3">
        <f>IF(ISNUMBER(p_B!D79*LN(p_B!D79)),p_B!D79*LN(p_B!D79),0)</f>
        <v>0</v>
      </c>
      <c r="E79" s="3">
        <f>IF(ISNUMBER(p_B!E79*LN(p_B!E79)),p_B!E79*LN(p_B!E79),0)</f>
        <v>0</v>
      </c>
      <c r="F79" s="3">
        <f>IF(ISNUMBER(p_B!F79*LN(p_B!F79)),p_B!F79*LN(p_B!F79),0)</f>
        <v>0</v>
      </c>
      <c r="G79" s="3">
        <f>IF(ISNUMBER(p_B!G79*LN(p_B!G79)),p_B!G79*LN(p_B!G79),0)</f>
        <v>-0.32127696418180257</v>
      </c>
      <c r="H79" s="3">
        <f>IF(ISNUMBER(p_B!H79*LN(p_B!H79)),p_B!H79*LN(p_B!H79),0)</f>
        <v>0</v>
      </c>
      <c r="I79" s="3">
        <f>IF(ISNUMBER(p_B!I79*LN(p_B!I79)),p_B!I79*LN(p_B!I79),0)</f>
        <v>0</v>
      </c>
      <c r="J79" s="3">
        <f>IF(ISNUMBER(p_B!J79*LN(p_B!J79)),p_B!J79*LN(p_B!J79),0)</f>
        <v>-7.0287960856069368E-3</v>
      </c>
      <c r="K79" s="3">
        <f>IF(ISNUMBER(p_B!K79*LN(p_B!K79)),p_B!K79*LN(p_B!K79),0)</f>
        <v>0</v>
      </c>
      <c r="L79" s="3">
        <f>IF(ISNUMBER(p_B!L79*LN(p_B!L79)),p_B!L79*LN(p_B!L79),0)</f>
        <v>0</v>
      </c>
      <c r="M79" s="3">
        <f>IF(ISNUMBER(p_B!M79*LN(p_B!M79)),p_B!M79*LN(p_B!M79),0)</f>
        <v>0</v>
      </c>
      <c r="N79" s="3">
        <f>IF(ISNUMBER(p_B!N79*LN(p_B!N79)),p_B!N79*LN(p_B!N79),0)</f>
        <v>0</v>
      </c>
      <c r="O79" s="3">
        <f>IF(ISNUMBER(p_B!O79*LN(p_B!O79)),p_B!O79*LN(p_B!O79),0)</f>
        <v>0</v>
      </c>
      <c r="P79" s="3">
        <f>IF(ISNUMBER(p_B!P79*LN(p_B!P79)),p_B!P79*LN(p_B!P79),0)</f>
        <v>-0.17663726636295193</v>
      </c>
      <c r="Q79" s="3">
        <f>IF(ISNUMBER(p_B!Q79*LN(p_B!Q79)),p_B!Q79*LN(p_B!Q79),0)</f>
        <v>-0.23741104744452893</v>
      </c>
      <c r="R79" s="3">
        <f>IF(ISNUMBER(p_B!R79*LN(p_B!R79)),p_B!R79*LN(p_B!R79),0)</f>
        <v>0</v>
      </c>
      <c r="S79" s="3">
        <f>IF(ISNUMBER(p_B!S79*LN(p_B!S79)),p_B!S79*LN(p_B!S79),0)</f>
        <v>0</v>
      </c>
      <c r="T79" s="3">
        <f>IF(ISNUMBER(p_B!T79*LN(p_B!T79)),p_B!T79*LN(p_B!T79),0)</f>
        <v>0</v>
      </c>
      <c r="U79" s="3">
        <f>IF(ISNUMBER(p_B!U79*LN(p_B!U79)),p_B!U79*LN(p_B!U79),0)</f>
        <v>0</v>
      </c>
      <c r="V79" s="3">
        <f>IF(ISNUMBER(p_B!V79*LN(p_B!V79)),p_B!V79*LN(p_B!V79),0)</f>
        <v>0</v>
      </c>
      <c r="W79" s="3">
        <f>IF(ISNUMBER(p_B!W79*LN(p_B!W79)),p_B!W79*LN(p_B!W79),0)</f>
        <v>0</v>
      </c>
      <c r="X79" s="3">
        <f>IF(ISNUMBER(p_B!X79*LN(p_B!X79)),p_B!X79*LN(p_B!X79),0)</f>
        <v>0</v>
      </c>
      <c r="Y79" s="3">
        <f>IF(ISNUMBER(p_B!Y79*LN(p_B!Y79)),p_B!Y79*LN(p_B!Y79),0)</f>
        <v>0</v>
      </c>
      <c r="Z79" s="3">
        <f>IF(ISNUMBER(p_B!Z79*LN(p_B!Z79)),p_B!Z79*LN(p_B!Z79),0)</f>
        <v>0</v>
      </c>
      <c r="AA79" s="3">
        <f>IF(ISNUMBER(p_B!AA79*LN(p_B!AA79)),p_B!AA79*LN(p_B!AA79),0)</f>
        <v>0</v>
      </c>
    </row>
    <row r="80" spans="1:27" x14ac:dyDescent="0.25">
      <c r="A80" t="s">
        <v>103</v>
      </c>
      <c r="B80" s="3">
        <f>IF(ISNUMBER(p_B!B80*LN(p_B!B80)),p_B!B80*LN(p_B!B80),0)</f>
        <v>-5.5849372609769098E-2</v>
      </c>
      <c r="C80" s="3">
        <f>IF(ISNUMBER(p_B!C80*LN(p_B!C80)),p_B!C80*LN(p_B!C80),0)</f>
        <v>0</v>
      </c>
      <c r="D80" s="3">
        <f>IF(ISNUMBER(p_B!D80*LN(p_B!D80)),p_B!D80*LN(p_B!D80),0)</f>
        <v>0</v>
      </c>
      <c r="E80" s="3">
        <f>IF(ISNUMBER(p_B!E80*LN(p_B!E80)),p_B!E80*LN(p_B!E80),0)</f>
        <v>0</v>
      </c>
      <c r="F80" s="3">
        <f>IF(ISNUMBER(p_B!F80*LN(p_B!F80)),p_B!F80*LN(p_B!F80),0)</f>
        <v>0</v>
      </c>
      <c r="G80" s="3">
        <f>IF(ISNUMBER(p_B!G80*LN(p_B!G80)),p_B!G80*LN(p_B!G80),0)</f>
        <v>-0.35634684014372431</v>
      </c>
      <c r="H80" s="3">
        <f>IF(ISNUMBER(p_B!H80*LN(p_B!H80)),p_B!H80*LN(p_B!H80),0)</f>
        <v>0</v>
      </c>
      <c r="I80" s="3">
        <f>IF(ISNUMBER(p_B!I80*LN(p_B!I80)),p_B!I80*LN(p_B!I80),0)</f>
        <v>0</v>
      </c>
      <c r="J80" s="3">
        <f>IF(ISNUMBER(p_B!J80*LN(p_B!J80)),p_B!J80*LN(p_B!J80),0)</f>
        <v>-3.9062149010604369E-2</v>
      </c>
      <c r="K80" s="3">
        <f>IF(ISNUMBER(p_B!K80*LN(p_B!K80)),p_B!K80*LN(p_B!K80),0)</f>
        <v>0</v>
      </c>
      <c r="L80" s="3">
        <f>IF(ISNUMBER(p_B!L80*LN(p_B!L80)),p_B!L80*LN(p_B!L80),0)</f>
        <v>0</v>
      </c>
      <c r="M80" s="3">
        <f>IF(ISNUMBER(p_B!M80*LN(p_B!M80)),p_B!M80*LN(p_B!M80),0)</f>
        <v>0</v>
      </c>
      <c r="N80" s="3">
        <f>IF(ISNUMBER(p_B!N80*LN(p_B!N80)),p_B!N80*LN(p_B!N80),0)</f>
        <v>0</v>
      </c>
      <c r="O80" s="3">
        <f>IF(ISNUMBER(p_B!O80*LN(p_B!O80)),p_B!O80*LN(p_B!O80),0)</f>
        <v>-0.22661387682469467</v>
      </c>
      <c r="P80" s="3">
        <f>IF(ISNUMBER(p_B!P80*LN(p_B!P80)),p_B!P80*LN(p_B!P80),0)</f>
        <v>0</v>
      </c>
      <c r="Q80" s="3">
        <f>IF(ISNUMBER(p_B!Q80*LN(p_B!Q80)),p_B!Q80*LN(p_B!Q80),0)</f>
        <v>-0.305444233396579</v>
      </c>
      <c r="R80" s="3">
        <f>IF(ISNUMBER(p_B!R80*LN(p_B!R80)),p_B!R80*LN(p_B!R80),0)</f>
        <v>0</v>
      </c>
      <c r="S80" s="3">
        <f>IF(ISNUMBER(p_B!S80*LN(p_B!S80)),p_B!S80*LN(p_B!S80),0)</f>
        <v>0</v>
      </c>
      <c r="T80" s="3">
        <f>IF(ISNUMBER(p_B!T80*LN(p_B!T80)),p_B!T80*LN(p_B!T80),0)</f>
        <v>0</v>
      </c>
      <c r="U80" s="3">
        <f>IF(ISNUMBER(p_B!U80*LN(p_B!U80)),p_B!U80*LN(p_B!U80),0)</f>
        <v>0</v>
      </c>
      <c r="V80" s="3">
        <f>IF(ISNUMBER(p_B!V80*LN(p_B!V80)),p_B!V80*LN(p_B!V80),0)</f>
        <v>0</v>
      </c>
      <c r="W80" s="3">
        <f>IF(ISNUMBER(p_B!W80*LN(p_B!W80)),p_B!W80*LN(p_B!W80),0)</f>
        <v>0</v>
      </c>
      <c r="X80" s="3">
        <f>IF(ISNUMBER(p_B!X80*LN(p_B!X80)),p_B!X80*LN(p_B!X80),0)</f>
        <v>0</v>
      </c>
      <c r="Y80" s="3">
        <f>IF(ISNUMBER(p_B!Y80*LN(p_B!Y80)),p_B!Y80*LN(p_B!Y80),0)</f>
        <v>0</v>
      </c>
      <c r="Z80" s="3">
        <f>IF(ISNUMBER(p_B!Z80*LN(p_B!Z80)),p_B!Z80*LN(p_B!Z80),0)</f>
        <v>0</v>
      </c>
      <c r="AA80" s="3">
        <f>IF(ISNUMBER(p_B!AA80*LN(p_B!AA80)),p_B!AA80*LN(p_B!AA80),0)</f>
        <v>0</v>
      </c>
    </row>
    <row r="81" spans="1:27" x14ac:dyDescent="0.25">
      <c r="A81" t="s">
        <v>104</v>
      </c>
      <c r="B81" s="3">
        <f>IF(ISNUMBER(p_B!B81*LN(p_B!B81)),p_B!B81*LN(p_B!B81),0)</f>
        <v>-0.11730738064048141</v>
      </c>
      <c r="C81" s="3">
        <f>IF(ISNUMBER(p_B!C81*LN(p_B!C81)),p_B!C81*LN(p_B!C81),0)</f>
        <v>0</v>
      </c>
      <c r="D81" s="3">
        <f>IF(ISNUMBER(p_B!D81*LN(p_B!D81)),p_B!D81*LN(p_B!D81),0)</f>
        <v>0</v>
      </c>
      <c r="E81" s="3">
        <f>IF(ISNUMBER(p_B!E81*LN(p_B!E81)),p_B!E81*LN(p_B!E81),0)</f>
        <v>0</v>
      </c>
      <c r="F81" s="3">
        <f>IF(ISNUMBER(p_B!F81*LN(p_B!F81)),p_B!F81*LN(p_B!F81),0)</f>
        <v>0</v>
      </c>
      <c r="G81" s="3">
        <f>IF(ISNUMBER(p_B!G81*LN(p_B!G81)),p_B!G81*LN(p_B!G81),0)</f>
        <v>-0.3010105881030678</v>
      </c>
      <c r="H81" s="3">
        <f>IF(ISNUMBER(p_B!H81*LN(p_B!H81)),p_B!H81*LN(p_B!H81),0)</f>
        <v>0</v>
      </c>
      <c r="I81" s="3">
        <f>IF(ISNUMBER(p_B!I81*LN(p_B!I81)),p_B!I81*LN(p_B!I81),0)</f>
        <v>0</v>
      </c>
      <c r="J81" s="3">
        <f>IF(ISNUMBER(p_B!J81*LN(p_B!J81)),p_B!J81*LN(p_B!J81),0)</f>
        <v>-2.0038258293396051E-3</v>
      </c>
      <c r="K81" s="3">
        <f>IF(ISNUMBER(p_B!K81*LN(p_B!K81)),p_B!K81*LN(p_B!K81),0)</f>
        <v>0</v>
      </c>
      <c r="L81" s="3">
        <f>IF(ISNUMBER(p_B!L81*LN(p_B!L81)),p_B!L81*LN(p_B!L81),0)</f>
        <v>0</v>
      </c>
      <c r="M81" s="3">
        <f>IF(ISNUMBER(p_B!M81*LN(p_B!M81)),p_B!M81*LN(p_B!M81),0)</f>
        <v>0</v>
      </c>
      <c r="N81" s="3">
        <f>IF(ISNUMBER(p_B!N81*LN(p_B!N81)),p_B!N81*LN(p_B!N81),0)</f>
        <v>0</v>
      </c>
      <c r="O81" s="3">
        <f>IF(ISNUMBER(p_B!O81*LN(p_B!O81)),p_B!O81*LN(p_B!O81),0)</f>
        <v>-5.4587137957604656E-2</v>
      </c>
      <c r="P81" s="3">
        <f>IF(ISNUMBER(p_B!P81*LN(p_B!P81)),p_B!P81*LN(p_B!P81),0)</f>
        <v>0</v>
      </c>
      <c r="Q81" s="3">
        <f>IF(ISNUMBER(p_B!Q81*LN(p_B!Q81)),p_B!Q81*LN(p_B!Q81),0)</f>
        <v>-0.19183102091266296</v>
      </c>
      <c r="R81" s="3">
        <f>IF(ISNUMBER(p_B!R81*LN(p_B!R81)),p_B!R81*LN(p_B!R81),0)</f>
        <v>0</v>
      </c>
      <c r="S81" s="3">
        <f>IF(ISNUMBER(p_B!S81*LN(p_B!S81)),p_B!S81*LN(p_B!S81),0)</f>
        <v>0</v>
      </c>
      <c r="T81" s="3">
        <f>IF(ISNUMBER(p_B!T81*LN(p_B!T81)),p_B!T81*LN(p_B!T81),0)</f>
        <v>0</v>
      </c>
      <c r="U81" s="3">
        <f>IF(ISNUMBER(p_B!U81*LN(p_B!U81)),p_B!U81*LN(p_B!U81),0)</f>
        <v>0</v>
      </c>
      <c r="V81" s="3">
        <f>IF(ISNUMBER(p_B!V81*LN(p_B!V81)),p_B!V81*LN(p_B!V81),0)</f>
        <v>0</v>
      </c>
      <c r="W81" s="3">
        <f>IF(ISNUMBER(p_B!W81*LN(p_B!W81)),p_B!W81*LN(p_B!W81),0)</f>
        <v>0</v>
      </c>
      <c r="X81" s="3">
        <f>IF(ISNUMBER(p_B!X81*LN(p_B!X81)),p_B!X81*LN(p_B!X81),0)</f>
        <v>0</v>
      </c>
      <c r="Y81" s="3">
        <f>IF(ISNUMBER(p_B!Y81*LN(p_B!Y81)),p_B!Y81*LN(p_B!Y81),0)</f>
        <v>0</v>
      </c>
      <c r="Z81" s="3">
        <f>IF(ISNUMBER(p_B!Z81*LN(p_B!Z81)),p_B!Z81*LN(p_B!Z81),0)</f>
        <v>0</v>
      </c>
      <c r="AA81" s="3">
        <f>IF(ISNUMBER(p_B!AA81*LN(p_B!AA81)),p_B!AA81*LN(p_B!AA81),0)</f>
        <v>0</v>
      </c>
    </row>
    <row r="82" spans="1:27" x14ac:dyDescent="0.25">
      <c r="A82" t="s">
        <v>105</v>
      </c>
      <c r="B82" s="3">
        <f>IF(ISNUMBER(p_B!B82*LN(p_B!B82)),p_B!B82*LN(p_B!B82),0)</f>
        <v>-0.18123855083584225</v>
      </c>
      <c r="C82" s="3">
        <f>IF(ISNUMBER(p_B!C82*LN(p_B!C82)),p_B!C82*LN(p_B!C82),0)</f>
        <v>0</v>
      </c>
      <c r="D82" s="3">
        <f>IF(ISNUMBER(p_B!D82*LN(p_B!D82)),p_B!D82*LN(p_B!D82),0)</f>
        <v>0</v>
      </c>
      <c r="E82" s="3">
        <f>IF(ISNUMBER(p_B!E82*LN(p_B!E82)),p_B!E82*LN(p_B!E82),0)</f>
        <v>0</v>
      </c>
      <c r="F82" s="3">
        <f>IF(ISNUMBER(p_B!F82*LN(p_B!F82)),p_B!F82*LN(p_B!F82),0)</f>
        <v>0</v>
      </c>
      <c r="G82" s="3">
        <f>IF(ISNUMBER(p_B!G82*LN(p_B!G82)),p_B!G82*LN(p_B!G82),0)</f>
        <v>-0.36647025186729182</v>
      </c>
      <c r="H82" s="3">
        <f>IF(ISNUMBER(p_B!H82*LN(p_B!H82)),p_B!H82*LN(p_B!H82),0)</f>
        <v>0</v>
      </c>
      <c r="I82" s="3">
        <f>IF(ISNUMBER(p_B!I82*LN(p_B!I82)),p_B!I82*LN(p_B!I82),0)</f>
        <v>0</v>
      </c>
      <c r="J82" s="3">
        <f>IF(ISNUMBER(p_B!J82*LN(p_B!J82)),p_B!J82*LN(p_B!J82),0)</f>
        <v>-4.9387758008488918E-3</v>
      </c>
      <c r="K82" s="3">
        <f>IF(ISNUMBER(p_B!K82*LN(p_B!K82)),p_B!K82*LN(p_B!K82),0)</f>
        <v>0</v>
      </c>
      <c r="L82" s="3">
        <f>IF(ISNUMBER(p_B!L82*LN(p_B!L82)),p_B!L82*LN(p_B!L82),0)</f>
        <v>0</v>
      </c>
      <c r="M82" s="3">
        <f>IF(ISNUMBER(p_B!M82*LN(p_B!M82)),p_B!M82*LN(p_B!M82),0)</f>
        <v>0</v>
      </c>
      <c r="N82" s="3">
        <f>IF(ISNUMBER(p_B!N82*LN(p_B!N82)),p_B!N82*LN(p_B!N82),0)</f>
        <v>0</v>
      </c>
      <c r="O82" s="3">
        <f>IF(ISNUMBER(p_B!O82*LN(p_B!O82)),p_B!O82*LN(p_B!O82),0)</f>
        <v>0</v>
      </c>
      <c r="P82" s="3">
        <f>IF(ISNUMBER(p_B!P82*LN(p_B!P82)),p_B!P82*LN(p_B!P82),0)</f>
        <v>0</v>
      </c>
      <c r="Q82" s="3">
        <f>IF(ISNUMBER(p_B!Q82*LN(p_B!Q82)),p_B!Q82*LN(p_B!Q82),0)</f>
        <v>-0.30892401498702599</v>
      </c>
      <c r="R82" s="3">
        <f>IF(ISNUMBER(p_B!R82*LN(p_B!R82)),p_B!R82*LN(p_B!R82),0)</f>
        <v>0</v>
      </c>
      <c r="S82" s="3">
        <f>IF(ISNUMBER(p_B!S82*LN(p_B!S82)),p_B!S82*LN(p_B!S82),0)</f>
        <v>0</v>
      </c>
      <c r="T82" s="3">
        <f>IF(ISNUMBER(p_B!T82*LN(p_B!T82)),p_B!T82*LN(p_B!T82),0)</f>
        <v>0</v>
      </c>
      <c r="U82" s="3">
        <f>IF(ISNUMBER(p_B!U82*LN(p_B!U82)),p_B!U82*LN(p_B!U82),0)</f>
        <v>0</v>
      </c>
      <c r="V82" s="3">
        <f>IF(ISNUMBER(p_B!V82*LN(p_B!V82)),p_B!V82*LN(p_B!V82),0)</f>
        <v>0</v>
      </c>
      <c r="W82" s="3">
        <f>IF(ISNUMBER(p_B!W82*LN(p_B!W82)),p_B!W82*LN(p_B!W82),0)</f>
        <v>0</v>
      </c>
      <c r="X82" s="3">
        <f>IF(ISNUMBER(p_B!X82*LN(p_B!X82)),p_B!X82*LN(p_B!X82),0)</f>
        <v>0</v>
      </c>
      <c r="Y82" s="3">
        <f>IF(ISNUMBER(p_B!Y82*LN(p_B!Y82)),p_B!Y82*LN(p_B!Y82),0)</f>
        <v>0</v>
      </c>
      <c r="Z82" s="3">
        <f>IF(ISNUMBER(p_B!Z82*LN(p_B!Z82)),p_B!Z82*LN(p_B!Z82),0)</f>
        <v>-7.4916245653016463E-3</v>
      </c>
      <c r="AA82" s="3">
        <f>IF(ISNUMBER(p_B!AA82*LN(p_B!AA82)),p_B!AA82*LN(p_B!AA82),0)</f>
        <v>0</v>
      </c>
    </row>
    <row r="83" spans="1:27" x14ac:dyDescent="0.25">
      <c r="A83" t="s">
        <v>107</v>
      </c>
      <c r="B83" s="3">
        <f>IF(ISNUMBER(p_B!B83*LN(p_B!B83)),p_B!B83*LN(p_B!B83),0)</f>
        <v>-0.10454032930337127</v>
      </c>
      <c r="C83" s="3">
        <f>IF(ISNUMBER(p_B!C83*LN(p_B!C83)),p_B!C83*LN(p_B!C83),0)</f>
        <v>0</v>
      </c>
      <c r="D83" s="3">
        <f>IF(ISNUMBER(p_B!D83*LN(p_B!D83)),p_B!D83*LN(p_B!D83),0)</f>
        <v>0</v>
      </c>
      <c r="E83" s="3">
        <f>IF(ISNUMBER(p_B!E83*LN(p_B!E83)),p_B!E83*LN(p_B!E83),0)</f>
        <v>0</v>
      </c>
      <c r="F83" s="3">
        <f>IF(ISNUMBER(p_B!F83*LN(p_B!F83)),p_B!F83*LN(p_B!F83),0)</f>
        <v>0</v>
      </c>
      <c r="G83" s="3">
        <f>IF(ISNUMBER(p_B!G83*LN(p_B!G83)),p_B!G83*LN(p_B!G83),0)</f>
        <v>-0.17580503530420311</v>
      </c>
      <c r="H83" s="3">
        <f>IF(ISNUMBER(p_B!H83*LN(p_B!H83)),p_B!H83*LN(p_B!H83),0)</f>
        <v>0</v>
      </c>
      <c r="I83" s="3">
        <f>IF(ISNUMBER(p_B!I83*LN(p_B!I83)),p_B!I83*LN(p_B!I83),0)</f>
        <v>0</v>
      </c>
      <c r="J83" s="3">
        <f>IF(ISNUMBER(p_B!J83*LN(p_B!J83)),p_B!J83*LN(p_B!J83),0)</f>
        <v>-6.119267572763095E-2</v>
      </c>
      <c r="K83" s="3">
        <f>IF(ISNUMBER(p_B!K83*LN(p_B!K83)),p_B!K83*LN(p_B!K83),0)</f>
        <v>0</v>
      </c>
      <c r="L83" s="3">
        <f>IF(ISNUMBER(p_B!L83*LN(p_B!L83)),p_B!L83*LN(p_B!L83),0)</f>
        <v>0</v>
      </c>
      <c r="M83" s="3">
        <f>IF(ISNUMBER(p_B!M83*LN(p_B!M83)),p_B!M83*LN(p_B!M83),0)</f>
        <v>0</v>
      </c>
      <c r="N83" s="3">
        <f>IF(ISNUMBER(p_B!N83*LN(p_B!N83)),p_B!N83*LN(p_B!N83),0)</f>
        <v>0</v>
      </c>
      <c r="O83" s="3">
        <f>IF(ISNUMBER(p_B!O83*LN(p_B!O83)),p_B!O83*LN(p_B!O83),0)</f>
        <v>0</v>
      </c>
      <c r="P83" s="3">
        <f>IF(ISNUMBER(p_B!P83*LN(p_B!P83)),p_B!P83*LN(p_B!P83),0)</f>
        <v>0</v>
      </c>
      <c r="Q83" s="3">
        <f>IF(ISNUMBER(p_B!Q83*LN(p_B!Q83)),p_B!Q83*LN(p_B!Q83),0)</f>
        <v>-0.28251122686793589</v>
      </c>
      <c r="R83" s="3">
        <f>IF(ISNUMBER(p_B!R83*LN(p_B!R83)),p_B!R83*LN(p_B!R83),0)</f>
        <v>0</v>
      </c>
      <c r="S83" s="3">
        <f>IF(ISNUMBER(p_B!S83*LN(p_B!S83)),p_B!S83*LN(p_B!S83),0)</f>
        <v>0</v>
      </c>
      <c r="T83" s="3">
        <f>IF(ISNUMBER(p_B!T83*LN(p_B!T83)),p_B!T83*LN(p_B!T83),0)</f>
        <v>0</v>
      </c>
      <c r="U83" s="3">
        <f>IF(ISNUMBER(p_B!U83*LN(p_B!U83)),p_B!U83*LN(p_B!U83),0)</f>
        <v>0</v>
      </c>
      <c r="V83" s="3">
        <f>IF(ISNUMBER(p_B!V83*LN(p_B!V83)),p_B!V83*LN(p_B!V83),0)</f>
        <v>0</v>
      </c>
      <c r="W83" s="3">
        <f>IF(ISNUMBER(p_B!W83*LN(p_B!W83)),p_B!W83*LN(p_B!W83),0)</f>
        <v>0</v>
      </c>
      <c r="X83" s="3">
        <f>IF(ISNUMBER(p_B!X83*LN(p_B!X83)),p_B!X83*LN(p_B!X83),0)</f>
        <v>0</v>
      </c>
      <c r="Y83" s="3">
        <f>IF(ISNUMBER(p_B!Y83*LN(p_B!Y83)),p_B!Y83*LN(p_B!Y83),0)</f>
        <v>0</v>
      </c>
      <c r="Z83" s="3">
        <f>IF(ISNUMBER(p_B!Z83*LN(p_B!Z83)),p_B!Z83*LN(p_B!Z83),0)</f>
        <v>-4.0420257084629865E-3</v>
      </c>
      <c r="AA83" s="3">
        <f>IF(ISNUMBER(p_B!AA83*LN(p_B!AA83)),p_B!AA83*LN(p_B!AA83),0)</f>
        <v>-2.24452385968252E-2</v>
      </c>
    </row>
    <row r="84" spans="1:27" x14ac:dyDescent="0.25">
      <c r="A84" t="s">
        <v>108</v>
      </c>
      <c r="B84" s="3">
        <f>IF(ISNUMBER(p_B!B84*LN(p_B!B84)),p_B!B84*LN(p_B!B84),0)</f>
        <v>-9.5822705370434608E-2</v>
      </c>
      <c r="C84" s="3">
        <f>IF(ISNUMBER(p_B!C84*LN(p_B!C84)),p_B!C84*LN(p_B!C84),0)</f>
        <v>0</v>
      </c>
      <c r="D84" s="3">
        <f>IF(ISNUMBER(p_B!D84*LN(p_B!D84)),p_B!D84*LN(p_B!D84),0)</f>
        <v>0</v>
      </c>
      <c r="E84" s="3">
        <f>IF(ISNUMBER(p_B!E84*LN(p_B!E84)),p_B!E84*LN(p_B!E84),0)</f>
        <v>0</v>
      </c>
      <c r="F84" s="3">
        <f>IF(ISNUMBER(p_B!F84*LN(p_B!F84)),p_B!F84*LN(p_B!F84),0)</f>
        <v>0</v>
      </c>
      <c r="G84" s="3">
        <f>IF(ISNUMBER(p_B!G84*LN(p_B!G84)),p_B!G84*LN(p_B!G84),0)</f>
        <v>0</v>
      </c>
      <c r="H84" s="3">
        <f>IF(ISNUMBER(p_B!H84*LN(p_B!H84)),p_B!H84*LN(p_B!H84),0)</f>
        <v>0</v>
      </c>
      <c r="I84" s="3">
        <f>IF(ISNUMBER(p_B!I84*LN(p_B!I84)),p_B!I84*LN(p_B!I84),0)</f>
        <v>0</v>
      </c>
      <c r="J84" s="3">
        <f>IF(ISNUMBER(p_B!J84*LN(p_B!J84)),p_B!J84*LN(p_B!J84),0)</f>
        <v>-7.9854888741556565E-3</v>
      </c>
      <c r="K84" s="3">
        <f>IF(ISNUMBER(p_B!K84*LN(p_B!K84)),p_B!K84*LN(p_B!K84),0)</f>
        <v>0</v>
      </c>
      <c r="L84" s="3">
        <f>IF(ISNUMBER(p_B!L84*LN(p_B!L84)),p_B!L84*LN(p_B!L84),0)</f>
        <v>0</v>
      </c>
      <c r="M84" s="3">
        <f>IF(ISNUMBER(p_B!M84*LN(p_B!M84)),p_B!M84*LN(p_B!M84),0)</f>
        <v>0</v>
      </c>
      <c r="N84" s="3">
        <f>IF(ISNUMBER(p_B!N84*LN(p_B!N84)),p_B!N84*LN(p_B!N84),0)</f>
        <v>0</v>
      </c>
      <c r="O84" s="3">
        <f>IF(ISNUMBER(p_B!O84*LN(p_B!O84)),p_B!O84*LN(p_B!O84),0)</f>
        <v>0</v>
      </c>
      <c r="P84" s="3">
        <f>IF(ISNUMBER(p_B!P84*LN(p_B!P84)),p_B!P84*LN(p_B!P84),0)</f>
        <v>-0.22793615227769665</v>
      </c>
      <c r="Q84" s="3">
        <f>IF(ISNUMBER(p_B!Q84*LN(p_B!Q84)),p_B!Q84*LN(p_B!Q84),0)</f>
        <v>-0.11750410218695172</v>
      </c>
      <c r="R84" s="3">
        <f>IF(ISNUMBER(p_B!R84*LN(p_B!R84)),p_B!R84*LN(p_B!R84),0)</f>
        <v>0</v>
      </c>
      <c r="S84" s="3">
        <f>IF(ISNUMBER(p_B!S84*LN(p_B!S84)),p_B!S84*LN(p_B!S84),0)</f>
        <v>0</v>
      </c>
      <c r="T84" s="3">
        <f>IF(ISNUMBER(p_B!T84*LN(p_B!T84)),p_B!T84*LN(p_B!T84),0)</f>
        <v>0</v>
      </c>
      <c r="U84" s="3">
        <f>IF(ISNUMBER(p_B!U84*LN(p_B!U84)),p_B!U84*LN(p_B!U84),0)</f>
        <v>0</v>
      </c>
      <c r="V84" s="3">
        <f>IF(ISNUMBER(p_B!V84*LN(p_B!V84)),p_B!V84*LN(p_B!V84),0)</f>
        <v>0</v>
      </c>
      <c r="W84" s="3">
        <f>IF(ISNUMBER(p_B!W84*LN(p_B!W84)),p_B!W84*LN(p_B!W84),0)</f>
        <v>0</v>
      </c>
      <c r="X84" s="3">
        <f>IF(ISNUMBER(p_B!X84*LN(p_B!X84)),p_B!X84*LN(p_B!X84),0)</f>
        <v>0</v>
      </c>
      <c r="Y84" s="3">
        <f>IF(ISNUMBER(p_B!Y84*LN(p_B!Y84)),p_B!Y84*LN(p_B!Y84),0)</f>
        <v>0</v>
      </c>
      <c r="Z84" s="3">
        <f>IF(ISNUMBER(p_B!Z84*LN(p_B!Z84)),p_B!Z84*LN(p_B!Z84),0)</f>
        <v>0</v>
      </c>
      <c r="AA84" s="3">
        <f>IF(ISNUMBER(p_B!AA84*LN(p_B!AA84)),p_B!AA84*LN(p_B!AA84),0)</f>
        <v>0</v>
      </c>
    </row>
    <row r="85" spans="1:27" x14ac:dyDescent="0.25">
      <c r="A85" t="s">
        <v>109</v>
      </c>
      <c r="B85" s="3">
        <f>IF(ISNUMBER(p_B!B85*LN(p_B!B85)),p_B!B85*LN(p_B!B85),0)</f>
        <v>-3.3578986293706009E-2</v>
      </c>
      <c r="C85" s="3">
        <f>IF(ISNUMBER(p_B!C85*LN(p_B!C85)),p_B!C85*LN(p_B!C85),0)</f>
        <v>0</v>
      </c>
      <c r="D85" s="3">
        <f>IF(ISNUMBER(p_B!D85*LN(p_B!D85)),p_B!D85*LN(p_B!D85),0)</f>
        <v>0</v>
      </c>
      <c r="E85" s="3">
        <f>IF(ISNUMBER(p_B!E85*LN(p_B!E85)),p_B!E85*LN(p_B!E85),0)</f>
        <v>0</v>
      </c>
      <c r="F85" s="3">
        <f>IF(ISNUMBER(p_B!F85*LN(p_B!F85)),p_B!F85*LN(p_B!F85),0)</f>
        <v>0</v>
      </c>
      <c r="G85" s="3">
        <f>IF(ISNUMBER(p_B!G85*LN(p_B!G85)),p_B!G85*LN(p_B!G85),0)</f>
        <v>0</v>
      </c>
      <c r="H85" s="3">
        <f>IF(ISNUMBER(p_B!H85*LN(p_B!H85)),p_B!H85*LN(p_B!H85),0)</f>
        <v>0</v>
      </c>
      <c r="I85" s="3">
        <f>IF(ISNUMBER(p_B!I85*LN(p_B!I85)),p_B!I85*LN(p_B!I85),0)</f>
        <v>0</v>
      </c>
      <c r="J85" s="3">
        <f>IF(ISNUMBER(p_B!J85*LN(p_B!J85)),p_B!J85*LN(p_B!J85),0)</f>
        <v>-2.7037823990228435E-3</v>
      </c>
      <c r="K85" s="3">
        <f>IF(ISNUMBER(p_B!K85*LN(p_B!K85)),p_B!K85*LN(p_B!K85),0)</f>
        <v>0</v>
      </c>
      <c r="L85" s="3">
        <f>IF(ISNUMBER(p_B!L85*LN(p_B!L85)),p_B!L85*LN(p_B!L85),0)</f>
        <v>0</v>
      </c>
      <c r="M85" s="3">
        <f>IF(ISNUMBER(p_B!M85*LN(p_B!M85)),p_B!M85*LN(p_B!M85),0)</f>
        <v>0</v>
      </c>
      <c r="N85" s="3">
        <f>IF(ISNUMBER(p_B!N85*LN(p_B!N85)),p_B!N85*LN(p_B!N85),0)</f>
        <v>0</v>
      </c>
      <c r="O85" s="3">
        <f>IF(ISNUMBER(p_B!O85*LN(p_B!O85)),p_B!O85*LN(p_B!O85),0)</f>
        <v>0</v>
      </c>
      <c r="P85" s="3">
        <f>IF(ISNUMBER(p_B!P85*LN(p_B!P85)),p_B!P85*LN(p_B!P85),0)</f>
        <v>-0.24810642004315789</v>
      </c>
      <c r="Q85" s="3">
        <f>IF(ISNUMBER(p_B!Q85*LN(p_B!Q85)),p_B!Q85*LN(p_B!Q85),0)</f>
        <v>-0.11381599543664105</v>
      </c>
      <c r="R85" s="3">
        <f>IF(ISNUMBER(p_B!R85*LN(p_B!R85)),p_B!R85*LN(p_B!R85),0)</f>
        <v>0</v>
      </c>
      <c r="S85" s="3">
        <f>IF(ISNUMBER(p_B!S85*LN(p_B!S85)),p_B!S85*LN(p_B!S85),0)</f>
        <v>0</v>
      </c>
      <c r="T85" s="3">
        <f>IF(ISNUMBER(p_B!T85*LN(p_B!T85)),p_B!T85*LN(p_B!T85),0)</f>
        <v>0</v>
      </c>
      <c r="U85" s="3">
        <f>IF(ISNUMBER(p_B!U85*LN(p_B!U85)),p_B!U85*LN(p_B!U85),0)</f>
        <v>0</v>
      </c>
      <c r="V85" s="3">
        <f>IF(ISNUMBER(p_B!V85*LN(p_B!V85)),p_B!V85*LN(p_B!V85),0)</f>
        <v>0</v>
      </c>
      <c r="W85" s="3">
        <f>IF(ISNUMBER(p_B!W85*LN(p_B!W85)),p_B!W85*LN(p_B!W85),0)</f>
        <v>0</v>
      </c>
      <c r="X85" s="3">
        <f>IF(ISNUMBER(p_B!X85*LN(p_B!X85)),p_B!X85*LN(p_B!X85),0)</f>
        <v>0</v>
      </c>
      <c r="Y85" s="3">
        <f>IF(ISNUMBER(p_B!Y85*LN(p_B!Y85)),p_B!Y85*LN(p_B!Y85),0)</f>
        <v>0</v>
      </c>
      <c r="Z85" s="3">
        <f>IF(ISNUMBER(p_B!Z85*LN(p_B!Z85)),p_B!Z85*LN(p_B!Z85),0)</f>
        <v>0</v>
      </c>
      <c r="AA85" s="3">
        <f>IF(ISNUMBER(p_B!AA85*LN(p_B!AA85)),p_B!AA85*LN(p_B!AA85),0)</f>
        <v>0</v>
      </c>
    </row>
    <row r="86" spans="1:27" x14ac:dyDescent="0.25">
      <c r="A86" t="s">
        <v>110</v>
      </c>
      <c r="B86" s="3">
        <f>IF(ISNUMBER(p_B!B86*LN(p_B!B86)),p_B!B86*LN(p_B!B86),0)</f>
        <v>0</v>
      </c>
      <c r="C86" s="3">
        <f>IF(ISNUMBER(p_B!C86*LN(p_B!C86)),p_B!C86*LN(p_B!C86),0)</f>
        <v>0</v>
      </c>
      <c r="D86" s="3">
        <f>IF(ISNUMBER(p_B!D86*LN(p_B!D86)),p_B!D86*LN(p_B!D86),0)</f>
        <v>0</v>
      </c>
      <c r="E86" s="3">
        <f>IF(ISNUMBER(p_B!E86*LN(p_B!E86)),p_B!E86*LN(p_B!E86),0)</f>
        <v>0</v>
      </c>
      <c r="F86" s="3">
        <f>IF(ISNUMBER(p_B!F86*LN(p_B!F86)),p_B!F86*LN(p_B!F86),0)</f>
        <v>-0.2422818201403171</v>
      </c>
      <c r="G86" s="3">
        <f>IF(ISNUMBER(p_B!G86*LN(p_B!G86)),p_B!G86*LN(p_B!G86),0)</f>
        <v>0</v>
      </c>
      <c r="H86" s="3">
        <f>IF(ISNUMBER(p_B!H86*LN(p_B!H86)),p_B!H86*LN(p_B!H86),0)</f>
        <v>0</v>
      </c>
      <c r="I86" s="3">
        <f>IF(ISNUMBER(p_B!I86*LN(p_B!I86)),p_B!I86*LN(p_B!I86),0)</f>
        <v>0</v>
      </c>
      <c r="J86" s="3">
        <f>IF(ISNUMBER(p_B!J86*LN(p_B!J86)),p_B!J86*LN(p_B!J86),0)</f>
        <v>0</v>
      </c>
      <c r="K86" s="3">
        <f>IF(ISNUMBER(p_B!K86*LN(p_B!K86)),p_B!K86*LN(p_B!K86),0)</f>
        <v>0</v>
      </c>
      <c r="L86" s="3">
        <f>IF(ISNUMBER(p_B!L86*LN(p_B!L86)),p_B!L86*LN(p_B!L86),0)</f>
        <v>0</v>
      </c>
      <c r="M86" s="3">
        <f>IF(ISNUMBER(p_B!M86*LN(p_B!M86)),p_B!M86*LN(p_B!M86),0)</f>
        <v>0</v>
      </c>
      <c r="N86" s="3">
        <f>IF(ISNUMBER(p_B!N86*LN(p_B!N86)),p_B!N86*LN(p_B!N86),0)</f>
        <v>0</v>
      </c>
      <c r="O86" s="3">
        <f>IF(ISNUMBER(p_B!O86*LN(p_B!O86)),p_B!O86*LN(p_B!O86),0)</f>
        <v>0</v>
      </c>
      <c r="P86" s="3">
        <f>IF(ISNUMBER(p_B!P86*LN(p_B!P86)),p_B!P86*LN(p_B!P86),0)</f>
        <v>0</v>
      </c>
      <c r="Q86" s="3">
        <f>IF(ISNUMBER(p_B!Q86*LN(p_B!Q86)),p_B!Q86*LN(p_B!Q86),0)</f>
        <v>-0.35866024993735235</v>
      </c>
      <c r="R86" s="3">
        <f>IF(ISNUMBER(p_B!R86*LN(p_B!R86)),p_B!R86*LN(p_B!R86),0)</f>
        <v>0</v>
      </c>
      <c r="S86" s="3">
        <f>IF(ISNUMBER(p_B!S86*LN(p_B!S86)),p_B!S86*LN(p_B!S86),0)</f>
        <v>0</v>
      </c>
      <c r="T86" s="3">
        <f>IF(ISNUMBER(p_B!T86*LN(p_B!T86)),p_B!T86*LN(p_B!T86),0)</f>
        <v>0</v>
      </c>
      <c r="U86" s="3">
        <f>IF(ISNUMBER(p_B!U86*LN(p_B!U86)),p_B!U86*LN(p_B!U86),0)</f>
        <v>0</v>
      </c>
      <c r="V86" s="3">
        <f>IF(ISNUMBER(p_B!V86*LN(p_B!V86)),p_B!V86*LN(p_B!V86),0)</f>
        <v>0</v>
      </c>
      <c r="W86" s="3">
        <f>IF(ISNUMBER(p_B!W86*LN(p_B!W86)),p_B!W86*LN(p_B!W86),0)</f>
        <v>0</v>
      </c>
      <c r="X86" s="3">
        <f>IF(ISNUMBER(p_B!X86*LN(p_B!X86)),p_B!X86*LN(p_B!X86),0)</f>
        <v>0</v>
      </c>
      <c r="Y86" s="3">
        <f>IF(ISNUMBER(p_B!Y86*LN(p_B!Y86)),p_B!Y86*LN(p_B!Y86),0)</f>
        <v>0</v>
      </c>
      <c r="Z86" s="3">
        <f>IF(ISNUMBER(p_B!Z86*LN(p_B!Z86)),p_B!Z86*LN(p_B!Z86),0)</f>
        <v>0</v>
      </c>
      <c r="AA86" s="3">
        <f>IF(ISNUMBER(p_B!AA86*LN(p_B!AA86)),p_B!AA86*LN(p_B!AA86),0)</f>
        <v>0</v>
      </c>
    </row>
    <row r="87" spans="1:27" x14ac:dyDescent="0.25">
      <c r="A87" t="s">
        <v>113</v>
      </c>
      <c r="B87" s="3">
        <f>IF(ISNUMBER(p_B!B87*LN(p_B!B87)),p_B!B87*LN(p_B!B87),0)</f>
        <v>-1.5239284087571315E-2</v>
      </c>
      <c r="C87" s="3">
        <f>IF(ISNUMBER(p_B!C87*LN(p_B!C87)),p_B!C87*LN(p_B!C87),0)</f>
        <v>0</v>
      </c>
      <c r="D87" s="3">
        <f>IF(ISNUMBER(p_B!D87*LN(p_B!D87)),p_B!D87*LN(p_B!D87),0)</f>
        <v>0</v>
      </c>
      <c r="E87" s="3">
        <f>IF(ISNUMBER(p_B!E87*LN(p_B!E87)),p_B!E87*LN(p_B!E87),0)</f>
        <v>0</v>
      </c>
      <c r="F87" s="3">
        <f>IF(ISNUMBER(p_B!F87*LN(p_B!F87)),p_B!F87*LN(p_B!F87),0)</f>
        <v>0</v>
      </c>
      <c r="G87" s="3">
        <f>IF(ISNUMBER(p_B!G87*LN(p_B!G87)),p_B!G87*LN(p_B!G87),0)</f>
        <v>-5.2885354495453153E-2</v>
      </c>
      <c r="H87" s="3">
        <f>IF(ISNUMBER(p_B!H87*LN(p_B!H87)),p_B!H87*LN(p_B!H87),0)</f>
        <v>0</v>
      </c>
      <c r="I87" s="3">
        <f>IF(ISNUMBER(p_B!I87*LN(p_B!I87)),p_B!I87*LN(p_B!I87),0)</f>
        <v>0</v>
      </c>
      <c r="J87" s="3">
        <f>IF(ISNUMBER(p_B!J87*LN(p_B!J87)),p_B!J87*LN(p_B!J87),0)</f>
        <v>-7.0311814572583727E-3</v>
      </c>
      <c r="K87" s="3">
        <f>IF(ISNUMBER(p_B!K87*LN(p_B!K87)),p_B!K87*LN(p_B!K87),0)</f>
        <v>0</v>
      </c>
      <c r="L87" s="3">
        <f>IF(ISNUMBER(p_B!L87*LN(p_B!L87)),p_B!L87*LN(p_B!L87),0)</f>
        <v>0</v>
      </c>
      <c r="M87" s="3">
        <f>IF(ISNUMBER(p_B!M87*LN(p_B!M87)),p_B!M87*LN(p_B!M87),0)</f>
        <v>0</v>
      </c>
      <c r="N87" s="3">
        <f>IF(ISNUMBER(p_B!N87*LN(p_B!N87)),p_B!N87*LN(p_B!N87),0)</f>
        <v>0</v>
      </c>
      <c r="O87" s="3">
        <f>IF(ISNUMBER(p_B!O87*LN(p_B!O87)),p_B!O87*LN(p_B!O87),0)</f>
        <v>0</v>
      </c>
      <c r="P87" s="3">
        <f>IF(ISNUMBER(p_B!P87*LN(p_B!P87)),p_B!P87*LN(p_B!P87),0)</f>
        <v>-3.8694177733254306E-3</v>
      </c>
      <c r="Q87" s="3">
        <f>IF(ISNUMBER(p_B!Q87*LN(p_B!Q87)),p_B!Q87*LN(p_B!Q87),0)</f>
        <v>-1.589943634232396E-2</v>
      </c>
      <c r="R87" s="3">
        <f>IF(ISNUMBER(p_B!R87*LN(p_B!R87)),p_B!R87*LN(p_B!R87),0)</f>
        <v>0</v>
      </c>
      <c r="S87" s="3">
        <f>IF(ISNUMBER(p_B!S87*LN(p_B!S87)),p_B!S87*LN(p_B!S87),0)</f>
        <v>0</v>
      </c>
      <c r="T87" s="3">
        <f>IF(ISNUMBER(p_B!T87*LN(p_B!T87)),p_B!T87*LN(p_B!T87),0)</f>
        <v>0</v>
      </c>
      <c r="U87" s="3">
        <f>IF(ISNUMBER(p_B!U87*LN(p_B!U87)),p_B!U87*LN(p_B!U87),0)</f>
        <v>0</v>
      </c>
      <c r="V87" s="3">
        <f>IF(ISNUMBER(p_B!V87*LN(p_B!V87)),p_B!V87*LN(p_B!V87),0)</f>
        <v>0</v>
      </c>
      <c r="W87" s="3">
        <f>IF(ISNUMBER(p_B!W87*LN(p_B!W87)),p_B!W87*LN(p_B!W87),0)</f>
        <v>0</v>
      </c>
      <c r="X87" s="3">
        <f>IF(ISNUMBER(p_B!X87*LN(p_B!X87)),p_B!X87*LN(p_B!X87),0)</f>
        <v>0</v>
      </c>
      <c r="Y87" s="3">
        <f>IF(ISNUMBER(p_B!Y87*LN(p_B!Y87)),p_B!Y87*LN(p_B!Y87),0)</f>
        <v>0</v>
      </c>
      <c r="Z87" s="3">
        <f>IF(ISNUMBER(p_B!Z87*LN(p_B!Z87)),p_B!Z87*LN(p_B!Z87),0)</f>
        <v>0</v>
      </c>
      <c r="AA87" s="3">
        <f>IF(ISNUMBER(p_B!AA87*LN(p_B!AA87)),p_B!AA87*LN(p_B!AA87),0)</f>
        <v>0</v>
      </c>
    </row>
    <row r="88" spans="1:27" x14ac:dyDescent="0.25">
      <c r="A88" t="s">
        <v>114</v>
      </c>
      <c r="B88" s="3">
        <f>IF(ISNUMBER(p_B!B88*LN(p_B!B88)),p_B!B88*LN(p_B!B88),0)</f>
        <v>-0.14811569757963441</v>
      </c>
      <c r="C88" s="3">
        <f>IF(ISNUMBER(p_B!C88*LN(p_B!C88)),p_B!C88*LN(p_B!C88),0)</f>
        <v>0</v>
      </c>
      <c r="D88" s="3">
        <f>IF(ISNUMBER(p_B!D88*LN(p_B!D88)),p_B!D88*LN(p_B!D88),0)</f>
        <v>0</v>
      </c>
      <c r="E88" s="3">
        <f>IF(ISNUMBER(p_B!E88*LN(p_B!E88)),p_B!E88*LN(p_B!E88),0)</f>
        <v>0</v>
      </c>
      <c r="F88" s="3">
        <f>IF(ISNUMBER(p_B!F88*LN(p_B!F88)),p_B!F88*LN(p_B!F88),0)</f>
        <v>0</v>
      </c>
      <c r="G88" s="3">
        <f>IF(ISNUMBER(p_B!G88*LN(p_B!G88)),p_B!G88*LN(p_B!G88),0)</f>
        <v>-0.25288259089256021</v>
      </c>
      <c r="H88" s="3">
        <f>IF(ISNUMBER(p_B!H88*LN(p_B!H88)),p_B!H88*LN(p_B!H88),0)</f>
        <v>0</v>
      </c>
      <c r="I88" s="3">
        <f>IF(ISNUMBER(p_B!I88*LN(p_B!I88)),p_B!I88*LN(p_B!I88),0)</f>
        <v>0</v>
      </c>
      <c r="J88" s="3">
        <f>IF(ISNUMBER(p_B!J88*LN(p_B!J88)),p_B!J88*LN(p_B!J88),0)</f>
        <v>-7.8683870358429008E-3</v>
      </c>
      <c r="K88" s="3">
        <f>IF(ISNUMBER(p_B!K88*LN(p_B!K88)),p_B!K88*LN(p_B!K88),0)</f>
        <v>0</v>
      </c>
      <c r="L88" s="3">
        <f>IF(ISNUMBER(p_B!L88*LN(p_B!L88)),p_B!L88*LN(p_B!L88),0)</f>
        <v>0</v>
      </c>
      <c r="M88" s="3">
        <f>IF(ISNUMBER(p_B!M88*LN(p_B!M88)),p_B!M88*LN(p_B!M88),0)</f>
        <v>0</v>
      </c>
      <c r="N88" s="3">
        <f>IF(ISNUMBER(p_B!N88*LN(p_B!N88)),p_B!N88*LN(p_B!N88),0)</f>
        <v>0</v>
      </c>
      <c r="O88" s="3">
        <f>IF(ISNUMBER(p_B!O88*LN(p_B!O88)),p_B!O88*LN(p_B!O88),0)</f>
        <v>0</v>
      </c>
      <c r="P88" s="3">
        <f>IF(ISNUMBER(p_B!P88*LN(p_B!P88)),p_B!P88*LN(p_B!P88),0)</f>
        <v>-6.364544117153928E-2</v>
      </c>
      <c r="Q88" s="3">
        <f>IF(ISNUMBER(p_B!Q88*LN(p_B!Q88)),p_B!Q88*LN(p_B!Q88),0)</f>
        <v>-0.16634564723018744</v>
      </c>
      <c r="R88" s="3">
        <f>IF(ISNUMBER(p_B!R88*LN(p_B!R88)),p_B!R88*LN(p_B!R88),0)</f>
        <v>0</v>
      </c>
      <c r="S88" s="3">
        <f>IF(ISNUMBER(p_B!S88*LN(p_B!S88)),p_B!S88*LN(p_B!S88),0)</f>
        <v>0</v>
      </c>
      <c r="T88" s="3">
        <f>IF(ISNUMBER(p_B!T88*LN(p_B!T88)),p_B!T88*LN(p_B!T88),0)</f>
        <v>0</v>
      </c>
      <c r="U88" s="3">
        <f>IF(ISNUMBER(p_B!U88*LN(p_B!U88)),p_B!U88*LN(p_B!U88),0)</f>
        <v>0</v>
      </c>
      <c r="V88" s="3">
        <f>IF(ISNUMBER(p_B!V88*LN(p_B!V88)),p_B!V88*LN(p_B!V88),0)</f>
        <v>0</v>
      </c>
      <c r="W88" s="3">
        <f>IF(ISNUMBER(p_B!W88*LN(p_B!W88)),p_B!W88*LN(p_B!W88),0)</f>
        <v>0</v>
      </c>
      <c r="X88" s="3">
        <f>IF(ISNUMBER(p_B!X88*LN(p_B!X88)),p_B!X88*LN(p_B!X88),0)</f>
        <v>0</v>
      </c>
      <c r="Y88" s="3">
        <f>IF(ISNUMBER(p_B!Y88*LN(p_B!Y88)),p_B!Y88*LN(p_B!Y88),0)</f>
        <v>0</v>
      </c>
      <c r="Z88" s="3">
        <f>IF(ISNUMBER(p_B!Z88*LN(p_B!Z88)),p_B!Z88*LN(p_B!Z88),0)</f>
        <v>0</v>
      </c>
      <c r="AA88" s="3">
        <f>IF(ISNUMBER(p_B!AA88*LN(p_B!AA88)),p_B!AA88*LN(p_B!AA88),0)</f>
        <v>-2.9087408691857008E-3</v>
      </c>
    </row>
    <row r="89" spans="1:27" x14ac:dyDescent="0.25">
      <c r="A89" t="s">
        <v>134</v>
      </c>
      <c r="B89" s="3">
        <f>IF(ISNUMBER(p_B!B89*LN(p_B!B89)),p_B!B89*LN(p_B!B89),0)</f>
        <v>0</v>
      </c>
      <c r="C89" s="3">
        <f>IF(ISNUMBER(p_B!C89*LN(p_B!C89)),p_B!C89*LN(p_B!C89),0)</f>
        <v>0</v>
      </c>
      <c r="D89" s="3">
        <f>IF(ISNUMBER(p_B!D89*LN(p_B!D89)),p_B!D89*LN(p_B!D89),0)</f>
        <v>0</v>
      </c>
      <c r="E89" s="3">
        <f>IF(ISNUMBER(p_B!E89*LN(p_B!E89)),p_B!E89*LN(p_B!E89),0)</f>
        <v>0</v>
      </c>
      <c r="F89" s="3">
        <f>IF(ISNUMBER(p_B!F89*LN(p_B!F89)),p_B!F89*LN(p_B!F89),0)</f>
        <v>-0.27017246470926454</v>
      </c>
      <c r="G89" s="3">
        <f>IF(ISNUMBER(p_B!G89*LN(p_B!G89)),p_B!G89*LN(p_B!G89),0)</f>
        <v>0</v>
      </c>
      <c r="H89" s="3">
        <f>IF(ISNUMBER(p_B!H89*LN(p_B!H89)),p_B!H89*LN(p_B!H89),0)</f>
        <v>0</v>
      </c>
      <c r="I89" s="3">
        <f>IF(ISNUMBER(p_B!I89*LN(p_B!I89)),p_B!I89*LN(p_B!I89),0)</f>
        <v>0</v>
      </c>
      <c r="J89" s="3">
        <f>IF(ISNUMBER(p_B!J89*LN(p_B!J89)),p_B!J89*LN(p_B!J89),0)</f>
        <v>-1.0873264825699818E-2</v>
      </c>
      <c r="K89" s="3">
        <f>IF(ISNUMBER(p_B!K89*LN(p_B!K89)),p_B!K89*LN(p_B!K89),0)</f>
        <v>0</v>
      </c>
      <c r="L89" s="3">
        <f>IF(ISNUMBER(p_B!L89*LN(p_B!L89)),p_B!L89*LN(p_B!L89),0)</f>
        <v>0</v>
      </c>
      <c r="M89" s="3">
        <f>IF(ISNUMBER(p_B!M89*LN(p_B!M89)),p_B!M89*LN(p_B!M89),0)</f>
        <v>0</v>
      </c>
      <c r="N89" s="3">
        <f>IF(ISNUMBER(p_B!N89*LN(p_B!N89)),p_B!N89*LN(p_B!N89),0)</f>
        <v>0</v>
      </c>
      <c r="O89" s="3">
        <f>IF(ISNUMBER(p_B!O89*LN(p_B!O89)),p_B!O89*LN(p_B!O89),0)</f>
        <v>0</v>
      </c>
      <c r="P89" s="3">
        <f>IF(ISNUMBER(p_B!P89*LN(p_B!P89)),p_B!P89*LN(p_B!P89),0)</f>
        <v>0</v>
      </c>
      <c r="Q89" s="3">
        <f>IF(ISNUMBER(p_B!Q89*LN(p_B!Q89)),p_B!Q89*LN(p_B!Q89),0)</f>
        <v>-0.12676605959962367</v>
      </c>
      <c r="R89" s="3">
        <f>IF(ISNUMBER(p_B!R89*LN(p_B!R89)),p_B!R89*LN(p_B!R89),0)</f>
        <v>0</v>
      </c>
      <c r="S89" s="3">
        <f>IF(ISNUMBER(p_B!S89*LN(p_B!S89)),p_B!S89*LN(p_B!S89),0)</f>
        <v>0</v>
      </c>
      <c r="T89" s="3">
        <f>IF(ISNUMBER(p_B!T89*LN(p_B!T89)),p_B!T89*LN(p_B!T89),0)</f>
        <v>0</v>
      </c>
      <c r="U89" s="3">
        <f>IF(ISNUMBER(p_B!U89*LN(p_B!U89)),p_B!U89*LN(p_B!U89),0)</f>
        <v>0</v>
      </c>
      <c r="V89" s="3">
        <f>IF(ISNUMBER(p_B!V89*LN(p_B!V89)),p_B!V89*LN(p_B!V89),0)</f>
        <v>0</v>
      </c>
      <c r="W89" s="3">
        <f>IF(ISNUMBER(p_B!W89*LN(p_B!W89)),p_B!W89*LN(p_B!W89),0)</f>
        <v>0</v>
      </c>
      <c r="X89" s="3">
        <f>IF(ISNUMBER(p_B!X89*LN(p_B!X89)),p_B!X89*LN(p_B!X89),0)</f>
        <v>0</v>
      </c>
      <c r="Y89" s="3">
        <f>IF(ISNUMBER(p_B!Y89*LN(p_B!Y89)),p_B!Y89*LN(p_B!Y89),0)</f>
        <v>0</v>
      </c>
      <c r="Z89" s="3">
        <f>IF(ISNUMBER(p_B!Z89*LN(p_B!Z89)),p_B!Z89*LN(p_B!Z89),0)</f>
        <v>0</v>
      </c>
      <c r="AA89" s="3">
        <f>IF(ISNUMBER(p_B!AA89*LN(p_B!AA89)),p_B!AA89*LN(p_B!AA89),0)</f>
        <v>0</v>
      </c>
    </row>
    <row r="90" spans="1:27" x14ac:dyDescent="0.25">
      <c r="A90" t="s">
        <v>135</v>
      </c>
      <c r="B90" s="3">
        <f>IF(ISNUMBER(p_B!B90*LN(p_B!B90)),p_B!B90*LN(p_B!B90),0)</f>
        <v>0</v>
      </c>
      <c r="C90" s="3">
        <f>IF(ISNUMBER(p_B!C90*LN(p_B!C90)),p_B!C90*LN(p_B!C90),0)</f>
        <v>0</v>
      </c>
      <c r="D90" s="3">
        <f>IF(ISNUMBER(p_B!D90*LN(p_B!D90)),p_B!D90*LN(p_B!D90),0)</f>
        <v>0</v>
      </c>
      <c r="E90" s="3">
        <f>IF(ISNUMBER(p_B!E90*LN(p_B!E90)),p_B!E90*LN(p_B!E90),0)</f>
        <v>0</v>
      </c>
      <c r="F90" s="3">
        <f>IF(ISNUMBER(p_B!F90*LN(p_B!F90)),p_B!F90*LN(p_B!F90),0)</f>
        <v>-0.3218695788902935</v>
      </c>
      <c r="G90" s="3">
        <f>IF(ISNUMBER(p_B!G90*LN(p_B!G90)),p_B!G90*LN(p_B!G90),0)</f>
        <v>-0.25108258175887777</v>
      </c>
      <c r="H90" s="3">
        <f>IF(ISNUMBER(p_B!H90*LN(p_B!H90)),p_B!H90*LN(p_B!H90),0)</f>
        <v>0</v>
      </c>
      <c r="I90" s="3">
        <f>IF(ISNUMBER(p_B!I90*LN(p_B!I90)),p_B!I90*LN(p_B!I90),0)</f>
        <v>0</v>
      </c>
      <c r="J90" s="3">
        <f>IF(ISNUMBER(p_B!J90*LN(p_B!J90)),p_B!J90*LN(p_B!J90),0)</f>
        <v>-0.20525734585832153</v>
      </c>
      <c r="K90" s="3">
        <f>IF(ISNUMBER(p_B!K90*LN(p_B!K90)),p_B!K90*LN(p_B!K90),0)</f>
        <v>-7.5237787359004979E-2</v>
      </c>
      <c r="L90" s="3">
        <f>IF(ISNUMBER(p_B!L90*LN(p_B!L90)),p_B!L90*LN(p_B!L90),0)</f>
        <v>0</v>
      </c>
      <c r="M90" s="3">
        <f>IF(ISNUMBER(p_B!M90*LN(p_B!M90)),p_B!M90*LN(p_B!M90),0)</f>
        <v>0</v>
      </c>
      <c r="N90" s="3">
        <f>IF(ISNUMBER(p_B!N90*LN(p_B!N90)),p_B!N90*LN(p_B!N90),0)</f>
        <v>0</v>
      </c>
      <c r="O90" s="3">
        <f>IF(ISNUMBER(p_B!O90*LN(p_B!O90)),p_B!O90*LN(p_B!O90),0)</f>
        <v>0</v>
      </c>
      <c r="P90" s="3">
        <f>IF(ISNUMBER(p_B!P90*LN(p_B!P90)),p_B!P90*LN(p_B!P90),0)</f>
        <v>-0.13382124858267447</v>
      </c>
      <c r="Q90" s="3">
        <f>IF(ISNUMBER(p_B!Q90*LN(p_B!Q90)),p_B!Q90*LN(p_B!Q90),0)</f>
        <v>-0.33290133763673779</v>
      </c>
      <c r="R90" s="3">
        <f>IF(ISNUMBER(p_B!R90*LN(p_B!R90)),p_B!R90*LN(p_B!R90),0)</f>
        <v>0</v>
      </c>
      <c r="S90" s="3">
        <f>IF(ISNUMBER(p_B!S90*LN(p_B!S90)),p_B!S90*LN(p_B!S90),0)</f>
        <v>0</v>
      </c>
      <c r="T90" s="3">
        <f>IF(ISNUMBER(p_B!T90*LN(p_B!T90)),p_B!T90*LN(p_B!T90),0)</f>
        <v>0</v>
      </c>
      <c r="U90" s="3">
        <f>IF(ISNUMBER(p_B!U90*LN(p_B!U90)),p_B!U90*LN(p_B!U90),0)</f>
        <v>0</v>
      </c>
      <c r="V90" s="3">
        <f>IF(ISNUMBER(p_B!V90*LN(p_B!V90)),p_B!V90*LN(p_B!V90),0)</f>
        <v>0</v>
      </c>
      <c r="W90" s="3">
        <f>IF(ISNUMBER(p_B!W90*LN(p_B!W90)),p_B!W90*LN(p_B!W90),0)</f>
        <v>0</v>
      </c>
      <c r="X90" s="3">
        <f>IF(ISNUMBER(p_B!X90*LN(p_B!X90)),p_B!X90*LN(p_B!X90),0)</f>
        <v>0</v>
      </c>
      <c r="Y90" s="3">
        <f>IF(ISNUMBER(p_B!Y90*LN(p_B!Y90)),p_B!Y90*LN(p_B!Y90),0)</f>
        <v>0</v>
      </c>
      <c r="Z90" s="3">
        <f>IF(ISNUMBER(p_B!Z90*LN(p_B!Z90)),p_B!Z90*LN(p_B!Z90),0)</f>
        <v>0</v>
      </c>
      <c r="AA90" s="3">
        <f>IF(ISNUMBER(p_B!AA90*LN(p_B!AA90)),p_B!AA90*LN(p_B!AA90),0)</f>
        <v>0</v>
      </c>
    </row>
    <row r="91" spans="1:27" x14ac:dyDescent="0.25">
      <c r="A91" s="7" t="s">
        <v>137</v>
      </c>
      <c r="B91" s="3">
        <f>IF(ISNUMBER(p_B!B91*LN(p_B!B91)),p_B!B91*LN(p_B!B91),0)</f>
        <v>0</v>
      </c>
      <c r="C91" s="3">
        <f>IF(ISNUMBER(p_B!C91*LN(p_B!C91)),p_B!C91*LN(p_B!C91),0)</f>
        <v>0</v>
      </c>
      <c r="D91" s="3">
        <f>IF(ISNUMBER(p_B!D91*LN(p_B!D91)),p_B!D91*LN(p_B!D91),0)</f>
        <v>0</v>
      </c>
      <c r="E91" s="3">
        <f>IF(ISNUMBER(p_B!E91*LN(p_B!E91)),p_B!E91*LN(p_B!E91),0)</f>
        <v>0</v>
      </c>
      <c r="F91" s="3">
        <f>IF(ISNUMBER(p_B!F91*LN(p_B!F91)),p_B!F91*LN(p_B!F91),0)</f>
        <v>0</v>
      </c>
      <c r="G91" s="3">
        <f>IF(ISNUMBER(p_B!G91*LN(p_B!G91)),p_B!G91*LN(p_B!G91),0)</f>
        <v>-0.34794344146312189</v>
      </c>
      <c r="H91" s="3">
        <f>IF(ISNUMBER(p_B!H91*LN(p_B!H91)),p_B!H91*LN(p_B!H91),0)</f>
        <v>0</v>
      </c>
      <c r="I91" s="3">
        <f>IF(ISNUMBER(p_B!I91*LN(p_B!I91)),p_B!I91*LN(p_B!I91),0)</f>
        <v>0</v>
      </c>
      <c r="J91" s="3">
        <f>IF(ISNUMBER(p_B!J91*LN(p_B!J91)),p_B!J91*LN(p_B!J91),0)</f>
        <v>-0.13230839985408432</v>
      </c>
      <c r="K91" s="3">
        <f>IF(ISNUMBER(p_B!K91*LN(p_B!K91)),p_B!K91*LN(p_B!K91),0)</f>
        <v>0</v>
      </c>
      <c r="L91" s="3">
        <f>IF(ISNUMBER(p_B!L91*LN(p_B!L91)),p_B!L91*LN(p_B!L91),0)</f>
        <v>0</v>
      </c>
      <c r="M91" s="3">
        <f>IF(ISNUMBER(p_B!M91*LN(p_B!M91)),p_B!M91*LN(p_B!M91),0)</f>
        <v>0</v>
      </c>
      <c r="N91" s="3">
        <f>IF(ISNUMBER(p_B!N91*LN(p_B!N91)),p_B!N91*LN(p_B!N91),0)</f>
        <v>0</v>
      </c>
      <c r="O91" s="3">
        <f>IF(ISNUMBER(p_B!O91*LN(p_B!O91)),p_B!O91*LN(p_B!O91),0)</f>
        <v>0</v>
      </c>
      <c r="P91" s="3">
        <f>IF(ISNUMBER(p_B!P91*LN(p_B!P91)),p_B!P91*LN(p_B!P91),0)</f>
        <v>0</v>
      </c>
      <c r="Q91" s="3">
        <f>IF(ISNUMBER(p_B!Q91*LN(p_B!Q91)),p_B!Q91*LN(p_B!Q91),0)</f>
        <v>-0.35673858210411913</v>
      </c>
      <c r="R91" s="3">
        <f>IF(ISNUMBER(p_B!R91*LN(p_B!R91)),p_B!R91*LN(p_B!R91),0)</f>
        <v>0</v>
      </c>
      <c r="S91" s="3">
        <f>IF(ISNUMBER(p_B!S91*LN(p_B!S91)),p_B!S91*LN(p_B!S91),0)</f>
        <v>0</v>
      </c>
      <c r="T91" s="3">
        <f>IF(ISNUMBER(p_B!T91*LN(p_B!T91)),p_B!T91*LN(p_B!T91),0)</f>
        <v>0</v>
      </c>
      <c r="U91" s="3">
        <f>IF(ISNUMBER(p_B!U91*LN(p_B!U91)),p_B!U91*LN(p_B!U91),0)</f>
        <v>-6.050172762798893E-3</v>
      </c>
      <c r="V91" s="3">
        <f>IF(ISNUMBER(p_B!V91*LN(p_B!V91)),p_B!V91*LN(p_B!V91),0)</f>
        <v>0</v>
      </c>
      <c r="W91" s="3">
        <f>IF(ISNUMBER(p_B!W91*LN(p_B!W91)),p_B!W91*LN(p_B!W91),0)</f>
        <v>0</v>
      </c>
      <c r="X91" s="3">
        <f>IF(ISNUMBER(p_B!X91*LN(p_B!X91)),p_B!X91*LN(p_B!X91),0)</f>
        <v>0</v>
      </c>
      <c r="Y91" s="3">
        <f>IF(ISNUMBER(p_B!Y91*LN(p_B!Y91)),p_B!Y91*LN(p_B!Y91),0)</f>
        <v>0</v>
      </c>
      <c r="Z91" s="3">
        <f>IF(ISNUMBER(p_B!Z91*LN(p_B!Z91)),p_B!Z91*LN(p_B!Z91),0)</f>
        <v>0</v>
      </c>
      <c r="AA91" s="3">
        <f>IF(ISNUMBER(p_B!AA91*LN(p_B!AA91)),p_B!AA91*LN(p_B!AA91),0)</f>
        <v>0</v>
      </c>
    </row>
    <row r="92" spans="1:27" x14ac:dyDescent="0.25">
      <c r="A92" s="7" t="s">
        <v>138</v>
      </c>
      <c r="B92" s="3">
        <f>IF(ISNUMBER(p_B!B92*LN(p_B!B92)),p_B!B92*LN(p_B!B92),0)</f>
        <v>0</v>
      </c>
      <c r="C92" s="3">
        <f>IF(ISNUMBER(p_B!C92*LN(p_B!C92)),p_B!C92*LN(p_B!C92),0)</f>
        <v>0</v>
      </c>
      <c r="D92" s="3">
        <f>IF(ISNUMBER(p_B!D92*LN(p_B!D92)),p_B!D92*LN(p_B!D92),0)</f>
        <v>0</v>
      </c>
      <c r="E92" s="3">
        <f>IF(ISNUMBER(p_B!E92*LN(p_B!E92)),p_B!E92*LN(p_B!E92),0)</f>
        <v>0</v>
      </c>
      <c r="F92" s="3">
        <f>IF(ISNUMBER(p_B!F92*LN(p_B!F92)),p_B!F92*LN(p_B!F92),0)</f>
        <v>0</v>
      </c>
      <c r="G92" s="3">
        <f>IF(ISNUMBER(p_B!G92*LN(p_B!G92)),p_B!G92*LN(p_B!G92),0)</f>
        <v>-0.33469798157255293</v>
      </c>
      <c r="H92" s="3">
        <f>IF(ISNUMBER(p_B!H92*LN(p_B!H92)),p_B!H92*LN(p_B!H92),0)</f>
        <v>0</v>
      </c>
      <c r="I92" s="3">
        <f>IF(ISNUMBER(p_B!I92*LN(p_B!I92)),p_B!I92*LN(p_B!I92),0)</f>
        <v>0</v>
      </c>
      <c r="J92" s="3">
        <f>IF(ISNUMBER(p_B!J92*LN(p_B!J92)),p_B!J92*LN(p_B!J92),0)</f>
        <v>-0.11944699231694451</v>
      </c>
      <c r="K92" s="3">
        <f>IF(ISNUMBER(p_B!K92*LN(p_B!K92)),p_B!K92*LN(p_B!K92),0)</f>
        <v>0</v>
      </c>
      <c r="L92" s="3">
        <f>IF(ISNUMBER(p_B!L92*LN(p_B!L92)),p_B!L92*LN(p_B!L92),0)</f>
        <v>0</v>
      </c>
      <c r="M92" s="3">
        <f>IF(ISNUMBER(p_B!M92*LN(p_B!M92)),p_B!M92*LN(p_B!M92),0)</f>
        <v>0</v>
      </c>
      <c r="N92" s="3">
        <f>IF(ISNUMBER(p_B!N92*LN(p_B!N92)),p_B!N92*LN(p_B!N92),0)</f>
        <v>0</v>
      </c>
      <c r="O92" s="3">
        <f>IF(ISNUMBER(p_B!O92*LN(p_B!O92)),p_B!O92*LN(p_B!O92),0)</f>
        <v>0</v>
      </c>
      <c r="P92" s="3">
        <f>IF(ISNUMBER(p_B!P92*LN(p_B!P92)),p_B!P92*LN(p_B!P92),0)</f>
        <v>0</v>
      </c>
      <c r="Q92" s="3">
        <f>IF(ISNUMBER(p_B!Q92*LN(p_B!Q92)),p_B!Q92*LN(p_B!Q92),0)</f>
        <v>-0.22214527673679685</v>
      </c>
      <c r="R92" s="3">
        <f>IF(ISNUMBER(p_B!R92*LN(p_B!R92)),p_B!R92*LN(p_B!R92),0)</f>
        <v>0</v>
      </c>
      <c r="S92" s="3">
        <f>IF(ISNUMBER(p_B!S92*LN(p_B!S92)),p_B!S92*LN(p_B!S92),0)</f>
        <v>0</v>
      </c>
      <c r="T92" s="3">
        <f>IF(ISNUMBER(p_B!T92*LN(p_B!T92)),p_B!T92*LN(p_B!T92),0)</f>
        <v>0</v>
      </c>
      <c r="U92" s="3">
        <f>IF(ISNUMBER(p_B!U92*LN(p_B!U92)),p_B!U92*LN(p_B!U92),0)</f>
        <v>0</v>
      </c>
      <c r="V92" s="3">
        <f>IF(ISNUMBER(p_B!V92*LN(p_B!V92)),p_B!V92*LN(p_B!V92),0)</f>
        <v>0</v>
      </c>
      <c r="W92" s="3">
        <f>IF(ISNUMBER(p_B!W92*LN(p_B!W92)),p_B!W92*LN(p_B!W92),0)</f>
        <v>0</v>
      </c>
      <c r="X92" s="3">
        <f>IF(ISNUMBER(p_B!X92*LN(p_B!X92)),p_B!X92*LN(p_B!X92),0)</f>
        <v>0</v>
      </c>
      <c r="Y92" s="3">
        <f>IF(ISNUMBER(p_B!Y92*LN(p_B!Y92)),p_B!Y92*LN(p_B!Y92),0)</f>
        <v>0</v>
      </c>
      <c r="Z92" s="3">
        <f>IF(ISNUMBER(p_B!Z92*LN(p_B!Z92)),p_B!Z92*LN(p_B!Z92),0)</f>
        <v>0</v>
      </c>
      <c r="AA92" s="3">
        <f>IF(ISNUMBER(p_B!AA92*LN(p_B!AA92)),p_B!AA92*LN(p_B!AA92),0)</f>
        <v>0</v>
      </c>
    </row>
    <row r="93" spans="1:27" x14ac:dyDescent="0.25">
      <c r="A93" s="7" t="s">
        <v>139</v>
      </c>
      <c r="B93" s="3">
        <f>IF(ISNUMBER(p_B!B93*LN(p_B!B93)),p_B!B93*LN(p_B!B93),0)</f>
        <v>0</v>
      </c>
      <c r="C93" s="3">
        <f>IF(ISNUMBER(p_B!C93*LN(p_B!C93)),p_B!C93*LN(p_B!C93),0)</f>
        <v>0</v>
      </c>
      <c r="D93" s="3">
        <f>IF(ISNUMBER(p_B!D93*LN(p_B!D93)),p_B!D93*LN(p_B!D93),0)</f>
        <v>0</v>
      </c>
      <c r="E93" s="3">
        <f>IF(ISNUMBER(p_B!E93*LN(p_B!E93)),p_B!E93*LN(p_B!E93),0)</f>
        <v>0</v>
      </c>
      <c r="F93" s="3">
        <f>IF(ISNUMBER(p_B!F93*LN(p_B!F93)),p_B!F93*LN(p_B!F93),0)</f>
        <v>0</v>
      </c>
      <c r="G93" s="3">
        <f>IF(ISNUMBER(p_B!G93*LN(p_B!G93)),p_B!G93*LN(p_B!G93),0)</f>
        <v>-0.10785919248796054</v>
      </c>
      <c r="H93" s="3">
        <f>IF(ISNUMBER(p_B!H93*LN(p_B!H93)),p_B!H93*LN(p_B!H93),0)</f>
        <v>0</v>
      </c>
      <c r="I93" s="3">
        <f>IF(ISNUMBER(p_B!I93*LN(p_B!I93)),p_B!I93*LN(p_B!I93),0)</f>
        <v>0</v>
      </c>
      <c r="J93" s="3">
        <f>IF(ISNUMBER(p_B!J93*LN(p_B!J93)),p_B!J93*LN(p_B!J93),0)</f>
        <v>-6.214698918310866E-2</v>
      </c>
      <c r="K93" s="3">
        <f>IF(ISNUMBER(p_B!K93*LN(p_B!K93)),p_B!K93*LN(p_B!K93),0)</f>
        <v>0</v>
      </c>
      <c r="L93" s="3">
        <f>IF(ISNUMBER(p_B!L93*LN(p_B!L93)),p_B!L93*LN(p_B!L93),0)</f>
        <v>0</v>
      </c>
      <c r="M93" s="3">
        <f>IF(ISNUMBER(p_B!M93*LN(p_B!M93)),p_B!M93*LN(p_B!M93),0)</f>
        <v>0</v>
      </c>
      <c r="N93" s="3">
        <f>IF(ISNUMBER(p_B!N93*LN(p_B!N93)),p_B!N93*LN(p_B!N93),0)</f>
        <v>0</v>
      </c>
      <c r="O93" s="3">
        <f>IF(ISNUMBER(p_B!O93*LN(p_B!O93)),p_B!O93*LN(p_B!O93),0)</f>
        <v>0</v>
      </c>
      <c r="P93" s="3">
        <f>IF(ISNUMBER(p_B!P93*LN(p_B!P93)),p_B!P93*LN(p_B!P93),0)</f>
        <v>0</v>
      </c>
      <c r="Q93" s="3">
        <f>IF(ISNUMBER(p_B!Q93*LN(p_B!Q93)),p_B!Q93*LN(p_B!Q93),0)</f>
        <v>-4.4739786072838468E-2</v>
      </c>
      <c r="R93" s="3">
        <f>IF(ISNUMBER(p_B!R93*LN(p_B!R93)),p_B!R93*LN(p_B!R93),0)</f>
        <v>0</v>
      </c>
      <c r="S93" s="3">
        <f>IF(ISNUMBER(p_B!S93*LN(p_B!S93)),p_B!S93*LN(p_B!S93),0)</f>
        <v>0</v>
      </c>
      <c r="T93" s="3">
        <f>IF(ISNUMBER(p_B!T93*LN(p_B!T93)),p_B!T93*LN(p_B!T93),0)</f>
        <v>0</v>
      </c>
      <c r="U93" s="3">
        <f>IF(ISNUMBER(p_B!U93*LN(p_B!U93)),p_B!U93*LN(p_B!U93),0)</f>
        <v>0</v>
      </c>
      <c r="V93" s="3">
        <f>IF(ISNUMBER(p_B!V93*LN(p_B!V93)),p_B!V93*LN(p_B!V93),0)</f>
        <v>0</v>
      </c>
      <c r="W93" s="3">
        <f>IF(ISNUMBER(p_B!W93*LN(p_B!W93)),p_B!W93*LN(p_B!W93),0)</f>
        <v>0</v>
      </c>
      <c r="X93" s="3">
        <f>IF(ISNUMBER(p_B!X93*LN(p_B!X93)),p_B!X93*LN(p_B!X93),0)</f>
        <v>0</v>
      </c>
      <c r="Y93" s="3">
        <f>IF(ISNUMBER(p_B!Y93*LN(p_B!Y93)),p_B!Y93*LN(p_B!Y93),0)</f>
        <v>0</v>
      </c>
      <c r="Z93" s="3">
        <f>IF(ISNUMBER(p_B!Z93*LN(p_B!Z93)),p_B!Z93*LN(p_B!Z93),0)</f>
        <v>0</v>
      </c>
      <c r="AA93" s="3">
        <f>IF(ISNUMBER(p_B!AA93*LN(p_B!AA93)),p_B!AA93*LN(p_B!AA93),0)</f>
        <v>0</v>
      </c>
    </row>
    <row r="94" spans="1:27" x14ac:dyDescent="0.25">
      <c r="A94" s="7" t="s">
        <v>140</v>
      </c>
      <c r="B94" s="3">
        <f>IF(ISNUMBER(p_B!B94*LN(p_B!B94)),p_B!B94*LN(p_B!B94),0)</f>
        <v>0</v>
      </c>
      <c r="C94" s="3">
        <f>IF(ISNUMBER(p_B!C94*LN(p_B!C94)),p_B!C94*LN(p_B!C94),0)</f>
        <v>0</v>
      </c>
      <c r="D94" s="3">
        <f>IF(ISNUMBER(p_B!D94*LN(p_B!D94)),p_B!D94*LN(p_B!D94),0)</f>
        <v>0</v>
      </c>
      <c r="E94" s="3">
        <f>IF(ISNUMBER(p_B!E94*LN(p_B!E94)),p_B!E94*LN(p_B!E94),0)</f>
        <v>0</v>
      </c>
      <c r="F94" s="3">
        <f>IF(ISNUMBER(p_B!F94*LN(p_B!F94)),p_B!F94*LN(p_B!F94),0)</f>
        <v>0</v>
      </c>
      <c r="G94" s="3">
        <f>IF(ISNUMBER(p_B!G94*LN(p_B!G94)),p_B!G94*LN(p_B!G94),0)</f>
        <v>0</v>
      </c>
      <c r="H94" s="3">
        <f>IF(ISNUMBER(p_B!H94*LN(p_B!H94)),p_B!H94*LN(p_B!H94),0)</f>
        <v>0</v>
      </c>
      <c r="I94" s="3">
        <f>IF(ISNUMBER(p_B!I94*LN(p_B!I94)),p_B!I94*LN(p_B!I94),0)</f>
        <v>0</v>
      </c>
      <c r="J94" s="3">
        <f>IF(ISNUMBER(p_B!J94*LN(p_B!J94)),p_B!J94*LN(p_B!J94),0)</f>
        <v>-0.25754695222471075</v>
      </c>
      <c r="K94" s="3">
        <f>IF(ISNUMBER(p_B!K94*LN(p_B!K94)),p_B!K94*LN(p_B!K94),0)</f>
        <v>0</v>
      </c>
      <c r="L94" s="3">
        <f>IF(ISNUMBER(p_B!L94*LN(p_B!L94)),p_B!L94*LN(p_B!L94),0)</f>
        <v>0</v>
      </c>
      <c r="M94" s="3">
        <f>IF(ISNUMBER(p_B!M94*LN(p_B!M94)),p_B!M94*LN(p_B!M94),0)</f>
        <v>0</v>
      </c>
      <c r="N94" s="3">
        <f>IF(ISNUMBER(p_B!N94*LN(p_B!N94)),p_B!N94*LN(p_B!N94),0)</f>
        <v>0</v>
      </c>
      <c r="O94" s="3">
        <f>IF(ISNUMBER(p_B!O94*LN(p_B!O94)),p_B!O94*LN(p_B!O94),0)</f>
        <v>0</v>
      </c>
      <c r="P94" s="3">
        <f>IF(ISNUMBER(p_B!P94*LN(p_B!P94)),p_B!P94*LN(p_B!P94),0)</f>
        <v>0</v>
      </c>
      <c r="Q94" s="3">
        <f>IF(ISNUMBER(p_B!Q94*LN(p_B!Q94)),p_B!Q94*LN(p_B!Q94),0)</f>
        <v>-0.15118508032958836</v>
      </c>
      <c r="R94" s="3">
        <f>IF(ISNUMBER(p_B!R94*LN(p_B!R94)),p_B!R94*LN(p_B!R94),0)</f>
        <v>0</v>
      </c>
      <c r="S94" s="3">
        <f>IF(ISNUMBER(p_B!S94*LN(p_B!S94)),p_B!S94*LN(p_B!S94),0)</f>
        <v>0</v>
      </c>
      <c r="T94" s="3">
        <f>IF(ISNUMBER(p_B!T94*LN(p_B!T94)),p_B!T94*LN(p_B!T94),0)</f>
        <v>0</v>
      </c>
      <c r="U94" s="3">
        <f>IF(ISNUMBER(p_B!U94*LN(p_B!U94)),p_B!U94*LN(p_B!U94),0)</f>
        <v>-0.10186957868179866</v>
      </c>
      <c r="V94" s="3">
        <f>IF(ISNUMBER(p_B!V94*LN(p_B!V94)),p_B!V94*LN(p_B!V94),0)</f>
        <v>0</v>
      </c>
      <c r="W94" s="3">
        <f>IF(ISNUMBER(p_B!W94*LN(p_B!W94)),p_B!W94*LN(p_B!W94),0)</f>
        <v>0</v>
      </c>
      <c r="X94" s="3">
        <f>IF(ISNUMBER(p_B!X94*LN(p_B!X94)),p_B!X94*LN(p_B!X94),0)</f>
        <v>0</v>
      </c>
      <c r="Y94" s="3">
        <f>IF(ISNUMBER(p_B!Y94*LN(p_B!Y94)),p_B!Y94*LN(p_B!Y94),0)</f>
        <v>0</v>
      </c>
      <c r="Z94" s="3">
        <f>IF(ISNUMBER(p_B!Z94*LN(p_B!Z94)),p_B!Z94*LN(p_B!Z94),0)</f>
        <v>0</v>
      </c>
      <c r="AA94" s="3">
        <f>IF(ISNUMBER(p_B!AA94*LN(p_B!AA94)),p_B!AA94*LN(p_B!AA94),0)</f>
        <v>-6.059710698561397E-2</v>
      </c>
    </row>
    <row r="95" spans="1:27" x14ac:dyDescent="0.25">
      <c r="A95" s="7" t="s">
        <v>141</v>
      </c>
      <c r="B95" s="3">
        <f>IF(ISNUMBER(p_B!B95*LN(p_B!B95)),p_B!B95*LN(p_B!B95),0)</f>
        <v>0</v>
      </c>
      <c r="C95" s="3">
        <f>IF(ISNUMBER(p_B!C95*LN(p_B!C95)),p_B!C95*LN(p_B!C95),0)</f>
        <v>0</v>
      </c>
      <c r="D95" s="3">
        <f>IF(ISNUMBER(p_B!D95*LN(p_B!D95)),p_B!D95*LN(p_B!D95),0)</f>
        <v>0</v>
      </c>
      <c r="E95" s="3">
        <f>IF(ISNUMBER(p_B!E95*LN(p_B!E95)),p_B!E95*LN(p_B!E95),0)</f>
        <v>0</v>
      </c>
      <c r="F95" s="3">
        <f>IF(ISNUMBER(p_B!F95*LN(p_B!F95)),p_B!F95*LN(p_B!F95),0)</f>
        <v>0</v>
      </c>
      <c r="G95" s="3">
        <f>IF(ISNUMBER(p_B!G95*LN(p_B!G95)),p_B!G95*LN(p_B!G95),0)</f>
        <v>-0.31626983253318613</v>
      </c>
      <c r="H95" s="3">
        <f>IF(ISNUMBER(p_B!H95*LN(p_B!H95)),p_B!H95*LN(p_B!H95),0)</f>
        <v>0</v>
      </c>
      <c r="I95" s="3">
        <f>IF(ISNUMBER(p_B!I95*LN(p_B!I95)),p_B!I95*LN(p_B!I95),0)</f>
        <v>0</v>
      </c>
      <c r="J95" s="3">
        <f>IF(ISNUMBER(p_B!J95*LN(p_B!J95)),p_B!J95*LN(p_B!J95),0)</f>
        <v>0</v>
      </c>
      <c r="K95" s="3">
        <f>IF(ISNUMBER(p_B!K95*LN(p_B!K95)),p_B!K95*LN(p_B!K95),0)</f>
        <v>0</v>
      </c>
      <c r="L95" s="3">
        <f>IF(ISNUMBER(p_B!L95*LN(p_B!L95)),p_B!L95*LN(p_B!L95),0)</f>
        <v>0</v>
      </c>
      <c r="M95" s="3">
        <f>IF(ISNUMBER(p_B!M95*LN(p_B!M95)),p_B!M95*LN(p_B!M95),0)</f>
        <v>0</v>
      </c>
      <c r="N95" s="3">
        <f>IF(ISNUMBER(p_B!N95*LN(p_B!N95)),p_B!N95*LN(p_B!N95),0)</f>
        <v>0</v>
      </c>
      <c r="O95" s="3">
        <f>IF(ISNUMBER(p_B!O95*LN(p_B!O95)),p_B!O95*LN(p_B!O95),0)</f>
        <v>0</v>
      </c>
      <c r="P95" s="3">
        <f>IF(ISNUMBER(p_B!P95*LN(p_B!P95)),p_B!P95*LN(p_B!P95),0)</f>
        <v>0</v>
      </c>
      <c r="Q95" s="3">
        <f>IF(ISNUMBER(p_B!Q95*LN(p_B!Q95)),p_B!Q95*LN(p_B!Q95),0)</f>
        <v>-0.17156024956990093</v>
      </c>
      <c r="R95" s="3">
        <f>IF(ISNUMBER(p_B!R95*LN(p_B!R95)),p_B!R95*LN(p_B!R95),0)</f>
        <v>0</v>
      </c>
      <c r="S95" s="3">
        <f>IF(ISNUMBER(p_B!S95*LN(p_B!S95)),p_B!S95*LN(p_B!S95),0)</f>
        <v>0</v>
      </c>
      <c r="T95" s="3">
        <f>IF(ISNUMBER(p_B!T95*LN(p_B!T95)),p_B!T95*LN(p_B!T95),0)</f>
        <v>0</v>
      </c>
      <c r="U95" s="3">
        <f>IF(ISNUMBER(p_B!U95*LN(p_B!U95)),p_B!U95*LN(p_B!U95),0)</f>
        <v>0</v>
      </c>
      <c r="V95" s="3">
        <f>IF(ISNUMBER(p_B!V95*LN(p_B!V95)),p_B!V95*LN(p_B!V95),0)</f>
        <v>0</v>
      </c>
      <c r="W95" s="3">
        <f>IF(ISNUMBER(p_B!W95*LN(p_B!W95)),p_B!W95*LN(p_B!W95),0)</f>
        <v>0</v>
      </c>
      <c r="X95" s="3">
        <f>IF(ISNUMBER(p_B!X95*LN(p_B!X95)),p_B!X95*LN(p_B!X95),0)</f>
        <v>0</v>
      </c>
      <c r="Y95" s="3">
        <f>IF(ISNUMBER(p_B!Y95*LN(p_B!Y95)),p_B!Y95*LN(p_B!Y95),0)</f>
        <v>0</v>
      </c>
      <c r="Z95" s="3">
        <f>IF(ISNUMBER(p_B!Z95*LN(p_B!Z95)),p_B!Z95*LN(p_B!Z95),0)</f>
        <v>0</v>
      </c>
      <c r="AA95" s="3">
        <f>IF(ISNUMBER(p_B!AA95*LN(p_B!AA95)),p_B!AA95*LN(p_B!AA95),0)</f>
        <v>0</v>
      </c>
    </row>
    <row r="96" spans="1:27" x14ac:dyDescent="0.25">
      <c r="A96" s="7" t="s">
        <v>142</v>
      </c>
      <c r="B96" s="3">
        <f>IF(ISNUMBER(p_B!B96*LN(p_B!B96)),p_B!B96*LN(p_B!B96),0)</f>
        <v>0</v>
      </c>
      <c r="C96" s="3">
        <f>IF(ISNUMBER(p_B!C96*LN(p_B!C96)),p_B!C96*LN(p_B!C96),0)</f>
        <v>0</v>
      </c>
      <c r="D96" s="3">
        <f>IF(ISNUMBER(p_B!D96*LN(p_B!D96)),p_B!D96*LN(p_B!D96),0)</f>
        <v>0</v>
      </c>
      <c r="E96" s="3">
        <f>IF(ISNUMBER(p_B!E96*LN(p_B!E96)),p_B!E96*LN(p_B!E96),0)</f>
        <v>0</v>
      </c>
      <c r="F96" s="3">
        <f>IF(ISNUMBER(p_B!F96*LN(p_B!F96)),p_B!F96*LN(p_B!F96),0)</f>
        <v>0</v>
      </c>
      <c r="G96" s="3">
        <f>IF(ISNUMBER(p_B!G96*LN(p_B!G96)),p_B!G96*LN(p_B!G96),0)</f>
        <v>-0.20253586955321629</v>
      </c>
      <c r="H96" s="3">
        <f>IF(ISNUMBER(p_B!H96*LN(p_B!H96)),p_B!H96*LN(p_B!H96),0)</f>
        <v>0</v>
      </c>
      <c r="I96" s="3">
        <f>IF(ISNUMBER(p_B!I96*LN(p_B!I96)),p_B!I96*LN(p_B!I96),0)</f>
        <v>0</v>
      </c>
      <c r="J96" s="3">
        <f>IF(ISNUMBER(p_B!J96*LN(p_B!J96)),p_B!J96*LN(p_B!J96),0)</f>
        <v>-0.18888593973643553</v>
      </c>
      <c r="K96" s="3">
        <f>IF(ISNUMBER(p_B!K96*LN(p_B!K96)),p_B!K96*LN(p_B!K96),0)</f>
        <v>0</v>
      </c>
      <c r="L96" s="3">
        <f>IF(ISNUMBER(p_B!L96*LN(p_B!L96)),p_B!L96*LN(p_B!L96),0)</f>
        <v>0</v>
      </c>
      <c r="M96" s="3">
        <f>IF(ISNUMBER(p_B!M96*LN(p_B!M96)),p_B!M96*LN(p_B!M96),0)</f>
        <v>0</v>
      </c>
      <c r="N96" s="3">
        <f>IF(ISNUMBER(p_B!N96*LN(p_B!N96)),p_B!N96*LN(p_B!N96),0)</f>
        <v>0</v>
      </c>
      <c r="O96" s="3">
        <f>IF(ISNUMBER(p_B!O96*LN(p_B!O96)),p_B!O96*LN(p_B!O96),0)</f>
        <v>0</v>
      </c>
      <c r="P96" s="3">
        <f>IF(ISNUMBER(p_B!P96*LN(p_B!P96)),p_B!P96*LN(p_B!P96),0)</f>
        <v>0</v>
      </c>
      <c r="Q96" s="3">
        <f>IF(ISNUMBER(p_B!Q96*LN(p_B!Q96)),p_B!Q96*LN(p_B!Q96),0)</f>
        <v>-0.13979297570185206</v>
      </c>
      <c r="R96" s="3">
        <f>IF(ISNUMBER(p_B!R96*LN(p_B!R96)),p_B!R96*LN(p_B!R96),0)</f>
        <v>0</v>
      </c>
      <c r="S96" s="3">
        <f>IF(ISNUMBER(p_B!S96*LN(p_B!S96)),p_B!S96*LN(p_B!S96),0)</f>
        <v>0</v>
      </c>
      <c r="T96" s="3">
        <f>IF(ISNUMBER(p_B!T96*LN(p_B!T96)),p_B!T96*LN(p_B!T96),0)</f>
        <v>0</v>
      </c>
      <c r="U96" s="3">
        <f>IF(ISNUMBER(p_B!U96*LN(p_B!U96)),p_B!U96*LN(p_B!U96),0)</f>
        <v>0</v>
      </c>
      <c r="V96" s="3">
        <f>IF(ISNUMBER(p_B!V96*LN(p_B!V96)),p_B!V96*LN(p_B!V96),0)</f>
        <v>0</v>
      </c>
      <c r="W96" s="3">
        <f>IF(ISNUMBER(p_B!W96*LN(p_B!W96)),p_B!W96*LN(p_B!W96),0)</f>
        <v>0</v>
      </c>
      <c r="X96" s="3">
        <f>IF(ISNUMBER(p_B!X96*LN(p_B!X96)),p_B!X96*LN(p_B!X96),0)</f>
        <v>0</v>
      </c>
      <c r="Y96" s="3">
        <f>IF(ISNUMBER(p_B!Y96*LN(p_B!Y96)),p_B!Y96*LN(p_B!Y96),0)</f>
        <v>0</v>
      </c>
      <c r="Z96" s="3">
        <f>IF(ISNUMBER(p_B!Z96*LN(p_B!Z96)),p_B!Z96*LN(p_B!Z96),0)</f>
        <v>0</v>
      </c>
      <c r="AA96" s="3">
        <f>IF(ISNUMBER(p_B!AA96*LN(p_B!AA96)),p_B!AA96*LN(p_B!AA96),0)</f>
        <v>0</v>
      </c>
    </row>
    <row r="97" spans="1:27" x14ac:dyDescent="0.25">
      <c r="A97" s="7" t="s">
        <v>143</v>
      </c>
      <c r="B97" s="3">
        <f>IF(ISNUMBER(p_B!B97*LN(p_B!B97)),p_B!B97*LN(p_B!B97),0)</f>
        <v>0</v>
      </c>
      <c r="C97" s="3">
        <f>IF(ISNUMBER(p_B!C97*LN(p_B!C97)),p_B!C97*LN(p_B!C97),0)</f>
        <v>0</v>
      </c>
      <c r="D97" s="3">
        <f>IF(ISNUMBER(p_B!D97*LN(p_B!D97)),p_B!D97*LN(p_B!D97),0)</f>
        <v>0</v>
      </c>
      <c r="E97" s="3">
        <f>IF(ISNUMBER(p_B!E97*LN(p_B!E97)),p_B!E97*LN(p_B!E97),0)</f>
        <v>0</v>
      </c>
      <c r="F97" s="3">
        <f>IF(ISNUMBER(p_B!F97*LN(p_B!F97)),p_B!F97*LN(p_B!F97),0)</f>
        <v>-0.1010664573573008</v>
      </c>
      <c r="G97" s="3">
        <f>IF(ISNUMBER(p_B!G97*LN(p_B!G97)),p_B!G97*LN(p_B!G97),0)</f>
        <v>-0.19528087405628763</v>
      </c>
      <c r="H97" s="3">
        <f>IF(ISNUMBER(p_B!H97*LN(p_B!H97)),p_B!H97*LN(p_B!H97),0)</f>
        <v>0</v>
      </c>
      <c r="I97" s="3">
        <f>IF(ISNUMBER(p_B!I97*LN(p_B!I97)),p_B!I97*LN(p_B!I97),0)</f>
        <v>0</v>
      </c>
      <c r="J97" s="3">
        <f>IF(ISNUMBER(p_B!J97*LN(p_B!J97)),p_B!J97*LN(p_B!J97),0)</f>
        <v>-0.10902899737794439</v>
      </c>
      <c r="K97" s="3">
        <f>IF(ISNUMBER(p_B!K97*LN(p_B!K97)),p_B!K97*LN(p_B!K97),0)</f>
        <v>0</v>
      </c>
      <c r="L97" s="3">
        <f>IF(ISNUMBER(p_B!L97*LN(p_B!L97)),p_B!L97*LN(p_B!L97),0)</f>
        <v>0</v>
      </c>
      <c r="M97" s="3">
        <f>IF(ISNUMBER(p_B!M97*LN(p_B!M97)),p_B!M97*LN(p_B!M97),0)</f>
        <v>0</v>
      </c>
      <c r="N97" s="3">
        <f>IF(ISNUMBER(p_B!N97*LN(p_B!N97)),p_B!N97*LN(p_B!N97),0)</f>
        <v>0</v>
      </c>
      <c r="O97" s="3">
        <f>IF(ISNUMBER(p_B!O97*LN(p_B!O97)),p_B!O97*LN(p_B!O97),0)</f>
        <v>0</v>
      </c>
      <c r="P97" s="3">
        <f>IF(ISNUMBER(p_B!P97*LN(p_B!P97)),p_B!P97*LN(p_B!P97),0)</f>
        <v>0</v>
      </c>
      <c r="Q97" s="3">
        <f>IF(ISNUMBER(p_B!Q97*LN(p_B!Q97)),p_B!Q97*LN(p_B!Q97),0)</f>
        <v>-0.19947914588201315</v>
      </c>
      <c r="R97" s="3">
        <f>IF(ISNUMBER(p_B!R97*LN(p_B!R97)),p_B!R97*LN(p_B!R97),0)</f>
        <v>0</v>
      </c>
      <c r="S97" s="3">
        <f>IF(ISNUMBER(p_B!S97*LN(p_B!S97)),p_B!S97*LN(p_B!S97),0)</f>
        <v>0</v>
      </c>
      <c r="T97" s="3">
        <f>IF(ISNUMBER(p_B!T97*LN(p_B!T97)),p_B!T97*LN(p_B!T97),0)</f>
        <v>0</v>
      </c>
      <c r="U97" s="3">
        <f>IF(ISNUMBER(p_B!U97*LN(p_B!U97)),p_B!U97*LN(p_B!U97),0)</f>
        <v>-0.21135805389854437</v>
      </c>
      <c r="V97" s="3">
        <f>IF(ISNUMBER(p_B!V97*LN(p_B!V97)),p_B!V97*LN(p_B!V97),0)</f>
        <v>0</v>
      </c>
      <c r="W97" s="3">
        <f>IF(ISNUMBER(p_B!W97*LN(p_B!W97)),p_B!W97*LN(p_B!W97),0)</f>
        <v>0</v>
      </c>
      <c r="X97" s="3">
        <f>IF(ISNUMBER(p_B!X97*LN(p_B!X97)),p_B!X97*LN(p_B!X97),0)</f>
        <v>0</v>
      </c>
      <c r="Y97" s="3">
        <f>IF(ISNUMBER(p_B!Y97*LN(p_B!Y97)),p_B!Y97*LN(p_B!Y97),0)</f>
        <v>0</v>
      </c>
      <c r="Z97" s="3">
        <f>IF(ISNUMBER(p_B!Z97*LN(p_B!Z97)),p_B!Z97*LN(p_B!Z97),0)</f>
        <v>0</v>
      </c>
      <c r="AA97" s="3">
        <f>IF(ISNUMBER(p_B!AA97*LN(p_B!AA97)),p_B!AA97*LN(p_B!AA97),0)</f>
        <v>-2.9881835913673611E-2</v>
      </c>
    </row>
    <row r="98" spans="1:27" x14ac:dyDescent="0.25">
      <c r="A98" s="7" t="s">
        <v>144</v>
      </c>
      <c r="B98" s="3">
        <f>IF(ISNUMBER(p_B!B98*LN(p_B!B98)),p_B!B98*LN(p_B!B98),0)</f>
        <v>0</v>
      </c>
      <c r="C98" s="3">
        <f>IF(ISNUMBER(p_B!C98*LN(p_B!C98)),p_B!C98*LN(p_B!C98),0)</f>
        <v>0</v>
      </c>
      <c r="D98" s="3">
        <f>IF(ISNUMBER(p_B!D98*LN(p_B!D98)),p_B!D98*LN(p_B!D98),0)</f>
        <v>0</v>
      </c>
      <c r="E98" s="3">
        <f>IF(ISNUMBER(p_B!E98*LN(p_B!E98)),p_B!E98*LN(p_B!E98),0)</f>
        <v>0</v>
      </c>
      <c r="F98" s="3">
        <f>IF(ISNUMBER(p_B!F98*LN(p_B!F98)),p_B!F98*LN(p_B!F98),0)</f>
        <v>0</v>
      </c>
      <c r="G98" s="3">
        <f>IF(ISNUMBER(p_B!G98*LN(p_B!G98)),p_B!G98*LN(p_B!G98),0)</f>
        <v>0</v>
      </c>
      <c r="H98" s="3">
        <f>IF(ISNUMBER(p_B!H98*LN(p_B!H98)),p_B!H98*LN(p_B!H98),0)</f>
        <v>0</v>
      </c>
      <c r="I98" s="3">
        <f>IF(ISNUMBER(p_B!I98*LN(p_B!I98)),p_B!I98*LN(p_B!I98),0)</f>
        <v>0</v>
      </c>
      <c r="J98" s="3">
        <f>IF(ISNUMBER(p_B!J98*LN(p_B!J98)),p_B!J98*LN(p_B!J98),0)</f>
        <v>-0.15788010798627516</v>
      </c>
      <c r="K98" s="3">
        <f>IF(ISNUMBER(p_B!K98*LN(p_B!K98)),p_B!K98*LN(p_B!K98),0)</f>
        <v>0</v>
      </c>
      <c r="L98" s="3">
        <f>IF(ISNUMBER(p_B!L98*LN(p_B!L98)),p_B!L98*LN(p_B!L98),0)</f>
        <v>0</v>
      </c>
      <c r="M98" s="3">
        <f>IF(ISNUMBER(p_B!M98*LN(p_B!M98)),p_B!M98*LN(p_B!M98),0)</f>
        <v>0</v>
      </c>
      <c r="N98" s="3">
        <f>IF(ISNUMBER(p_B!N98*LN(p_B!N98)),p_B!N98*LN(p_B!N98),0)</f>
        <v>0</v>
      </c>
      <c r="O98" s="3">
        <f>IF(ISNUMBER(p_B!O98*LN(p_B!O98)),p_B!O98*LN(p_B!O98),0)</f>
        <v>0</v>
      </c>
      <c r="P98" s="3">
        <f>IF(ISNUMBER(p_B!P98*LN(p_B!P98)),p_B!P98*LN(p_B!P98),0)</f>
        <v>0</v>
      </c>
      <c r="Q98" s="3">
        <f>IF(ISNUMBER(p_B!Q98*LN(p_B!Q98)),p_B!Q98*LN(p_B!Q98),0)</f>
        <v>-0.20415438174888248</v>
      </c>
      <c r="R98" s="3">
        <f>IF(ISNUMBER(p_B!R98*LN(p_B!R98)),p_B!R98*LN(p_B!R98),0)</f>
        <v>0</v>
      </c>
      <c r="S98" s="3">
        <f>IF(ISNUMBER(p_B!S98*LN(p_B!S98)),p_B!S98*LN(p_B!S98),0)</f>
        <v>0</v>
      </c>
      <c r="T98" s="3">
        <f>IF(ISNUMBER(p_B!T98*LN(p_B!T98)),p_B!T98*LN(p_B!T98),0)</f>
        <v>0</v>
      </c>
      <c r="U98" s="3">
        <f>IF(ISNUMBER(p_B!U98*LN(p_B!U98)),p_B!U98*LN(p_B!U98),0)</f>
        <v>-0.30852469460243576</v>
      </c>
      <c r="V98" s="3">
        <f>IF(ISNUMBER(p_B!V98*LN(p_B!V98)),p_B!V98*LN(p_B!V98),0)</f>
        <v>0</v>
      </c>
      <c r="W98" s="3">
        <f>IF(ISNUMBER(p_B!W98*LN(p_B!W98)),p_B!W98*LN(p_B!W98),0)</f>
        <v>0</v>
      </c>
      <c r="X98" s="3">
        <f>IF(ISNUMBER(p_B!X98*LN(p_B!X98)),p_B!X98*LN(p_B!X98),0)</f>
        <v>0</v>
      </c>
      <c r="Y98" s="3">
        <f>IF(ISNUMBER(p_B!Y98*LN(p_B!Y98)),p_B!Y98*LN(p_B!Y98),0)</f>
        <v>0</v>
      </c>
      <c r="Z98" s="3">
        <f>IF(ISNUMBER(p_B!Z98*LN(p_B!Z98)),p_B!Z98*LN(p_B!Z98),0)</f>
        <v>0</v>
      </c>
      <c r="AA98" s="3">
        <f>IF(ISNUMBER(p_B!AA98*LN(p_B!AA98)),p_B!AA98*LN(p_B!AA98),0)</f>
        <v>0</v>
      </c>
    </row>
    <row r="99" spans="1:27" x14ac:dyDescent="0.25">
      <c r="A99" s="7" t="s">
        <v>145</v>
      </c>
      <c r="B99" s="3">
        <f>IF(ISNUMBER(p_B!B99*LN(p_B!B99)),p_B!B99*LN(p_B!B99),0)</f>
        <v>0</v>
      </c>
      <c r="C99" s="3">
        <f>IF(ISNUMBER(p_B!C99*LN(p_B!C99)),p_B!C99*LN(p_B!C99),0)</f>
        <v>0</v>
      </c>
      <c r="D99" s="3">
        <f>IF(ISNUMBER(p_B!D99*LN(p_B!D99)),p_B!D99*LN(p_B!D99),0)</f>
        <v>0</v>
      </c>
      <c r="E99" s="3">
        <f>IF(ISNUMBER(p_B!E99*LN(p_B!E99)),p_B!E99*LN(p_B!E99),0)</f>
        <v>0</v>
      </c>
      <c r="F99" s="3">
        <f>IF(ISNUMBER(p_B!F99*LN(p_B!F99)),p_B!F99*LN(p_B!F99),0)</f>
        <v>0</v>
      </c>
      <c r="G99" s="3">
        <f>IF(ISNUMBER(p_B!G99*LN(p_B!G99)),p_B!G99*LN(p_B!G99),0)</f>
        <v>-0.22177104658529101</v>
      </c>
      <c r="H99" s="3">
        <f>IF(ISNUMBER(p_B!H99*LN(p_B!H99)),p_B!H99*LN(p_B!H99),0)</f>
        <v>0</v>
      </c>
      <c r="I99" s="3">
        <f>IF(ISNUMBER(p_B!I99*LN(p_B!I99)),p_B!I99*LN(p_B!I99),0)</f>
        <v>0</v>
      </c>
      <c r="J99" s="3">
        <f>IF(ISNUMBER(p_B!J99*LN(p_B!J99)),p_B!J99*LN(p_B!J99),0)</f>
        <v>-0.11294077868217728</v>
      </c>
      <c r="K99" s="3">
        <f>IF(ISNUMBER(p_B!K99*LN(p_B!K99)),p_B!K99*LN(p_B!K99),0)</f>
        <v>0</v>
      </c>
      <c r="L99" s="3">
        <f>IF(ISNUMBER(p_B!L99*LN(p_B!L99)),p_B!L99*LN(p_B!L99),0)</f>
        <v>0</v>
      </c>
      <c r="M99" s="3">
        <f>IF(ISNUMBER(p_B!M99*LN(p_B!M99)),p_B!M99*LN(p_B!M99),0)</f>
        <v>0</v>
      </c>
      <c r="N99" s="3">
        <f>IF(ISNUMBER(p_B!N99*LN(p_B!N99)),p_B!N99*LN(p_B!N99),0)</f>
        <v>0</v>
      </c>
      <c r="O99" s="3">
        <f>IF(ISNUMBER(p_B!O99*LN(p_B!O99)),p_B!O99*LN(p_B!O99),0)</f>
        <v>0</v>
      </c>
      <c r="P99" s="3">
        <f>IF(ISNUMBER(p_B!P99*LN(p_B!P99)),p_B!P99*LN(p_B!P99),0)</f>
        <v>0</v>
      </c>
      <c r="Q99" s="3">
        <f>IF(ISNUMBER(p_B!Q99*LN(p_B!Q99)),p_B!Q99*LN(p_B!Q99),0)</f>
        <v>-0.13105257355354497</v>
      </c>
      <c r="R99" s="3">
        <f>IF(ISNUMBER(p_B!R99*LN(p_B!R99)),p_B!R99*LN(p_B!R99),0)</f>
        <v>0</v>
      </c>
      <c r="S99" s="3">
        <f>IF(ISNUMBER(p_B!S99*LN(p_B!S99)),p_B!S99*LN(p_B!S99),0)</f>
        <v>0</v>
      </c>
      <c r="T99" s="3">
        <f>IF(ISNUMBER(p_B!T99*LN(p_B!T99)),p_B!T99*LN(p_B!T99),0)</f>
        <v>0</v>
      </c>
      <c r="U99" s="3">
        <f>IF(ISNUMBER(p_B!U99*LN(p_B!U99)),p_B!U99*LN(p_B!U99),0)</f>
        <v>-6.2320149596115218E-2</v>
      </c>
      <c r="V99" s="3">
        <f>IF(ISNUMBER(p_B!V99*LN(p_B!V99)),p_B!V99*LN(p_B!V99),0)</f>
        <v>0</v>
      </c>
      <c r="W99" s="3">
        <f>IF(ISNUMBER(p_B!W99*LN(p_B!W99)),p_B!W99*LN(p_B!W99),0)</f>
        <v>0</v>
      </c>
      <c r="X99" s="3">
        <f>IF(ISNUMBER(p_B!X99*LN(p_B!X99)),p_B!X99*LN(p_B!X99),0)</f>
        <v>0</v>
      </c>
      <c r="Y99" s="3">
        <f>IF(ISNUMBER(p_B!Y99*LN(p_B!Y99)),p_B!Y99*LN(p_B!Y99),0)</f>
        <v>0</v>
      </c>
      <c r="Z99" s="3">
        <f>IF(ISNUMBER(p_B!Z99*LN(p_B!Z99)),p_B!Z99*LN(p_B!Z99),0)</f>
        <v>0</v>
      </c>
      <c r="AA99" s="3">
        <f>IF(ISNUMBER(p_B!AA99*LN(p_B!AA99)),p_B!AA99*LN(p_B!AA99),0)</f>
        <v>0</v>
      </c>
    </row>
    <row r="100" spans="1:27" x14ac:dyDescent="0.25">
      <c r="A100" s="7" t="s">
        <v>146</v>
      </c>
      <c r="B100" s="3">
        <f>IF(ISNUMBER(p_B!B100*LN(p_B!B100)),p_B!B100*LN(p_B!B100),0)</f>
        <v>-1.76009011688975E-3</v>
      </c>
      <c r="C100" s="3">
        <f>IF(ISNUMBER(p_B!C100*LN(p_B!C100)),p_B!C100*LN(p_B!C100),0)</f>
        <v>0</v>
      </c>
      <c r="D100" s="3">
        <f>IF(ISNUMBER(p_B!D100*LN(p_B!D100)),p_B!D100*LN(p_B!D100),0)</f>
        <v>0</v>
      </c>
      <c r="E100" s="3">
        <f>IF(ISNUMBER(p_B!E100*LN(p_B!E100)),p_B!E100*LN(p_B!E100),0)</f>
        <v>0</v>
      </c>
      <c r="F100" s="3">
        <f>IF(ISNUMBER(p_B!F100*LN(p_B!F100)),p_B!F100*LN(p_B!F100),0)</f>
        <v>0</v>
      </c>
      <c r="G100" s="3">
        <f>IF(ISNUMBER(p_B!G100*LN(p_B!G100)),p_B!G100*LN(p_B!G100),0)</f>
        <v>0</v>
      </c>
      <c r="H100" s="3">
        <f>IF(ISNUMBER(p_B!H100*LN(p_B!H100)),p_B!H100*LN(p_B!H100),0)</f>
        <v>0</v>
      </c>
      <c r="I100" s="3">
        <f>IF(ISNUMBER(p_B!I100*LN(p_B!I100)),p_B!I100*LN(p_B!I100),0)</f>
        <v>0</v>
      </c>
      <c r="J100" s="3">
        <f>IF(ISNUMBER(p_B!J100*LN(p_B!J100)),p_B!J100*LN(p_B!J100),0)</f>
        <v>-0.28350197003454042</v>
      </c>
      <c r="K100" s="3">
        <f>IF(ISNUMBER(p_B!K100*LN(p_B!K100)),p_B!K100*LN(p_B!K100),0)</f>
        <v>0</v>
      </c>
      <c r="L100" s="3">
        <f>IF(ISNUMBER(p_B!L100*LN(p_B!L100)),p_B!L100*LN(p_B!L100),0)</f>
        <v>0</v>
      </c>
      <c r="M100" s="3">
        <f>IF(ISNUMBER(p_B!M100*LN(p_B!M100)),p_B!M100*LN(p_B!M100),0)</f>
        <v>0</v>
      </c>
      <c r="N100" s="3">
        <f>IF(ISNUMBER(p_B!N100*LN(p_B!N100)),p_B!N100*LN(p_B!N100),0)</f>
        <v>0</v>
      </c>
      <c r="O100" s="3">
        <f>IF(ISNUMBER(p_B!O100*LN(p_B!O100)),p_B!O100*LN(p_B!O100),0)</f>
        <v>-1.76009011688975E-3</v>
      </c>
      <c r="P100" s="3">
        <f>IF(ISNUMBER(p_B!P100*LN(p_B!P100)),p_B!P100*LN(p_B!P100),0)</f>
        <v>0</v>
      </c>
      <c r="Q100" s="3">
        <f>IF(ISNUMBER(p_B!Q100*LN(p_B!Q100)),p_B!Q100*LN(p_B!Q100),0)</f>
        <v>-0.20382766799794144</v>
      </c>
      <c r="R100" s="3">
        <f>IF(ISNUMBER(p_B!R100*LN(p_B!R100)),p_B!R100*LN(p_B!R100),0)</f>
        <v>0</v>
      </c>
      <c r="S100" s="3">
        <f>IF(ISNUMBER(p_B!S100*LN(p_B!S100)),p_B!S100*LN(p_B!S100),0)</f>
        <v>0</v>
      </c>
      <c r="T100" s="3">
        <f>IF(ISNUMBER(p_B!T100*LN(p_B!T100)),p_B!T100*LN(p_B!T100),0)</f>
        <v>0</v>
      </c>
      <c r="U100" s="3">
        <f>IF(ISNUMBER(p_B!U100*LN(p_B!U100)),p_B!U100*LN(p_B!U100),0)</f>
        <v>-0.2084572385991432</v>
      </c>
      <c r="V100" s="3">
        <f>IF(ISNUMBER(p_B!V100*LN(p_B!V100)),p_B!V100*LN(p_B!V100),0)</f>
        <v>0</v>
      </c>
      <c r="W100" s="3">
        <f>IF(ISNUMBER(p_B!W100*LN(p_B!W100)),p_B!W100*LN(p_B!W100),0)</f>
        <v>0</v>
      </c>
      <c r="X100" s="3">
        <f>IF(ISNUMBER(p_B!X100*LN(p_B!X100)),p_B!X100*LN(p_B!X100),0)</f>
        <v>0</v>
      </c>
      <c r="Y100" s="3">
        <f>IF(ISNUMBER(p_B!Y100*LN(p_B!Y100)),p_B!Y100*LN(p_B!Y100),0)</f>
        <v>0</v>
      </c>
      <c r="Z100" s="3">
        <f>IF(ISNUMBER(p_B!Z100*LN(p_B!Z100)),p_B!Z100*LN(p_B!Z100),0)</f>
        <v>0</v>
      </c>
      <c r="AA100" s="3">
        <f>IF(ISNUMBER(p_B!AA100*LN(p_B!AA100)),p_B!AA100*LN(p_B!AA100),0)</f>
        <v>0</v>
      </c>
    </row>
    <row r="101" spans="1:27" x14ac:dyDescent="0.25">
      <c r="B101" s="3">
        <f>IF(ISNUMBER(p_B!B101*LN(p_B!B101)),p_B!B101*LN(p_B!B101),0)</f>
        <v>-0.34148223947621364</v>
      </c>
      <c r="C101" s="3">
        <f>IF(ISNUMBER(p_B!C101*LN(p_B!C101)),p_B!C101*LN(p_B!C101),0)</f>
        <v>-0.3560954987281939</v>
      </c>
      <c r="D101" s="3">
        <f>IF(ISNUMBER(p_B!D101*LN(p_B!D101)),p_B!D101*LN(p_B!D101),0)</f>
        <v>0</v>
      </c>
      <c r="E101" s="3">
        <f>IF(ISNUMBER(p_B!E101*LN(p_B!E101)),p_B!E101*LN(p_B!E101),0)</f>
        <v>0</v>
      </c>
      <c r="F101" s="3">
        <f>IF(ISNUMBER(p_B!F101*LN(p_B!F101)),p_B!F101*LN(p_B!F101),0)</f>
        <v>0</v>
      </c>
      <c r="G101" s="3">
        <f>IF(ISNUMBER(p_B!G101*LN(p_B!G101)),p_B!G101*LN(p_B!G101),0)</f>
        <v>0</v>
      </c>
      <c r="H101" s="3">
        <f>IF(ISNUMBER(p_B!H101*LN(p_B!H101)),p_B!H101*LN(p_B!H101),0)</f>
        <v>0</v>
      </c>
      <c r="I101" s="3">
        <f>IF(ISNUMBER(p_B!I101*LN(p_B!I101)),p_B!I101*LN(p_B!I101),0)</f>
        <v>0</v>
      </c>
      <c r="J101" s="3">
        <f>IF(ISNUMBER(p_B!J101*LN(p_B!J101)),p_B!J101*LN(p_B!J101),0)</f>
        <v>-4.7235489332748896E-2</v>
      </c>
      <c r="K101" s="3">
        <f>IF(ISNUMBER(p_B!K101*LN(p_B!K101)),p_B!K101*LN(p_B!K101),0)</f>
        <v>0</v>
      </c>
      <c r="L101" s="3">
        <f>IF(ISNUMBER(p_B!L101*LN(p_B!L101)),p_B!L101*LN(p_B!L101),0)</f>
        <v>0</v>
      </c>
      <c r="M101" s="3">
        <f>IF(ISNUMBER(p_B!M101*LN(p_B!M101)),p_B!M101*LN(p_B!M101),0)</f>
        <v>0</v>
      </c>
      <c r="N101" s="3">
        <f>IF(ISNUMBER(p_B!N101*LN(p_B!N101)),p_B!N101*LN(p_B!N101),0)</f>
        <v>0</v>
      </c>
      <c r="O101" s="3">
        <f>IF(ISNUMBER(p_B!O101*LN(p_B!O101)),p_B!O101*LN(p_B!O101),0)</f>
        <v>0</v>
      </c>
      <c r="P101" s="3">
        <f>IF(ISNUMBER(p_B!P101*LN(p_B!P101)),p_B!P101*LN(p_B!P101),0)</f>
        <v>0</v>
      </c>
      <c r="Q101" s="3">
        <f>IF(ISNUMBER(p_B!Q101*LN(p_B!Q101)),p_B!Q101*LN(p_B!Q101),0)</f>
        <v>-4.2537992622909374E-2</v>
      </c>
      <c r="R101" s="3">
        <f>IF(ISNUMBER(p_B!R101*LN(p_B!R101)),p_B!R101*LN(p_B!R101),0)</f>
        <v>0</v>
      </c>
      <c r="S101" s="3">
        <f>IF(ISNUMBER(p_B!S101*LN(p_B!S101)),p_B!S101*LN(p_B!S101),0)</f>
        <v>0</v>
      </c>
      <c r="T101" s="3">
        <f>IF(ISNUMBER(p_B!T101*LN(p_B!T101)),p_B!T101*LN(p_B!T101),0)</f>
        <v>0</v>
      </c>
      <c r="U101" s="3">
        <f>IF(ISNUMBER(p_B!U101*LN(p_B!U101)),p_B!U101*LN(p_B!U101),0)</f>
        <v>0</v>
      </c>
      <c r="V101" s="3">
        <f>IF(ISNUMBER(p_B!V101*LN(p_B!V101)),p_B!V101*LN(p_B!V101),0)</f>
        <v>0</v>
      </c>
      <c r="W101" s="3">
        <f>IF(ISNUMBER(p_B!W101*LN(p_B!W101)),p_B!W101*LN(p_B!W101),0)</f>
        <v>0</v>
      </c>
      <c r="X101" s="3">
        <f>IF(ISNUMBER(p_B!X101*LN(p_B!X101)),p_B!X101*LN(p_B!X101),0)</f>
        <v>0</v>
      </c>
      <c r="Y101" s="3">
        <f>IF(ISNUMBER(p_B!Y101*LN(p_B!Y101)),p_B!Y101*LN(p_B!Y101),0)</f>
        <v>0</v>
      </c>
      <c r="Z101" s="3">
        <f>IF(ISNUMBER(p_B!Z101*LN(p_B!Z101)),p_B!Z101*LN(p_B!Z101),0)</f>
        <v>0</v>
      </c>
      <c r="AA101" s="3">
        <f>IF(ISNUMBER(p_B!AA101*LN(p_B!AA101)),p_B!AA101*LN(p_B!AA101),0)</f>
        <v>0</v>
      </c>
    </row>
    <row r="102" spans="1:27" x14ac:dyDescent="0.25">
      <c r="B102" s="3">
        <f>IF(ISNUMBER(p_B!B102*LN(p_B!B102)),p_B!B102*LN(p_B!B102),0)</f>
        <v>-0.28876847478334999</v>
      </c>
      <c r="C102" s="3">
        <f>IF(ISNUMBER(p_B!C102*LN(p_B!C102)),p_B!C102*LN(p_B!C102),0)</f>
        <v>-0.33557113283049822</v>
      </c>
      <c r="D102" s="3">
        <f>IF(ISNUMBER(p_B!D102*LN(p_B!D102)),p_B!D102*LN(p_B!D102),0)</f>
        <v>-1.4041852022380341E-2</v>
      </c>
      <c r="E102" s="3">
        <f>IF(ISNUMBER(p_B!E102*LN(p_B!E102)),p_B!E102*LN(p_B!E102),0)</f>
        <v>0</v>
      </c>
      <c r="F102" s="3">
        <f>IF(ISNUMBER(p_B!F102*LN(p_B!F102)),p_B!F102*LN(p_B!F102),0)</f>
        <v>0</v>
      </c>
      <c r="G102" s="3">
        <f>IF(ISNUMBER(p_B!G102*LN(p_B!G102)),p_B!G102*LN(p_B!G102),0)</f>
        <v>0</v>
      </c>
      <c r="H102" s="3">
        <f>IF(ISNUMBER(p_B!H102*LN(p_B!H102)),p_B!H102*LN(p_B!H102),0)</f>
        <v>0</v>
      </c>
      <c r="I102" s="3">
        <f>IF(ISNUMBER(p_B!I102*LN(p_B!I102)),p_B!I102*LN(p_B!I102),0)</f>
        <v>0</v>
      </c>
      <c r="J102" s="3">
        <f>IF(ISNUMBER(p_B!J102*LN(p_B!J102)),p_B!J102*LN(p_B!J102),0)</f>
        <v>0</v>
      </c>
      <c r="K102" s="3">
        <f>IF(ISNUMBER(p_B!K102*LN(p_B!K102)),p_B!K102*LN(p_B!K102),0)</f>
        <v>0</v>
      </c>
      <c r="L102" s="3">
        <f>IF(ISNUMBER(p_B!L102*LN(p_B!L102)),p_B!L102*LN(p_B!L102),0)</f>
        <v>0</v>
      </c>
      <c r="M102" s="3">
        <f>IF(ISNUMBER(p_B!M102*LN(p_B!M102)),p_B!M102*LN(p_B!M102),0)</f>
        <v>0</v>
      </c>
      <c r="N102" s="3">
        <f>IF(ISNUMBER(p_B!N102*LN(p_B!N102)),p_B!N102*LN(p_B!N102),0)</f>
        <v>0</v>
      </c>
      <c r="O102" s="3">
        <f>IF(ISNUMBER(p_B!O102*LN(p_B!O102)),p_B!O102*LN(p_B!O102),0)</f>
        <v>0</v>
      </c>
      <c r="P102" s="3">
        <f>IF(ISNUMBER(p_B!P102*LN(p_B!P102)),p_B!P102*LN(p_B!P102),0)</f>
        <v>0</v>
      </c>
      <c r="Q102" s="3">
        <f>IF(ISNUMBER(p_B!Q102*LN(p_B!Q102)),p_B!Q102*LN(p_B!Q102),0)</f>
        <v>-0.27214654927682003</v>
      </c>
      <c r="R102" s="3">
        <f>IF(ISNUMBER(p_B!R102*LN(p_B!R102)),p_B!R102*LN(p_B!R102),0)</f>
        <v>0</v>
      </c>
      <c r="S102" s="3">
        <f>IF(ISNUMBER(p_B!S102*LN(p_B!S102)),p_B!S102*LN(p_B!S102),0)</f>
        <v>0</v>
      </c>
      <c r="T102" s="3">
        <f>IF(ISNUMBER(p_B!T102*LN(p_B!T102)),p_B!T102*LN(p_B!T102),0)</f>
        <v>0</v>
      </c>
      <c r="U102" s="3">
        <f>IF(ISNUMBER(p_B!U102*LN(p_B!U102)),p_B!U102*LN(p_B!U102),0)</f>
        <v>0</v>
      </c>
      <c r="V102" s="3">
        <f>IF(ISNUMBER(p_B!V102*LN(p_B!V102)),p_B!V102*LN(p_B!V102),0)</f>
        <v>0</v>
      </c>
      <c r="W102" s="3">
        <f>IF(ISNUMBER(p_B!W102*LN(p_B!W102)),p_B!W102*LN(p_B!W102),0)</f>
        <v>0</v>
      </c>
      <c r="X102" s="3">
        <f>IF(ISNUMBER(p_B!X102*LN(p_B!X102)),p_B!X102*LN(p_B!X102),0)</f>
        <v>0</v>
      </c>
      <c r="Y102" s="3">
        <f>IF(ISNUMBER(p_B!Y102*LN(p_B!Y102)),p_B!Y102*LN(p_B!Y102),0)</f>
        <v>0</v>
      </c>
      <c r="Z102" s="3">
        <f>IF(ISNUMBER(p_B!Z102*LN(p_B!Z102)),p_B!Z102*LN(p_B!Z102),0)</f>
        <v>0</v>
      </c>
      <c r="AA102" s="3">
        <f>IF(ISNUMBER(p_B!AA102*LN(p_B!AA102)),p_B!AA102*LN(p_B!AA102),0)</f>
        <v>0</v>
      </c>
    </row>
    <row r="103" spans="1:27" x14ac:dyDescent="0.25">
      <c r="B103" s="3">
        <f>IF(ISNUMBER(p_B!B103*LN(p_B!B103)),p_B!B103*LN(p_B!B103),0)</f>
        <v>-0.20864334374534582</v>
      </c>
      <c r="C103" s="3">
        <f>IF(ISNUMBER(p_B!C103*LN(p_B!C103)),p_B!C103*LN(p_B!C103),0)</f>
        <v>0</v>
      </c>
      <c r="D103" s="3">
        <f>IF(ISNUMBER(p_B!D103*LN(p_B!D103)),p_B!D103*LN(p_B!D103),0)</f>
        <v>-3.9368704436968723E-2</v>
      </c>
      <c r="E103" s="3">
        <f>IF(ISNUMBER(p_B!E103*LN(p_B!E103)),p_B!E103*LN(p_B!E103),0)</f>
        <v>0</v>
      </c>
      <c r="F103" s="3">
        <f>IF(ISNUMBER(p_B!F103*LN(p_B!F103)),p_B!F103*LN(p_B!F103),0)</f>
        <v>0</v>
      </c>
      <c r="G103" s="3">
        <f>IF(ISNUMBER(p_B!G103*LN(p_B!G103)),p_B!G103*LN(p_B!G103),0)</f>
        <v>0</v>
      </c>
      <c r="H103" s="3">
        <f>IF(ISNUMBER(p_B!H103*LN(p_B!H103)),p_B!H103*LN(p_B!H103),0)</f>
        <v>0</v>
      </c>
      <c r="I103" s="3">
        <f>IF(ISNUMBER(p_B!I103*LN(p_B!I103)),p_B!I103*LN(p_B!I103),0)</f>
        <v>0</v>
      </c>
      <c r="J103" s="3">
        <f>IF(ISNUMBER(p_B!J103*LN(p_B!J103)),p_B!J103*LN(p_B!J103),0)</f>
        <v>0</v>
      </c>
      <c r="K103" s="3">
        <f>IF(ISNUMBER(p_B!K103*LN(p_B!K103)),p_B!K103*LN(p_B!K103),0)</f>
        <v>-1.5224727575814268E-2</v>
      </c>
      <c r="L103" s="3">
        <f>IF(ISNUMBER(p_B!L103*LN(p_B!L103)),p_B!L103*LN(p_B!L103),0)</f>
        <v>0</v>
      </c>
      <c r="M103" s="3">
        <f>IF(ISNUMBER(p_B!M103*LN(p_B!M103)),p_B!M103*LN(p_B!M103),0)</f>
        <v>0</v>
      </c>
      <c r="N103" s="3">
        <f>IF(ISNUMBER(p_B!N103*LN(p_B!N103)),p_B!N103*LN(p_B!N103),0)</f>
        <v>0</v>
      </c>
      <c r="O103" s="3">
        <f>IF(ISNUMBER(p_B!O103*LN(p_B!O103)),p_B!O103*LN(p_B!O103),0)</f>
        <v>-1.1487520036846647E-2</v>
      </c>
      <c r="P103" s="3">
        <f>IF(ISNUMBER(p_B!P103*LN(p_B!P103)),p_B!P103*LN(p_B!P103),0)</f>
        <v>0</v>
      </c>
      <c r="Q103" s="3">
        <f>IF(ISNUMBER(p_B!Q103*LN(p_B!Q103)),p_B!Q103*LN(p_B!Q103),0)</f>
        <v>-0.26023700331548738</v>
      </c>
      <c r="R103" s="3">
        <f>IF(ISNUMBER(p_B!R103*LN(p_B!R103)),p_B!R103*LN(p_B!R103),0)</f>
        <v>0</v>
      </c>
      <c r="S103" s="3">
        <f>IF(ISNUMBER(p_B!S103*LN(p_B!S103)),p_B!S103*LN(p_B!S103),0)</f>
        <v>0</v>
      </c>
      <c r="T103" s="3">
        <f>IF(ISNUMBER(p_B!T103*LN(p_B!T103)),p_B!T103*LN(p_B!T103),0)</f>
        <v>0</v>
      </c>
      <c r="U103" s="3">
        <f>IF(ISNUMBER(p_B!U103*LN(p_B!U103)),p_B!U103*LN(p_B!U103),0)</f>
        <v>0</v>
      </c>
      <c r="V103" s="3">
        <f>IF(ISNUMBER(p_B!V103*LN(p_B!V103)),p_B!V103*LN(p_B!V103),0)</f>
        <v>0</v>
      </c>
      <c r="W103" s="3">
        <f>IF(ISNUMBER(p_B!W103*LN(p_B!W103)),p_B!W103*LN(p_B!W103),0)</f>
        <v>0</v>
      </c>
      <c r="X103" s="3">
        <f>IF(ISNUMBER(p_B!X103*LN(p_B!X103)),p_B!X103*LN(p_B!X103),0)</f>
        <v>0</v>
      </c>
      <c r="Y103" s="3">
        <f>IF(ISNUMBER(p_B!Y103*LN(p_B!Y103)),p_B!Y103*LN(p_B!Y103),0)</f>
        <v>0</v>
      </c>
      <c r="Z103" s="3">
        <f>IF(ISNUMBER(p_B!Z103*LN(p_B!Z103)),p_B!Z103*LN(p_B!Z103),0)</f>
        <v>0</v>
      </c>
      <c r="AA103" s="3">
        <f>IF(ISNUMBER(p_B!AA103*LN(p_B!AA103)),p_B!AA103*LN(p_B!AA103),0)</f>
        <v>0</v>
      </c>
    </row>
    <row r="104" spans="1:27" x14ac:dyDescent="0.25">
      <c r="B104" s="3">
        <f>IF(ISNUMBER(p_B!B104*LN(p_B!B104)),p_B!B104*LN(p_B!B104),0)</f>
        <v>-0.24158419716901944</v>
      </c>
      <c r="C104" s="3">
        <f>IF(ISNUMBER(p_B!C104*LN(p_B!C104)),p_B!C104*LN(p_B!C104),0)</f>
        <v>0</v>
      </c>
      <c r="D104" s="3">
        <f>IF(ISNUMBER(p_B!D104*LN(p_B!D104)),p_B!D104*LN(p_B!D104),0)</f>
        <v>-1.1002722956180593E-2</v>
      </c>
      <c r="E104" s="3">
        <f>IF(ISNUMBER(p_B!E104*LN(p_B!E104)),p_B!E104*LN(p_B!E104),0)</f>
        <v>-1.0066506826811764E-2</v>
      </c>
      <c r="F104" s="3">
        <f>IF(ISNUMBER(p_B!F104*LN(p_B!F104)),p_B!F104*LN(p_B!F104),0)</f>
        <v>0</v>
      </c>
      <c r="G104" s="3">
        <f>IF(ISNUMBER(p_B!G104*LN(p_B!G104)),p_B!G104*LN(p_B!G104),0)</f>
        <v>0</v>
      </c>
      <c r="H104" s="3">
        <f>IF(ISNUMBER(p_B!H104*LN(p_B!H104)),p_B!H104*LN(p_B!H104),0)</f>
        <v>-8.6253321035347809E-3</v>
      </c>
      <c r="I104" s="3">
        <f>IF(ISNUMBER(p_B!I104*LN(p_B!I104)),p_B!I104*LN(p_B!I104),0)</f>
        <v>-8.092825382548769E-4</v>
      </c>
      <c r="J104" s="3">
        <f>IF(ISNUMBER(p_B!J104*LN(p_B!J104)),p_B!J104*LN(p_B!J104),0)</f>
        <v>0</v>
      </c>
      <c r="K104" s="3">
        <f>IF(ISNUMBER(p_B!K104*LN(p_B!K104)),p_B!K104*LN(p_B!K104),0)</f>
        <v>-0.12104291232051716</v>
      </c>
      <c r="L104" s="3">
        <f>IF(ISNUMBER(p_B!L104*LN(p_B!L104)),p_B!L104*LN(p_B!L104),0)</f>
        <v>-8.1338653439926786E-3</v>
      </c>
      <c r="M104" s="3">
        <f>IF(ISNUMBER(p_B!M104*LN(p_B!M104)),p_B!M104*LN(p_B!M104),0)</f>
        <v>-3.4072906997490347E-2</v>
      </c>
      <c r="N104" s="3">
        <f>IF(ISNUMBER(p_B!N104*LN(p_B!N104)),p_B!N104*LN(p_B!N104),0)</f>
        <v>0</v>
      </c>
      <c r="O104" s="3">
        <f>IF(ISNUMBER(p_B!O104*LN(p_B!O104)),p_B!O104*LN(p_B!O104),0)</f>
        <v>0</v>
      </c>
      <c r="P104" s="3">
        <f>IF(ISNUMBER(p_B!P104*LN(p_B!P104)),p_B!P104*LN(p_B!P104),0)</f>
        <v>0</v>
      </c>
      <c r="Q104" s="3">
        <f>IF(ISNUMBER(p_B!Q104*LN(p_B!Q104)),p_B!Q104*LN(p_B!Q104),0)</f>
        <v>-0.24017327312938649</v>
      </c>
      <c r="R104" s="3">
        <f>IF(ISNUMBER(p_B!R104*LN(p_B!R104)),p_B!R104*LN(p_B!R104),0)</f>
        <v>0</v>
      </c>
      <c r="S104" s="3">
        <f>IF(ISNUMBER(p_B!S104*LN(p_B!S104)),p_B!S104*LN(p_B!S104),0)</f>
        <v>0</v>
      </c>
      <c r="T104" s="3">
        <f>IF(ISNUMBER(p_B!T104*LN(p_B!T104)),p_B!T104*LN(p_B!T104),0)</f>
        <v>0</v>
      </c>
      <c r="U104" s="3">
        <f>IF(ISNUMBER(p_B!U104*LN(p_B!U104)),p_B!U104*LN(p_B!U104),0)</f>
        <v>0</v>
      </c>
      <c r="V104" s="3">
        <f>IF(ISNUMBER(p_B!V104*LN(p_B!V104)),p_B!V104*LN(p_B!V104),0)</f>
        <v>0</v>
      </c>
      <c r="W104" s="3">
        <f>IF(ISNUMBER(p_B!W104*LN(p_B!W104)),p_B!W104*LN(p_B!W104),0)</f>
        <v>0</v>
      </c>
      <c r="X104" s="3">
        <f>IF(ISNUMBER(p_B!X104*LN(p_B!X104)),p_B!X104*LN(p_B!X104),0)</f>
        <v>0</v>
      </c>
      <c r="Y104" s="3">
        <f>IF(ISNUMBER(p_B!Y104*LN(p_B!Y104)),p_B!Y104*LN(p_B!Y104),0)</f>
        <v>0</v>
      </c>
      <c r="Z104" s="3">
        <f>IF(ISNUMBER(p_B!Z104*LN(p_B!Z104)),p_B!Z104*LN(p_B!Z104),0)</f>
        <v>0</v>
      </c>
      <c r="AA104" s="3">
        <f>IF(ISNUMBER(p_B!AA104*LN(p_B!AA104)),p_B!AA104*LN(p_B!AA104),0)</f>
        <v>0</v>
      </c>
    </row>
    <row r="105" spans="1:27" x14ac:dyDescent="0.25">
      <c r="B105" s="3">
        <f>IF(ISNUMBER(p_B!B105*LN(p_B!B105)),p_B!B105*LN(p_B!B105),0)</f>
        <v>-0.26192629110585192</v>
      </c>
      <c r="C105" s="3">
        <f>IF(ISNUMBER(p_B!C105*LN(p_B!C105)),p_B!C105*LN(p_B!C105),0)</f>
        <v>0</v>
      </c>
      <c r="D105" s="3">
        <f>IF(ISNUMBER(p_B!D105*LN(p_B!D105)),p_B!D105*LN(p_B!D105),0)</f>
        <v>-5.9083952577387966E-2</v>
      </c>
      <c r="E105" s="3">
        <f>IF(ISNUMBER(p_B!E105*LN(p_B!E105)),p_B!E105*LN(p_B!E105),0)</f>
        <v>-4.5057699665529199E-3</v>
      </c>
      <c r="F105" s="3">
        <f>IF(ISNUMBER(p_B!F105*LN(p_B!F105)),p_B!F105*LN(p_B!F105),0)</f>
        <v>0</v>
      </c>
      <c r="G105" s="3">
        <f>IF(ISNUMBER(p_B!G105*LN(p_B!G105)),p_B!G105*LN(p_B!G105),0)</f>
        <v>0</v>
      </c>
      <c r="H105" s="3">
        <f>IF(ISNUMBER(p_B!H105*LN(p_B!H105)),p_B!H105*LN(p_B!H105),0)</f>
        <v>-3.1046025671650646E-2</v>
      </c>
      <c r="I105" s="3">
        <f>IF(ISNUMBER(p_B!I105*LN(p_B!I105)),p_B!I105*LN(p_B!I105),0)</f>
        <v>-5.7742798425288846E-3</v>
      </c>
      <c r="J105" s="3">
        <f>IF(ISNUMBER(p_B!J105*LN(p_B!J105)),p_B!J105*LN(p_B!J105),0)</f>
        <v>0</v>
      </c>
      <c r="K105" s="3">
        <f>IF(ISNUMBER(p_B!K105*LN(p_B!K105)),p_B!K105*LN(p_B!K105),0)</f>
        <v>-7.9652200561813991E-2</v>
      </c>
      <c r="L105" s="3">
        <f>IF(ISNUMBER(p_B!L105*LN(p_B!L105)),p_B!L105*LN(p_B!L105),0)</f>
        <v>0</v>
      </c>
      <c r="M105" s="3">
        <f>IF(ISNUMBER(p_B!M105*LN(p_B!M105)),p_B!M105*LN(p_B!M105),0)</f>
        <v>0</v>
      </c>
      <c r="N105" s="3">
        <f>IF(ISNUMBER(p_B!N105*LN(p_B!N105)),p_B!N105*LN(p_B!N105),0)</f>
        <v>0</v>
      </c>
      <c r="O105" s="3">
        <f>IF(ISNUMBER(p_B!O105*LN(p_B!O105)),p_B!O105*LN(p_B!O105),0)</f>
        <v>-2.2342239324473625E-2</v>
      </c>
      <c r="P105" s="3">
        <f>IF(ISNUMBER(p_B!P105*LN(p_B!P105)),p_B!P105*LN(p_B!P105),0)</f>
        <v>0</v>
      </c>
      <c r="Q105" s="3">
        <f>IF(ISNUMBER(p_B!Q105*LN(p_B!Q105)),p_B!Q105*LN(p_B!Q105),0)</f>
        <v>-0.35248997038310448</v>
      </c>
      <c r="R105" s="3">
        <f>IF(ISNUMBER(p_B!R105*LN(p_B!R105)),p_B!R105*LN(p_B!R105),0)</f>
        <v>0</v>
      </c>
      <c r="S105" s="3">
        <f>IF(ISNUMBER(p_B!S105*LN(p_B!S105)),p_B!S105*LN(p_B!S105),0)</f>
        <v>0</v>
      </c>
      <c r="T105" s="3">
        <f>IF(ISNUMBER(p_B!T105*LN(p_B!T105)),p_B!T105*LN(p_B!T105),0)</f>
        <v>0</v>
      </c>
      <c r="U105" s="3">
        <f>IF(ISNUMBER(p_B!U105*LN(p_B!U105)),p_B!U105*LN(p_B!U105),0)</f>
        <v>0</v>
      </c>
      <c r="V105" s="3">
        <f>IF(ISNUMBER(p_B!V105*LN(p_B!V105)),p_B!V105*LN(p_B!V105),0)</f>
        <v>0</v>
      </c>
      <c r="W105" s="3">
        <f>IF(ISNUMBER(p_B!W105*LN(p_B!W105)),p_B!W105*LN(p_B!W105),0)</f>
        <v>0</v>
      </c>
      <c r="X105" s="3">
        <f>IF(ISNUMBER(p_B!X105*LN(p_B!X105)),p_B!X105*LN(p_B!X105),0)</f>
        <v>0</v>
      </c>
      <c r="Y105" s="3">
        <f>IF(ISNUMBER(p_B!Y105*LN(p_B!Y105)),p_B!Y105*LN(p_B!Y105),0)</f>
        <v>0</v>
      </c>
      <c r="Z105" s="3">
        <f>IF(ISNUMBER(p_B!Z105*LN(p_B!Z105)),p_B!Z105*LN(p_B!Z105),0)</f>
        <v>0</v>
      </c>
      <c r="AA105" s="3">
        <f>IF(ISNUMBER(p_B!AA105*LN(p_B!AA105)),p_B!AA105*LN(p_B!AA105),0)</f>
        <v>0</v>
      </c>
    </row>
    <row r="106" spans="1:27" x14ac:dyDescent="0.25">
      <c r="B106" s="3">
        <f>IF(ISNUMBER(p_B!B106*LN(p_B!B106)),p_B!B106*LN(p_B!B106),0)</f>
        <v>-5.0112771256505765E-3</v>
      </c>
      <c r="C106" s="3">
        <f>IF(ISNUMBER(p_B!C106*LN(p_B!C106)),p_B!C106*LN(p_B!C106),0)</f>
        <v>-0.12098826359936569</v>
      </c>
      <c r="D106" s="3">
        <f>IF(ISNUMBER(p_B!D106*LN(p_B!D106)),p_B!D106*LN(p_B!D106),0)</f>
        <v>0</v>
      </c>
      <c r="E106" s="3">
        <f>IF(ISNUMBER(p_B!E106*LN(p_B!E106)),p_B!E106*LN(p_B!E106),0)</f>
        <v>0</v>
      </c>
      <c r="F106" s="3">
        <f>IF(ISNUMBER(p_B!F106*LN(p_B!F106)),p_B!F106*LN(p_B!F106),0)</f>
        <v>0</v>
      </c>
      <c r="G106" s="3">
        <f>IF(ISNUMBER(p_B!G106*LN(p_B!G106)),p_B!G106*LN(p_B!G106),0)</f>
        <v>0</v>
      </c>
      <c r="H106" s="3">
        <f>IF(ISNUMBER(p_B!H106*LN(p_B!H106)),p_B!H106*LN(p_B!H106),0)</f>
        <v>-4.1856476963668204E-2</v>
      </c>
      <c r="I106" s="3">
        <f>IF(ISNUMBER(p_B!I106*LN(p_B!I106)),p_B!I106*LN(p_B!I106),0)</f>
        <v>0</v>
      </c>
      <c r="J106" s="3">
        <f>IF(ISNUMBER(p_B!J106*LN(p_B!J106)),p_B!J106*LN(p_B!J106),0)</f>
        <v>-3.7681201115285702E-2</v>
      </c>
      <c r="K106" s="3">
        <f>IF(ISNUMBER(p_B!K106*LN(p_B!K106)),p_B!K106*LN(p_B!K106),0)</f>
        <v>0</v>
      </c>
      <c r="L106" s="3">
        <f>IF(ISNUMBER(p_B!L106*LN(p_B!L106)),p_B!L106*LN(p_B!L106),0)</f>
        <v>0</v>
      </c>
      <c r="M106" s="3">
        <f>IF(ISNUMBER(p_B!M106*LN(p_B!M106)),p_B!M106*LN(p_B!M106),0)</f>
        <v>0</v>
      </c>
      <c r="N106" s="3">
        <f>IF(ISNUMBER(p_B!N106*LN(p_B!N106)),p_B!N106*LN(p_B!N106),0)</f>
        <v>0</v>
      </c>
      <c r="O106" s="3">
        <f>IF(ISNUMBER(p_B!O106*LN(p_B!O106)),p_B!O106*LN(p_B!O106),0)</f>
        <v>-0.1355789231495268</v>
      </c>
      <c r="P106" s="3">
        <f>IF(ISNUMBER(p_B!P106*LN(p_B!P106)),p_B!P106*LN(p_B!P106),0)</f>
        <v>0</v>
      </c>
      <c r="Q106" s="3">
        <f>IF(ISNUMBER(p_B!Q106*LN(p_B!Q106)),p_B!Q106*LN(p_B!Q106),0)</f>
        <v>-0.11243734103401649</v>
      </c>
      <c r="R106" s="3">
        <f>IF(ISNUMBER(p_B!R106*LN(p_B!R106)),p_B!R106*LN(p_B!R106),0)</f>
        <v>0</v>
      </c>
      <c r="S106" s="3">
        <f>IF(ISNUMBER(p_B!S106*LN(p_B!S106)),p_B!S106*LN(p_B!S106),0)</f>
        <v>0</v>
      </c>
      <c r="T106" s="3">
        <f>IF(ISNUMBER(p_B!T106*LN(p_B!T106)),p_B!T106*LN(p_B!T106),0)</f>
        <v>0</v>
      </c>
      <c r="U106" s="3">
        <f>IF(ISNUMBER(p_B!U106*LN(p_B!U106)),p_B!U106*LN(p_B!U106),0)</f>
        <v>0</v>
      </c>
      <c r="V106" s="3">
        <f>IF(ISNUMBER(p_B!V106*LN(p_B!V106)),p_B!V106*LN(p_B!V106),0)</f>
        <v>0</v>
      </c>
      <c r="W106" s="3">
        <f>IF(ISNUMBER(p_B!W106*LN(p_B!W106)),p_B!W106*LN(p_B!W106),0)</f>
        <v>0</v>
      </c>
      <c r="X106" s="3">
        <f>IF(ISNUMBER(p_B!X106*LN(p_B!X106)),p_B!X106*LN(p_B!X106),0)</f>
        <v>0</v>
      </c>
      <c r="Y106" s="3">
        <f>IF(ISNUMBER(p_B!Y106*LN(p_B!Y106)),p_B!Y106*LN(p_B!Y106),0)</f>
        <v>0</v>
      </c>
      <c r="Z106" s="3">
        <f>IF(ISNUMBER(p_B!Z106*LN(p_B!Z106)),p_B!Z106*LN(p_B!Z106),0)</f>
        <v>0</v>
      </c>
      <c r="AA106" s="3">
        <f>IF(ISNUMBER(p_B!AA106*LN(p_B!AA106)),p_B!AA106*LN(p_B!AA106),0)</f>
        <v>0</v>
      </c>
    </row>
    <row r="107" spans="1:27" x14ac:dyDescent="0.25">
      <c r="B107" s="3">
        <f>IF(ISNUMBER(p_B!B107*LN(p_B!B107)),p_B!B107*LN(p_B!B107),0)</f>
        <v>-3.0185917255541261E-3</v>
      </c>
      <c r="C107" s="3">
        <f>IF(ISNUMBER(p_B!C107*LN(p_B!C107)),p_B!C107*LN(p_B!C107),0)</f>
        <v>-9.5823598777374244E-2</v>
      </c>
      <c r="D107" s="3">
        <f>IF(ISNUMBER(p_B!D107*LN(p_B!D107)),p_B!D107*LN(p_B!D107),0)</f>
        <v>-1.6216460106353383E-2</v>
      </c>
      <c r="E107" s="3">
        <f>IF(ISNUMBER(p_B!E107*LN(p_B!E107)),p_B!E107*LN(p_B!E107),0)</f>
        <v>-1.3003899172403419E-2</v>
      </c>
      <c r="F107" s="3">
        <f>IF(ISNUMBER(p_B!F107*LN(p_B!F107)),p_B!F107*LN(p_B!F107),0)</f>
        <v>0</v>
      </c>
      <c r="G107" s="3">
        <f>IF(ISNUMBER(p_B!G107*LN(p_B!G107)),p_B!G107*LN(p_B!G107),0)</f>
        <v>0</v>
      </c>
      <c r="H107" s="3">
        <f>IF(ISNUMBER(p_B!H107*LN(p_B!H107)),p_B!H107*LN(p_B!H107),0)</f>
        <v>-3.5128036006712403E-2</v>
      </c>
      <c r="I107" s="3">
        <f>IF(ISNUMBER(p_B!I107*LN(p_B!I107)),p_B!I107*LN(p_B!I107),0)</f>
        <v>0</v>
      </c>
      <c r="J107" s="3">
        <f>IF(ISNUMBER(p_B!J107*LN(p_B!J107)),p_B!J107*LN(p_B!J107),0)</f>
        <v>-0.18072595855907317</v>
      </c>
      <c r="K107" s="3">
        <f>IF(ISNUMBER(p_B!K107*LN(p_B!K107)),p_B!K107*LN(p_B!K107),0)</f>
        <v>0</v>
      </c>
      <c r="L107" s="3">
        <f>IF(ISNUMBER(p_B!L107*LN(p_B!L107)),p_B!L107*LN(p_B!L107),0)</f>
        <v>0</v>
      </c>
      <c r="M107" s="3">
        <f>IF(ISNUMBER(p_B!M107*LN(p_B!M107)),p_B!M107*LN(p_B!M107),0)</f>
        <v>0</v>
      </c>
      <c r="N107" s="3">
        <f>IF(ISNUMBER(p_B!N107*LN(p_B!N107)),p_B!N107*LN(p_B!N107),0)</f>
        <v>0</v>
      </c>
      <c r="O107" s="3">
        <f>IF(ISNUMBER(p_B!O107*LN(p_B!O107)),p_B!O107*LN(p_B!O107),0)</f>
        <v>-0.3429723433193681</v>
      </c>
      <c r="P107" s="3">
        <f>IF(ISNUMBER(p_B!P107*LN(p_B!P107)),p_B!P107*LN(p_B!P107),0)</f>
        <v>0</v>
      </c>
      <c r="Q107" s="3">
        <f>IF(ISNUMBER(p_B!Q107*LN(p_B!Q107)),p_B!Q107*LN(p_B!Q107),0)</f>
        <v>-0.36702092529379499</v>
      </c>
      <c r="R107" s="3">
        <f>IF(ISNUMBER(p_B!R107*LN(p_B!R107)),p_B!R107*LN(p_B!R107),0)</f>
        <v>0</v>
      </c>
      <c r="S107" s="3">
        <f>IF(ISNUMBER(p_B!S107*LN(p_B!S107)),p_B!S107*LN(p_B!S107),0)</f>
        <v>0</v>
      </c>
      <c r="T107" s="3">
        <f>IF(ISNUMBER(p_B!T107*LN(p_B!T107)),p_B!T107*LN(p_B!T107),0)</f>
        <v>0</v>
      </c>
      <c r="U107" s="3">
        <f>IF(ISNUMBER(p_B!U107*LN(p_B!U107)),p_B!U107*LN(p_B!U107),0)</f>
        <v>0</v>
      </c>
      <c r="V107" s="3">
        <f>IF(ISNUMBER(p_B!V107*LN(p_B!V107)),p_B!V107*LN(p_B!V107),0)</f>
        <v>0</v>
      </c>
      <c r="W107" s="3">
        <f>IF(ISNUMBER(p_B!W107*LN(p_B!W107)),p_B!W107*LN(p_B!W107),0)</f>
        <v>0</v>
      </c>
      <c r="X107" s="3">
        <f>IF(ISNUMBER(p_B!X107*LN(p_B!X107)),p_B!X107*LN(p_B!X107),0)</f>
        <v>0</v>
      </c>
      <c r="Y107" s="3">
        <f>IF(ISNUMBER(p_B!Y107*LN(p_B!Y107)),p_B!Y107*LN(p_B!Y107),0)</f>
        <v>-2.1161337975336707E-3</v>
      </c>
      <c r="Z107" s="3">
        <f>IF(ISNUMBER(p_B!Z107*LN(p_B!Z107)),p_B!Z107*LN(p_B!Z107),0)</f>
        <v>0</v>
      </c>
      <c r="AA107" s="3">
        <f>IF(ISNUMBER(p_B!AA107*LN(p_B!AA107)),p_B!AA107*LN(p_B!AA107),0)</f>
        <v>0</v>
      </c>
    </row>
    <row r="108" spans="1:27" x14ac:dyDescent="0.25">
      <c r="B108" s="3">
        <f>IF(ISNUMBER(p_B!B108*LN(p_B!B108)),p_B!B108*LN(p_B!B108),0)</f>
        <v>-1.1638158104383552E-3</v>
      </c>
      <c r="C108" s="3">
        <f>IF(ISNUMBER(p_B!C108*LN(p_B!C108)),p_B!C108*LN(p_B!C108),0)</f>
        <v>-1.2626014133176584E-2</v>
      </c>
      <c r="D108" s="3">
        <f>IF(ISNUMBER(p_B!D108*LN(p_B!D108)),p_B!D108*LN(p_B!D108),0)</f>
        <v>0</v>
      </c>
      <c r="E108" s="3">
        <f>IF(ISNUMBER(p_B!E108*LN(p_B!E108)),p_B!E108*LN(p_B!E108),0)</f>
        <v>-1.9646207438932896E-2</v>
      </c>
      <c r="F108" s="3">
        <f>IF(ISNUMBER(p_B!F108*LN(p_B!F108)),p_B!F108*LN(p_B!F108),0)</f>
        <v>0</v>
      </c>
      <c r="G108" s="3">
        <f>IF(ISNUMBER(p_B!G108*LN(p_B!G108)),p_B!G108*LN(p_B!G108),0)</f>
        <v>0</v>
      </c>
      <c r="H108" s="3">
        <f>IF(ISNUMBER(p_B!H108*LN(p_B!H108)),p_B!H108*LN(p_B!H108),0)</f>
        <v>0</v>
      </c>
      <c r="I108" s="3">
        <f>IF(ISNUMBER(p_B!I108*LN(p_B!I108)),p_B!I108*LN(p_B!I108),0)</f>
        <v>0</v>
      </c>
      <c r="J108" s="3">
        <f>IF(ISNUMBER(p_B!J108*LN(p_B!J108)),p_B!J108*LN(p_B!J108),0)</f>
        <v>-1.3297791436633045E-2</v>
      </c>
      <c r="K108" s="3">
        <f>IF(ISNUMBER(p_B!K108*LN(p_B!K108)),p_B!K108*LN(p_B!K108),0)</f>
        <v>0</v>
      </c>
      <c r="L108" s="3">
        <f>IF(ISNUMBER(p_B!L108*LN(p_B!L108)),p_B!L108*LN(p_B!L108),0)</f>
        <v>0</v>
      </c>
      <c r="M108" s="3">
        <f>IF(ISNUMBER(p_B!M108*LN(p_B!M108)),p_B!M108*LN(p_B!M108),0)</f>
        <v>0</v>
      </c>
      <c r="N108" s="3">
        <f>IF(ISNUMBER(p_B!N108*LN(p_B!N108)),p_B!N108*LN(p_B!N108),0)</f>
        <v>0</v>
      </c>
      <c r="O108" s="3">
        <f>IF(ISNUMBER(p_B!O108*LN(p_B!O108)),p_B!O108*LN(p_B!O108),0)</f>
        <v>-0.23524434543351641</v>
      </c>
      <c r="P108" s="3">
        <f>IF(ISNUMBER(p_B!P108*LN(p_B!P108)),p_B!P108*LN(p_B!P108),0)</f>
        <v>0</v>
      </c>
      <c r="Q108" s="3">
        <f>IF(ISNUMBER(p_B!Q108*LN(p_B!Q108)),p_B!Q108*LN(p_B!Q108),0)</f>
        <v>-0.11201370022299591</v>
      </c>
      <c r="R108" s="3">
        <f>IF(ISNUMBER(p_B!R108*LN(p_B!R108)),p_B!R108*LN(p_B!R108),0)</f>
        <v>0</v>
      </c>
      <c r="S108" s="3">
        <f>IF(ISNUMBER(p_B!S108*LN(p_B!S108)),p_B!S108*LN(p_B!S108),0)</f>
        <v>0</v>
      </c>
      <c r="T108" s="3">
        <f>IF(ISNUMBER(p_B!T108*LN(p_B!T108)),p_B!T108*LN(p_B!T108),0)</f>
        <v>0</v>
      </c>
      <c r="U108" s="3">
        <f>IF(ISNUMBER(p_B!U108*LN(p_B!U108)),p_B!U108*LN(p_B!U108),0)</f>
        <v>0</v>
      </c>
      <c r="V108" s="3">
        <f>IF(ISNUMBER(p_B!V108*LN(p_B!V108)),p_B!V108*LN(p_B!V108),0)</f>
        <v>0</v>
      </c>
      <c r="W108" s="3">
        <f>IF(ISNUMBER(p_B!W108*LN(p_B!W108)),p_B!W108*LN(p_B!W108),0)</f>
        <v>0</v>
      </c>
      <c r="X108" s="3">
        <f>IF(ISNUMBER(p_B!X108*LN(p_B!X108)),p_B!X108*LN(p_B!X108),0)</f>
        <v>0</v>
      </c>
      <c r="Y108" s="3">
        <f>IF(ISNUMBER(p_B!Y108*LN(p_B!Y108)),p_B!Y108*LN(p_B!Y108),0)</f>
        <v>-1.61239286903565E-2</v>
      </c>
      <c r="Z108" s="3">
        <f>IF(ISNUMBER(p_B!Z108*LN(p_B!Z108)),p_B!Z108*LN(p_B!Z108),0)</f>
        <v>0</v>
      </c>
      <c r="AA108" s="3">
        <f>IF(ISNUMBER(p_B!AA108*LN(p_B!AA108)),p_B!AA108*LN(p_B!AA108),0)</f>
        <v>0</v>
      </c>
    </row>
    <row r="109" spans="1:27" x14ac:dyDescent="0.25">
      <c r="B109" s="3">
        <f>IF(ISNUMBER(p_B!B109*LN(p_B!B109)),p_B!B109*LN(p_B!B109),0)</f>
        <v>-0.10929020881493789</v>
      </c>
      <c r="C109" s="3">
        <f>IF(ISNUMBER(p_B!C109*LN(p_B!C109)),p_B!C109*LN(p_B!C109),0)</f>
        <v>0</v>
      </c>
      <c r="D109" s="3">
        <f>IF(ISNUMBER(p_B!D109*LN(p_B!D109)),p_B!D109*LN(p_B!D109),0)</f>
        <v>0</v>
      </c>
      <c r="E109" s="3">
        <f>IF(ISNUMBER(p_B!E109*LN(p_B!E109)),p_B!E109*LN(p_B!E109),0)</f>
        <v>0</v>
      </c>
      <c r="F109" s="3">
        <f>IF(ISNUMBER(p_B!F109*LN(p_B!F109)),p_B!F109*LN(p_B!F109),0)</f>
        <v>0</v>
      </c>
      <c r="G109" s="3">
        <f>IF(ISNUMBER(p_B!G109*LN(p_B!G109)),p_B!G109*LN(p_B!G109),0)</f>
        <v>0</v>
      </c>
      <c r="H109" s="3">
        <f>IF(ISNUMBER(p_B!H109*LN(p_B!H109)),p_B!H109*LN(p_B!H109),0)</f>
        <v>0</v>
      </c>
      <c r="I109" s="3">
        <f>IF(ISNUMBER(p_B!I109*LN(p_B!I109)),p_B!I109*LN(p_B!I109),0)</f>
        <v>0</v>
      </c>
      <c r="J109" s="3">
        <f>IF(ISNUMBER(p_B!J109*LN(p_B!J109)),p_B!J109*LN(p_B!J109),0)</f>
        <v>-3.5931023558534725E-2</v>
      </c>
      <c r="K109" s="3">
        <f>IF(ISNUMBER(p_B!K109*LN(p_B!K109)),p_B!K109*LN(p_B!K109),0)</f>
        <v>0</v>
      </c>
      <c r="L109" s="3">
        <f>IF(ISNUMBER(p_B!L109*LN(p_B!L109)),p_B!L109*LN(p_B!L109),0)</f>
        <v>0</v>
      </c>
      <c r="M109" s="3">
        <f>IF(ISNUMBER(p_B!M109*LN(p_B!M109)),p_B!M109*LN(p_B!M109),0)</f>
        <v>0</v>
      </c>
      <c r="N109" s="3">
        <f>IF(ISNUMBER(p_B!N109*LN(p_B!N109)),p_B!N109*LN(p_B!N109),0)</f>
        <v>0</v>
      </c>
      <c r="O109" s="3">
        <f>IF(ISNUMBER(p_B!O109*LN(p_B!O109)),p_B!O109*LN(p_B!O109),0)</f>
        <v>-8.686238856795333E-4</v>
      </c>
      <c r="P109" s="3">
        <f>IF(ISNUMBER(p_B!P109*LN(p_B!P109)),p_B!P109*LN(p_B!P109),0)</f>
        <v>0</v>
      </c>
      <c r="Q109" s="3">
        <f>IF(ISNUMBER(p_B!Q109*LN(p_B!Q109)),p_B!Q109*LN(p_B!Q109),0)</f>
        <v>-4.6954465277084308E-2</v>
      </c>
      <c r="R109" s="3">
        <f>IF(ISNUMBER(p_B!R109*LN(p_B!R109)),p_B!R109*LN(p_B!R109),0)</f>
        <v>0</v>
      </c>
      <c r="S109" s="3">
        <f>IF(ISNUMBER(p_B!S109*LN(p_B!S109)),p_B!S109*LN(p_B!S109),0)</f>
        <v>0</v>
      </c>
      <c r="T109" s="3">
        <f>IF(ISNUMBER(p_B!T109*LN(p_B!T109)),p_B!T109*LN(p_B!T109),0)</f>
        <v>0</v>
      </c>
      <c r="U109" s="3">
        <f>IF(ISNUMBER(p_B!U109*LN(p_B!U109)),p_B!U109*LN(p_B!U109),0)</f>
        <v>0</v>
      </c>
      <c r="V109" s="3">
        <f>IF(ISNUMBER(p_B!V109*LN(p_B!V109)),p_B!V109*LN(p_B!V109),0)</f>
        <v>0</v>
      </c>
      <c r="W109" s="3">
        <f>IF(ISNUMBER(p_B!W109*LN(p_B!W109)),p_B!W109*LN(p_B!W109),0)</f>
        <v>0</v>
      </c>
      <c r="X109" s="3">
        <f>IF(ISNUMBER(p_B!X109*LN(p_B!X109)),p_B!X109*LN(p_B!X109),0)</f>
        <v>0</v>
      </c>
      <c r="Y109" s="3">
        <f>IF(ISNUMBER(p_B!Y109*LN(p_B!Y109)),p_B!Y109*LN(p_B!Y109),0)</f>
        <v>-2.0496904235661941E-2</v>
      </c>
      <c r="Z109" s="3">
        <f>IF(ISNUMBER(p_B!Z109*LN(p_B!Z109)),p_B!Z109*LN(p_B!Z109),0)</f>
        <v>-1.0763360699593306E-2</v>
      </c>
      <c r="AA109" s="3">
        <f>IF(ISNUMBER(p_B!AA109*LN(p_B!AA109)),p_B!AA109*LN(p_B!AA109),0)</f>
        <v>0</v>
      </c>
    </row>
    <row r="110" spans="1:27" x14ac:dyDescent="0.25">
      <c r="B110" s="3">
        <f>IF(ISNUMBER(p_B!B110*LN(p_B!B110)),p_B!B110*LN(p_B!B110),0)</f>
        <v>-0.32183504880584068</v>
      </c>
      <c r="C110" s="3">
        <f>IF(ISNUMBER(p_B!C110*LN(p_B!C110)),p_B!C110*LN(p_B!C110),0)</f>
        <v>0</v>
      </c>
      <c r="D110" s="3">
        <f>IF(ISNUMBER(p_B!D110*LN(p_B!D110)),p_B!D110*LN(p_B!D110),0)</f>
        <v>-7.3604725058167382E-3</v>
      </c>
      <c r="E110" s="3">
        <f>IF(ISNUMBER(p_B!E110*LN(p_B!E110)),p_B!E110*LN(p_B!E110),0)</f>
        <v>-4.4158397657972699E-2</v>
      </c>
      <c r="F110" s="3">
        <f>IF(ISNUMBER(p_B!F110*LN(p_B!F110)),p_B!F110*LN(p_B!F110),0)</f>
        <v>0</v>
      </c>
      <c r="G110" s="3">
        <f>IF(ISNUMBER(p_B!G110*LN(p_B!G110)),p_B!G110*LN(p_B!G110),0)</f>
        <v>0</v>
      </c>
      <c r="H110" s="3">
        <f>IF(ISNUMBER(p_B!H110*LN(p_B!H110)),p_B!H110*LN(p_B!H110),0)</f>
        <v>-0.32871661175216138</v>
      </c>
      <c r="I110" s="3">
        <f>IF(ISNUMBER(p_B!I110*LN(p_B!I110)),p_B!I110*LN(p_B!I110),0)</f>
        <v>0</v>
      </c>
      <c r="J110" s="3">
        <f>IF(ISNUMBER(p_B!J110*LN(p_B!J110)),p_B!J110*LN(p_B!J110),0)</f>
        <v>-8.5102328203376348E-2</v>
      </c>
      <c r="K110" s="3">
        <f>IF(ISNUMBER(p_B!K110*LN(p_B!K110)),p_B!K110*LN(p_B!K110),0)</f>
        <v>-1.8188066753197735E-3</v>
      </c>
      <c r="L110" s="3">
        <f>IF(ISNUMBER(p_B!L110*LN(p_B!L110)),p_B!L110*LN(p_B!L110),0)</f>
        <v>0</v>
      </c>
      <c r="M110" s="3">
        <f>IF(ISNUMBER(p_B!M110*LN(p_B!M110)),p_B!M110*LN(p_B!M110),0)</f>
        <v>0</v>
      </c>
      <c r="N110" s="3">
        <f>IF(ISNUMBER(p_B!N110*LN(p_B!N110)),p_B!N110*LN(p_B!N110),0)</f>
        <v>-2.2505551603983383E-2</v>
      </c>
      <c r="O110" s="3">
        <f>IF(ISNUMBER(p_B!O110*LN(p_B!O110)),p_B!O110*LN(p_B!O110),0)</f>
        <v>-0.35463490154287081</v>
      </c>
      <c r="P110" s="3">
        <f>IF(ISNUMBER(p_B!P110*LN(p_B!P110)),p_B!P110*LN(p_B!P110),0)</f>
        <v>0</v>
      </c>
      <c r="Q110" s="3">
        <f>IF(ISNUMBER(p_B!Q110*LN(p_B!Q110)),p_B!Q110*LN(p_B!Q110),0)</f>
        <v>-6.8660697391489375E-2</v>
      </c>
      <c r="R110" s="3">
        <f>IF(ISNUMBER(p_B!R110*LN(p_B!R110)),p_B!R110*LN(p_B!R110),0)</f>
        <v>0</v>
      </c>
      <c r="S110" s="3">
        <f>IF(ISNUMBER(p_B!S110*LN(p_B!S110)),p_B!S110*LN(p_B!S110),0)</f>
        <v>0</v>
      </c>
      <c r="T110" s="3">
        <f>IF(ISNUMBER(p_B!T110*LN(p_B!T110)),p_B!T110*LN(p_B!T110),0)</f>
        <v>0</v>
      </c>
      <c r="U110" s="3">
        <f>IF(ISNUMBER(p_B!U110*LN(p_B!U110)),p_B!U110*LN(p_B!U110),0)</f>
        <v>0</v>
      </c>
      <c r="V110" s="3">
        <f>IF(ISNUMBER(p_B!V110*LN(p_B!V110)),p_B!V110*LN(p_B!V110),0)</f>
        <v>-2.9489989256100493E-2</v>
      </c>
      <c r="W110" s="3">
        <f>IF(ISNUMBER(p_B!W110*LN(p_B!W110)),p_B!W110*LN(p_B!W110),0)</f>
        <v>0</v>
      </c>
      <c r="X110" s="3">
        <f>IF(ISNUMBER(p_B!X110*LN(p_B!X110)),p_B!X110*LN(p_B!X110),0)</f>
        <v>0</v>
      </c>
      <c r="Y110" s="3">
        <f>IF(ISNUMBER(p_B!Y110*LN(p_B!Y110)),p_B!Y110*LN(p_B!Y110),0)</f>
        <v>0</v>
      </c>
      <c r="Z110" s="3">
        <f>IF(ISNUMBER(p_B!Z110*LN(p_B!Z110)),p_B!Z110*LN(p_B!Z110),0)</f>
        <v>0</v>
      </c>
      <c r="AA110" s="3">
        <f>IF(ISNUMBER(p_B!AA110*LN(p_B!AA110)),p_B!AA110*LN(p_B!AA110),0)</f>
        <v>0</v>
      </c>
    </row>
    <row r="111" spans="1:27" x14ac:dyDescent="0.25">
      <c r="B111" s="3">
        <f>IF(ISNUMBER(p_B!B111*LN(p_B!B111)),p_B!B111*LN(p_B!B111),0)</f>
        <v>-0.36557008922486822</v>
      </c>
      <c r="C111" s="3">
        <f>IF(ISNUMBER(p_B!C111*LN(p_B!C111)),p_B!C111*LN(p_B!C111),0)</f>
        <v>-7.3291721135405052E-2</v>
      </c>
      <c r="D111" s="3">
        <f>IF(ISNUMBER(p_B!D111*LN(p_B!D111)),p_B!D111*LN(p_B!D111),0)</f>
        <v>-5.6252640356655934E-4</v>
      </c>
      <c r="E111" s="3">
        <f>IF(ISNUMBER(p_B!E111*LN(p_B!E111)),p_B!E111*LN(p_B!E111),0)</f>
        <v>-1.3410333188027252E-2</v>
      </c>
      <c r="F111" s="3">
        <f>IF(ISNUMBER(p_B!F111*LN(p_B!F111)),p_B!F111*LN(p_B!F111),0)</f>
        <v>0</v>
      </c>
      <c r="G111" s="3">
        <f>IF(ISNUMBER(p_B!G111*LN(p_B!G111)),p_B!G111*LN(p_B!G111),0)</f>
        <v>-1.9305540989963195E-3</v>
      </c>
      <c r="H111" s="3">
        <f>IF(ISNUMBER(p_B!H111*LN(p_B!H111)),p_B!H111*LN(p_B!H111),0)</f>
        <v>-0.20500310739205013</v>
      </c>
      <c r="I111" s="3">
        <f>IF(ISNUMBER(p_B!I111*LN(p_B!I111)),p_B!I111*LN(p_B!I111),0)</f>
        <v>-5.0319465438616187E-3</v>
      </c>
      <c r="J111" s="3">
        <f>IF(ISNUMBER(p_B!J111*LN(p_B!J111)),p_B!J111*LN(p_B!J111),0)</f>
        <v>-1.796329039730403E-2</v>
      </c>
      <c r="K111" s="3">
        <f>IF(ISNUMBER(p_B!K111*LN(p_B!K111)),p_B!K111*LN(p_B!K111),0)</f>
        <v>-9.1052385419133006E-3</v>
      </c>
      <c r="L111" s="3">
        <f>IF(ISNUMBER(p_B!L111*LN(p_B!L111)),p_B!L111*LN(p_B!L111),0)</f>
        <v>0</v>
      </c>
      <c r="M111" s="3">
        <f>IF(ISNUMBER(p_B!M111*LN(p_B!M111)),p_B!M111*LN(p_B!M111),0)</f>
        <v>-1.0995775887906983E-2</v>
      </c>
      <c r="N111" s="3">
        <f>IF(ISNUMBER(p_B!N111*LN(p_B!N111)),p_B!N111*LN(p_B!N111),0)</f>
        <v>0</v>
      </c>
      <c r="O111" s="3">
        <f>IF(ISNUMBER(p_B!O111*LN(p_B!O111)),p_B!O111*LN(p_B!O111),0)</f>
        <v>-0.36784759654691074</v>
      </c>
      <c r="P111" s="3">
        <f>IF(ISNUMBER(p_B!P111*LN(p_B!P111)),p_B!P111*LN(p_B!P111),0)</f>
        <v>0</v>
      </c>
      <c r="Q111" s="3">
        <f>IF(ISNUMBER(p_B!Q111*LN(p_B!Q111)),p_B!Q111*LN(p_B!Q111),0)</f>
        <v>-3.4853625058236831E-2</v>
      </c>
      <c r="R111" s="3">
        <f>IF(ISNUMBER(p_B!R111*LN(p_B!R111)),p_B!R111*LN(p_B!R111),0)</f>
        <v>0</v>
      </c>
      <c r="S111" s="3">
        <f>IF(ISNUMBER(p_B!S111*LN(p_B!S111)),p_B!S111*LN(p_B!S111),0)</f>
        <v>0</v>
      </c>
      <c r="T111" s="3">
        <f>IF(ISNUMBER(p_B!T111*LN(p_B!T111)),p_B!T111*LN(p_B!T111),0)</f>
        <v>0</v>
      </c>
      <c r="U111" s="3">
        <f>IF(ISNUMBER(p_B!U111*LN(p_B!U111)),p_B!U111*LN(p_B!U111),0)</f>
        <v>0</v>
      </c>
      <c r="V111" s="3">
        <f>IF(ISNUMBER(p_B!V111*LN(p_B!V111)),p_B!V111*LN(p_B!V111),0)</f>
        <v>-1.9055062807097109E-2</v>
      </c>
      <c r="W111" s="3">
        <f>IF(ISNUMBER(p_B!W111*LN(p_B!W111)),p_B!W111*LN(p_B!W111),0)</f>
        <v>0</v>
      </c>
      <c r="X111" s="3">
        <f>IF(ISNUMBER(p_B!X111*LN(p_B!X111)),p_B!X111*LN(p_B!X111),0)</f>
        <v>-9.1052385419133006E-3</v>
      </c>
      <c r="Y111" s="3">
        <f>IF(ISNUMBER(p_B!Y111*LN(p_B!Y111)),p_B!Y111*LN(p_B!Y111),0)</f>
        <v>0</v>
      </c>
      <c r="Z111" s="3">
        <f>IF(ISNUMBER(p_B!Z111*LN(p_B!Z111)),p_B!Z111*LN(p_B!Z111),0)</f>
        <v>0</v>
      </c>
      <c r="AA111" s="3">
        <f>IF(ISNUMBER(p_B!AA111*LN(p_B!AA111)),p_B!AA111*LN(p_B!AA111),0)</f>
        <v>0</v>
      </c>
    </row>
    <row r="112" spans="1:27" x14ac:dyDescent="0.25">
      <c r="B112" s="3">
        <f>IF(ISNUMBER(p_B!B112*LN(p_B!B112)),p_B!B112*LN(p_B!B112),0)</f>
        <v>-0.36596024124430737</v>
      </c>
      <c r="C112" s="3">
        <f>IF(ISNUMBER(p_B!C112*LN(p_B!C112)),p_B!C112*LN(p_B!C112),0)</f>
        <v>-0.22494724122828269</v>
      </c>
      <c r="D112" s="3">
        <f>IF(ISNUMBER(p_B!D112*LN(p_B!D112)),p_B!D112*LN(p_B!D112),0)</f>
        <v>-0.17251842682764448</v>
      </c>
      <c r="E112" s="3">
        <f>IF(ISNUMBER(p_B!E112*LN(p_B!E112)),p_B!E112*LN(p_B!E112),0)</f>
        <v>-3.2574334751682345E-2</v>
      </c>
      <c r="F112" s="3">
        <f>IF(ISNUMBER(p_B!F112*LN(p_B!F112)),p_B!F112*LN(p_B!F112),0)</f>
        <v>0</v>
      </c>
      <c r="G112" s="3">
        <f>IF(ISNUMBER(p_B!G112*LN(p_B!G112)),p_B!G112*LN(p_B!G112),0)</f>
        <v>-8.5038051395596004E-2</v>
      </c>
      <c r="H112" s="3">
        <f>IF(ISNUMBER(p_B!H112*LN(p_B!H112)),p_B!H112*LN(p_B!H112),0)</f>
        <v>-0.22801977666411488</v>
      </c>
      <c r="I112" s="3">
        <f>IF(ISNUMBER(p_B!I112*LN(p_B!I112)),p_B!I112*LN(p_B!I112),0)</f>
        <v>0</v>
      </c>
      <c r="J112" s="3">
        <f>IF(ISNUMBER(p_B!J112*LN(p_B!J112)),p_B!J112*LN(p_B!J112),0)</f>
        <v>-2.2775666736410335E-2</v>
      </c>
      <c r="K112" s="3">
        <f>IF(ISNUMBER(p_B!K112*LN(p_B!K112)),p_B!K112*LN(p_B!K112),0)</f>
        <v>-5.0362025104485888E-3</v>
      </c>
      <c r="L112" s="3">
        <f>IF(ISNUMBER(p_B!L112*LN(p_B!L112)),p_B!L112*LN(p_B!L112),0)</f>
        <v>0</v>
      </c>
      <c r="M112" s="3">
        <f>IF(ISNUMBER(p_B!M112*LN(p_B!M112)),p_B!M112*LN(p_B!M112),0)</f>
        <v>0</v>
      </c>
      <c r="N112" s="3">
        <f>IF(ISNUMBER(p_B!N112*LN(p_B!N112)),p_B!N112*LN(p_B!N112),0)</f>
        <v>-0.15848126280311117</v>
      </c>
      <c r="O112" s="3">
        <f>IF(ISNUMBER(p_B!O112*LN(p_B!O112)),p_B!O112*LN(p_B!O112),0)</f>
        <v>-0.18134946198503007</v>
      </c>
      <c r="P112" s="3">
        <f>IF(ISNUMBER(p_B!P112*LN(p_B!P112)),p_B!P112*LN(p_B!P112),0)</f>
        <v>0</v>
      </c>
      <c r="Q112" s="3">
        <f>IF(ISNUMBER(p_B!Q112*LN(p_B!Q112)),p_B!Q112*LN(p_B!Q112),0)</f>
        <v>-0.24203516839644257</v>
      </c>
      <c r="R112" s="3">
        <f>IF(ISNUMBER(p_B!R112*LN(p_B!R112)),p_B!R112*LN(p_B!R112),0)</f>
        <v>0</v>
      </c>
      <c r="S112" s="3">
        <f>IF(ISNUMBER(p_B!S112*LN(p_B!S112)),p_B!S112*LN(p_B!S112),0)</f>
        <v>0</v>
      </c>
      <c r="T112" s="3">
        <f>IF(ISNUMBER(p_B!T112*LN(p_B!T112)),p_B!T112*LN(p_B!T112),0)</f>
        <v>0</v>
      </c>
      <c r="U112" s="3">
        <f>IF(ISNUMBER(p_B!U112*LN(p_B!U112)),p_B!U112*LN(p_B!U112),0)</f>
        <v>0</v>
      </c>
      <c r="V112" s="3">
        <f>IF(ISNUMBER(p_B!V112*LN(p_B!V112)),p_B!V112*LN(p_B!V112),0)</f>
        <v>-8.0456688061592896E-2</v>
      </c>
      <c r="W112" s="3">
        <f>IF(ISNUMBER(p_B!W112*LN(p_B!W112)),p_B!W112*LN(p_B!W112),0)</f>
        <v>0</v>
      </c>
      <c r="X112" s="3">
        <f>IF(ISNUMBER(p_B!X112*LN(p_B!X112)),p_B!X112*LN(p_B!X112),0)</f>
        <v>-1.5168403323091139E-2</v>
      </c>
      <c r="Y112" s="3">
        <f>IF(ISNUMBER(p_B!Y112*LN(p_B!Y112)),p_B!Y112*LN(p_B!Y112),0)</f>
        <v>0</v>
      </c>
      <c r="Z112" s="3">
        <f>IF(ISNUMBER(p_B!Z112*LN(p_B!Z112)),p_B!Z112*LN(p_B!Z112),0)</f>
        <v>0</v>
      </c>
      <c r="AA112" s="3">
        <f>IF(ISNUMBER(p_B!AA112*LN(p_B!AA112)),p_B!AA112*LN(p_B!AA112),0)</f>
        <v>0</v>
      </c>
    </row>
    <row r="113" spans="2:27" x14ac:dyDescent="0.25">
      <c r="B113" s="3">
        <f>IF(ISNUMBER(p_B!B113*LN(p_B!B113)),p_B!B113*LN(p_B!B113),0)</f>
        <v>-0.30173750500694141</v>
      </c>
      <c r="C113" s="3">
        <f>IF(ISNUMBER(p_B!C113*LN(p_B!C113)),p_B!C113*LN(p_B!C113),0)</f>
        <v>-8.5313549631232555E-2</v>
      </c>
      <c r="D113" s="3">
        <f>IF(ISNUMBER(p_B!D113*LN(p_B!D113)),p_B!D113*LN(p_B!D113),0)</f>
        <v>-0.28071574271975347</v>
      </c>
      <c r="E113" s="3">
        <f>IF(ISNUMBER(p_B!E113*LN(p_B!E113)),p_B!E113*LN(p_B!E113),0)</f>
        <v>-5.0196226430406134E-3</v>
      </c>
      <c r="F113" s="3">
        <f>IF(ISNUMBER(p_B!F113*LN(p_B!F113)),p_B!F113*LN(p_B!F113),0)</f>
        <v>0</v>
      </c>
      <c r="G113" s="3">
        <f>IF(ISNUMBER(p_B!G113*LN(p_B!G113)),p_B!G113*LN(p_B!G113),0)</f>
        <v>0</v>
      </c>
      <c r="H113" s="3">
        <f>IF(ISNUMBER(p_B!H113*LN(p_B!H113)),p_B!H113*LN(p_B!H113),0)</f>
        <v>-0.20946614078006517</v>
      </c>
      <c r="I113" s="3">
        <f>IF(ISNUMBER(p_B!I113*LN(p_B!I113)),p_B!I113*LN(p_B!I113),0)</f>
        <v>0</v>
      </c>
      <c r="J113" s="3">
        <f>IF(ISNUMBER(p_B!J113*LN(p_B!J113)),p_B!J113*LN(p_B!J113),0)</f>
        <v>-9.8470546631230851E-3</v>
      </c>
      <c r="K113" s="3">
        <f>IF(ISNUMBER(p_B!K113*LN(p_B!K113)),p_B!K113*LN(p_B!K113),0)</f>
        <v>0</v>
      </c>
      <c r="L113" s="3">
        <f>IF(ISNUMBER(p_B!L113*LN(p_B!L113)),p_B!L113*LN(p_B!L113),0)</f>
        <v>0</v>
      </c>
      <c r="M113" s="3">
        <f>IF(ISNUMBER(p_B!M113*LN(p_B!M113)),p_B!M113*LN(p_B!M113),0)</f>
        <v>0</v>
      </c>
      <c r="N113" s="3">
        <f>IF(ISNUMBER(p_B!N113*LN(p_B!N113)),p_B!N113*LN(p_B!N113),0)</f>
        <v>-2.4541273556870604E-2</v>
      </c>
      <c r="O113" s="3">
        <f>IF(ISNUMBER(p_B!O113*LN(p_B!O113)),p_B!O113*LN(p_B!O113),0)</f>
        <v>-0.15453246425699091</v>
      </c>
      <c r="P113" s="3">
        <f>IF(ISNUMBER(p_B!P113*LN(p_B!P113)),p_B!P113*LN(p_B!P113),0)</f>
        <v>0</v>
      </c>
      <c r="Q113" s="3">
        <f>IF(ISNUMBER(p_B!Q113*LN(p_B!Q113)),p_B!Q113*LN(p_B!Q113),0)</f>
        <v>-0.16953854398563981</v>
      </c>
      <c r="R113" s="3">
        <f>IF(ISNUMBER(p_B!R113*LN(p_B!R113)),p_B!R113*LN(p_B!R113),0)</f>
        <v>0</v>
      </c>
      <c r="S113" s="3">
        <f>IF(ISNUMBER(p_B!S113*LN(p_B!S113)),p_B!S113*LN(p_B!S113),0)</f>
        <v>0</v>
      </c>
      <c r="T113" s="3">
        <f>IF(ISNUMBER(p_B!T113*LN(p_B!T113)),p_B!T113*LN(p_B!T113),0)</f>
        <v>0</v>
      </c>
      <c r="U113" s="3">
        <f>IF(ISNUMBER(p_B!U113*LN(p_B!U113)),p_B!U113*LN(p_B!U113),0)</f>
        <v>0</v>
      </c>
      <c r="V113" s="3">
        <f>IF(ISNUMBER(p_B!V113*LN(p_B!V113)),p_B!V113*LN(p_B!V113),0)</f>
        <v>0</v>
      </c>
      <c r="W113" s="3">
        <f>IF(ISNUMBER(p_B!W113*LN(p_B!W113)),p_B!W113*LN(p_B!W113),0)</f>
        <v>0</v>
      </c>
      <c r="X113" s="3">
        <f>IF(ISNUMBER(p_B!X113*LN(p_B!X113)),p_B!X113*LN(p_B!X113),0)</f>
        <v>0</v>
      </c>
      <c r="Y113" s="3">
        <f>IF(ISNUMBER(p_B!Y113*LN(p_B!Y113)),p_B!Y113*LN(p_B!Y113),0)</f>
        <v>0</v>
      </c>
      <c r="Z113" s="3">
        <f>IF(ISNUMBER(p_B!Z113*LN(p_B!Z113)),p_B!Z113*LN(p_B!Z113),0)</f>
        <v>0</v>
      </c>
      <c r="AA113" s="3">
        <f>IF(ISNUMBER(p_B!AA113*LN(p_B!AA113)),p_B!AA113*LN(p_B!AA113),0)</f>
        <v>0</v>
      </c>
    </row>
    <row r="114" spans="2:27" x14ac:dyDescent="0.25">
      <c r="B114" s="3">
        <f>IF(ISNUMBER(p_B!B114*LN(p_B!B114)),p_B!B114*LN(p_B!B114),0)</f>
        <v>-0.2232264153806709</v>
      </c>
      <c r="C114" s="3">
        <f>IF(ISNUMBER(p_B!C114*LN(p_B!C114)),p_B!C114*LN(p_B!C114),0)</f>
        <v>-0.2358840254592218</v>
      </c>
      <c r="D114" s="3">
        <f>IF(ISNUMBER(p_B!D114*LN(p_B!D114)),p_B!D114*LN(p_B!D114),0)</f>
        <v>-0.20766974090704163</v>
      </c>
      <c r="E114" s="3">
        <f>IF(ISNUMBER(p_B!E114*LN(p_B!E114)),p_B!E114*LN(p_B!E114),0)</f>
        <v>0</v>
      </c>
      <c r="F114" s="3">
        <f>IF(ISNUMBER(p_B!F114*LN(p_B!F114)),p_B!F114*LN(p_B!F114),0)</f>
        <v>0</v>
      </c>
      <c r="G114" s="3">
        <f>IF(ISNUMBER(p_B!G114*LN(p_B!G114)),p_B!G114*LN(p_B!G114),0)</f>
        <v>0</v>
      </c>
      <c r="H114" s="3">
        <f>IF(ISNUMBER(p_B!H114*LN(p_B!H114)),p_B!H114*LN(p_B!H114),0)</f>
        <v>-0.11993109381854337</v>
      </c>
      <c r="I114" s="3">
        <f>IF(ISNUMBER(p_B!I114*LN(p_B!I114)),p_B!I114*LN(p_B!I114),0)</f>
        <v>0</v>
      </c>
      <c r="J114" s="3">
        <f>IF(ISNUMBER(p_B!J114*LN(p_B!J114)),p_B!J114*LN(p_B!J114),0)</f>
        <v>-2.6010783828540954E-2</v>
      </c>
      <c r="K114" s="3">
        <f>IF(ISNUMBER(p_B!K114*LN(p_B!K114)),p_B!K114*LN(p_B!K114),0)</f>
        <v>0</v>
      </c>
      <c r="L114" s="3">
        <f>IF(ISNUMBER(p_B!L114*LN(p_B!L114)),p_B!L114*LN(p_B!L114),0)</f>
        <v>0</v>
      </c>
      <c r="M114" s="3">
        <f>IF(ISNUMBER(p_B!M114*LN(p_B!M114)),p_B!M114*LN(p_B!M114),0)</f>
        <v>0</v>
      </c>
      <c r="N114" s="3">
        <f>IF(ISNUMBER(p_B!N114*LN(p_B!N114)),p_B!N114*LN(p_B!N114),0)</f>
        <v>-5.987461130757795E-2</v>
      </c>
      <c r="O114" s="3">
        <f>IF(ISNUMBER(p_B!O114*LN(p_B!O114)),p_B!O114*LN(p_B!O114),0)</f>
        <v>-3.7576198912788142E-2</v>
      </c>
      <c r="P114" s="3">
        <f>IF(ISNUMBER(p_B!P114*LN(p_B!P114)),p_B!P114*LN(p_B!P114),0)</f>
        <v>0</v>
      </c>
      <c r="Q114" s="3">
        <f>IF(ISNUMBER(p_B!Q114*LN(p_B!Q114)),p_B!Q114*LN(p_B!Q114),0)</f>
        <v>-3.5113043526479912E-2</v>
      </c>
      <c r="R114" s="3">
        <f>IF(ISNUMBER(p_B!R114*LN(p_B!R114)),p_B!R114*LN(p_B!R114),0)</f>
        <v>0</v>
      </c>
      <c r="S114" s="3">
        <f>IF(ISNUMBER(p_B!S114*LN(p_B!S114)),p_B!S114*LN(p_B!S114),0)</f>
        <v>0</v>
      </c>
      <c r="T114" s="3">
        <f>IF(ISNUMBER(p_B!T114*LN(p_B!T114)),p_B!T114*LN(p_B!T114),0)</f>
        <v>0</v>
      </c>
      <c r="U114" s="3">
        <f>IF(ISNUMBER(p_B!U114*LN(p_B!U114)),p_B!U114*LN(p_B!U114),0)</f>
        <v>0</v>
      </c>
      <c r="V114" s="3">
        <f>IF(ISNUMBER(p_B!V114*LN(p_B!V114)),p_B!V114*LN(p_B!V114),0)</f>
        <v>0</v>
      </c>
      <c r="W114" s="3">
        <f>IF(ISNUMBER(p_B!W114*LN(p_B!W114)),p_B!W114*LN(p_B!W114),0)</f>
        <v>0</v>
      </c>
      <c r="X114" s="3">
        <f>IF(ISNUMBER(p_B!X114*LN(p_B!X114)),p_B!X114*LN(p_B!X114),0)</f>
        <v>0</v>
      </c>
      <c r="Y114" s="3">
        <f>IF(ISNUMBER(p_B!Y114*LN(p_B!Y114)),p_B!Y114*LN(p_B!Y114),0)</f>
        <v>0</v>
      </c>
      <c r="Z114" s="3">
        <f>IF(ISNUMBER(p_B!Z114*LN(p_B!Z114)),p_B!Z114*LN(p_B!Z114),0)</f>
        <v>0</v>
      </c>
      <c r="AA114" s="3">
        <f>IF(ISNUMBER(p_B!AA114*LN(p_B!AA114)),p_B!AA114*LN(p_B!AA114),0)</f>
        <v>0</v>
      </c>
    </row>
    <row r="115" spans="2:27" x14ac:dyDescent="0.25">
      <c r="B115" s="3">
        <f>IF(ISNUMBER(p_B!B115*LN(p_B!B115)),p_B!B115*LN(p_B!B115),0)</f>
        <v>-0.36716440017613972</v>
      </c>
      <c r="C115" s="3">
        <f>IF(ISNUMBER(p_B!C115*LN(p_B!C115)),p_B!C115*LN(p_B!C115),0)</f>
        <v>-0.32826264589272069</v>
      </c>
      <c r="D115" s="3">
        <f>IF(ISNUMBER(p_B!D115*LN(p_B!D115)),p_B!D115*LN(p_B!D115),0)</f>
        <v>-6.6586531909189325E-2</v>
      </c>
      <c r="E115" s="3">
        <f>IF(ISNUMBER(p_B!E115*LN(p_B!E115)),p_B!E115*LN(p_B!E115),0)</f>
        <v>-1.1726256423964681E-3</v>
      </c>
      <c r="F115" s="3">
        <f>IF(ISNUMBER(p_B!F115*LN(p_B!F115)),p_B!F115*LN(p_B!F115),0)</f>
        <v>0</v>
      </c>
      <c r="G115" s="3">
        <f>IF(ISNUMBER(p_B!G115*LN(p_B!G115)),p_B!G115*LN(p_B!G115),0)</f>
        <v>0</v>
      </c>
      <c r="H115" s="3">
        <f>IF(ISNUMBER(p_B!H115*LN(p_B!H115)),p_B!H115*LN(p_B!H115),0)</f>
        <v>-7.8827730698477635E-2</v>
      </c>
      <c r="I115" s="3">
        <f>IF(ISNUMBER(p_B!I115*LN(p_B!I115)),p_B!I115*LN(p_B!I115),0)</f>
        <v>0</v>
      </c>
      <c r="J115" s="3">
        <f>IF(ISNUMBER(p_B!J115*LN(p_B!J115)),p_B!J115*LN(p_B!J115),0)</f>
        <v>-2.1633944881092305E-3</v>
      </c>
      <c r="K115" s="3">
        <f>IF(ISNUMBER(p_B!K115*LN(p_B!K115)),p_B!K115*LN(p_B!K115),0)</f>
        <v>0</v>
      </c>
      <c r="L115" s="3">
        <f>IF(ISNUMBER(p_B!L115*LN(p_B!L115)),p_B!L115*LN(p_B!L115),0)</f>
        <v>0</v>
      </c>
      <c r="M115" s="3">
        <f>IF(ISNUMBER(p_B!M115*LN(p_B!M115)),p_B!M115*LN(p_B!M115),0)</f>
        <v>0</v>
      </c>
      <c r="N115" s="3">
        <f>IF(ISNUMBER(p_B!N115*LN(p_B!N115)),p_B!N115*LN(p_B!N115),0)</f>
        <v>-2.8104352802917825E-2</v>
      </c>
      <c r="O115" s="3">
        <f>IF(ISNUMBER(p_B!O115*LN(p_B!O115)),p_B!O115*LN(p_B!O115),0)</f>
        <v>-1.0159808929083457E-2</v>
      </c>
      <c r="P115" s="3">
        <f>IF(ISNUMBER(p_B!P115*LN(p_B!P115)),p_B!P115*LN(p_B!P115),0)</f>
        <v>0</v>
      </c>
      <c r="Q115" s="3">
        <f>IF(ISNUMBER(p_B!Q115*LN(p_B!Q115)),p_B!Q115*LN(p_B!Q115),0)</f>
        <v>-2.1196019128696335E-2</v>
      </c>
      <c r="R115" s="3">
        <f>IF(ISNUMBER(p_B!R115*LN(p_B!R115)),p_B!R115*LN(p_B!R115),0)</f>
        <v>0</v>
      </c>
      <c r="S115" s="3">
        <f>IF(ISNUMBER(p_B!S115*LN(p_B!S115)),p_B!S115*LN(p_B!S115),0)</f>
        <v>0</v>
      </c>
      <c r="T115" s="3">
        <f>IF(ISNUMBER(p_B!T115*LN(p_B!T115)),p_B!T115*LN(p_B!T115),0)</f>
        <v>0</v>
      </c>
      <c r="U115" s="3">
        <f>IF(ISNUMBER(p_B!U115*LN(p_B!U115)),p_B!U115*LN(p_B!U115),0)</f>
        <v>0</v>
      </c>
      <c r="V115" s="3">
        <f>IF(ISNUMBER(p_B!V115*LN(p_B!V115)),p_B!V115*LN(p_B!V115),0)</f>
        <v>0</v>
      </c>
      <c r="W115" s="3">
        <f>IF(ISNUMBER(p_B!W115*LN(p_B!W115)),p_B!W115*LN(p_B!W115),0)</f>
        <v>0</v>
      </c>
      <c r="X115" s="3">
        <f>IF(ISNUMBER(p_B!X115*LN(p_B!X115)),p_B!X115*LN(p_B!X115),0)</f>
        <v>0</v>
      </c>
      <c r="Y115" s="3">
        <f>IF(ISNUMBER(p_B!Y115*LN(p_B!Y115)),p_B!Y115*LN(p_B!Y115),0)</f>
        <v>0</v>
      </c>
      <c r="Z115" s="3">
        <f>IF(ISNUMBER(p_B!Z115*LN(p_B!Z115)),p_B!Z115*LN(p_B!Z115),0)</f>
        <v>0</v>
      </c>
      <c r="AA115" s="3">
        <f>IF(ISNUMBER(p_B!AA115*LN(p_B!AA115)),p_B!AA115*LN(p_B!AA115),0)</f>
        <v>0</v>
      </c>
    </row>
    <row r="116" spans="2:27" x14ac:dyDescent="0.25">
      <c r="B116" s="3">
        <f>IF(ISNUMBER(p_B!B116*LN(p_B!B116)),p_B!B116*LN(p_B!B116),0)</f>
        <v>-0.15402128540248253</v>
      </c>
      <c r="C116" s="3">
        <f>IF(ISNUMBER(p_B!C116*LN(p_B!C116)),p_B!C116*LN(p_B!C116),0)</f>
        <v>-6.6633331303938836E-3</v>
      </c>
      <c r="D116" s="3">
        <f>IF(ISNUMBER(p_B!D116*LN(p_B!D116)),p_B!D116*LN(p_B!D116),0)</f>
        <v>-2.1336767378258393E-2</v>
      </c>
      <c r="E116" s="3">
        <f>IF(ISNUMBER(p_B!E116*LN(p_B!E116)),p_B!E116*LN(p_B!E116),0)</f>
        <v>-3.663951886654253E-3</v>
      </c>
      <c r="F116" s="3">
        <f>IF(ISNUMBER(p_B!F116*LN(p_B!F116)),p_B!F116*LN(p_B!F116),0)</f>
        <v>0</v>
      </c>
      <c r="G116" s="3">
        <f>IF(ISNUMBER(p_B!G116*LN(p_B!G116)),p_B!G116*LN(p_B!G116),0)</f>
        <v>0</v>
      </c>
      <c r="H116" s="3">
        <f>IF(ISNUMBER(p_B!H116*LN(p_B!H116)),p_B!H116*LN(p_B!H116),0)</f>
        <v>0</v>
      </c>
      <c r="I116" s="3">
        <f>IF(ISNUMBER(p_B!I116*LN(p_B!I116)),p_B!I116*LN(p_B!I116),0)</f>
        <v>0</v>
      </c>
      <c r="J116" s="3">
        <f>IF(ISNUMBER(p_B!J116*LN(p_B!J116)),p_B!J116*LN(p_B!J116),0)</f>
        <v>0</v>
      </c>
      <c r="K116" s="3">
        <f>IF(ISNUMBER(p_B!K116*LN(p_B!K116)),p_B!K116*LN(p_B!K116),0)</f>
        <v>-0.23175057571421925</v>
      </c>
      <c r="L116" s="3">
        <f>IF(ISNUMBER(p_B!L116*LN(p_B!L116)),p_B!L116*LN(p_B!L116),0)</f>
        <v>0</v>
      </c>
      <c r="M116" s="3">
        <f>IF(ISNUMBER(p_B!M116*LN(p_B!M116)),p_B!M116*LN(p_B!M116),0)</f>
        <v>-2.8334720931101114E-2</v>
      </c>
      <c r="N116" s="3">
        <f>IF(ISNUMBER(p_B!N116*LN(p_B!N116)),p_B!N116*LN(p_B!N116),0)</f>
        <v>0</v>
      </c>
      <c r="O116" s="3">
        <f>IF(ISNUMBER(p_B!O116*LN(p_B!O116)),p_B!O116*LN(p_B!O116),0)</f>
        <v>0</v>
      </c>
      <c r="P116" s="3">
        <f>IF(ISNUMBER(p_B!P116*LN(p_B!P116)),p_B!P116*LN(p_B!P116),0)</f>
        <v>0</v>
      </c>
      <c r="Q116" s="3">
        <f>IF(ISNUMBER(p_B!Q116*LN(p_B!Q116)),p_B!Q116*LN(p_B!Q116),0)</f>
        <v>-0.15640438271623683</v>
      </c>
      <c r="R116" s="3">
        <f>IF(ISNUMBER(p_B!R116*LN(p_B!R116)),p_B!R116*LN(p_B!R116),0)</f>
        <v>0</v>
      </c>
      <c r="S116" s="3">
        <f>IF(ISNUMBER(p_B!S116*LN(p_B!S116)),p_B!S116*LN(p_B!S116),0)</f>
        <v>0</v>
      </c>
      <c r="T116" s="3">
        <f>IF(ISNUMBER(p_B!T116*LN(p_B!T116)),p_B!T116*LN(p_B!T116),0)</f>
        <v>0</v>
      </c>
      <c r="U116" s="3">
        <f>IF(ISNUMBER(p_B!U116*LN(p_B!U116)),p_B!U116*LN(p_B!U116),0)</f>
        <v>0</v>
      </c>
      <c r="V116" s="3">
        <f>IF(ISNUMBER(p_B!V116*LN(p_B!V116)),p_B!V116*LN(p_B!V116),0)</f>
        <v>0</v>
      </c>
      <c r="W116" s="3">
        <f>IF(ISNUMBER(p_B!W116*LN(p_B!W116)),p_B!W116*LN(p_B!W116),0)</f>
        <v>0</v>
      </c>
      <c r="X116" s="3">
        <f>IF(ISNUMBER(p_B!X116*LN(p_B!X116)),p_B!X116*LN(p_B!X116),0)</f>
        <v>0</v>
      </c>
      <c r="Y116" s="3">
        <f>IF(ISNUMBER(p_B!Y116*LN(p_B!Y116)),p_B!Y116*LN(p_B!Y116),0)</f>
        <v>0</v>
      </c>
      <c r="Z116" s="3">
        <f>IF(ISNUMBER(p_B!Z116*LN(p_B!Z116)),p_B!Z116*LN(p_B!Z116),0)</f>
        <v>0</v>
      </c>
      <c r="AA116" s="3">
        <f>IF(ISNUMBER(p_B!AA116*LN(p_B!AA116)),p_B!AA116*LN(p_B!AA116),0)</f>
        <v>0</v>
      </c>
    </row>
    <row r="117" spans="2:27" x14ac:dyDescent="0.25">
      <c r="B117" s="3">
        <f>IF(ISNUMBER(p_B!B117*LN(p_B!B117)),p_B!B117*LN(p_B!B117),0)</f>
        <v>-0.29192934665067849</v>
      </c>
      <c r="C117" s="3">
        <f>IF(ISNUMBER(p_B!C117*LN(p_B!C117)),p_B!C117*LN(p_B!C117),0)</f>
        <v>-1.8388998424015981E-3</v>
      </c>
      <c r="D117" s="3">
        <f>IF(ISNUMBER(p_B!D117*LN(p_B!D117)),p_B!D117*LN(p_B!D117),0)</f>
        <v>0</v>
      </c>
      <c r="E117" s="3">
        <f>IF(ISNUMBER(p_B!E117*LN(p_B!E117)),p_B!E117*LN(p_B!E117),0)</f>
        <v>0</v>
      </c>
      <c r="F117" s="3">
        <f>IF(ISNUMBER(p_B!F117*LN(p_B!F117)),p_B!F117*LN(p_B!F117),0)</f>
        <v>0</v>
      </c>
      <c r="G117" s="3">
        <f>IF(ISNUMBER(p_B!G117*LN(p_B!G117)),p_B!G117*LN(p_B!G117),0)</f>
        <v>0</v>
      </c>
      <c r="H117" s="3">
        <f>IF(ISNUMBER(p_B!H117*LN(p_B!H117)),p_B!H117*LN(p_B!H117),0)</f>
        <v>-0.16718814359065962</v>
      </c>
      <c r="I117" s="3">
        <f>IF(ISNUMBER(p_B!I117*LN(p_B!I117)),p_B!I117*LN(p_B!I117),0)</f>
        <v>0</v>
      </c>
      <c r="J117" s="3">
        <f>IF(ISNUMBER(p_B!J117*LN(p_B!J117)),p_B!J117*LN(p_B!J117),0)</f>
        <v>-4.5780116058404145E-2</v>
      </c>
      <c r="K117" s="3">
        <f>IF(ISNUMBER(p_B!K117*LN(p_B!K117)),p_B!K117*LN(p_B!K117),0)</f>
        <v>0</v>
      </c>
      <c r="L117" s="3">
        <f>IF(ISNUMBER(p_B!L117*LN(p_B!L117)),p_B!L117*LN(p_B!L117),0)</f>
        <v>0</v>
      </c>
      <c r="M117" s="3">
        <f>IF(ISNUMBER(p_B!M117*LN(p_B!M117)),p_B!M117*LN(p_B!M117),0)</f>
        <v>0</v>
      </c>
      <c r="N117" s="3">
        <f>IF(ISNUMBER(p_B!N117*LN(p_B!N117)),p_B!N117*LN(p_B!N117),0)</f>
        <v>0</v>
      </c>
      <c r="O117" s="3">
        <f>IF(ISNUMBER(p_B!O117*LN(p_B!O117)),p_B!O117*LN(p_B!O117),0)</f>
        <v>-0.297046030444302</v>
      </c>
      <c r="P117" s="3">
        <f>IF(ISNUMBER(p_B!P117*LN(p_B!P117)),p_B!P117*LN(p_B!P117),0)</f>
        <v>0</v>
      </c>
      <c r="Q117" s="3">
        <f>IF(ISNUMBER(p_B!Q117*LN(p_B!Q117)),p_B!Q117*LN(p_B!Q117),0)</f>
        <v>0</v>
      </c>
      <c r="R117" s="3">
        <f>IF(ISNUMBER(p_B!R117*LN(p_B!R117)),p_B!R117*LN(p_B!R117),0)</f>
        <v>0</v>
      </c>
      <c r="S117" s="3">
        <f>IF(ISNUMBER(p_B!S117*LN(p_B!S117)),p_B!S117*LN(p_B!S117),0)</f>
        <v>0</v>
      </c>
      <c r="T117" s="3">
        <f>IF(ISNUMBER(p_B!T117*LN(p_B!T117)),p_B!T117*LN(p_B!T117),0)</f>
        <v>0</v>
      </c>
      <c r="U117" s="3">
        <f>IF(ISNUMBER(p_B!U117*LN(p_B!U117)),p_B!U117*LN(p_B!U117),0)</f>
        <v>0</v>
      </c>
      <c r="V117" s="3">
        <f>IF(ISNUMBER(p_B!V117*LN(p_B!V117)),p_B!V117*LN(p_B!V117),0)</f>
        <v>0</v>
      </c>
      <c r="W117" s="3">
        <f>IF(ISNUMBER(p_B!W117*LN(p_B!W117)),p_B!W117*LN(p_B!W117),0)</f>
        <v>0</v>
      </c>
      <c r="X117" s="3">
        <f>IF(ISNUMBER(p_B!X117*LN(p_B!X117)),p_B!X117*LN(p_B!X117),0)</f>
        <v>0</v>
      </c>
      <c r="Y117" s="3">
        <f>IF(ISNUMBER(p_B!Y117*LN(p_B!Y117)),p_B!Y117*LN(p_B!Y117),0)</f>
        <v>0</v>
      </c>
      <c r="Z117" s="3">
        <f>IF(ISNUMBER(p_B!Z117*LN(p_B!Z117)),p_B!Z117*LN(p_B!Z117),0)</f>
        <v>0</v>
      </c>
      <c r="AA117" s="3">
        <f>IF(ISNUMBER(p_B!AA117*LN(p_B!AA117)),p_B!AA117*LN(p_B!AA117),0)</f>
        <v>0</v>
      </c>
    </row>
    <row r="118" spans="2:27" x14ac:dyDescent="0.25">
      <c r="B118" s="3">
        <f>IF(ISNUMBER(p_B!B118*LN(p_B!B118)),p_B!B118*LN(p_B!B118),0)</f>
        <v>-0.33100644531266782</v>
      </c>
      <c r="C118" s="3">
        <f>IF(ISNUMBER(p_B!C118*LN(p_B!C118)),p_B!C118*LN(p_B!C118),0)</f>
        <v>-0.29142930099443093</v>
      </c>
      <c r="D118" s="3">
        <f>IF(ISNUMBER(p_B!D118*LN(p_B!D118)),p_B!D118*LN(p_B!D118),0)</f>
        <v>-3.8731829041256487E-2</v>
      </c>
      <c r="E118" s="3">
        <f>IF(ISNUMBER(p_B!E118*LN(p_B!E118)),p_B!E118*LN(p_B!E118),0)</f>
        <v>-1.1290187742459094E-2</v>
      </c>
      <c r="F118" s="3">
        <f>IF(ISNUMBER(p_B!F118*LN(p_B!F118)),p_B!F118*LN(p_B!F118),0)</f>
        <v>0</v>
      </c>
      <c r="G118" s="3">
        <f>IF(ISNUMBER(p_B!G118*LN(p_B!G118)),p_B!G118*LN(p_B!G118),0)</f>
        <v>0</v>
      </c>
      <c r="H118" s="3">
        <f>IF(ISNUMBER(p_B!H118*LN(p_B!H118)),p_B!H118*LN(p_B!H118),0)</f>
        <v>-0.12849474818433729</v>
      </c>
      <c r="I118" s="3">
        <f>IF(ISNUMBER(p_B!I118*LN(p_B!I118)),p_B!I118*LN(p_B!I118),0)</f>
        <v>0</v>
      </c>
      <c r="J118" s="3">
        <f>IF(ISNUMBER(p_B!J118*LN(p_B!J118)),p_B!J118*LN(p_B!J118),0)</f>
        <v>0</v>
      </c>
      <c r="K118" s="3">
        <f>IF(ISNUMBER(p_B!K118*LN(p_B!K118)),p_B!K118*LN(p_B!K118),0)</f>
        <v>0</v>
      </c>
      <c r="L118" s="3">
        <f>IF(ISNUMBER(p_B!L118*LN(p_B!L118)),p_B!L118*LN(p_B!L118),0)</f>
        <v>0</v>
      </c>
      <c r="M118" s="3">
        <f>IF(ISNUMBER(p_B!M118*LN(p_B!M118)),p_B!M118*LN(p_B!M118),0)</f>
        <v>0</v>
      </c>
      <c r="N118" s="3">
        <f>IF(ISNUMBER(p_B!N118*LN(p_B!N118)),p_B!N118*LN(p_B!N118),0)</f>
        <v>-4.0665460319091941E-2</v>
      </c>
      <c r="O118" s="3">
        <f>IF(ISNUMBER(p_B!O118*LN(p_B!O118)),p_B!O118*LN(p_B!O118),0)</f>
        <v>-0.21007814902348693</v>
      </c>
      <c r="P118" s="3">
        <f>IF(ISNUMBER(p_B!P118*LN(p_B!P118)),p_B!P118*LN(p_B!P118),0)</f>
        <v>0</v>
      </c>
      <c r="Q118" s="3">
        <f>IF(ISNUMBER(p_B!Q118*LN(p_B!Q118)),p_B!Q118*LN(p_B!Q118),0)</f>
        <v>-0.27293087354957801</v>
      </c>
      <c r="R118" s="3">
        <f>IF(ISNUMBER(p_B!R118*LN(p_B!R118)),p_B!R118*LN(p_B!R118),0)</f>
        <v>0</v>
      </c>
      <c r="S118" s="3">
        <f>IF(ISNUMBER(p_B!S118*LN(p_B!S118)),p_B!S118*LN(p_B!S118),0)</f>
        <v>0</v>
      </c>
      <c r="T118" s="3">
        <f>IF(ISNUMBER(p_B!T118*LN(p_B!T118)),p_B!T118*LN(p_B!T118),0)</f>
        <v>0</v>
      </c>
      <c r="U118" s="3">
        <f>IF(ISNUMBER(p_B!U118*LN(p_B!U118)),p_B!U118*LN(p_B!U118),0)</f>
        <v>0</v>
      </c>
      <c r="V118" s="3">
        <f>IF(ISNUMBER(p_B!V118*LN(p_B!V118)),p_B!V118*LN(p_B!V118),0)</f>
        <v>0</v>
      </c>
      <c r="W118" s="3">
        <f>IF(ISNUMBER(p_B!W118*LN(p_B!W118)),p_B!W118*LN(p_B!W118),0)</f>
        <v>0</v>
      </c>
      <c r="X118" s="3">
        <f>IF(ISNUMBER(p_B!X118*LN(p_B!X118)),p_B!X118*LN(p_B!X118),0)</f>
        <v>0</v>
      </c>
      <c r="Y118" s="3">
        <f>IF(ISNUMBER(p_B!Y118*LN(p_B!Y118)),p_B!Y118*LN(p_B!Y118),0)</f>
        <v>0</v>
      </c>
      <c r="Z118" s="3">
        <f>IF(ISNUMBER(p_B!Z118*LN(p_B!Z118)),p_B!Z118*LN(p_B!Z118),0)</f>
        <v>0</v>
      </c>
      <c r="AA118" s="3">
        <f>IF(ISNUMBER(p_B!AA118*LN(p_B!AA118)),p_B!AA118*LN(p_B!AA118),0)</f>
        <v>0</v>
      </c>
    </row>
    <row r="119" spans="2:27" x14ac:dyDescent="0.25">
      <c r="B119" s="3">
        <f>IF(ISNUMBER(p_B!B119*LN(p_B!B119)),p_B!B119*LN(p_B!B119),0)</f>
        <v>-0.33306169816780357</v>
      </c>
      <c r="C119" s="3">
        <f>IF(ISNUMBER(p_B!C119*LN(p_B!C119)),p_B!C119*LN(p_B!C119),0)</f>
        <v>-7.9696591673693473E-2</v>
      </c>
      <c r="D119" s="3">
        <f>IF(ISNUMBER(p_B!D119*LN(p_B!D119)),p_B!D119*LN(p_B!D119),0)</f>
        <v>-8.93970946971792E-2</v>
      </c>
      <c r="E119" s="3">
        <f>IF(ISNUMBER(p_B!E119*LN(p_B!E119)),p_B!E119*LN(p_B!E119),0)</f>
        <v>-1.0989904966754192E-2</v>
      </c>
      <c r="F119" s="3">
        <f>IF(ISNUMBER(p_B!F119*LN(p_B!F119)),p_B!F119*LN(p_B!F119),0)</f>
        <v>0</v>
      </c>
      <c r="G119" s="3">
        <f>IF(ISNUMBER(p_B!G119*LN(p_B!G119)),p_B!G119*LN(p_B!G119),0)</f>
        <v>0</v>
      </c>
      <c r="H119" s="3">
        <f>IF(ISNUMBER(p_B!H119*LN(p_B!H119)),p_B!H119*LN(p_B!H119),0)</f>
        <v>-0.1342294049321833</v>
      </c>
      <c r="I119" s="3">
        <f>IF(ISNUMBER(p_B!I119*LN(p_B!I119)),p_B!I119*LN(p_B!I119),0)</f>
        <v>0</v>
      </c>
      <c r="J119" s="3">
        <f>IF(ISNUMBER(p_B!J119*LN(p_B!J119)),p_B!J119*LN(p_B!J119),0)</f>
        <v>-3.5396050839620621E-3</v>
      </c>
      <c r="K119" s="3">
        <f>IF(ISNUMBER(p_B!K119*LN(p_B!K119)),p_B!K119*LN(p_B!K119),0)</f>
        <v>0</v>
      </c>
      <c r="L119" s="3">
        <f>IF(ISNUMBER(p_B!L119*LN(p_B!L119)),p_B!L119*LN(p_B!L119),0)</f>
        <v>0</v>
      </c>
      <c r="M119" s="3">
        <f>IF(ISNUMBER(p_B!M119*LN(p_B!M119)),p_B!M119*LN(p_B!M119),0)</f>
        <v>0</v>
      </c>
      <c r="N119" s="3">
        <f>IF(ISNUMBER(p_B!N119*LN(p_B!N119)),p_B!N119*LN(p_B!N119),0)</f>
        <v>-3.5744064222124436E-2</v>
      </c>
      <c r="O119" s="3">
        <f>IF(ISNUMBER(p_B!O119*LN(p_B!O119)),p_B!O119*LN(p_B!O119),0)</f>
        <v>-0.19805105169155188</v>
      </c>
      <c r="P119" s="3">
        <f>IF(ISNUMBER(p_B!P119*LN(p_B!P119)),p_B!P119*LN(p_B!P119),0)</f>
        <v>0</v>
      </c>
      <c r="Q119" s="3">
        <f>IF(ISNUMBER(p_B!Q119*LN(p_B!Q119)),p_B!Q119*LN(p_B!Q119),0)</f>
        <v>-0.35148010930097434</v>
      </c>
      <c r="R119" s="3">
        <f>IF(ISNUMBER(p_B!R119*LN(p_B!R119)),p_B!R119*LN(p_B!R119),0)</f>
        <v>0</v>
      </c>
      <c r="S119" s="3">
        <f>IF(ISNUMBER(p_B!S119*LN(p_B!S119)),p_B!S119*LN(p_B!S119),0)</f>
        <v>0</v>
      </c>
      <c r="T119" s="3">
        <f>IF(ISNUMBER(p_B!T119*LN(p_B!T119)),p_B!T119*LN(p_B!T119),0)</f>
        <v>0</v>
      </c>
      <c r="U119" s="3">
        <f>IF(ISNUMBER(p_B!U119*LN(p_B!U119)),p_B!U119*LN(p_B!U119),0)</f>
        <v>0</v>
      </c>
      <c r="V119" s="3">
        <f>IF(ISNUMBER(p_B!V119*LN(p_B!V119)),p_B!V119*LN(p_B!V119),0)</f>
        <v>0</v>
      </c>
      <c r="W119" s="3">
        <f>IF(ISNUMBER(p_B!W119*LN(p_B!W119)),p_B!W119*LN(p_B!W119),0)</f>
        <v>0</v>
      </c>
      <c r="X119" s="3">
        <f>IF(ISNUMBER(p_B!X119*LN(p_B!X119)),p_B!X119*LN(p_B!X119),0)</f>
        <v>0</v>
      </c>
      <c r="Y119" s="3">
        <f>IF(ISNUMBER(p_B!Y119*LN(p_B!Y119)),p_B!Y119*LN(p_B!Y119),0)</f>
        <v>0</v>
      </c>
      <c r="Z119" s="3">
        <f>IF(ISNUMBER(p_B!Z119*LN(p_B!Z119)),p_B!Z119*LN(p_B!Z119),0)</f>
        <v>0</v>
      </c>
      <c r="AA119" s="3">
        <f>IF(ISNUMBER(p_B!AA119*LN(p_B!AA119)),p_B!AA119*LN(p_B!AA119),0)</f>
        <v>0</v>
      </c>
    </row>
    <row r="120" spans="2:27" x14ac:dyDescent="0.25">
      <c r="B120" s="3">
        <f>IF(ISNUMBER(p_B!B120*LN(p_B!B120)),p_B!B120*LN(p_B!B120),0)</f>
        <v>-0.34501752778231226</v>
      </c>
      <c r="C120" s="3">
        <f>IF(ISNUMBER(p_B!C120*LN(p_B!C120)),p_B!C120*LN(p_B!C120),0)</f>
        <v>-1.5376435836309319E-2</v>
      </c>
      <c r="D120" s="3">
        <f>IF(ISNUMBER(p_B!D120*LN(p_B!D120)),p_B!D120*LN(p_B!D120),0)</f>
        <v>0</v>
      </c>
      <c r="E120" s="3">
        <f>IF(ISNUMBER(p_B!E120*LN(p_B!E120)),p_B!E120*LN(p_B!E120),0)</f>
        <v>-4.9528063856986246E-3</v>
      </c>
      <c r="F120" s="3">
        <f>IF(ISNUMBER(p_B!F120*LN(p_B!F120)),p_B!F120*LN(p_B!F120),0)</f>
        <v>0</v>
      </c>
      <c r="G120" s="3">
        <f>IF(ISNUMBER(p_B!G120*LN(p_B!G120)),p_B!G120*LN(p_B!G120),0)</f>
        <v>0</v>
      </c>
      <c r="H120" s="3">
        <f>IF(ISNUMBER(p_B!H120*LN(p_B!H120)),p_B!H120*LN(p_B!H120),0)</f>
        <v>-9.5079199491228034E-2</v>
      </c>
      <c r="I120" s="3">
        <f>IF(ISNUMBER(p_B!I120*LN(p_B!I120)),p_B!I120*LN(p_B!I120),0)</f>
        <v>0</v>
      </c>
      <c r="J120" s="3">
        <f>IF(ISNUMBER(p_B!J120*LN(p_B!J120)),p_B!J120*LN(p_B!J120),0)</f>
        <v>0</v>
      </c>
      <c r="K120" s="3">
        <f>IF(ISNUMBER(p_B!K120*LN(p_B!K120)),p_B!K120*LN(p_B!K120),0)</f>
        <v>0</v>
      </c>
      <c r="L120" s="3">
        <f>IF(ISNUMBER(p_B!L120*LN(p_B!L120)),p_B!L120*LN(p_B!L120),0)</f>
        <v>0</v>
      </c>
      <c r="M120" s="3">
        <f>IF(ISNUMBER(p_B!M120*LN(p_B!M120)),p_B!M120*LN(p_B!M120),0)</f>
        <v>0</v>
      </c>
      <c r="N120" s="3">
        <f>IF(ISNUMBER(p_B!N120*LN(p_B!N120)),p_B!N120*LN(p_B!N120),0)</f>
        <v>-5.5208080095620858E-2</v>
      </c>
      <c r="O120" s="3">
        <f>IF(ISNUMBER(p_B!O120*LN(p_B!O120)),p_B!O120*LN(p_B!O120),0)</f>
        <v>-8.5104129141800267E-2</v>
      </c>
      <c r="P120" s="3">
        <f>IF(ISNUMBER(p_B!P120*LN(p_B!P120)),p_B!P120*LN(p_B!P120),0)</f>
        <v>0</v>
      </c>
      <c r="Q120" s="3">
        <f>IF(ISNUMBER(p_B!Q120*LN(p_B!Q120)),p_B!Q120*LN(p_B!Q120),0)</f>
        <v>-0.36473693728128576</v>
      </c>
      <c r="R120" s="3">
        <f>IF(ISNUMBER(p_B!R120*LN(p_B!R120)),p_B!R120*LN(p_B!R120),0)</f>
        <v>0</v>
      </c>
      <c r="S120" s="3">
        <f>IF(ISNUMBER(p_B!S120*LN(p_B!S120)),p_B!S120*LN(p_B!S120),0)</f>
        <v>0</v>
      </c>
      <c r="T120" s="3">
        <f>IF(ISNUMBER(p_B!T120*LN(p_B!T120)),p_B!T120*LN(p_B!T120),0)</f>
        <v>0</v>
      </c>
      <c r="U120" s="3">
        <f>IF(ISNUMBER(p_B!U120*LN(p_B!U120)),p_B!U120*LN(p_B!U120),0)</f>
        <v>0</v>
      </c>
      <c r="V120" s="3">
        <f>IF(ISNUMBER(p_B!V120*LN(p_B!V120)),p_B!V120*LN(p_B!V120),0)</f>
        <v>0</v>
      </c>
      <c r="W120" s="3">
        <f>IF(ISNUMBER(p_B!W120*LN(p_B!W120)),p_B!W120*LN(p_B!W120),0)</f>
        <v>0</v>
      </c>
      <c r="X120" s="3">
        <f>IF(ISNUMBER(p_B!X120*LN(p_B!X120)),p_B!X120*LN(p_B!X120),0)</f>
        <v>0</v>
      </c>
      <c r="Y120" s="3">
        <f>IF(ISNUMBER(p_B!Y120*LN(p_B!Y120)),p_B!Y120*LN(p_B!Y120),0)</f>
        <v>0</v>
      </c>
      <c r="Z120" s="3">
        <f>IF(ISNUMBER(p_B!Z120*LN(p_B!Z120)),p_B!Z120*LN(p_B!Z120),0)</f>
        <v>0</v>
      </c>
      <c r="AA120" s="3">
        <f>IF(ISNUMBER(p_B!AA120*LN(p_B!AA120)),p_B!AA120*LN(p_B!AA120),0)</f>
        <v>0</v>
      </c>
    </row>
    <row r="121" spans="2:27" x14ac:dyDescent="0.25">
      <c r="B121" s="3">
        <f>IF(ISNUMBER(p_B!B121*LN(p_B!B121)),p_B!B121*LN(p_B!B121),0)</f>
        <v>-0.32991445074096098</v>
      </c>
      <c r="C121" s="3">
        <f>IF(ISNUMBER(p_B!C121*LN(p_B!C121)),p_B!C121*LN(p_B!C121),0)</f>
        <v>-0.33496203581207029</v>
      </c>
      <c r="D121" s="3">
        <f>IF(ISNUMBER(p_B!D121*LN(p_B!D121)),p_B!D121*LN(p_B!D121),0)</f>
        <v>-2.9443663409755697E-2</v>
      </c>
      <c r="E121" s="3">
        <f>IF(ISNUMBER(p_B!E121*LN(p_B!E121)),p_B!E121*LN(p_B!E121),0)</f>
        <v>-1.1831065870259775E-3</v>
      </c>
      <c r="F121" s="3">
        <f>IF(ISNUMBER(p_B!F121*LN(p_B!F121)),p_B!F121*LN(p_B!F121),0)</f>
        <v>0</v>
      </c>
      <c r="G121" s="3">
        <f>IF(ISNUMBER(p_B!G121*LN(p_B!G121)),p_B!G121*LN(p_B!G121),0)</f>
        <v>0</v>
      </c>
      <c r="H121" s="3">
        <f>IF(ISNUMBER(p_B!H121*LN(p_B!H121)),p_B!H121*LN(p_B!H121),0)</f>
        <v>-0.23389535501137942</v>
      </c>
      <c r="I121" s="3">
        <f>IF(ISNUMBER(p_B!I121*LN(p_B!I121)),p_B!I121*LN(p_B!I121),0)</f>
        <v>0</v>
      </c>
      <c r="J121" s="3">
        <f>IF(ISNUMBER(p_B!J121*LN(p_B!J121)),p_B!J121*LN(p_B!J121),0)</f>
        <v>-0.14541538503732182</v>
      </c>
      <c r="K121" s="3">
        <f>IF(ISNUMBER(p_B!K121*LN(p_B!K121)),p_B!K121*LN(p_B!K121),0)</f>
        <v>0</v>
      </c>
      <c r="L121" s="3">
        <f>IF(ISNUMBER(p_B!L121*LN(p_B!L121)),p_B!L121*LN(p_B!L121),0)</f>
        <v>0</v>
      </c>
      <c r="M121" s="3">
        <f>IF(ISNUMBER(p_B!M121*LN(p_B!M121)),p_B!M121*LN(p_B!M121),0)</f>
        <v>0</v>
      </c>
      <c r="N121" s="3">
        <f>IF(ISNUMBER(p_B!N121*LN(p_B!N121)),p_B!N121*LN(p_B!N121),0)</f>
        <v>-3.2704010944022512E-2</v>
      </c>
      <c r="O121" s="3">
        <f>IF(ISNUMBER(p_B!O121*LN(p_B!O121)),p_B!O121*LN(p_B!O121),0)</f>
        <v>-6.7917577762398443E-2</v>
      </c>
      <c r="P121" s="3">
        <f>IF(ISNUMBER(p_B!P121*LN(p_B!P121)),p_B!P121*LN(p_B!P121),0)</f>
        <v>0</v>
      </c>
      <c r="Q121" s="3">
        <f>IF(ISNUMBER(p_B!Q121*LN(p_B!Q121)),p_B!Q121*LN(p_B!Q121),0)</f>
        <v>-7.277363914728685E-2</v>
      </c>
      <c r="R121" s="3">
        <f>IF(ISNUMBER(p_B!R121*LN(p_B!R121)),p_B!R121*LN(p_B!R121),0)</f>
        <v>0</v>
      </c>
      <c r="S121" s="3">
        <f>IF(ISNUMBER(p_B!S121*LN(p_B!S121)),p_B!S121*LN(p_B!S121),0)</f>
        <v>0</v>
      </c>
      <c r="T121" s="3">
        <f>IF(ISNUMBER(p_B!T121*LN(p_B!T121)),p_B!T121*LN(p_B!T121),0)</f>
        <v>0</v>
      </c>
      <c r="U121" s="3">
        <f>IF(ISNUMBER(p_B!U121*LN(p_B!U121)),p_B!U121*LN(p_B!U121),0)</f>
        <v>0</v>
      </c>
      <c r="V121" s="3">
        <f>IF(ISNUMBER(p_B!V121*LN(p_B!V121)),p_B!V121*LN(p_B!V121),0)</f>
        <v>0</v>
      </c>
      <c r="W121" s="3">
        <f>IF(ISNUMBER(p_B!W121*LN(p_B!W121)),p_B!W121*LN(p_B!W121),0)</f>
        <v>0</v>
      </c>
      <c r="X121" s="3">
        <f>IF(ISNUMBER(p_B!X121*LN(p_B!X121)),p_B!X121*LN(p_B!X121),0)</f>
        <v>0</v>
      </c>
      <c r="Y121" s="3">
        <f>IF(ISNUMBER(p_B!Y121*LN(p_B!Y121)),p_B!Y121*LN(p_B!Y121),0)</f>
        <v>0</v>
      </c>
      <c r="Z121" s="3">
        <f>IF(ISNUMBER(p_B!Z121*LN(p_B!Z121)),p_B!Z121*LN(p_B!Z121),0)</f>
        <v>0</v>
      </c>
      <c r="AA121" s="3">
        <f>IF(ISNUMBER(p_B!AA121*LN(p_B!AA121)),p_B!AA121*LN(p_B!AA121),0)</f>
        <v>0</v>
      </c>
    </row>
    <row r="122" spans="2:27" x14ac:dyDescent="0.25">
      <c r="B122" s="3">
        <f>IF(ISNUMBER(p_B!B122*LN(p_B!B122)),p_B!B122*LN(p_B!B122),0)</f>
        <v>-0.34528147187489011</v>
      </c>
      <c r="C122" s="3">
        <f>IF(ISNUMBER(p_B!C122*LN(p_B!C122)),p_B!C122*LN(p_B!C122),0)</f>
        <v>-0.34746325161969804</v>
      </c>
      <c r="D122" s="3">
        <f>IF(ISNUMBER(p_B!D122*LN(p_B!D122)),p_B!D122*LN(p_B!D122),0)</f>
        <v>0</v>
      </c>
      <c r="E122" s="3">
        <f>IF(ISNUMBER(p_B!E122*LN(p_B!E122)),p_B!E122*LN(p_B!E122),0)</f>
        <v>-1.1382683655463653E-3</v>
      </c>
      <c r="F122" s="3">
        <f>IF(ISNUMBER(p_B!F122*LN(p_B!F122)),p_B!F122*LN(p_B!F122),0)</f>
        <v>0</v>
      </c>
      <c r="G122" s="3">
        <f>IF(ISNUMBER(p_B!G122*LN(p_B!G122)),p_B!G122*LN(p_B!G122),0)</f>
        <v>-6.5716566034204157E-2</v>
      </c>
      <c r="H122" s="3">
        <f>IF(ISNUMBER(p_B!H122*LN(p_B!H122)),p_B!H122*LN(p_B!H122),0)</f>
        <v>-0.1651007509343394</v>
      </c>
      <c r="I122" s="3">
        <f>IF(ISNUMBER(p_B!I122*LN(p_B!I122)),p_B!I122*LN(p_B!I122),0)</f>
        <v>0</v>
      </c>
      <c r="J122" s="3">
        <f>IF(ISNUMBER(p_B!J122*LN(p_B!J122)),p_B!J122*LN(p_B!J122),0)</f>
        <v>-7.1589738741945796E-2</v>
      </c>
      <c r="K122" s="3">
        <f>IF(ISNUMBER(p_B!K122*LN(p_B!K122)),p_B!K122*LN(p_B!K122),0)</f>
        <v>0</v>
      </c>
      <c r="L122" s="3">
        <f>IF(ISNUMBER(p_B!L122*LN(p_B!L122)),p_B!L122*LN(p_B!L122),0)</f>
        <v>0</v>
      </c>
      <c r="M122" s="3">
        <f>IF(ISNUMBER(p_B!M122*LN(p_B!M122)),p_B!M122*LN(p_B!M122),0)</f>
        <v>0</v>
      </c>
      <c r="N122" s="3">
        <f>IF(ISNUMBER(p_B!N122*LN(p_B!N122)),p_B!N122*LN(p_B!N122),0)</f>
        <v>-4.7042695867616724E-2</v>
      </c>
      <c r="O122" s="3">
        <f>IF(ISNUMBER(p_B!O122*LN(p_B!O122)),p_B!O122*LN(p_B!O122),0)</f>
        <v>-8.5598451978513068E-2</v>
      </c>
      <c r="P122" s="3">
        <f>IF(ISNUMBER(p_B!P122*LN(p_B!P122)),p_B!P122*LN(p_B!P122),0)</f>
        <v>0</v>
      </c>
      <c r="Q122" s="3">
        <f>IF(ISNUMBER(p_B!Q122*LN(p_B!Q122)),p_B!Q122*LN(p_B!Q122),0)</f>
        <v>-8.2382845966108245E-2</v>
      </c>
      <c r="R122" s="3">
        <f>IF(ISNUMBER(p_B!R122*LN(p_B!R122)),p_B!R122*LN(p_B!R122),0)</f>
        <v>0</v>
      </c>
      <c r="S122" s="3">
        <f>IF(ISNUMBER(p_B!S122*LN(p_B!S122)),p_B!S122*LN(p_B!S122),0)</f>
        <v>0</v>
      </c>
      <c r="T122" s="3">
        <f>IF(ISNUMBER(p_B!T122*LN(p_B!T122)),p_B!T122*LN(p_B!T122),0)</f>
        <v>0</v>
      </c>
      <c r="U122" s="3">
        <f>IF(ISNUMBER(p_B!U122*LN(p_B!U122)),p_B!U122*LN(p_B!U122),0)</f>
        <v>0</v>
      </c>
      <c r="V122" s="3">
        <f>IF(ISNUMBER(p_B!V122*LN(p_B!V122)),p_B!V122*LN(p_B!V122),0)</f>
        <v>0</v>
      </c>
      <c r="W122" s="3">
        <f>IF(ISNUMBER(p_B!W122*LN(p_B!W122)),p_B!W122*LN(p_B!W122),0)</f>
        <v>0</v>
      </c>
      <c r="X122" s="3">
        <f>IF(ISNUMBER(p_B!X122*LN(p_B!X122)),p_B!X122*LN(p_B!X122),0)</f>
        <v>0</v>
      </c>
      <c r="Y122" s="3">
        <f>IF(ISNUMBER(p_B!Y122*LN(p_B!Y122)),p_B!Y122*LN(p_B!Y122),0)</f>
        <v>0</v>
      </c>
      <c r="Z122" s="3">
        <f>IF(ISNUMBER(p_B!Z122*LN(p_B!Z122)),p_B!Z122*LN(p_B!Z122),0)</f>
        <v>0</v>
      </c>
      <c r="AA122" s="3">
        <f>IF(ISNUMBER(p_B!AA122*LN(p_B!AA122)),p_B!AA122*LN(p_B!AA122),0)</f>
        <v>0</v>
      </c>
    </row>
    <row r="123" spans="2:27" x14ac:dyDescent="0.25">
      <c r="B123" s="3">
        <f>IF(ISNUMBER(p_B!B123*LN(p_B!B123)),p_B!B123*LN(p_B!B123),0)</f>
        <v>-0.35260299895408764</v>
      </c>
      <c r="C123" s="3">
        <f>IF(ISNUMBER(p_B!C123*LN(p_B!C123)),p_B!C123*LN(p_B!C123),0)</f>
        <v>-0.17829103453584244</v>
      </c>
      <c r="D123" s="3">
        <f>IF(ISNUMBER(p_B!D123*LN(p_B!D123)),p_B!D123*LN(p_B!D123),0)</f>
        <v>-0.12059133227366112</v>
      </c>
      <c r="E123" s="3">
        <f>IF(ISNUMBER(p_B!E123*LN(p_B!E123)),p_B!E123*LN(p_B!E123),0)</f>
        <v>-4.2978665653316543E-4</v>
      </c>
      <c r="F123" s="3">
        <f>IF(ISNUMBER(p_B!F123*LN(p_B!F123)),p_B!F123*LN(p_B!F123),0)</f>
        <v>0</v>
      </c>
      <c r="G123" s="3">
        <f>IF(ISNUMBER(p_B!G123*LN(p_B!G123)),p_B!G123*LN(p_B!G123),0)</f>
        <v>0</v>
      </c>
      <c r="H123" s="3">
        <f>IF(ISNUMBER(p_B!H123*LN(p_B!H123)),p_B!H123*LN(p_B!H123),0)</f>
        <v>-0.20954854931359745</v>
      </c>
      <c r="I123" s="3">
        <f>IF(ISNUMBER(p_B!I123*LN(p_B!I123)),p_B!I123*LN(p_B!I123),0)</f>
        <v>0</v>
      </c>
      <c r="J123" s="3">
        <f>IF(ISNUMBER(p_B!J123*LN(p_B!J123)),p_B!J123*LN(p_B!J123),0)</f>
        <v>-3.841830174066943E-2</v>
      </c>
      <c r="K123" s="3">
        <f>IF(ISNUMBER(p_B!K123*LN(p_B!K123)),p_B!K123*LN(p_B!K123),0)</f>
        <v>0</v>
      </c>
      <c r="L123" s="3">
        <f>IF(ISNUMBER(p_B!L123*LN(p_B!L123)),p_B!L123*LN(p_B!L123),0)</f>
        <v>0</v>
      </c>
      <c r="M123" s="3">
        <f>IF(ISNUMBER(p_B!M123*LN(p_B!M123)),p_B!M123*LN(p_B!M123),0)</f>
        <v>0</v>
      </c>
      <c r="N123" s="3">
        <f>IF(ISNUMBER(p_B!N123*LN(p_B!N123)),p_B!N123*LN(p_B!N123),0)</f>
        <v>-8.384755541661193E-2</v>
      </c>
      <c r="O123" s="3">
        <f>IF(ISNUMBER(p_B!O123*LN(p_B!O123)),p_B!O123*LN(p_B!O123),0)</f>
        <v>-0.20664688092161829</v>
      </c>
      <c r="P123" s="3">
        <f>IF(ISNUMBER(p_B!P123*LN(p_B!P123)),p_B!P123*LN(p_B!P123),0)</f>
        <v>0</v>
      </c>
      <c r="Q123" s="3">
        <f>IF(ISNUMBER(p_B!Q123*LN(p_B!Q123)),p_B!Q123*LN(p_B!Q123),0)</f>
        <v>-0.21497385990854803</v>
      </c>
      <c r="R123" s="3">
        <f>IF(ISNUMBER(p_B!R123*LN(p_B!R123)),p_B!R123*LN(p_B!R123),0)</f>
        <v>0</v>
      </c>
      <c r="S123" s="3">
        <f>IF(ISNUMBER(p_B!S123*LN(p_B!S123)),p_B!S123*LN(p_B!S123),0)</f>
        <v>0</v>
      </c>
      <c r="T123" s="3">
        <f>IF(ISNUMBER(p_B!T123*LN(p_B!T123)),p_B!T123*LN(p_B!T123),0)</f>
        <v>0</v>
      </c>
      <c r="U123" s="3">
        <f>IF(ISNUMBER(p_B!U123*LN(p_B!U123)),p_B!U123*LN(p_B!U123),0)</f>
        <v>0</v>
      </c>
      <c r="V123" s="3">
        <f>IF(ISNUMBER(p_B!V123*LN(p_B!V123)),p_B!V123*LN(p_B!V123),0)</f>
        <v>0</v>
      </c>
      <c r="W123" s="3">
        <f>IF(ISNUMBER(p_B!W123*LN(p_B!W123)),p_B!W123*LN(p_B!W123),0)</f>
        <v>0</v>
      </c>
      <c r="X123" s="3">
        <f>IF(ISNUMBER(p_B!X123*LN(p_B!X123)),p_B!X123*LN(p_B!X123),0)</f>
        <v>0</v>
      </c>
      <c r="Y123" s="3">
        <f>IF(ISNUMBER(p_B!Y123*LN(p_B!Y123)),p_B!Y123*LN(p_B!Y123),0)</f>
        <v>0</v>
      </c>
      <c r="Z123" s="3">
        <f>IF(ISNUMBER(p_B!Z123*LN(p_B!Z123)),p_B!Z123*LN(p_B!Z123),0)</f>
        <v>0</v>
      </c>
      <c r="AA123" s="3">
        <f>IF(ISNUMBER(p_B!AA123*LN(p_B!AA123)),p_B!AA123*LN(p_B!AA123),0)</f>
        <v>0</v>
      </c>
    </row>
    <row r="124" spans="2:27" x14ac:dyDescent="0.25">
      <c r="B124" s="3">
        <f>IF(ISNUMBER(p_B!B124*LN(p_B!B124)),p_B!B124*LN(p_B!B124),0)</f>
        <v>-0.36066006433064701</v>
      </c>
      <c r="C124" s="3">
        <f>IF(ISNUMBER(p_B!C124*LN(p_B!C124)),p_B!C124*LN(p_B!C124),0)</f>
        <v>-7.4306226487853191E-2</v>
      </c>
      <c r="D124" s="3">
        <f>IF(ISNUMBER(p_B!D124*LN(p_B!D124)),p_B!D124*LN(p_B!D124),0)</f>
        <v>-0.14018719448445272</v>
      </c>
      <c r="E124" s="3">
        <f>IF(ISNUMBER(p_B!E124*LN(p_B!E124)),p_B!E124*LN(p_B!E124),0)</f>
        <v>-7.9534678104917005E-4</v>
      </c>
      <c r="F124" s="3">
        <f>IF(ISNUMBER(p_B!F124*LN(p_B!F124)),p_B!F124*LN(p_B!F124),0)</f>
        <v>0</v>
      </c>
      <c r="G124" s="3">
        <f>IF(ISNUMBER(p_B!G124*LN(p_B!G124)),p_B!G124*LN(p_B!G124),0)</f>
        <v>0</v>
      </c>
      <c r="H124" s="3">
        <f>IF(ISNUMBER(p_B!H124*LN(p_B!H124)),p_B!H124*LN(p_B!H124),0)</f>
        <v>-0.32805536356924797</v>
      </c>
      <c r="I124" s="3">
        <f>IF(ISNUMBER(p_B!I124*LN(p_B!I124)),p_B!I124*LN(p_B!I124),0)</f>
        <v>0</v>
      </c>
      <c r="J124" s="3">
        <f>IF(ISNUMBER(p_B!J124*LN(p_B!J124)),p_B!J124*LN(p_B!J124),0)</f>
        <v>-2.0086322336269991E-2</v>
      </c>
      <c r="K124" s="3">
        <f>IF(ISNUMBER(p_B!K124*LN(p_B!K124)),p_B!K124*LN(p_B!K124),0)</f>
        <v>0</v>
      </c>
      <c r="L124" s="3">
        <f>IF(ISNUMBER(p_B!L124*LN(p_B!L124)),p_B!L124*LN(p_B!L124),0)</f>
        <v>0</v>
      </c>
      <c r="M124" s="3">
        <f>IF(ISNUMBER(p_B!M124*LN(p_B!M124)),p_B!M124*LN(p_B!M124),0)</f>
        <v>0</v>
      </c>
      <c r="N124" s="3">
        <f>IF(ISNUMBER(p_B!N124*LN(p_B!N124)),p_B!N124*LN(p_B!N124),0)</f>
        <v>-1.5203754458041277E-2</v>
      </c>
      <c r="O124" s="3">
        <f>IF(ISNUMBER(p_B!O124*LN(p_B!O124)),p_B!O124*LN(p_B!O124),0)</f>
        <v>-0.32544909446700215</v>
      </c>
      <c r="P124" s="3">
        <f>IF(ISNUMBER(p_B!P124*LN(p_B!P124)),p_B!P124*LN(p_B!P124),0)</f>
        <v>0</v>
      </c>
      <c r="Q124" s="3">
        <f>IF(ISNUMBER(p_B!Q124*LN(p_B!Q124)),p_B!Q124*LN(p_B!Q124),0)</f>
        <v>-0.28179280273932766</v>
      </c>
      <c r="R124" s="3">
        <f>IF(ISNUMBER(p_B!R124*LN(p_B!R124)),p_B!R124*LN(p_B!R124),0)</f>
        <v>0</v>
      </c>
      <c r="S124" s="3">
        <f>IF(ISNUMBER(p_B!S124*LN(p_B!S124)),p_B!S124*LN(p_B!S124),0)</f>
        <v>0</v>
      </c>
      <c r="T124" s="3">
        <f>IF(ISNUMBER(p_B!T124*LN(p_B!T124)),p_B!T124*LN(p_B!T124),0)</f>
        <v>0</v>
      </c>
      <c r="U124" s="3">
        <f>IF(ISNUMBER(p_B!U124*LN(p_B!U124)),p_B!U124*LN(p_B!U124),0)</f>
        <v>0</v>
      </c>
      <c r="V124" s="3">
        <f>IF(ISNUMBER(p_B!V124*LN(p_B!V124)),p_B!V124*LN(p_B!V124),0)</f>
        <v>0</v>
      </c>
      <c r="W124" s="3">
        <f>IF(ISNUMBER(p_B!W124*LN(p_B!W124)),p_B!W124*LN(p_B!W124),0)</f>
        <v>0</v>
      </c>
      <c r="X124" s="3">
        <f>IF(ISNUMBER(p_B!X124*LN(p_B!X124)),p_B!X124*LN(p_B!X124),0)</f>
        <v>0</v>
      </c>
      <c r="Y124" s="3">
        <f>IF(ISNUMBER(p_B!Y124*LN(p_B!Y124)),p_B!Y124*LN(p_B!Y124),0)</f>
        <v>0</v>
      </c>
      <c r="Z124" s="3">
        <f>IF(ISNUMBER(p_B!Z124*LN(p_B!Z124)),p_B!Z124*LN(p_B!Z124),0)</f>
        <v>0</v>
      </c>
      <c r="AA124" s="3">
        <f>IF(ISNUMBER(p_B!AA124*LN(p_B!AA124)),p_B!AA124*LN(p_B!AA124),0)</f>
        <v>0</v>
      </c>
    </row>
    <row r="125" spans="2:27" x14ac:dyDescent="0.25">
      <c r="B125" s="3">
        <f>IF(ISNUMBER(p_B!B125*LN(p_B!B125)),p_B!B125*LN(p_B!B125),0)</f>
        <v>-1.858123768501449E-2</v>
      </c>
      <c r="C125" s="3">
        <f>IF(ISNUMBER(p_B!C125*LN(p_B!C125)),p_B!C125*LN(p_B!C125),0)</f>
        <v>0</v>
      </c>
      <c r="D125" s="3">
        <f>IF(ISNUMBER(p_B!D125*LN(p_B!D125)),p_B!D125*LN(p_B!D125),0)</f>
        <v>0</v>
      </c>
      <c r="E125" s="3">
        <f>IF(ISNUMBER(p_B!E125*LN(p_B!E125)),p_B!E125*LN(p_B!E125),0)</f>
        <v>0</v>
      </c>
      <c r="F125" s="3">
        <f>IF(ISNUMBER(p_B!F125*LN(p_B!F125)),p_B!F125*LN(p_B!F125),0)</f>
        <v>0</v>
      </c>
      <c r="G125" s="3">
        <f>IF(ISNUMBER(p_B!G125*LN(p_B!G125)),p_B!G125*LN(p_B!G125),0)</f>
        <v>0</v>
      </c>
      <c r="H125" s="3">
        <f>IF(ISNUMBER(p_B!H125*LN(p_B!H125)),p_B!H125*LN(p_B!H125),0)</f>
        <v>0</v>
      </c>
      <c r="I125" s="3">
        <f>IF(ISNUMBER(p_B!I125*LN(p_B!I125)),p_B!I125*LN(p_B!I125),0)</f>
        <v>0</v>
      </c>
      <c r="J125" s="3">
        <f>IF(ISNUMBER(p_B!J125*LN(p_B!J125)),p_B!J125*LN(p_B!J125),0)</f>
        <v>-0.35203696379664912</v>
      </c>
      <c r="K125" s="3">
        <f>IF(ISNUMBER(p_B!K125*LN(p_B!K125)),p_B!K125*LN(p_B!K125),0)</f>
        <v>0</v>
      </c>
      <c r="L125" s="3">
        <f>IF(ISNUMBER(p_B!L125*LN(p_B!L125)),p_B!L125*LN(p_B!L125),0)</f>
        <v>0</v>
      </c>
      <c r="M125" s="3">
        <f>IF(ISNUMBER(p_B!M125*LN(p_B!M125)),p_B!M125*LN(p_B!M125),0)</f>
        <v>0</v>
      </c>
      <c r="N125" s="3">
        <f>IF(ISNUMBER(p_B!N125*LN(p_B!N125)),p_B!N125*LN(p_B!N125),0)</f>
        <v>0</v>
      </c>
      <c r="O125" s="3">
        <f>IF(ISNUMBER(p_B!O125*LN(p_B!O125)),p_B!O125*LN(p_B!O125),0)</f>
        <v>0</v>
      </c>
      <c r="P125" s="3">
        <f>IF(ISNUMBER(p_B!P125*LN(p_B!P125)),p_B!P125*LN(p_B!P125),0)</f>
        <v>0</v>
      </c>
      <c r="Q125" s="3">
        <f>IF(ISNUMBER(p_B!Q125*LN(p_B!Q125)),p_B!Q125*LN(p_B!Q125),0)</f>
        <v>-0.24225401069220404</v>
      </c>
      <c r="R125" s="3">
        <f>IF(ISNUMBER(p_B!R125*LN(p_B!R125)),p_B!R125*LN(p_B!R125),0)</f>
        <v>0</v>
      </c>
      <c r="S125" s="3">
        <f>IF(ISNUMBER(p_B!S125*LN(p_B!S125)),p_B!S125*LN(p_B!S125),0)</f>
        <v>0</v>
      </c>
      <c r="T125" s="3">
        <f>IF(ISNUMBER(p_B!T125*LN(p_B!T125)),p_B!T125*LN(p_B!T125),0)</f>
        <v>0</v>
      </c>
      <c r="U125" s="3">
        <f>IF(ISNUMBER(p_B!U125*LN(p_B!U125)),p_B!U125*LN(p_B!U125),0)</f>
        <v>0</v>
      </c>
      <c r="V125" s="3">
        <f>IF(ISNUMBER(p_B!V125*LN(p_B!V125)),p_B!V125*LN(p_B!V125),0)</f>
        <v>0</v>
      </c>
      <c r="W125" s="3">
        <f>IF(ISNUMBER(p_B!W125*LN(p_B!W125)),p_B!W125*LN(p_B!W125),0)</f>
        <v>0</v>
      </c>
      <c r="X125" s="3">
        <f>IF(ISNUMBER(p_B!X125*LN(p_B!X125)),p_B!X125*LN(p_B!X125),0)</f>
        <v>0</v>
      </c>
      <c r="Y125" s="3">
        <f>IF(ISNUMBER(p_B!Y125*LN(p_B!Y125)),p_B!Y125*LN(p_B!Y125),0)</f>
        <v>0</v>
      </c>
      <c r="Z125" s="3">
        <f>IF(ISNUMBER(p_B!Z125*LN(p_B!Z125)),p_B!Z125*LN(p_B!Z125),0)</f>
        <v>0</v>
      </c>
      <c r="AA125" s="3">
        <f>IF(ISNUMBER(p_B!AA125*LN(p_B!AA125)),p_B!AA125*LN(p_B!AA125),0)</f>
        <v>0</v>
      </c>
    </row>
    <row r="126" spans="2:27" x14ac:dyDescent="0.25">
      <c r="B126" s="3">
        <f>IF(ISNUMBER(p_B!B126*LN(p_B!B126)),p_B!B126*LN(p_B!B126),0)</f>
        <v>-3.3518090260272596E-2</v>
      </c>
      <c r="C126" s="3">
        <f>IF(ISNUMBER(p_B!C126*LN(p_B!C126)),p_B!C126*LN(p_B!C126),0)</f>
        <v>0</v>
      </c>
      <c r="D126" s="3">
        <f>IF(ISNUMBER(p_B!D126*LN(p_B!D126)),p_B!D126*LN(p_B!D126),0)</f>
        <v>0</v>
      </c>
      <c r="E126" s="3">
        <f>IF(ISNUMBER(p_B!E126*LN(p_B!E126)),p_B!E126*LN(p_B!E126),0)</f>
        <v>0</v>
      </c>
      <c r="F126" s="3">
        <f>IF(ISNUMBER(p_B!F126*LN(p_B!F126)),p_B!F126*LN(p_B!F126),0)</f>
        <v>0</v>
      </c>
      <c r="G126" s="3">
        <f>IF(ISNUMBER(p_B!G126*LN(p_B!G126)),p_B!G126*LN(p_B!G126),0)</f>
        <v>0</v>
      </c>
      <c r="H126" s="3">
        <f>IF(ISNUMBER(p_B!H126*LN(p_B!H126)),p_B!H126*LN(p_B!H126),0)</f>
        <v>0</v>
      </c>
      <c r="I126" s="3">
        <f>IF(ISNUMBER(p_B!I126*LN(p_B!I126)),p_B!I126*LN(p_B!I126),0)</f>
        <v>0</v>
      </c>
      <c r="J126" s="3">
        <f>IF(ISNUMBER(p_B!J126*LN(p_B!J126)),p_B!J126*LN(p_B!J126),0)</f>
        <v>-3.4670723849988407E-2</v>
      </c>
      <c r="K126" s="3">
        <f>IF(ISNUMBER(p_B!K126*LN(p_B!K126)),p_B!K126*LN(p_B!K126),0)</f>
        <v>0</v>
      </c>
      <c r="L126" s="3">
        <f>IF(ISNUMBER(p_B!L126*LN(p_B!L126)),p_B!L126*LN(p_B!L126),0)</f>
        <v>0</v>
      </c>
      <c r="M126" s="3">
        <f>IF(ISNUMBER(p_B!M126*LN(p_B!M126)),p_B!M126*LN(p_B!M126),0)</f>
        <v>0</v>
      </c>
      <c r="N126" s="3">
        <f>IF(ISNUMBER(p_B!N126*LN(p_B!N126)),p_B!N126*LN(p_B!N126),0)</f>
        <v>0</v>
      </c>
      <c r="O126" s="3">
        <f>IF(ISNUMBER(p_B!O126*LN(p_B!O126)),p_B!O126*LN(p_B!O126),0)</f>
        <v>-4.5065606317938366E-3</v>
      </c>
      <c r="P126" s="3">
        <f>IF(ISNUMBER(p_B!P126*LN(p_B!P126)),p_B!P126*LN(p_B!P126),0)</f>
        <v>0</v>
      </c>
      <c r="Q126" s="3">
        <f>IF(ISNUMBER(p_B!Q126*LN(p_B!Q126)),p_B!Q126*LN(p_B!Q126),0)</f>
        <v>0</v>
      </c>
      <c r="R126" s="3">
        <f>IF(ISNUMBER(p_B!R126*LN(p_B!R126)),p_B!R126*LN(p_B!R126),0)</f>
        <v>0</v>
      </c>
      <c r="S126" s="3">
        <f>IF(ISNUMBER(p_B!S126*LN(p_B!S126)),p_B!S126*LN(p_B!S126),0)</f>
        <v>0</v>
      </c>
      <c r="T126" s="3">
        <f>IF(ISNUMBER(p_B!T126*LN(p_B!T126)),p_B!T126*LN(p_B!T126),0)</f>
        <v>0</v>
      </c>
      <c r="U126" s="3">
        <f>IF(ISNUMBER(p_B!U126*LN(p_B!U126)),p_B!U126*LN(p_B!U126),0)</f>
        <v>0</v>
      </c>
      <c r="V126" s="3">
        <f>IF(ISNUMBER(p_B!V126*LN(p_B!V126)),p_B!V126*LN(p_B!V126),0)</f>
        <v>0</v>
      </c>
      <c r="W126" s="3">
        <f>IF(ISNUMBER(p_B!W126*LN(p_B!W126)),p_B!W126*LN(p_B!W126),0)</f>
        <v>0</v>
      </c>
      <c r="X126" s="3">
        <f>IF(ISNUMBER(p_B!X126*LN(p_B!X126)),p_B!X126*LN(p_B!X126),0)</f>
        <v>0</v>
      </c>
      <c r="Y126" s="3">
        <f>IF(ISNUMBER(p_B!Y126*LN(p_B!Y126)),p_B!Y126*LN(p_B!Y126),0)</f>
        <v>0</v>
      </c>
      <c r="Z126" s="3">
        <f>IF(ISNUMBER(p_B!Z126*LN(p_B!Z126)),p_B!Z126*LN(p_B!Z126),0)</f>
        <v>0</v>
      </c>
      <c r="AA126" s="3">
        <f>IF(ISNUMBER(p_B!AA126*LN(p_B!AA126)),p_B!AA126*LN(p_B!AA126),0)</f>
        <v>0</v>
      </c>
    </row>
    <row r="127" spans="2:27" x14ac:dyDescent="0.25">
      <c r="B127" s="3">
        <f>IF(ISNUMBER(p_B!B127*LN(p_B!B127)),p_B!B127*LN(p_B!B127),0)</f>
        <v>-1.6366418710987308E-3</v>
      </c>
      <c r="C127" s="3">
        <f>IF(ISNUMBER(p_B!C127*LN(p_B!C127)),p_B!C127*LN(p_B!C127),0)</f>
        <v>-0.27471083292869808</v>
      </c>
      <c r="D127" s="3">
        <f>IF(ISNUMBER(p_B!D127*LN(p_B!D127)),p_B!D127*LN(p_B!D127),0)</f>
        <v>0</v>
      </c>
      <c r="E127" s="3">
        <f>IF(ISNUMBER(p_B!E127*LN(p_B!E127)),p_B!E127*LN(p_B!E127),0)</f>
        <v>-1.7707000179690527E-2</v>
      </c>
      <c r="F127" s="3">
        <f>IF(ISNUMBER(p_B!F127*LN(p_B!F127)),p_B!F127*LN(p_B!F127),0)</f>
        <v>0</v>
      </c>
      <c r="G127" s="3">
        <f>IF(ISNUMBER(p_B!G127*LN(p_B!G127)),p_B!G127*LN(p_B!G127),0)</f>
        <v>0</v>
      </c>
      <c r="H127" s="3">
        <f>IF(ISNUMBER(p_B!H127*LN(p_B!H127)),p_B!H127*LN(p_B!H127),0)</f>
        <v>-5.7879001531745855E-2</v>
      </c>
      <c r="I127" s="3">
        <f>IF(ISNUMBER(p_B!I127*LN(p_B!I127)),p_B!I127*LN(p_B!I127),0)</f>
        <v>-7.7187992885313833E-2</v>
      </c>
      <c r="J127" s="3">
        <f>IF(ISNUMBER(p_B!J127*LN(p_B!J127)),p_B!J127*LN(p_B!J127),0)</f>
        <v>-0.10593669857214999</v>
      </c>
      <c r="K127" s="3">
        <f>IF(ISNUMBER(p_B!K127*LN(p_B!K127)),p_B!K127*LN(p_B!K127),0)</f>
        <v>0</v>
      </c>
      <c r="L127" s="3">
        <f>IF(ISNUMBER(p_B!L127*LN(p_B!L127)),p_B!L127*LN(p_B!L127),0)</f>
        <v>0</v>
      </c>
      <c r="M127" s="3">
        <f>IF(ISNUMBER(p_B!M127*LN(p_B!M127)),p_B!M127*LN(p_B!M127),0)</f>
        <v>0</v>
      </c>
      <c r="N127" s="3">
        <f>IF(ISNUMBER(p_B!N127*LN(p_B!N127)),p_B!N127*LN(p_B!N127),0)</f>
        <v>0</v>
      </c>
      <c r="O127" s="3">
        <f>IF(ISNUMBER(p_B!O127*LN(p_B!O127)),p_B!O127*LN(p_B!O127),0)</f>
        <v>-0.23811962608550252</v>
      </c>
      <c r="P127" s="3">
        <f>IF(ISNUMBER(p_B!P127*LN(p_B!P127)),p_B!P127*LN(p_B!P127),0)</f>
        <v>0</v>
      </c>
      <c r="Q127" s="3">
        <f>IF(ISNUMBER(p_B!Q127*LN(p_B!Q127)),p_B!Q127*LN(p_B!Q127),0)</f>
        <v>-0.361408928177334</v>
      </c>
      <c r="R127" s="3">
        <f>IF(ISNUMBER(p_B!R127*LN(p_B!R127)),p_B!R127*LN(p_B!R127),0)</f>
        <v>0</v>
      </c>
      <c r="S127" s="3">
        <f>IF(ISNUMBER(p_B!S127*LN(p_B!S127)),p_B!S127*LN(p_B!S127),0)</f>
        <v>0</v>
      </c>
      <c r="T127" s="3">
        <f>IF(ISNUMBER(p_B!T127*LN(p_B!T127)),p_B!T127*LN(p_B!T127),0)</f>
        <v>0</v>
      </c>
      <c r="U127" s="3">
        <f>IF(ISNUMBER(p_B!U127*LN(p_B!U127)),p_B!U127*LN(p_B!U127),0)</f>
        <v>0</v>
      </c>
      <c r="V127" s="3">
        <f>IF(ISNUMBER(p_B!V127*LN(p_B!V127)),p_B!V127*LN(p_B!V127),0)</f>
        <v>0</v>
      </c>
      <c r="W127" s="3">
        <f>IF(ISNUMBER(p_B!W127*LN(p_B!W127)),p_B!W127*LN(p_B!W127),0)</f>
        <v>0</v>
      </c>
      <c r="X127" s="3">
        <f>IF(ISNUMBER(p_B!X127*LN(p_B!X127)),p_B!X127*LN(p_B!X127),0)</f>
        <v>-8.9610898168437328E-2</v>
      </c>
      <c r="Y127" s="3">
        <f>IF(ISNUMBER(p_B!Y127*LN(p_B!Y127)),p_B!Y127*LN(p_B!Y127),0)</f>
        <v>0</v>
      </c>
      <c r="Z127" s="3">
        <f>IF(ISNUMBER(p_B!Z127*LN(p_B!Z127)),p_B!Z127*LN(p_B!Z127),0)</f>
        <v>0</v>
      </c>
      <c r="AA127" s="3">
        <f>IF(ISNUMBER(p_B!AA127*LN(p_B!AA127)),p_B!AA127*LN(p_B!AA127),0)</f>
        <v>0</v>
      </c>
    </row>
    <row r="128" spans="2:27" x14ac:dyDescent="0.25">
      <c r="B128" s="3">
        <f>IF(ISNUMBER(p_B!B128*LN(p_B!B128)),p_B!B128*LN(p_B!B128),0)</f>
        <v>-9.4585818359418624E-4</v>
      </c>
      <c r="C128" s="3">
        <f>IF(ISNUMBER(p_B!C128*LN(p_B!C128)),p_B!C128*LN(p_B!C128),0)</f>
        <v>-0.23383054427654443</v>
      </c>
      <c r="D128" s="3">
        <f>IF(ISNUMBER(p_B!D128*LN(p_B!D128)),p_B!D128*LN(p_B!D128),0)</f>
        <v>0</v>
      </c>
      <c r="E128" s="3">
        <f>IF(ISNUMBER(p_B!E128*LN(p_B!E128)),p_B!E128*LN(p_B!E128),0)</f>
        <v>0</v>
      </c>
      <c r="F128" s="3">
        <f>IF(ISNUMBER(p_B!F128*LN(p_B!F128)),p_B!F128*LN(p_B!F128),0)</f>
        <v>0</v>
      </c>
      <c r="G128" s="3">
        <f>IF(ISNUMBER(p_B!G128*LN(p_B!G128)),p_B!G128*LN(p_B!G128),0)</f>
        <v>0</v>
      </c>
      <c r="H128" s="3">
        <f>IF(ISNUMBER(p_B!H128*LN(p_B!H128)),p_B!H128*LN(p_B!H128),0)</f>
        <v>-2.2631856896151759E-2</v>
      </c>
      <c r="I128" s="3">
        <f>IF(ISNUMBER(p_B!I128*LN(p_B!I128)),p_B!I128*LN(p_B!I128),0)</f>
        <v>-7.7301791208163981E-2</v>
      </c>
      <c r="J128" s="3">
        <f>IF(ISNUMBER(p_B!J128*LN(p_B!J128)),p_B!J128*LN(p_B!J128),0)</f>
        <v>-5.2199703616222538E-2</v>
      </c>
      <c r="K128" s="3">
        <f>IF(ISNUMBER(p_B!K128*LN(p_B!K128)),p_B!K128*LN(p_B!K128),0)</f>
        <v>0</v>
      </c>
      <c r="L128" s="3">
        <f>IF(ISNUMBER(p_B!L128*LN(p_B!L128)),p_B!L128*LN(p_B!L128),0)</f>
        <v>0</v>
      </c>
      <c r="M128" s="3">
        <f>IF(ISNUMBER(p_B!M128*LN(p_B!M128)),p_B!M128*LN(p_B!M128),0)</f>
        <v>0</v>
      </c>
      <c r="N128" s="3">
        <f>IF(ISNUMBER(p_B!N128*LN(p_B!N128)),p_B!N128*LN(p_B!N128),0)</f>
        <v>0</v>
      </c>
      <c r="O128" s="3">
        <f>IF(ISNUMBER(p_B!O128*LN(p_B!O128)),p_B!O128*LN(p_B!O128),0)</f>
        <v>-8.9247148230510359E-2</v>
      </c>
      <c r="P128" s="3">
        <f>IF(ISNUMBER(p_B!P128*LN(p_B!P128)),p_B!P128*LN(p_B!P128),0)</f>
        <v>0</v>
      </c>
      <c r="Q128" s="3">
        <f>IF(ISNUMBER(p_B!Q128*LN(p_B!Q128)),p_B!Q128*LN(p_B!Q128),0)</f>
        <v>-0.3619871905673076</v>
      </c>
      <c r="R128" s="3">
        <f>IF(ISNUMBER(p_B!R128*LN(p_B!R128)),p_B!R128*LN(p_B!R128),0)</f>
        <v>0</v>
      </c>
      <c r="S128" s="3">
        <f>IF(ISNUMBER(p_B!S128*LN(p_B!S128)),p_B!S128*LN(p_B!S128),0)</f>
        <v>0</v>
      </c>
      <c r="T128" s="3">
        <f>IF(ISNUMBER(p_B!T128*LN(p_B!T128)),p_B!T128*LN(p_B!T128),0)</f>
        <v>0</v>
      </c>
      <c r="U128" s="3">
        <f>IF(ISNUMBER(p_B!U128*LN(p_B!U128)),p_B!U128*LN(p_B!U128),0)</f>
        <v>0</v>
      </c>
      <c r="V128" s="3">
        <f>IF(ISNUMBER(p_B!V128*LN(p_B!V128)),p_B!V128*LN(p_B!V128),0)</f>
        <v>0</v>
      </c>
      <c r="W128" s="3">
        <f>IF(ISNUMBER(p_B!W128*LN(p_B!W128)),p_B!W128*LN(p_B!W128),0)</f>
        <v>0</v>
      </c>
      <c r="X128" s="3">
        <f>IF(ISNUMBER(p_B!X128*LN(p_B!X128)),p_B!X128*LN(p_B!X128),0)</f>
        <v>-4.1298856957384278E-2</v>
      </c>
      <c r="Y128" s="3">
        <f>IF(ISNUMBER(p_B!Y128*LN(p_B!Y128)),p_B!Y128*LN(p_B!Y128),0)</f>
        <v>0</v>
      </c>
      <c r="Z128" s="3">
        <f>IF(ISNUMBER(p_B!Z128*LN(p_B!Z128)),p_B!Z128*LN(p_B!Z128),0)</f>
        <v>0</v>
      </c>
      <c r="AA128" s="3">
        <f>IF(ISNUMBER(p_B!AA128*LN(p_B!AA128)),p_B!AA128*LN(p_B!AA128),0)</f>
        <v>0</v>
      </c>
    </row>
    <row r="129" spans="2:27" x14ac:dyDescent="0.25">
      <c r="B129" s="3">
        <f>IF(ISNUMBER(p_B!B129*LN(p_B!B129)),p_B!B129*LN(p_B!B129),0)</f>
        <v>0</v>
      </c>
      <c r="C129" s="3">
        <f>IF(ISNUMBER(p_B!C129*LN(p_B!C129)),p_B!C129*LN(p_B!C129),0)</f>
        <v>-0.23854930716934844</v>
      </c>
      <c r="D129" s="3">
        <f>IF(ISNUMBER(p_B!D129*LN(p_B!D129)),p_B!D129*LN(p_B!D129),0)</f>
        <v>0</v>
      </c>
      <c r="E129" s="3">
        <f>IF(ISNUMBER(p_B!E129*LN(p_B!E129)),p_B!E129*LN(p_B!E129),0)</f>
        <v>0</v>
      </c>
      <c r="F129" s="3">
        <f>IF(ISNUMBER(p_B!F129*LN(p_B!F129)),p_B!F129*LN(p_B!F129),0)</f>
        <v>0</v>
      </c>
      <c r="G129" s="3">
        <f>IF(ISNUMBER(p_B!G129*LN(p_B!G129)),p_B!G129*LN(p_B!G129),0)</f>
        <v>0</v>
      </c>
      <c r="H129" s="3">
        <f>IF(ISNUMBER(p_B!H129*LN(p_B!H129)),p_B!H129*LN(p_B!H129),0)</f>
        <v>0</v>
      </c>
      <c r="I129" s="3">
        <f>IF(ISNUMBER(p_B!I129*LN(p_B!I129)),p_B!I129*LN(p_B!I129),0)</f>
        <v>-5.5802027203516985E-2</v>
      </c>
      <c r="J129" s="3">
        <f>IF(ISNUMBER(p_B!J129*LN(p_B!J129)),p_B!J129*LN(p_B!J129),0)</f>
        <v>-0.12550305013869714</v>
      </c>
      <c r="K129" s="3">
        <f>IF(ISNUMBER(p_B!K129*LN(p_B!K129)),p_B!K129*LN(p_B!K129),0)</f>
        <v>0</v>
      </c>
      <c r="L129" s="3">
        <f>IF(ISNUMBER(p_B!L129*LN(p_B!L129)),p_B!L129*LN(p_B!L129),0)</f>
        <v>0</v>
      </c>
      <c r="M129" s="3">
        <f>IF(ISNUMBER(p_B!M129*LN(p_B!M129)),p_B!M129*LN(p_B!M129),0)</f>
        <v>0</v>
      </c>
      <c r="N129" s="3">
        <f>IF(ISNUMBER(p_B!N129*LN(p_B!N129)),p_B!N129*LN(p_B!N129),0)</f>
        <v>0</v>
      </c>
      <c r="O129" s="3">
        <f>IF(ISNUMBER(p_B!O129*LN(p_B!O129)),p_B!O129*LN(p_B!O129),0)</f>
        <v>-7.2889572267140143E-2</v>
      </c>
      <c r="P129" s="3">
        <f>IF(ISNUMBER(p_B!P129*LN(p_B!P129)),p_B!P129*LN(p_B!P129),0)</f>
        <v>0</v>
      </c>
      <c r="Q129" s="3">
        <f>IF(ISNUMBER(p_B!Q129*LN(p_B!Q129)),p_B!Q129*LN(p_B!Q129),0)</f>
        <v>0</v>
      </c>
      <c r="R129" s="3">
        <f>IF(ISNUMBER(p_B!R129*LN(p_B!R129)),p_B!R129*LN(p_B!R129),0)</f>
        <v>0</v>
      </c>
      <c r="S129" s="3">
        <f>IF(ISNUMBER(p_B!S129*LN(p_B!S129)),p_B!S129*LN(p_B!S129),0)</f>
        <v>0</v>
      </c>
      <c r="T129" s="3">
        <f>IF(ISNUMBER(p_B!T129*LN(p_B!T129)),p_B!T129*LN(p_B!T129),0)</f>
        <v>0</v>
      </c>
      <c r="U129" s="3">
        <f>IF(ISNUMBER(p_B!U129*LN(p_B!U129)),p_B!U129*LN(p_B!U129),0)</f>
        <v>0</v>
      </c>
      <c r="V129" s="3">
        <f>IF(ISNUMBER(p_B!V129*LN(p_B!V129)),p_B!V129*LN(p_B!V129),0)</f>
        <v>0</v>
      </c>
      <c r="W129" s="3">
        <f>IF(ISNUMBER(p_B!W129*LN(p_B!W129)),p_B!W129*LN(p_B!W129),0)</f>
        <v>0</v>
      </c>
      <c r="X129" s="3">
        <f>IF(ISNUMBER(p_B!X129*LN(p_B!X129)),p_B!X129*LN(p_B!X129),0)</f>
        <v>0</v>
      </c>
      <c r="Y129" s="3">
        <f>IF(ISNUMBER(p_B!Y129*LN(p_B!Y129)),p_B!Y129*LN(p_B!Y129),0)</f>
        <v>-8.0255973569966325E-3</v>
      </c>
      <c r="Z129" s="3">
        <f>IF(ISNUMBER(p_B!Z129*LN(p_B!Z129)),p_B!Z129*LN(p_B!Z129),0)</f>
        <v>0</v>
      </c>
      <c r="AA129" s="3">
        <f>IF(ISNUMBER(p_B!AA129*LN(p_B!AA129)),p_B!AA129*LN(p_B!AA129),0)</f>
        <v>0</v>
      </c>
    </row>
    <row r="130" spans="2:27" x14ac:dyDescent="0.25">
      <c r="B130" s="3">
        <f>IF(ISNUMBER(p_B!B130*LN(p_B!B130)),p_B!B130*LN(p_B!B130),0)</f>
        <v>-0.3673426427596726</v>
      </c>
      <c r="C130" s="3">
        <f>IF(ISNUMBER(p_B!C130*LN(p_B!C130)),p_B!C130*LN(p_B!C130),0)</f>
        <v>0</v>
      </c>
      <c r="D130" s="3">
        <f>IF(ISNUMBER(p_B!D130*LN(p_B!D130)),p_B!D130*LN(p_B!D130),0)</f>
        <v>0</v>
      </c>
      <c r="E130" s="3">
        <f>IF(ISNUMBER(p_B!E130*LN(p_B!E130)),p_B!E130*LN(p_B!E130),0)</f>
        <v>-0.20877445252769333</v>
      </c>
      <c r="F130" s="3">
        <f>IF(ISNUMBER(p_B!F130*LN(p_B!F130)),p_B!F130*LN(p_B!F130),0)</f>
        <v>0</v>
      </c>
      <c r="G130" s="3">
        <f>IF(ISNUMBER(p_B!G130*LN(p_B!G130)),p_B!G130*LN(p_B!G130),0)</f>
        <v>0</v>
      </c>
      <c r="H130" s="3">
        <f>IF(ISNUMBER(p_B!H130*LN(p_B!H130)),p_B!H130*LN(p_B!H130),0)</f>
        <v>0</v>
      </c>
      <c r="I130" s="3">
        <f>IF(ISNUMBER(p_B!I130*LN(p_B!I130)),p_B!I130*LN(p_B!I130),0)</f>
        <v>0</v>
      </c>
      <c r="J130" s="3">
        <f>IF(ISNUMBER(p_B!J130*LN(p_B!J130)),p_B!J130*LN(p_B!J130),0)</f>
        <v>0</v>
      </c>
      <c r="K130" s="3">
        <f>IF(ISNUMBER(p_B!K130*LN(p_B!K130)),p_B!K130*LN(p_B!K130),0)</f>
        <v>0</v>
      </c>
      <c r="L130" s="3">
        <f>IF(ISNUMBER(p_B!L130*LN(p_B!L130)),p_B!L130*LN(p_B!L130),0)</f>
        <v>0</v>
      </c>
      <c r="M130" s="3">
        <f>IF(ISNUMBER(p_B!M130*LN(p_B!M130)),p_B!M130*LN(p_B!M130),0)</f>
        <v>0</v>
      </c>
      <c r="N130" s="3">
        <f>IF(ISNUMBER(p_B!N130*LN(p_B!N130)),p_B!N130*LN(p_B!N130),0)</f>
        <v>-0.3408576954251562</v>
      </c>
      <c r="O130" s="3">
        <f>IF(ISNUMBER(p_B!O130*LN(p_B!O130)),p_B!O130*LN(p_B!O130),0)</f>
        <v>0</v>
      </c>
      <c r="P130" s="3">
        <f>IF(ISNUMBER(p_B!P130*LN(p_B!P130)),p_B!P130*LN(p_B!P130),0)</f>
        <v>0</v>
      </c>
      <c r="Q130" s="3">
        <f>IF(ISNUMBER(p_B!Q130*LN(p_B!Q130)),p_B!Q130*LN(p_B!Q130),0)</f>
        <v>0</v>
      </c>
      <c r="R130" s="3">
        <f>IF(ISNUMBER(p_B!R130*LN(p_B!R130)),p_B!R130*LN(p_B!R130),0)</f>
        <v>0</v>
      </c>
      <c r="S130" s="3">
        <f>IF(ISNUMBER(p_B!S130*LN(p_B!S130)),p_B!S130*LN(p_B!S130),0)</f>
        <v>0</v>
      </c>
      <c r="T130" s="3">
        <f>IF(ISNUMBER(p_B!T130*LN(p_B!T130)),p_B!T130*LN(p_B!T130),0)</f>
        <v>0</v>
      </c>
      <c r="U130" s="3">
        <f>IF(ISNUMBER(p_B!U130*LN(p_B!U130)),p_B!U130*LN(p_B!U130),0)</f>
        <v>0</v>
      </c>
      <c r="V130" s="3">
        <f>IF(ISNUMBER(p_B!V130*LN(p_B!V130)),p_B!V130*LN(p_B!V130),0)</f>
        <v>0</v>
      </c>
      <c r="W130" s="3">
        <f>IF(ISNUMBER(p_B!W130*LN(p_B!W130)),p_B!W130*LN(p_B!W130),0)</f>
        <v>0</v>
      </c>
      <c r="X130" s="3">
        <f>IF(ISNUMBER(p_B!X130*LN(p_B!X130)),p_B!X130*LN(p_B!X130),0)</f>
        <v>-0.10777209348551284</v>
      </c>
      <c r="Y130" s="3">
        <f>IF(ISNUMBER(p_B!Y130*LN(p_B!Y130)),p_B!Y130*LN(p_B!Y130),0)</f>
        <v>0</v>
      </c>
      <c r="Z130" s="3">
        <f>IF(ISNUMBER(p_B!Z130*LN(p_B!Z130)),p_B!Z130*LN(p_B!Z130),0)</f>
        <v>0</v>
      </c>
      <c r="AA130" s="3">
        <f>IF(ISNUMBER(p_B!AA130*LN(p_B!AA130)),p_B!AA130*LN(p_B!AA130),0)</f>
        <v>0</v>
      </c>
    </row>
    <row r="131" spans="2:27" x14ac:dyDescent="0.25">
      <c r="B131" s="3">
        <f>IF(ISNUMBER(p_B!B131*LN(p_B!B131)),p_B!B131*LN(p_B!B131),0)</f>
        <v>0</v>
      </c>
      <c r="C131" s="3">
        <f>IF(ISNUMBER(p_B!C131*LN(p_B!C131)),p_B!C131*LN(p_B!C131),0)</f>
        <v>0</v>
      </c>
      <c r="D131" s="3">
        <f>IF(ISNUMBER(p_B!D131*LN(p_B!D131)),p_B!D131*LN(p_B!D131),0)</f>
        <v>0</v>
      </c>
      <c r="E131" s="3">
        <f>IF(ISNUMBER(p_B!E131*LN(p_B!E131)),p_B!E131*LN(p_B!E131),0)</f>
        <v>0</v>
      </c>
      <c r="F131" s="3">
        <f>IF(ISNUMBER(p_B!F131*LN(p_B!F131)),p_B!F131*LN(p_B!F131),0)</f>
        <v>-0.184955720461941</v>
      </c>
      <c r="G131" s="3">
        <f>IF(ISNUMBER(p_B!G131*LN(p_B!G131)),p_B!G131*LN(p_B!G131),0)</f>
        <v>0</v>
      </c>
      <c r="H131" s="3">
        <f>IF(ISNUMBER(p_B!H131*LN(p_B!H131)),p_B!H131*LN(p_B!H131),0)</f>
        <v>0</v>
      </c>
      <c r="I131" s="3">
        <f>IF(ISNUMBER(p_B!I131*LN(p_B!I131)),p_B!I131*LN(p_B!I131),0)</f>
        <v>-6.8941415127938763E-2</v>
      </c>
      <c r="J131" s="3">
        <f>IF(ISNUMBER(p_B!J131*LN(p_B!J131)),p_B!J131*LN(p_B!J131),0)</f>
        <v>-0.20202273521948338</v>
      </c>
      <c r="K131" s="3">
        <f>IF(ISNUMBER(p_B!K131*LN(p_B!K131)),p_B!K131*LN(p_B!K131),0)</f>
        <v>0</v>
      </c>
      <c r="L131" s="3">
        <f>IF(ISNUMBER(p_B!L131*LN(p_B!L131)),p_B!L131*LN(p_B!L131),0)</f>
        <v>0</v>
      </c>
      <c r="M131" s="3">
        <f>IF(ISNUMBER(p_B!M131*LN(p_B!M131)),p_B!M131*LN(p_B!M131),0)</f>
        <v>0</v>
      </c>
      <c r="N131" s="3">
        <f>IF(ISNUMBER(p_B!N131*LN(p_B!N131)),p_B!N131*LN(p_B!N131),0)</f>
        <v>0</v>
      </c>
      <c r="O131" s="3">
        <f>IF(ISNUMBER(p_B!O131*LN(p_B!O131)),p_B!O131*LN(p_B!O131),0)</f>
        <v>-8.5822147491860946E-3</v>
      </c>
      <c r="P131" s="3">
        <f>IF(ISNUMBER(p_B!P131*LN(p_B!P131)),p_B!P131*LN(p_B!P131),0)</f>
        <v>0</v>
      </c>
      <c r="Q131" s="3">
        <f>IF(ISNUMBER(p_B!Q131*LN(p_B!Q131)),p_B!Q131*LN(p_B!Q131),0)</f>
        <v>-0.23484606244659265</v>
      </c>
      <c r="R131" s="3">
        <f>IF(ISNUMBER(p_B!R131*LN(p_B!R131)),p_B!R131*LN(p_B!R131),0)</f>
        <v>0</v>
      </c>
      <c r="S131" s="3">
        <f>IF(ISNUMBER(p_B!S131*LN(p_B!S131)),p_B!S131*LN(p_B!S131),0)</f>
        <v>0</v>
      </c>
      <c r="T131" s="3">
        <f>IF(ISNUMBER(p_B!T131*LN(p_B!T131)),p_B!T131*LN(p_B!T131),0)</f>
        <v>0</v>
      </c>
      <c r="U131" s="3">
        <f>IF(ISNUMBER(p_B!U131*LN(p_B!U131)),p_B!U131*LN(p_B!U131),0)</f>
        <v>0</v>
      </c>
      <c r="V131" s="3">
        <f>IF(ISNUMBER(p_B!V131*LN(p_B!V131)),p_B!V131*LN(p_B!V131),0)</f>
        <v>0</v>
      </c>
      <c r="W131" s="3">
        <f>IF(ISNUMBER(p_B!W131*LN(p_B!W131)),p_B!W131*LN(p_B!W131),0)</f>
        <v>0</v>
      </c>
      <c r="X131" s="3">
        <f>IF(ISNUMBER(p_B!X131*LN(p_B!X131)),p_B!X131*LN(p_B!X131),0)</f>
        <v>0</v>
      </c>
      <c r="Y131" s="3">
        <f>IF(ISNUMBER(p_B!Y131*LN(p_B!Y131)),p_B!Y131*LN(p_B!Y131),0)</f>
        <v>0</v>
      </c>
      <c r="Z131" s="3">
        <f>IF(ISNUMBER(p_B!Z131*LN(p_B!Z131)),p_B!Z131*LN(p_B!Z131),0)</f>
        <v>0</v>
      </c>
      <c r="AA131" s="3">
        <f>IF(ISNUMBER(p_B!AA131*LN(p_B!AA131)),p_B!AA131*LN(p_B!AA131),0)</f>
        <v>-1.8006158791489119E-2</v>
      </c>
    </row>
    <row r="132" spans="2:27" x14ac:dyDescent="0.25">
      <c r="B132" s="3">
        <f>IF(ISNUMBER(p_B!B132*LN(p_B!B132)),p_B!B132*LN(p_B!B132),0)</f>
        <v>0</v>
      </c>
      <c r="C132" s="3">
        <f>IF(ISNUMBER(p_B!C132*LN(p_B!C132)),p_B!C132*LN(p_B!C132),0)</f>
        <v>0</v>
      </c>
      <c r="D132" s="3">
        <f>IF(ISNUMBER(p_B!D132*LN(p_B!D132)),p_B!D132*LN(p_B!D132),0)</f>
        <v>0</v>
      </c>
      <c r="E132" s="3">
        <f>IF(ISNUMBER(p_B!E132*LN(p_B!E132)),p_B!E132*LN(p_B!E132),0)</f>
        <v>0</v>
      </c>
      <c r="F132" s="3">
        <f>IF(ISNUMBER(p_B!F132*LN(p_B!F132)),p_B!F132*LN(p_B!F132),0)</f>
        <v>-0.26765924191947804</v>
      </c>
      <c r="G132" s="3">
        <f>IF(ISNUMBER(p_B!G132*LN(p_B!G132)),p_B!G132*LN(p_B!G132),0)</f>
        <v>0</v>
      </c>
      <c r="H132" s="3">
        <f>IF(ISNUMBER(p_B!H132*LN(p_B!H132)),p_B!H132*LN(p_B!H132),0)</f>
        <v>0</v>
      </c>
      <c r="I132" s="3">
        <f>IF(ISNUMBER(p_B!I132*LN(p_B!I132)),p_B!I132*LN(p_B!I132),0)</f>
        <v>0</v>
      </c>
      <c r="J132" s="3">
        <f>IF(ISNUMBER(p_B!J132*LN(p_B!J132)),p_B!J132*LN(p_B!J132),0)</f>
        <v>-0.30469416781971509</v>
      </c>
      <c r="K132" s="3">
        <f>IF(ISNUMBER(p_B!K132*LN(p_B!K132)),p_B!K132*LN(p_B!K132),0)</f>
        <v>0</v>
      </c>
      <c r="L132" s="3">
        <f>IF(ISNUMBER(p_B!L132*LN(p_B!L132)),p_B!L132*LN(p_B!L132),0)</f>
        <v>0</v>
      </c>
      <c r="M132" s="3">
        <f>IF(ISNUMBER(p_B!M132*LN(p_B!M132)),p_B!M132*LN(p_B!M132),0)</f>
        <v>0</v>
      </c>
      <c r="N132" s="3">
        <f>IF(ISNUMBER(p_B!N132*LN(p_B!N132)),p_B!N132*LN(p_B!N132),0)</f>
        <v>-1.961583885104707E-2</v>
      </c>
      <c r="O132" s="3">
        <f>IF(ISNUMBER(p_B!O132*LN(p_B!O132)),p_B!O132*LN(p_B!O132),0)</f>
        <v>0</v>
      </c>
      <c r="P132" s="3">
        <f>IF(ISNUMBER(p_B!P132*LN(p_B!P132)),p_B!P132*LN(p_B!P132),0)</f>
        <v>0</v>
      </c>
      <c r="Q132" s="3">
        <f>IF(ISNUMBER(p_B!Q132*LN(p_B!Q132)),p_B!Q132*LN(p_B!Q132),0)</f>
        <v>-0.21544839950550021</v>
      </c>
      <c r="R132" s="3">
        <f>IF(ISNUMBER(p_B!R132*LN(p_B!R132)),p_B!R132*LN(p_B!R132),0)</f>
        <v>0</v>
      </c>
      <c r="S132" s="3">
        <f>IF(ISNUMBER(p_B!S132*LN(p_B!S132)),p_B!S132*LN(p_B!S132),0)</f>
        <v>0</v>
      </c>
      <c r="T132" s="3">
        <f>IF(ISNUMBER(p_B!T132*LN(p_B!T132)),p_B!T132*LN(p_B!T132),0)</f>
        <v>0</v>
      </c>
      <c r="U132" s="3">
        <f>IF(ISNUMBER(p_B!U132*LN(p_B!U132)),p_B!U132*LN(p_B!U132),0)</f>
        <v>0</v>
      </c>
      <c r="V132" s="3">
        <f>IF(ISNUMBER(p_B!V132*LN(p_B!V132)),p_B!V132*LN(p_B!V132),0)</f>
        <v>0</v>
      </c>
      <c r="W132" s="3">
        <f>IF(ISNUMBER(p_B!W132*LN(p_B!W132)),p_B!W132*LN(p_B!W132),0)</f>
        <v>0</v>
      </c>
      <c r="X132" s="3">
        <f>IF(ISNUMBER(p_B!X132*LN(p_B!X132)),p_B!X132*LN(p_B!X132),0)</f>
        <v>0</v>
      </c>
      <c r="Y132" s="3">
        <f>IF(ISNUMBER(p_B!Y132*LN(p_B!Y132)),p_B!Y132*LN(p_B!Y132),0)</f>
        <v>0</v>
      </c>
      <c r="Z132" s="3">
        <f>IF(ISNUMBER(p_B!Z132*LN(p_B!Z132)),p_B!Z132*LN(p_B!Z132),0)</f>
        <v>0</v>
      </c>
      <c r="AA132" s="3">
        <f>IF(ISNUMBER(p_B!AA132*LN(p_B!AA132)),p_B!AA132*LN(p_B!AA132),0)</f>
        <v>-2.4560146431020044E-2</v>
      </c>
    </row>
  </sheetData>
  <phoneticPr fontId="1" type="noConversion"/>
  <pageMargins left="0.7" right="0.7" top="0.75" bottom="0.75" header="0.3" footer="0.3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5A0A3-B72D-4DD0-BB3E-1A35002B4128}">
  <dimension ref="A1:P60"/>
  <sheetViews>
    <sheetView tabSelected="1" workbookViewId="0">
      <pane ySplit="1" topLeftCell="A20" activePane="bottomLeft" state="frozen"/>
      <selection pane="bottomLeft" activeCell="A31" sqref="A31:A60"/>
    </sheetView>
  </sheetViews>
  <sheetFormatPr defaultRowHeight="15" x14ac:dyDescent="0.25"/>
  <cols>
    <col min="1" max="1" width="21.28515625" customWidth="1"/>
    <col min="2" max="6" width="10.28515625" customWidth="1"/>
    <col min="12" max="14" width="12.28515625" customWidth="1"/>
  </cols>
  <sheetData>
    <row r="1" spans="1:16" x14ac:dyDescent="0.25">
      <c r="A1" t="s">
        <v>213</v>
      </c>
      <c r="C1" t="s">
        <v>223</v>
      </c>
      <c r="D1" t="s">
        <v>244</v>
      </c>
      <c r="E1" t="s">
        <v>243</v>
      </c>
      <c r="F1" t="s">
        <v>242</v>
      </c>
      <c r="G1" t="s">
        <v>245</v>
      </c>
      <c r="H1" t="s">
        <v>215</v>
      </c>
      <c r="I1" t="s">
        <v>216</v>
      </c>
      <c r="J1" t="s">
        <v>217</v>
      </c>
      <c r="K1" t="s">
        <v>221</v>
      </c>
      <c r="L1" t="s">
        <v>222</v>
      </c>
      <c r="M1" t="s">
        <v>214</v>
      </c>
      <c r="N1" t="s">
        <v>215</v>
      </c>
      <c r="O1" t="s">
        <v>214</v>
      </c>
      <c r="P1" t="s">
        <v>215</v>
      </c>
    </row>
    <row r="2" spans="1:16" x14ac:dyDescent="0.25">
      <c r="B2" t="s">
        <v>224</v>
      </c>
      <c r="G2" s="15" t="s">
        <v>230</v>
      </c>
      <c r="H2" s="15"/>
      <c r="I2" s="15"/>
      <c r="J2" s="15"/>
      <c r="K2" s="15"/>
      <c r="L2" s="15"/>
      <c r="M2" s="15" t="s">
        <v>218</v>
      </c>
      <c r="N2" s="15"/>
      <c r="O2" s="15" t="s">
        <v>219</v>
      </c>
      <c r="P2" s="16"/>
    </row>
    <row r="3" spans="1:16" x14ac:dyDescent="0.25">
      <c r="A3" t="s">
        <v>220</v>
      </c>
      <c r="B3" t="s">
        <v>228</v>
      </c>
      <c r="C3" t="s">
        <v>225</v>
      </c>
      <c r="E3">
        <f>7*6.5</f>
        <v>45.5</v>
      </c>
      <c r="G3" s="2">
        <v>135.459993536127</v>
      </c>
      <c r="H3" s="2">
        <f>G3/(3.1416*0.01)</f>
        <v>4311.8154295940603</v>
      </c>
      <c r="I3" s="3">
        <v>0.11184161187122101</v>
      </c>
      <c r="J3" s="2">
        <f>H3*I3</f>
        <v>482.24038773700096</v>
      </c>
      <c r="K3" s="9">
        <f>LOG10(H3)</f>
        <v>3.6346601622843395</v>
      </c>
      <c r="L3" s="9">
        <f>LOG10(J3)</f>
        <v>2.6832635798216069</v>
      </c>
      <c r="M3">
        <v>55.621258017447801</v>
      </c>
      <c r="N3" s="2">
        <f>M3/(3.1416*0.01)</f>
        <v>1770.475490751458</v>
      </c>
      <c r="O3">
        <v>98.276602425078096</v>
      </c>
      <c r="P3" s="2">
        <f>O3/(3.1416*0.01)</f>
        <v>3128.2340980735326</v>
      </c>
    </row>
    <row r="4" spans="1:16" x14ac:dyDescent="0.25">
      <c r="A4" t="s">
        <v>220</v>
      </c>
      <c r="B4" t="s">
        <v>228</v>
      </c>
      <c r="C4" t="s">
        <v>225</v>
      </c>
      <c r="E4">
        <f>13*6.5</f>
        <v>84.5</v>
      </c>
      <c r="G4" s="2">
        <v>78.64116498816</v>
      </c>
      <c r="H4" s="2">
        <f t="shared" ref="H4:H20" si="0">G4/(3.1416*0.01)</f>
        <v>2503.220174056532</v>
      </c>
      <c r="I4" s="3">
        <v>0.32621631101861998</v>
      </c>
      <c r="J4" s="2">
        <f t="shared" ref="J4:J29" si="1">H4*I4</f>
        <v>816.59125084810967</v>
      </c>
      <c r="K4" s="9">
        <f t="shared" ref="K4:K20" si="2">LOG10(H4)</f>
        <v>3.3984990502364605</v>
      </c>
      <c r="L4" s="9">
        <f t="shared" ref="L4:L29" si="3">LOG10(J4)</f>
        <v>2.9120047224780601</v>
      </c>
      <c r="M4">
        <v>20.240388637543699</v>
      </c>
      <c r="N4" s="2">
        <f t="shared" ref="N4:N20" si="4">M4/(3.1416*0.01)</f>
        <v>644.27007376953463</v>
      </c>
      <c r="O4">
        <v>56.4039766579046</v>
      </c>
      <c r="P4" s="2">
        <f t="shared" ref="P4:P20" si="5">O4/(3.1416*0.01)</f>
        <v>1795.3901406259422</v>
      </c>
    </row>
    <row r="5" spans="1:16" x14ac:dyDescent="0.25">
      <c r="A5" t="s">
        <v>220</v>
      </c>
      <c r="B5" t="s">
        <v>228</v>
      </c>
      <c r="C5" t="s">
        <v>225</v>
      </c>
      <c r="E5">
        <f>17*6.5</f>
        <v>110.5</v>
      </c>
      <c r="G5" s="2">
        <v>47.004594948071002</v>
      </c>
      <c r="H5" s="2">
        <f t="shared" si="0"/>
        <v>1496.1992280389293</v>
      </c>
      <c r="I5" s="3">
        <v>0.61407390280881602</v>
      </c>
      <c r="J5" s="2">
        <f t="shared" si="1"/>
        <v>918.77689934140301</v>
      </c>
      <c r="K5" s="9">
        <f t="shared" si="2"/>
        <v>3.1749894263340019</v>
      </c>
      <c r="L5" s="9">
        <f t="shared" si="3"/>
        <v>2.9632100672645225</v>
      </c>
      <c r="M5">
        <v>13.8032461065274</v>
      </c>
      <c r="N5" s="2">
        <f t="shared" si="4"/>
        <v>439.36994227550929</v>
      </c>
      <c r="O5">
        <v>30.971645705101501</v>
      </c>
      <c r="P5" s="2">
        <f t="shared" si="5"/>
        <v>985.85579657185838</v>
      </c>
    </row>
    <row r="6" spans="1:16" x14ac:dyDescent="0.25">
      <c r="A6" t="s">
        <v>220</v>
      </c>
      <c r="B6" t="s">
        <v>228</v>
      </c>
      <c r="C6" t="s">
        <v>226</v>
      </c>
      <c r="E6">
        <f>7*6.5</f>
        <v>45.5</v>
      </c>
      <c r="G6" s="2">
        <v>125.335399260567</v>
      </c>
      <c r="H6" s="2">
        <f t="shared" si="0"/>
        <v>3989.540338062357</v>
      </c>
      <c r="I6" s="3">
        <v>0.20249432186680599</v>
      </c>
      <c r="J6" s="2">
        <f t="shared" si="1"/>
        <v>807.85926531620487</v>
      </c>
      <c r="K6" s="9">
        <f t="shared" si="2"/>
        <v>3.6009228605632142</v>
      </c>
      <c r="L6" s="9">
        <f t="shared" si="3"/>
        <v>2.9073357102547037</v>
      </c>
      <c r="M6">
        <v>50.340620601062803</v>
      </c>
      <c r="N6" s="2">
        <f t="shared" si="4"/>
        <v>1602.3879743144514</v>
      </c>
      <c r="O6">
        <v>97.783014613960802</v>
      </c>
      <c r="P6" s="2">
        <f t="shared" si="5"/>
        <v>3112.5227468156609</v>
      </c>
    </row>
    <row r="7" spans="1:16" x14ac:dyDescent="0.25">
      <c r="A7" t="s">
        <v>220</v>
      </c>
      <c r="B7" t="s">
        <v>228</v>
      </c>
      <c r="C7" t="s">
        <v>226</v>
      </c>
      <c r="E7">
        <f>13*6.5</f>
        <v>84.5</v>
      </c>
      <c r="G7" s="2">
        <v>62.900659079463303</v>
      </c>
      <c r="H7" s="2">
        <f t="shared" si="0"/>
        <v>2002.1854812663389</v>
      </c>
      <c r="I7" s="3">
        <v>0.44975536089152102</v>
      </c>
      <c r="J7" s="2">
        <f t="shared" si="1"/>
        <v>900.493653698706</v>
      </c>
      <c r="K7" s="9">
        <f t="shared" si="2"/>
        <v>3.3015043077882242</v>
      </c>
      <c r="L7" s="9">
        <f t="shared" si="3"/>
        <v>2.9544806564411217</v>
      </c>
      <c r="M7">
        <v>15.0077471418396</v>
      </c>
      <c r="N7" s="2">
        <f t="shared" si="4"/>
        <v>477.71031136489688</v>
      </c>
      <c r="O7">
        <v>45.7896357709513</v>
      </c>
      <c r="P7" s="2">
        <f t="shared" si="5"/>
        <v>1457.5259667351445</v>
      </c>
    </row>
    <row r="8" spans="1:16" x14ac:dyDescent="0.25">
      <c r="A8" t="s">
        <v>220</v>
      </c>
      <c r="B8" t="s">
        <v>228</v>
      </c>
      <c r="C8" t="s">
        <v>226</v>
      </c>
      <c r="E8">
        <f>17*6.5</f>
        <v>110.5</v>
      </c>
      <c r="G8" s="2">
        <v>32.500356993301999</v>
      </c>
      <c r="H8" s="2">
        <f t="shared" si="0"/>
        <v>1034.5160743984593</v>
      </c>
      <c r="I8" s="3">
        <v>1.1503299243586</v>
      </c>
      <c r="J8" s="2">
        <f t="shared" si="1"/>
        <v>1190.0347976105356</v>
      </c>
      <c r="K8" s="9">
        <f t="shared" si="2"/>
        <v>3.0147372431586548</v>
      </c>
      <c r="L8" s="9">
        <f t="shared" si="3"/>
        <v>3.0755596607112596</v>
      </c>
      <c r="M8">
        <v>7.8834713398863299</v>
      </c>
      <c r="N8" s="2">
        <f t="shared" si="4"/>
        <v>250.93809969080502</v>
      </c>
      <c r="O8">
        <v>23.751254517531599</v>
      </c>
      <c r="P8" s="2">
        <f t="shared" si="5"/>
        <v>756.02414430645524</v>
      </c>
    </row>
    <row r="9" spans="1:16" x14ac:dyDescent="0.25">
      <c r="A9" t="s">
        <v>220</v>
      </c>
      <c r="B9" t="s">
        <v>228</v>
      </c>
      <c r="C9" t="s">
        <v>227</v>
      </c>
      <c r="E9">
        <f>7*6.5</f>
        <v>45.5</v>
      </c>
      <c r="G9" s="2">
        <v>96.429597835189597</v>
      </c>
      <c r="H9" s="2">
        <f t="shared" si="0"/>
        <v>3069.442253475605</v>
      </c>
      <c r="I9" s="3">
        <v>0.36841344738759202</v>
      </c>
      <c r="J9" s="2">
        <f t="shared" si="1"/>
        <v>1130.8238021600866</v>
      </c>
      <c r="K9" s="9">
        <f t="shared" si="2"/>
        <v>3.487059467254416</v>
      </c>
      <c r="L9" s="9">
        <f t="shared" si="3"/>
        <v>3.0533949411669616</v>
      </c>
      <c r="M9">
        <v>40.508052292335897</v>
      </c>
      <c r="N9" s="2">
        <f t="shared" si="4"/>
        <v>1289.4083362724693</v>
      </c>
      <c r="O9">
        <v>78.377377011643901</v>
      </c>
      <c r="P9" s="2">
        <f t="shared" si="5"/>
        <v>2494.8235616133147</v>
      </c>
    </row>
    <row r="10" spans="1:16" x14ac:dyDescent="0.25">
      <c r="A10" t="s">
        <v>220</v>
      </c>
      <c r="B10" t="s">
        <v>228</v>
      </c>
      <c r="C10" t="s">
        <v>227</v>
      </c>
      <c r="E10">
        <f>13*6.5</f>
        <v>84.5</v>
      </c>
      <c r="G10" s="2">
        <v>41.2295522046334</v>
      </c>
      <c r="H10" s="2">
        <f t="shared" si="0"/>
        <v>1312.3743380644703</v>
      </c>
      <c r="I10" s="3">
        <v>0.93315794637056304</v>
      </c>
      <c r="J10" s="2">
        <f t="shared" si="1"/>
        <v>1224.6525421776682</v>
      </c>
      <c r="K10" s="9">
        <f t="shared" si="2"/>
        <v>3.1180577296796024</v>
      </c>
      <c r="L10" s="9">
        <f t="shared" si="3"/>
        <v>3.088012888358179</v>
      </c>
      <c r="M10">
        <v>14.932916547683799</v>
      </c>
      <c r="N10" s="2">
        <f t="shared" si="4"/>
        <v>475.32838514399668</v>
      </c>
      <c r="O10">
        <v>24.509233660697699</v>
      </c>
      <c r="P10" s="2">
        <f t="shared" si="5"/>
        <v>780.15131336572767</v>
      </c>
    </row>
    <row r="11" spans="1:16" x14ac:dyDescent="0.25">
      <c r="A11" t="s">
        <v>220</v>
      </c>
      <c r="B11" t="s">
        <v>228</v>
      </c>
      <c r="C11" t="s">
        <v>227</v>
      </c>
      <c r="E11">
        <f>17*6.5</f>
        <v>110.5</v>
      </c>
      <c r="G11" s="2">
        <v>29.780615332786098</v>
      </c>
      <c r="H11" s="2">
        <f t="shared" si="0"/>
        <v>947.9442110003215</v>
      </c>
      <c r="I11" s="3">
        <v>1.50330804368404</v>
      </c>
      <c r="J11" s="2">
        <f t="shared" si="1"/>
        <v>1425.0521573605042</v>
      </c>
      <c r="K11" s="9">
        <f t="shared" si="2"/>
        <v>2.9767827787223879</v>
      </c>
      <c r="L11" s="9">
        <f t="shared" si="3"/>
        <v>3.153830759951072</v>
      </c>
      <c r="M11">
        <v>11.7050790384181</v>
      </c>
      <c r="N11" s="2">
        <f t="shared" si="4"/>
        <v>372.58336638713075</v>
      </c>
      <c r="O11">
        <v>16.635965707440299</v>
      </c>
      <c r="P11" s="2">
        <f t="shared" si="5"/>
        <v>529.53799679909275</v>
      </c>
    </row>
    <row r="12" spans="1:16" x14ac:dyDescent="0.25">
      <c r="A12" t="s">
        <v>220</v>
      </c>
      <c r="B12" t="s">
        <v>229</v>
      </c>
      <c r="C12" t="s">
        <v>225</v>
      </c>
      <c r="E12">
        <f>7*6.5</f>
        <v>45.5</v>
      </c>
      <c r="G12" s="2">
        <v>141.510375301474</v>
      </c>
      <c r="H12" s="2">
        <f t="shared" si="0"/>
        <v>4504.4046123463841</v>
      </c>
      <c r="I12" s="3">
        <v>9.6651290138391993E-2</v>
      </c>
      <c r="J12" s="2">
        <f t="shared" si="1"/>
        <v>435.35651708860149</v>
      </c>
      <c r="K12" s="9">
        <f t="shared" si="2"/>
        <v>3.6536373945024732</v>
      </c>
      <c r="L12" s="9">
        <f t="shared" si="3"/>
        <v>2.6388450500346079</v>
      </c>
      <c r="M12">
        <v>77.541121644850506</v>
      </c>
      <c r="N12" s="2">
        <f t="shared" si="4"/>
        <v>2468.2047887971257</v>
      </c>
      <c r="O12">
        <v>44.095933785651503</v>
      </c>
      <c r="P12" s="2">
        <f t="shared" si="5"/>
        <v>1403.6138841880413</v>
      </c>
    </row>
    <row r="13" spans="1:16" x14ac:dyDescent="0.25">
      <c r="A13" t="s">
        <v>220</v>
      </c>
      <c r="B13" t="s">
        <v>229</v>
      </c>
      <c r="C13" t="s">
        <v>225</v>
      </c>
      <c r="E13">
        <f>13*6.5</f>
        <v>84.5</v>
      </c>
      <c r="G13" s="2">
        <v>67.981774682892507</v>
      </c>
      <c r="H13" s="2">
        <f t="shared" si="0"/>
        <v>2163.9220359973424</v>
      </c>
      <c r="I13" s="3">
        <v>0.50301364509830804</v>
      </c>
      <c r="J13" s="2">
        <f t="shared" si="1"/>
        <v>1088.4823110355753</v>
      </c>
      <c r="K13" s="9">
        <f t="shared" si="2"/>
        <v>3.33524160950935</v>
      </c>
      <c r="L13" s="9">
        <f t="shared" si="3"/>
        <v>3.0368213756995184</v>
      </c>
      <c r="M13">
        <v>39.428977731867597</v>
      </c>
      <c r="N13" s="2">
        <f t="shared" si="4"/>
        <v>1255.0604065402215</v>
      </c>
      <c r="O13">
        <v>25.211247263369302</v>
      </c>
      <c r="P13" s="2">
        <f t="shared" si="5"/>
        <v>802.49704810826654</v>
      </c>
    </row>
    <row r="14" spans="1:16" x14ac:dyDescent="0.25">
      <c r="A14" t="s">
        <v>220</v>
      </c>
      <c r="B14" t="s">
        <v>229</v>
      </c>
      <c r="C14" t="s">
        <v>225</v>
      </c>
      <c r="E14">
        <f>17*6.5</f>
        <v>110.5</v>
      </c>
      <c r="G14" s="2">
        <v>55.172606211959497</v>
      </c>
      <c r="H14" s="2">
        <f t="shared" si="0"/>
        <v>1756.1944936325278</v>
      </c>
      <c r="I14" s="3">
        <v>0.64783700800331201</v>
      </c>
      <c r="J14" s="2">
        <f t="shared" si="1"/>
        <v>1137.7277862267883</v>
      </c>
      <c r="K14" s="9">
        <f t="shared" si="2"/>
        <v>3.2445726111338247</v>
      </c>
      <c r="L14" s="9">
        <f t="shared" si="3"/>
        <v>3.0560383647995617</v>
      </c>
      <c r="M14">
        <v>30.485072568558198</v>
      </c>
      <c r="N14" s="2">
        <f t="shared" si="4"/>
        <v>970.36772881837919</v>
      </c>
      <c r="O14">
        <v>22.3016406317901</v>
      </c>
      <c r="P14" s="2">
        <f t="shared" si="5"/>
        <v>709.88160910969248</v>
      </c>
    </row>
    <row r="15" spans="1:16" x14ac:dyDescent="0.25">
      <c r="A15" t="s">
        <v>220</v>
      </c>
      <c r="B15" t="s">
        <v>229</v>
      </c>
      <c r="C15" t="s">
        <v>226</v>
      </c>
      <c r="E15">
        <f>7*6.5</f>
        <v>45.5</v>
      </c>
      <c r="G15" s="2">
        <v>138.78865189869401</v>
      </c>
      <c r="H15" s="2">
        <f t="shared" si="0"/>
        <v>4417.7696682803034</v>
      </c>
      <c r="I15" s="3">
        <v>0.18282509858769599</v>
      </c>
      <c r="J15" s="2">
        <f t="shared" si="1"/>
        <v>807.67917514107955</v>
      </c>
      <c r="K15" s="9">
        <f t="shared" si="2"/>
        <v>3.6452030690721902</v>
      </c>
      <c r="L15" s="9">
        <f t="shared" si="3"/>
        <v>2.9072388853600835</v>
      </c>
      <c r="M15">
        <v>71.411515997359899</v>
      </c>
      <c r="N15" s="2">
        <f t="shared" si="4"/>
        <v>2273.0938374509774</v>
      </c>
      <c r="O15">
        <v>37.391752229643501</v>
      </c>
      <c r="P15" s="2">
        <f t="shared" si="5"/>
        <v>1190.2136564057646</v>
      </c>
    </row>
    <row r="16" spans="1:16" x14ac:dyDescent="0.25">
      <c r="A16" t="s">
        <v>220</v>
      </c>
      <c r="B16" t="s">
        <v>229</v>
      </c>
      <c r="C16" t="s">
        <v>226</v>
      </c>
      <c r="E16">
        <f>13*6.5</f>
        <v>84.5</v>
      </c>
      <c r="G16" s="2">
        <v>71.0182113397981</v>
      </c>
      <c r="H16" s="2">
        <f t="shared" si="0"/>
        <v>2260.574590648017</v>
      </c>
      <c r="I16" s="3">
        <v>0.46988878236662801</v>
      </c>
      <c r="J16" s="2">
        <f t="shared" si="1"/>
        <v>1062.2186418485353</v>
      </c>
      <c r="K16" s="9">
        <f t="shared" si="2"/>
        <v>3.3542188417274832</v>
      </c>
      <c r="L16" s="9">
        <f t="shared" si="3"/>
        <v>3.026213918981921</v>
      </c>
      <c r="M16">
        <v>44.511363482332698</v>
      </c>
      <c r="N16" s="2">
        <f t="shared" si="4"/>
        <v>1416.8373912125255</v>
      </c>
      <c r="O16">
        <v>24.036327305577199</v>
      </c>
      <c r="P16" s="2">
        <f t="shared" si="5"/>
        <v>765.09827175888722</v>
      </c>
    </row>
    <row r="17" spans="1:16" x14ac:dyDescent="0.25">
      <c r="A17" t="s">
        <v>220</v>
      </c>
      <c r="B17" t="s">
        <v>229</v>
      </c>
      <c r="C17" t="s">
        <v>226</v>
      </c>
      <c r="E17">
        <f>17*6.5</f>
        <v>110.5</v>
      </c>
      <c r="G17" s="2">
        <v>48.629564927689799</v>
      </c>
      <c r="H17" s="2">
        <f t="shared" si="0"/>
        <v>1547.9235080115163</v>
      </c>
      <c r="I17" s="3">
        <v>1.1010415010727901</v>
      </c>
      <c r="J17" s="2">
        <f t="shared" si="1"/>
        <v>1704.3280228068591</v>
      </c>
      <c r="K17" s="9">
        <f t="shared" si="2"/>
        <v>3.1897494958369941</v>
      </c>
      <c r="L17" s="9">
        <f t="shared" si="3"/>
        <v>3.2315531847880576</v>
      </c>
      <c r="M17">
        <v>29.976598348020399</v>
      </c>
      <c r="N17" s="2">
        <f t="shared" si="4"/>
        <v>954.18252953973774</v>
      </c>
      <c r="O17">
        <v>16.388357114580302</v>
      </c>
      <c r="P17" s="2">
        <f t="shared" si="5"/>
        <v>521.65638892858101</v>
      </c>
    </row>
    <row r="18" spans="1:16" x14ac:dyDescent="0.25">
      <c r="A18" t="s">
        <v>220</v>
      </c>
      <c r="B18" t="s">
        <v>229</v>
      </c>
      <c r="C18" t="s">
        <v>227</v>
      </c>
      <c r="E18">
        <f>7*6.5</f>
        <v>45.5</v>
      </c>
      <c r="G18" s="2">
        <v>108.346854648009</v>
      </c>
      <c r="H18" s="2">
        <f t="shared" si="0"/>
        <v>3448.779432391425</v>
      </c>
      <c r="I18" s="3">
        <v>0.28328468896175701</v>
      </c>
      <c r="J18" s="2">
        <f t="shared" si="1"/>
        <v>976.98640880270978</v>
      </c>
      <c r="K18" s="9">
        <f t="shared" si="2"/>
        <v>3.5376654198361051</v>
      </c>
      <c r="L18" s="9">
        <f t="shared" si="3"/>
        <v>2.9898885221394056</v>
      </c>
      <c r="M18">
        <v>51.110530814771799</v>
      </c>
      <c r="N18" s="2">
        <f t="shared" si="4"/>
        <v>1626.8949202562962</v>
      </c>
      <c r="O18">
        <v>25.189180250825899</v>
      </c>
      <c r="P18" s="2">
        <f t="shared" si="5"/>
        <v>801.79463492570346</v>
      </c>
    </row>
    <row r="19" spans="1:16" x14ac:dyDescent="0.25">
      <c r="A19" t="s">
        <v>220</v>
      </c>
      <c r="B19" t="s">
        <v>229</v>
      </c>
      <c r="C19" t="s">
        <v>227</v>
      </c>
      <c r="E19">
        <f>13*6.5</f>
        <v>84.5</v>
      </c>
      <c r="G19" s="2">
        <v>44.560075669653202</v>
      </c>
      <c r="H19" s="2">
        <f t="shared" si="0"/>
        <v>1418.3879446668323</v>
      </c>
      <c r="I19" s="3">
        <v>0.6834564814088</v>
      </c>
      <c r="J19" s="2">
        <f t="shared" si="1"/>
        <v>969.40643393465291</v>
      </c>
      <c r="K19" s="9">
        <f t="shared" si="2"/>
        <v>3.1517950314007281</v>
      </c>
      <c r="L19" s="9">
        <f t="shared" si="3"/>
        <v>2.9865058978016816</v>
      </c>
      <c r="M19">
        <v>27.024932200783699</v>
      </c>
      <c r="N19" s="2">
        <f t="shared" si="4"/>
        <v>860.22829770765532</v>
      </c>
      <c r="O19">
        <v>15.4359216782257</v>
      </c>
      <c r="P19" s="2">
        <f t="shared" si="5"/>
        <v>491.33949828831487</v>
      </c>
    </row>
    <row r="20" spans="1:16" x14ac:dyDescent="0.25">
      <c r="A20" t="s">
        <v>220</v>
      </c>
      <c r="B20" t="s">
        <v>229</v>
      </c>
      <c r="C20" t="s">
        <v>227</v>
      </c>
      <c r="E20">
        <f>17*6.5</f>
        <v>110.5</v>
      </c>
      <c r="G20" s="2">
        <v>34.283292682517903</v>
      </c>
      <c r="H20" s="2">
        <f t="shared" si="0"/>
        <v>1091.2685473172239</v>
      </c>
      <c r="I20" s="3">
        <v>1.37055772541235</v>
      </c>
      <c r="J20" s="2">
        <f t="shared" si="1"/>
        <v>1495.6465380251339</v>
      </c>
      <c r="K20" s="9">
        <f t="shared" si="2"/>
        <v>3.0379316380919281</v>
      </c>
      <c r="L20" s="9">
        <f t="shared" si="3"/>
        <v>3.1748289700506955</v>
      </c>
      <c r="M20">
        <v>25.187342205200899</v>
      </c>
      <c r="N20" s="2">
        <f t="shared" si="4"/>
        <v>801.73612825314808</v>
      </c>
      <c r="O20">
        <v>7.7990732801232001</v>
      </c>
      <c r="P20" s="2">
        <f t="shared" si="5"/>
        <v>248.25163229320091</v>
      </c>
    </row>
    <row r="21" spans="1:16" x14ac:dyDescent="0.25">
      <c r="B21" t="s">
        <v>232</v>
      </c>
      <c r="J21" s="2"/>
      <c r="K21" s="9"/>
      <c r="L21" s="9"/>
    </row>
    <row r="22" spans="1:16" x14ac:dyDescent="0.25">
      <c r="A22" t="s">
        <v>231</v>
      </c>
      <c r="B22" s="14" t="s">
        <v>233</v>
      </c>
      <c r="C22" t="s">
        <v>174</v>
      </c>
      <c r="H22" s="2">
        <v>4781.9551846173499</v>
      </c>
      <c r="I22" s="3">
        <v>6.8280255279972293E-2</v>
      </c>
      <c r="J22" s="2">
        <f t="shared" si="1"/>
        <v>326.51312074305969</v>
      </c>
      <c r="K22" s="9">
        <f t="shared" ref="K22:K29" si="6">LOG10(H22)</f>
        <v>3.6796055016909666</v>
      </c>
      <c r="L22" s="9">
        <f t="shared" si="3"/>
        <v>2.5139006378371782</v>
      </c>
    </row>
    <row r="23" spans="1:16" x14ac:dyDescent="0.25">
      <c r="A23" t="s">
        <v>231</v>
      </c>
      <c r="B23" s="14" t="s">
        <v>233</v>
      </c>
      <c r="C23" t="s">
        <v>174</v>
      </c>
      <c r="H23" s="2">
        <v>3734.3974041362098</v>
      </c>
      <c r="I23" s="3">
        <v>0.15338715242398099</v>
      </c>
      <c r="J23" s="2">
        <f t="shared" si="1"/>
        <v>572.80858383995974</v>
      </c>
      <c r="K23" s="9">
        <f t="shared" si="6"/>
        <v>3.5722205324775</v>
      </c>
      <c r="L23" s="9">
        <f t="shared" si="3"/>
        <v>2.7580095174813555</v>
      </c>
    </row>
    <row r="24" spans="1:16" x14ac:dyDescent="0.25">
      <c r="A24" t="s">
        <v>231</v>
      </c>
      <c r="B24" t="s">
        <v>234</v>
      </c>
      <c r="C24" t="s">
        <v>174</v>
      </c>
      <c r="H24" s="2">
        <v>4899.6827151712796</v>
      </c>
      <c r="I24" s="3">
        <v>6.2211882565236201E-2</v>
      </c>
      <c r="J24" s="2">
        <f t="shared" si="1"/>
        <v>304.81848568315331</v>
      </c>
      <c r="K24" s="9">
        <f t="shared" si="6"/>
        <v>3.690167957679177</v>
      </c>
      <c r="L24" s="9">
        <f t="shared" si="3"/>
        <v>2.4840413012067599</v>
      </c>
    </row>
    <row r="25" spans="1:16" x14ac:dyDescent="0.25">
      <c r="A25" t="s">
        <v>231</v>
      </c>
      <c r="B25" t="s">
        <v>234</v>
      </c>
      <c r="C25" t="s">
        <v>174</v>
      </c>
      <c r="H25" s="2">
        <v>3471.6278565366401</v>
      </c>
      <c r="I25" s="3">
        <v>0.15907656634466999</v>
      </c>
      <c r="J25" s="2">
        <f t="shared" si="1"/>
        <v>552.25463904435526</v>
      </c>
      <c r="K25" s="9">
        <f t="shared" si="6"/>
        <v>3.5405331645128708</v>
      </c>
      <c r="L25" s="9">
        <f t="shared" si="3"/>
        <v>2.7421393727153203</v>
      </c>
    </row>
    <row r="26" spans="1:16" x14ac:dyDescent="0.25">
      <c r="A26" t="s">
        <v>231</v>
      </c>
      <c r="B26" t="s">
        <v>235</v>
      </c>
      <c r="C26" t="s">
        <v>237</v>
      </c>
      <c r="H26" s="2">
        <v>4216.9650342858204</v>
      </c>
      <c r="I26" s="3">
        <v>4.7402047245561803E-2</v>
      </c>
      <c r="J26" s="2">
        <f t="shared" si="1"/>
        <v>199.89277578809862</v>
      </c>
      <c r="K26" s="9">
        <f t="shared" si="6"/>
        <v>3.625</v>
      </c>
      <c r="L26" s="9">
        <f t="shared" si="3"/>
        <v>2.3007970988101714</v>
      </c>
    </row>
    <row r="27" spans="1:16" x14ac:dyDescent="0.25">
      <c r="A27" t="s">
        <v>231</v>
      </c>
      <c r="B27" t="s">
        <v>235</v>
      </c>
      <c r="C27" t="s">
        <v>237</v>
      </c>
      <c r="H27" s="2">
        <v>2487.9023672388298</v>
      </c>
      <c r="I27" s="3">
        <v>0.14298747269749801</v>
      </c>
      <c r="J27" s="2">
        <f t="shared" si="1"/>
        <v>355.73887180960281</v>
      </c>
      <c r="K27" s="9">
        <f t="shared" si="6"/>
        <v>3.3958333333333321</v>
      </c>
      <c r="L27" s="9">
        <f t="shared" si="3"/>
        <v>2.5511313234091015</v>
      </c>
    </row>
    <row r="28" spans="1:16" x14ac:dyDescent="0.25">
      <c r="A28" t="s">
        <v>231</v>
      </c>
      <c r="B28" t="s">
        <v>236</v>
      </c>
      <c r="C28" t="s">
        <v>237</v>
      </c>
      <c r="H28" s="2">
        <v>3846.5328385847201</v>
      </c>
      <c r="I28" s="3">
        <v>4.7792765473426403E-2</v>
      </c>
      <c r="J28" s="2">
        <f t="shared" si="1"/>
        <v>183.83644184031266</v>
      </c>
      <c r="K28" s="9">
        <f t="shared" si="6"/>
        <v>3.5850694444444433</v>
      </c>
      <c r="L28" s="9">
        <f t="shared" si="3"/>
        <v>2.2644316056432068</v>
      </c>
    </row>
    <row r="29" spans="1:16" x14ac:dyDescent="0.25">
      <c r="A29" t="s">
        <v>231</v>
      </c>
      <c r="B29" t="s">
        <v>236</v>
      </c>
      <c r="C29" t="s">
        <v>237</v>
      </c>
      <c r="H29" s="2">
        <v>2352.4899554743602</v>
      </c>
      <c r="I29" s="3">
        <v>0.13444975716427701</v>
      </c>
      <c r="J29" s="2">
        <f t="shared" si="1"/>
        <v>316.29170324492856</v>
      </c>
      <c r="K29" s="9">
        <f t="shared" si="6"/>
        <v>3.3715277777777763</v>
      </c>
      <c r="L29" s="9">
        <f t="shared" si="3"/>
        <v>2.5000877999391067</v>
      </c>
    </row>
    <row r="30" spans="1:16" x14ac:dyDescent="0.25">
      <c r="B30" t="s">
        <v>238</v>
      </c>
      <c r="K30" s="9"/>
      <c r="L30" s="9"/>
    </row>
    <row r="31" spans="1:16" x14ac:dyDescent="0.25">
      <c r="A31" t="s">
        <v>246</v>
      </c>
      <c r="B31" t="s">
        <v>241</v>
      </c>
      <c r="C31" t="s">
        <v>239</v>
      </c>
      <c r="D31">
        <v>1</v>
      </c>
      <c r="E31">
        <f>31+28+8</f>
        <v>67</v>
      </c>
      <c r="F31">
        <f>8</f>
        <v>8</v>
      </c>
      <c r="G31" s="2">
        <v>810.14593951495999</v>
      </c>
      <c r="H31" s="2">
        <f>G31/(0.3*0.4)</f>
        <v>6751.216162624667</v>
      </c>
      <c r="I31" s="4">
        <v>1.5930182627992201E-2</v>
      </c>
      <c r="J31" s="2">
        <f>H31*I31</f>
        <v>107.54810643166364</v>
      </c>
      <c r="K31" s="9">
        <f t="shared" ref="K31:K45" si="7">LOG10(H31)</f>
        <v>3.8293820135927543</v>
      </c>
      <c r="L31" s="9">
        <f t="shared" ref="L31:L45" si="8">LOG10(J31)</f>
        <v>2.0316027682937361</v>
      </c>
    </row>
    <row r="32" spans="1:16" x14ac:dyDescent="0.25">
      <c r="A32" t="s">
        <v>246</v>
      </c>
      <c r="B32" t="s">
        <v>241</v>
      </c>
      <c r="C32" t="s">
        <v>239</v>
      </c>
      <c r="D32">
        <v>1</v>
      </c>
      <c r="E32">
        <f t="shared" ref="E32:E33" si="9">31+28+8</f>
        <v>67</v>
      </c>
      <c r="F32">
        <f>8</f>
        <v>8</v>
      </c>
      <c r="G32" s="2">
        <v>755.89288952703998</v>
      </c>
      <c r="H32" s="2">
        <f t="shared" ref="H32:H60" si="10">G32/(0.3*0.4)</f>
        <v>6299.1074127253332</v>
      </c>
      <c r="I32" s="4">
        <v>1.7514238998269101E-2</v>
      </c>
      <c r="J32" s="2">
        <f t="shared" ref="J32:J45" si="11">H32*I32</f>
        <v>110.32407270224</v>
      </c>
      <c r="K32" s="9">
        <f t="shared" si="7"/>
        <v>3.7992790140263559</v>
      </c>
      <c r="L32" s="9">
        <f t="shared" si="8"/>
        <v>2.0426702857952534</v>
      </c>
    </row>
    <row r="33" spans="1:12" x14ac:dyDescent="0.25">
      <c r="A33" t="s">
        <v>246</v>
      </c>
      <c r="B33" t="s">
        <v>241</v>
      </c>
      <c r="C33" t="s">
        <v>239</v>
      </c>
      <c r="D33">
        <v>1</v>
      </c>
      <c r="E33">
        <f t="shared" si="9"/>
        <v>67</v>
      </c>
      <c r="F33">
        <f>8</f>
        <v>8</v>
      </c>
      <c r="G33" s="2">
        <v>799.99999999999795</v>
      </c>
      <c r="H33" s="2">
        <f t="shared" si="10"/>
        <v>6666.6666666666497</v>
      </c>
      <c r="I33" s="4">
        <v>1.8656848423530801E-2</v>
      </c>
      <c r="J33" s="2">
        <f t="shared" si="11"/>
        <v>124.37898949020503</v>
      </c>
      <c r="K33" s="9">
        <f t="shared" si="7"/>
        <v>3.8239087409443178</v>
      </c>
      <c r="L33" s="9">
        <f t="shared" si="8"/>
        <v>2.0947470240918267</v>
      </c>
    </row>
    <row r="34" spans="1:12" x14ac:dyDescent="0.25">
      <c r="A34" t="s">
        <v>246</v>
      </c>
      <c r="B34" t="s">
        <v>241</v>
      </c>
      <c r="C34" t="s">
        <v>239</v>
      </c>
      <c r="D34">
        <v>2</v>
      </c>
      <c r="E34">
        <f>31+28+30</f>
        <v>89</v>
      </c>
      <c r="F34">
        <f>30</f>
        <v>30</v>
      </c>
      <c r="G34" s="2">
        <v>692.06574169237194</v>
      </c>
      <c r="H34" s="2">
        <f t="shared" si="10"/>
        <v>5767.2145141030996</v>
      </c>
      <c r="I34" s="4">
        <v>4.7539438903639701E-2</v>
      </c>
      <c r="J34" s="2">
        <f t="shared" si="11"/>
        <v>274.17014203738842</v>
      </c>
      <c r="K34" s="9">
        <f t="shared" si="7"/>
        <v>3.760966105487304</v>
      </c>
      <c r="L34" s="9">
        <f t="shared" si="8"/>
        <v>2.4380201570382551</v>
      </c>
    </row>
    <row r="35" spans="1:12" x14ac:dyDescent="0.25">
      <c r="A35" t="s">
        <v>246</v>
      </c>
      <c r="B35" t="s">
        <v>241</v>
      </c>
      <c r="C35" t="s">
        <v>239</v>
      </c>
      <c r="D35">
        <v>2</v>
      </c>
      <c r="E35">
        <f t="shared" ref="E35:E36" si="12">31+28+30</f>
        <v>89</v>
      </c>
      <c r="F35">
        <f>30</f>
        <v>30</v>
      </c>
      <c r="G35" s="2">
        <v>625.69281854761402</v>
      </c>
      <c r="H35" s="2">
        <f t="shared" si="10"/>
        <v>5214.106821230117</v>
      </c>
      <c r="I35" s="4">
        <v>4.6942330768467898E-2</v>
      </c>
      <c r="J35" s="2">
        <f t="shared" si="11"/>
        <v>244.76232706430886</v>
      </c>
      <c r="K35" s="9">
        <f t="shared" si="7"/>
        <v>3.7171799242998151</v>
      </c>
      <c r="L35" s="9">
        <f t="shared" si="8"/>
        <v>2.3887445735750448</v>
      </c>
    </row>
    <row r="36" spans="1:12" x14ac:dyDescent="0.25">
      <c r="A36" t="s">
        <v>246</v>
      </c>
      <c r="B36" t="s">
        <v>241</v>
      </c>
      <c r="C36" t="s">
        <v>239</v>
      </c>
      <c r="D36">
        <v>2</v>
      </c>
      <c r="E36">
        <f t="shared" si="12"/>
        <v>89</v>
      </c>
      <c r="F36">
        <f>30</f>
        <v>30</v>
      </c>
      <c r="G36" s="2">
        <v>587.48232791340195</v>
      </c>
      <c r="H36" s="2">
        <f t="shared" si="10"/>
        <v>4895.6860659450167</v>
      </c>
      <c r="I36" s="4">
        <v>7.7338552461963195E-2</v>
      </c>
      <c r="J36" s="2">
        <f t="shared" si="11"/>
        <v>378.62527364839087</v>
      </c>
      <c r="K36" s="9">
        <f t="shared" si="7"/>
        <v>3.6898135610576359</v>
      </c>
      <c r="L36" s="9">
        <f t="shared" si="8"/>
        <v>2.5782096002238917</v>
      </c>
    </row>
    <row r="37" spans="1:12" x14ac:dyDescent="0.25">
      <c r="A37" t="s">
        <v>246</v>
      </c>
      <c r="B37" t="s">
        <v>241</v>
      </c>
      <c r="C37" t="s">
        <v>239</v>
      </c>
      <c r="D37">
        <v>3</v>
      </c>
      <c r="E37">
        <f>31+28+40</f>
        <v>99</v>
      </c>
      <c r="F37">
        <f>40</f>
        <v>40</v>
      </c>
      <c r="G37" s="2">
        <v>385.15910901246502</v>
      </c>
      <c r="H37" s="2">
        <f t="shared" si="10"/>
        <v>3209.6592417705419</v>
      </c>
      <c r="I37" s="4">
        <v>6.8155673915552606E-2</v>
      </c>
      <c r="J37" s="2">
        <f t="shared" si="11"/>
        <v>218.75648866215289</v>
      </c>
      <c r="K37" s="9">
        <f t="shared" si="7"/>
        <v>3.5064589273350291</v>
      </c>
      <c r="L37" s="9">
        <f t="shared" si="8"/>
        <v>2.3399609437440629</v>
      </c>
    </row>
    <row r="38" spans="1:12" x14ac:dyDescent="0.25">
      <c r="A38" t="s">
        <v>246</v>
      </c>
      <c r="B38" t="s">
        <v>241</v>
      </c>
      <c r="C38" t="s">
        <v>239</v>
      </c>
      <c r="D38">
        <v>3</v>
      </c>
      <c r="E38">
        <f t="shared" ref="E38:E39" si="13">31+28+40</f>
        <v>99</v>
      </c>
      <c r="F38">
        <f>40</f>
        <v>40</v>
      </c>
      <c r="G38" s="2">
        <v>489.36437897757298</v>
      </c>
      <c r="H38" s="2">
        <f t="shared" si="10"/>
        <v>4078.0364914797751</v>
      </c>
      <c r="I38" s="4">
        <v>9.5877318209567602E-2</v>
      </c>
      <c r="J38" s="2">
        <f t="shared" si="11"/>
        <v>390.99120236383504</v>
      </c>
      <c r="K38" s="9">
        <f t="shared" si="7"/>
        <v>3.610451107655313</v>
      </c>
      <c r="L38" s="9">
        <f t="shared" si="8"/>
        <v>2.5921669855088458</v>
      </c>
    </row>
    <row r="39" spans="1:12" x14ac:dyDescent="0.25">
      <c r="A39" t="s">
        <v>246</v>
      </c>
      <c r="B39" t="s">
        <v>241</v>
      </c>
      <c r="C39" t="s">
        <v>239</v>
      </c>
      <c r="D39">
        <v>3</v>
      </c>
      <c r="E39">
        <f t="shared" si="13"/>
        <v>99</v>
      </c>
      <c r="F39">
        <f>40</f>
        <v>40</v>
      </c>
      <c r="G39" s="2">
        <v>548.14039388804895</v>
      </c>
      <c r="H39" s="2">
        <f t="shared" si="10"/>
        <v>4567.8366157337414</v>
      </c>
      <c r="I39" s="4">
        <v>0.11662767370487299</v>
      </c>
      <c r="J39" s="2">
        <f t="shared" si="11"/>
        <v>532.73615835696614</v>
      </c>
      <c r="K39" s="9">
        <f t="shared" si="7"/>
        <v>3.6597105614912375</v>
      </c>
      <c r="L39" s="9">
        <f t="shared" si="8"/>
        <v>2.7265121746184624</v>
      </c>
    </row>
    <row r="40" spans="1:12" x14ac:dyDescent="0.25">
      <c r="A40" t="s">
        <v>246</v>
      </c>
      <c r="B40" t="s">
        <v>241</v>
      </c>
      <c r="C40" t="s">
        <v>239</v>
      </c>
      <c r="D40">
        <v>4</v>
      </c>
      <c r="E40">
        <f>31+28+53</f>
        <v>112</v>
      </c>
      <c r="F40">
        <f>53</f>
        <v>53</v>
      </c>
      <c r="G40" s="2">
        <v>382.73972197410097</v>
      </c>
      <c r="H40" s="2">
        <f t="shared" si="10"/>
        <v>3189.4976831175081</v>
      </c>
      <c r="I40" s="4">
        <v>0.12037190087336901</v>
      </c>
      <c r="J40" s="2">
        <f t="shared" si="11"/>
        <v>383.92589894806082</v>
      </c>
      <c r="K40" s="9">
        <f t="shared" si="7"/>
        <v>3.5037222910108099</v>
      </c>
      <c r="L40" s="9">
        <f t="shared" si="8"/>
        <v>2.5842474098273405</v>
      </c>
    </row>
    <row r="41" spans="1:12" x14ac:dyDescent="0.25">
      <c r="A41" t="s">
        <v>246</v>
      </c>
      <c r="B41" t="s">
        <v>241</v>
      </c>
      <c r="C41" t="s">
        <v>239</v>
      </c>
      <c r="D41">
        <v>4</v>
      </c>
      <c r="E41">
        <f t="shared" ref="E41:E42" si="14">31+28+53</f>
        <v>112</v>
      </c>
      <c r="F41">
        <f>53</f>
        <v>53</v>
      </c>
      <c r="G41" s="2">
        <v>407.63353046324499</v>
      </c>
      <c r="H41" s="2">
        <f t="shared" si="10"/>
        <v>3396.9460871937085</v>
      </c>
      <c r="I41" s="4">
        <v>0.130679129736257</v>
      </c>
      <c r="J41" s="2">
        <f t="shared" si="11"/>
        <v>443.90995843545721</v>
      </c>
      <c r="K41" s="9">
        <f t="shared" si="7"/>
        <v>3.5310886542529905</v>
      </c>
      <c r="L41" s="9">
        <f t="shared" si="8"/>
        <v>2.6472948878617171</v>
      </c>
    </row>
    <row r="42" spans="1:12" x14ac:dyDescent="0.25">
      <c r="A42" t="s">
        <v>246</v>
      </c>
      <c r="B42" t="s">
        <v>241</v>
      </c>
      <c r="C42" t="s">
        <v>239</v>
      </c>
      <c r="D42">
        <v>4</v>
      </c>
      <c r="E42">
        <f t="shared" si="14"/>
        <v>112</v>
      </c>
      <c r="F42">
        <f>53</f>
        <v>53</v>
      </c>
      <c r="G42" s="2">
        <v>373.21319661472199</v>
      </c>
      <c r="H42" s="2">
        <f t="shared" si="10"/>
        <v>3110.1099717893499</v>
      </c>
      <c r="I42" s="4">
        <v>0.12985585392252399</v>
      </c>
      <c r="J42" s="2">
        <f t="shared" si="11"/>
        <v>403.86598617966303</v>
      </c>
      <c r="K42" s="9">
        <f t="shared" si="7"/>
        <v>3.4927757457139381</v>
      </c>
      <c r="L42" s="9">
        <f t="shared" si="8"/>
        <v>2.6062372781848011</v>
      </c>
    </row>
    <row r="43" spans="1:12" x14ac:dyDescent="0.25">
      <c r="A43" t="s">
        <v>246</v>
      </c>
      <c r="B43" t="s">
        <v>241</v>
      </c>
      <c r="C43" t="s">
        <v>239</v>
      </c>
      <c r="D43">
        <v>5</v>
      </c>
      <c r="E43">
        <f>31+28+64</f>
        <v>123</v>
      </c>
      <c r="F43">
        <f>64</f>
        <v>64</v>
      </c>
      <c r="G43" s="2">
        <v>387.59378956050398</v>
      </c>
      <c r="H43" s="2">
        <f t="shared" si="10"/>
        <v>3229.9482463375334</v>
      </c>
      <c r="I43" s="4">
        <v>0.145501058562612</v>
      </c>
      <c r="J43" s="2">
        <f t="shared" si="11"/>
        <v>469.96088894456341</v>
      </c>
      <c r="K43" s="9">
        <f t="shared" si="7"/>
        <v>3.5091955636592465</v>
      </c>
      <c r="L43" s="9">
        <f t="shared" si="8"/>
        <v>2.6720617166116112</v>
      </c>
    </row>
    <row r="44" spans="1:12" x14ac:dyDescent="0.25">
      <c r="A44" t="s">
        <v>246</v>
      </c>
      <c r="B44" t="s">
        <v>241</v>
      </c>
      <c r="C44" t="s">
        <v>239</v>
      </c>
      <c r="D44">
        <v>5</v>
      </c>
      <c r="E44">
        <f t="shared" ref="E44:E45" si="15">31+28+64</f>
        <v>123</v>
      </c>
      <c r="F44">
        <f>64</f>
        <v>64</v>
      </c>
      <c r="G44" s="2">
        <v>322.86008465568602</v>
      </c>
      <c r="H44" s="2">
        <f t="shared" si="10"/>
        <v>2690.5007054640505</v>
      </c>
      <c r="I44" s="4">
        <v>0.13318040677234</v>
      </c>
      <c r="J44" s="2">
        <f t="shared" si="11"/>
        <v>358.32197837497</v>
      </c>
      <c r="K44" s="9">
        <f t="shared" si="7"/>
        <v>3.4298331102569244</v>
      </c>
      <c r="L44" s="9">
        <f t="shared" si="8"/>
        <v>2.5542734472792321</v>
      </c>
    </row>
    <row r="45" spans="1:12" x14ac:dyDescent="0.25">
      <c r="A45" t="s">
        <v>246</v>
      </c>
      <c r="B45" t="s">
        <v>241</v>
      </c>
      <c r="C45" t="s">
        <v>239</v>
      </c>
      <c r="D45">
        <v>5</v>
      </c>
      <c r="E45">
        <f t="shared" si="15"/>
        <v>123</v>
      </c>
      <c r="F45">
        <f>64</f>
        <v>64</v>
      </c>
      <c r="G45" s="2">
        <v>149.673434632566</v>
      </c>
      <c r="H45" s="2">
        <f t="shared" si="10"/>
        <v>1247.27862193805</v>
      </c>
      <c r="I45" s="4">
        <v>0.29530627836711598</v>
      </c>
      <c r="J45" s="2">
        <f t="shared" si="11"/>
        <v>368.32920793139061</v>
      </c>
      <c r="K45" s="9">
        <f t="shared" si="7"/>
        <v>3.095963478702326</v>
      </c>
      <c r="L45" s="9">
        <f t="shared" si="8"/>
        <v>2.5662361590951339</v>
      </c>
    </row>
    <row r="46" spans="1:12" x14ac:dyDescent="0.25">
      <c r="A46" t="s">
        <v>246</v>
      </c>
      <c r="B46" t="s">
        <v>241</v>
      </c>
      <c r="C46" t="s">
        <v>240</v>
      </c>
      <c r="D46">
        <v>6</v>
      </c>
      <c r="E46">
        <f>31+28+8</f>
        <v>67</v>
      </c>
      <c r="F46">
        <f>8</f>
        <v>8</v>
      </c>
      <c r="G46" s="2">
        <v>879.30497804734603</v>
      </c>
      <c r="H46" s="2">
        <f t="shared" si="10"/>
        <v>7327.541483727884</v>
      </c>
      <c r="I46" s="4">
        <v>1.8422513390823701E-2</v>
      </c>
      <c r="J46" s="2">
        <f t="shared" ref="J46:J60" si="16">H46*I46</f>
        <v>134.99173110579312</v>
      </c>
      <c r="K46" s="9">
        <f t="shared" ref="K46:K60" si="17">LOG10(H46)</f>
        <v>3.8649582858075884</v>
      </c>
      <c r="L46" s="9">
        <f t="shared" ref="L46:L60" si="18">LOG10(J46)</f>
        <v>2.1303071666793736</v>
      </c>
    </row>
    <row r="47" spans="1:12" x14ac:dyDescent="0.25">
      <c r="A47" t="s">
        <v>246</v>
      </c>
      <c r="B47" t="s">
        <v>241</v>
      </c>
      <c r="C47" t="s">
        <v>240</v>
      </c>
      <c r="D47">
        <v>6</v>
      </c>
      <c r="E47">
        <f t="shared" ref="E47:E48" si="19">31+28+8</f>
        <v>67</v>
      </c>
      <c r="F47">
        <f>8</f>
        <v>8</v>
      </c>
      <c r="G47" s="2">
        <v>890.45669695043705</v>
      </c>
      <c r="H47" s="2">
        <f t="shared" si="10"/>
        <v>7420.4724745869753</v>
      </c>
      <c r="I47" s="4">
        <v>2.8134801609727499E-2</v>
      </c>
      <c r="J47" s="2">
        <f t="shared" si="16"/>
        <v>208.77352092294822</v>
      </c>
      <c r="K47" s="9">
        <f t="shared" si="17"/>
        <v>3.8704315584560245</v>
      </c>
      <c r="L47" s="9">
        <f t="shared" si="18"/>
        <v>2.3196754155645047</v>
      </c>
    </row>
    <row r="48" spans="1:12" x14ac:dyDescent="0.25">
      <c r="A48" t="s">
        <v>246</v>
      </c>
      <c r="B48" t="s">
        <v>241</v>
      </c>
      <c r="C48" t="s">
        <v>240</v>
      </c>
      <c r="D48">
        <v>6</v>
      </c>
      <c r="E48">
        <f t="shared" si="19"/>
        <v>67</v>
      </c>
      <c r="F48">
        <f>8</f>
        <v>8</v>
      </c>
      <c r="G48" s="2">
        <v>810.14593951495999</v>
      </c>
      <c r="H48" s="2">
        <f t="shared" si="10"/>
        <v>6751.216162624667</v>
      </c>
      <c r="I48" s="4">
        <v>2.7606398559408898E-2</v>
      </c>
      <c r="J48" s="2">
        <f t="shared" si="16"/>
        <v>186.37676414613969</v>
      </c>
      <c r="K48" s="9">
        <f t="shared" si="17"/>
        <v>3.8293820135927543</v>
      </c>
      <c r="L48" s="9">
        <f t="shared" si="18"/>
        <v>2.2703917672876517</v>
      </c>
    </row>
    <row r="49" spans="1:12" x14ac:dyDescent="0.25">
      <c r="A49" t="s">
        <v>246</v>
      </c>
      <c r="B49" t="s">
        <v>241</v>
      </c>
      <c r="C49" t="s">
        <v>240</v>
      </c>
      <c r="D49">
        <v>7</v>
      </c>
      <c r="E49">
        <f>31+28+30</f>
        <v>89</v>
      </c>
      <c r="F49">
        <f>30</f>
        <v>30</v>
      </c>
      <c r="G49" s="2">
        <v>670.60095861886998</v>
      </c>
      <c r="H49" s="2">
        <f t="shared" si="10"/>
        <v>5588.3413218239166</v>
      </c>
      <c r="I49" s="4">
        <v>6.3177960613276005E-2</v>
      </c>
      <c r="J49" s="2">
        <f t="shared" si="16"/>
        <v>353.06000792373419</v>
      </c>
      <c r="K49" s="9">
        <f t="shared" si="17"/>
        <v>3.747282923866214</v>
      </c>
      <c r="L49" s="9">
        <f t="shared" si="18"/>
        <v>2.5478485266209145</v>
      </c>
    </row>
    <row r="50" spans="1:12" x14ac:dyDescent="0.25">
      <c r="A50" t="s">
        <v>246</v>
      </c>
      <c r="B50" t="s">
        <v>241</v>
      </c>
      <c r="C50" t="s">
        <v>240</v>
      </c>
      <c r="D50">
        <v>7</v>
      </c>
      <c r="E50">
        <f t="shared" ref="E50:E51" si="20">31+28+30</f>
        <v>89</v>
      </c>
      <c r="F50">
        <f>30</f>
        <v>30</v>
      </c>
      <c r="G50" s="2">
        <v>489.36437897757298</v>
      </c>
      <c r="H50" s="2">
        <f t="shared" si="10"/>
        <v>4078.0364914797751</v>
      </c>
      <c r="I50" s="4">
        <v>6.2779940768494302E-2</v>
      </c>
      <c r="J50" s="2">
        <f t="shared" si="16"/>
        <v>256.01888938685858</v>
      </c>
      <c r="K50" s="9">
        <f t="shared" si="17"/>
        <v>3.610451107655313</v>
      </c>
      <c r="L50" s="9">
        <f t="shared" si="18"/>
        <v>2.4082720092721526</v>
      </c>
    </row>
    <row r="51" spans="1:12" x14ac:dyDescent="0.25">
      <c r="A51" t="s">
        <v>246</v>
      </c>
      <c r="B51" t="s">
        <v>241</v>
      </c>
      <c r="C51" t="s">
        <v>240</v>
      </c>
      <c r="D51">
        <v>7</v>
      </c>
      <c r="E51">
        <f t="shared" si="20"/>
        <v>89</v>
      </c>
      <c r="F51">
        <f>30</f>
        <v>30</v>
      </c>
      <c r="G51" s="2">
        <v>295.59797035517198</v>
      </c>
      <c r="H51" s="2">
        <f t="shared" si="10"/>
        <v>2463.3164196264333</v>
      </c>
      <c r="I51" s="4">
        <v>8.8874969398084994E-2</v>
      </c>
      <c r="J51" s="2">
        <f t="shared" si="16"/>
        <v>218.92717141209957</v>
      </c>
      <c r="K51" s="9">
        <f t="shared" si="17"/>
        <v>3.3915202017178725</v>
      </c>
      <c r="L51" s="9">
        <f t="shared" si="18"/>
        <v>2.3402996659170721</v>
      </c>
    </row>
    <row r="52" spans="1:12" x14ac:dyDescent="0.25">
      <c r="A52" t="s">
        <v>246</v>
      </c>
      <c r="B52" t="s">
        <v>241</v>
      </c>
      <c r="C52" t="s">
        <v>240</v>
      </c>
      <c r="D52">
        <v>8</v>
      </c>
      <c r="E52">
        <f>31+28+40</f>
        <v>99</v>
      </c>
      <c r="F52">
        <f>40</f>
        <v>40</v>
      </c>
      <c r="G52" s="2">
        <v>228.29655523449799</v>
      </c>
      <c r="H52" s="2">
        <f t="shared" si="10"/>
        <v>1902.4712936208166</v>
      </c>
      <c r="I52" s="4">
        <v>0.19831543125878601</v>
      </c>
      <c r="J52" s="2">
        <f t="shared" si="16"/>
        <v>377.28941505187277</v>
      </c>
      <c r="K52" s="9">
        <f t="shared" si="17"/>
        <v>3.2793181124249329</v>
      </c>
      <c r="L52" s="9">
        <f t="shared" si="18"/>
        <v>2.57667462113249</v>
      </c>
    </row>
    <row r="53" spans="1:12" x14ac:dyDescent="0.25">
      <c r="A53" t="s">
        <v>246</v>
      </c>
      <c r="B53" t="s">
        <v>241</v>
      </c>
      <c r="C53" t="s">
        <v>240</v>
      </c>
      <c r="D53">
        <v>8</v>
      </c>
      <c r="E53">
        <f t="shared" ref="E53:E54" si="21">31+28+40</f>
        <v>99</v>
      </c>
      <c r="F53">
        <f>40</f>
        <v>40</v>
      </c>
      <c r="G53" s="2">
        <v>258.95964137658001</v>
      </c>
      <c r="H53" s="2">
        <f t="shared" si="10"/>
        <v>2157.9970114715002</v>
      </c>
      <c r="I53" s="4">
        <v>0.27722070842832303</v>
      </c>
      <c r="J53" s="2">
        <f t="shared" si="16"/>
        <v>598.24146030633324</v>
      </c>
      <c r="K53" s="9">
        <f t="shared" si="17"/>
        <v>3.3340508389092944</v>
      </c>
      <c r="L53" s="9">
        <f t="shared" si="18"/>
        <v>2.7768765079234909</v>
      </c>
    </row>
    <row r="54" spans="1:12" x14ac:dyDescent="0.25">
      <c r="A54" t="s">
        <v>246</v>
      </c>
      <c r="B54" t="s">
        <v>241</v>
      </c>
      <c r="C54" t="s">
        <v>240</v>
      </c>
      <c r="D54">
        <v>8</v>
      </c>
      <c r="E54">
        <f t="shared" si="21"/>
        <v>99</v>
      </c>
      <c r="F54">
        <f>40</f>
        <v>40</v>
      </c>
      <c r="G54" s="2">
        <v>200</v>
      </c>
      <c r="H54" s="2">
        <f t="shared" si="10"/>
        <v>1666.6666666666667</v>
      </c>
      <c r="I54" s="4">
        <v>0.22789769556342801</v>
      </c>
      <c r="J54" s="2">
        <f t="shared" si="16"/>
        <v>379.82949260571337</v>
      </c>
      <c r="K54" s="9">
        <f t="shared" si="17"/>
        <v>3.2218487496163566</v>
      </c>
      <c r="L54" s="9">
        <f t="shared" si="18"/>
        <v>2.5795886833568593</v>
      </c>
    </row>
    <row r="55" spans="1:12" x14ac:dyDescent="0.25">
      <c r="A55" t="s">
        <v>246</v>
      </c>
      <c r="B55" t="s">
        <v>241</v>
      </c>
      <c r="C55" t="s">
        <v>240</v>
      </c>
      <c r="D55">
        <v>9</v>
      </c>
      <c r="E55">
        <f>31+28+53</f>
        <v>112</v>
      </c>
      <c r="F55">
        <f>53</f>
        <v>53</v>
      </c>
      <c r="G55" s="2">
        <v>202.53648487874</v>
      </c>
      <c r="H55" s="2">
        <f t="shared" si="10"/>
        <v>1687.8040406561668</v>
      </c>
      <c r="I55" s="4">
        <v>0.29717849674833702</v>
      </c>
      <c r="J55" s="2">
        <f t="shared" si="16"/>
        <v>501.57906760796874</v>
      </c>
      <c r="K55" s="9">
        <f t="shared" si="17"/>
        <v>3.2273220222647918</v>
      </c>
      <c r="L55" s="9">
        <f t="shared" si="18"/>
        <v>2.7003394037954607</v>
      </c>
    </row>
    <row r="56" spans="1:12" x14ac:dyDescent="0.25">
      <c r="A56" t="s">
        <v>246</v>
      </c>
      <c r="B56" t="s">
        <v>241</v>
      </c>
      <c r="C56" t="s">
        <v>240</v>
      </c>
      <c r="D56">
        <v>9</v>
      </c>
      <c r="E56">
        <f t="shared" ref="E56:E57" si="22">31+28+53</f>
        <v>112</v>
      </c>
      <c r="F56">
        <f>53</f>
        <v>53</v>
      </c>
      <c r="G56" s="2">
        <v>238.59196433229999</v>
      </c>
      <c r="H56" s="2">
        <f t="shared" si="10"/>
        <v>1988.2663694358334</v>
      </c>
      <c r="I56" s="4">
        <v>0.39996163495338499</v>
      </c>
      <c r="J56" s="2">
        <f t="shared" si="16"/>
        <v>795.23026784238687</v>
      </c>
      <c r="K56" s="9">
        <f t="shared" si="17"/>
        <v>3.2984745666944599</v>
      </c>
      <c r="L56" s="9">
        <f t="shared" si="18"/>
        <v>2.9004929017046002</v>
      </c>
    </row>
    <row r="57" spans="1:12" x14ac:dyDescent="0.25">
      <c r="A57" t="s">
        <v>246</v>
      </c>
      <c r="B57" t="s">
        <v>241</v>
      </c>
      <c r="C57" t="s">
        <v>240</v>
      </c>
      <c r="D57">
        <v>9</v>
      </c>
      <c r="E57">
        <f t="shared" si="22"/>
        <v>112</v>
      </c>
      <c r="F57">
        <f>53</f>
        <v>53</v>
      </c>
      <c r="G57" s="2">
        <v>198.743694757957</v>
      </c>
      <c r="H57" s="2">
        <f t="shared" si="10"/>
        <v>1656.1974563163085</v>
      </c>
      <c r="I57" s="4">
        <v>0.49583613508805602</v>
      </c>
      <c r="J57" s="2">
        <f t="shared" si="16"/>
        <v>821.20254568254791</v>
      </c>
      <c r="K57" s="9">
        <f t="shared" si="17"/>
        <v>3.2191121132921365</v>
      </c>
      <c r="L57" s="9">
        <f t="shared" si="18"/>
        <v>2.9144502869895548</v>
      </c>
    </row>
    <row r="58" spans="1:12" x14ac:dyDescent="0.25">
      <c r="A58" t="s">
        <v>246</v>
      </c>
      <c r="B58" t="s">
        <v>241</v>
      </c>
      <c r="C58" t="s">
        <v>240</v>
      </c>
      <c r="D58">
        <v>10</v>
      </c>
      <c r="E58">
        <f>31+28+64</f>
        <v>123</v>
      </c>
      <c r="F58">
        <f>64</f>
        <v>64</v>
      </c>
      <c r="G58" s="2">
        <v>127.858267872882</v>
      </c>
      <c r="H58" s="2">
        <f t="shared" si="10"/>
        <v>1065.4855656073501</v>
      </c>
      <c r="I58" s="4">
        <v>0.36841492878722598</v>
      </c>
      <c r="J58" s="2">
        <f t="shared" si="16"/>
        <v>392.54078877704904</v>
      </c>
      <c r="K58" s="9">
        <f t="shared" si="17"/>
        <v>3.0275475705968753</v>
      </c>
      <c r="L58" s="9">
        <f t="shared" si="18"/>
        <v>2.5938847908148217</v>
      </c>
    </row>
    <row r="59" spans="1:12" x14ac:dyDescent="0.25">
      <c r="A59" t="s">
        <v>246</v>
      </c>
      <c r="B59" t="s">
        <v>241</v>
      </c>
      <c r="C59" t="s">
        <v>240</v>
      </c>
      <c r="D59">
        <v>10</v>
      </c>
      <c r="E59">
        <f t="shared" ref="E59:E60" si="23">31+28+64</f>
        <v>123</v>
      </c>
      <c r="F59">
        <f>64</f>
        <v>64</v>
      </c>
      <c r="G59" s="2">
        <v>85.964814074592795</v>
      </c>
      <c r="H59" s="2">
        <f t="shared" si="10"/>
        <v>716.37345062160659</v>
      </c>
      <c r="I59" s="4">
        <v>0.49897969685490601</v>
      </c>
      <c r="J59" s="2">
        <f t="shared" si="16"/>
        <v>357.45580722607224</v>
      </c>
      <c r="K59" s="9">
        <f t="shared" si="17"/>
        <v>2.8551394821711429</v>
      </c>
      <c r="L59" s="9">
        <f t="shared" si="18"/>
        <v>2.5532223570064221</v>
      </c>
    </row>
    <row r="60" spans="1:12" x14ac:dyDescent="0.25">
      <c r="A60" t="s">
        <v>246</v>
      </c>
      <c r="B60" t="s">
        <v>241</v>
      </c>
      <c r="C60" t="s">
        <v>240</v>
      </c>
      <c r="D60">
        <v>10</v>
      </c>
      <c r="E60">
        <f t="shared" si="23"/>
        <v>123</v>
      </c>
      <c r="F60">
        <f>64</f>
        <v>64</v>
      </c>
      <c r="G60" s="2">
        <v>103.20082797342</v>
      </c>
      <c r="H60" s="2">
        <f t="shared" si="10"/>
        <v>860.00689977850004</v>
      </c>
      <c r="I60" s="4">
        <v>0.70193473891473701</v>
      </c>
      <c r="J60" s="2">
        <f t="shared" si="16"/>
        <v>603.66871866089377</v>
      </c>
      <c r="K60" s="9">
        <f t="shared" si="17"/>
        <v>2.9345019355734614</v>
      </c>
      <c r="L60" s="9">
        <f t="shared" si="18"/>
        <v>2.7807986718532391</v>
      </c>
    </row>
  </sheetData>
  <mergeCells count="3">
    <mergeCell ref="M2:N2"/>
    <mergeCell ref="O2:P2"/>
    <mergeCell ref="G2:L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Raw</vt:lpstr>
      <vt:lpstr>Analyzed</vt:lpstr>
      <vt:lpstr>IBL</vt:lpstr>
      <vt:lpstr>p</vt:lpstr>
      <vt:lpstr>p^2</vt:lpstr>
      <vt:lpstr>Shannon-Weiner</vt:lpstr>
      <vt:lpstr>p_B</vt:lpstr>
      <vt:lpstr>p_B^2</vt:lpstr>
      <vt:lpstr>Shannon-Weiner_B</vt:lpstr>
      <vt:lpstr>Other Authors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Vasco Vieira</dc:creator>
  <cp:lastModifiedBy>Vasco Vieira</cp:lastModifiedBy>
  <dcterms:created xsi:type="dcterms:W3CDTF">2021-01-12T14:52:34Z</dcterms:created>
  <dcterms:modified xsi:type="dcterms:W3CDTF">2024-09-17T09:28:59Z</dcterms:modified>
</cp:coreProperties>
</file>