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365tno.sharepoint.com/teams/T95357/TeamDocuments/Team/Work/WP1 Circular Approach LCA and LCC/03 Working Files/Scientific Articles/Paper 2/To be submitted/resubmission/"/>
    </mc:Choice>
  </mc:AlternateContent>
  <xr:revisionPtr revIDLastSave="3448" documentId="6_{E4B8E47D-80DA-4E9F-9D2C-5B97C12CC1F7}" xr6:coauthVersionLast="47" xr6:coauthVersionMax="47" xr10:uidLastSave="{76AC6FB2-741C-4883-92C5-FBCF53C0995C}"/>
  <bookViews>
    <workbookView xWindow="-120" yWindow="-120" windowWidth="29040" windowHeight="15840" tabRatio="832" activeTab="1" xr2:uid="{00000000-000D-0000-FFFF-FFFF00000000}"/>
  </bookViews>
  <sheets>
    <sheet name="ICE default BoM" sheetId="13" r:id="rId1"/>
    <sheet name="BEV default BoM" sheetId="12" r:id="rId2"/>
  </sheets>
  <externalReferences>
    <externalReference r:id="rId3"/>
    <externalReference r:id="rId4"/>
    <externalReference r:id="rId5"/>
  </externalReferences>
  <definedNames>
    <definedName name="Aluminium_MR_Frac">'[1]Database Milad BEV'!$AO$14</definedName>
    <definedName name="BEV_Maintenace1" localSheetId="1">[1]!Table64[#All]</definedName>
    <definedName name="BEV_Maintenace1" localSheetId="0">[1]!Table64[#All]</definedName>
    <definedName name="BEV_Maintenace1">[1]!Table64[#All]</definedName>
    <definedName name="BEV_Maintenance" localSheetId="1">[1]!Table64[#All]</definedName>
    <definedName name="BEV_Maintenance" localSheetId="0">[1]!Table64[#All]</definedName>
    <definedName name="BEV_Maintenance">[1]!Table64[#All]</definedName>
    <definedName name="Cables_MR_Frac">'[1]Database Milad BEV'!$AO$20</definedName>
    <definedName name="Completeness">'[2]Drop Downs'!$O$6:$O$10</definedName>
    <definedName name="Copper_MR_Frac">'[1]Database Milad BEV'!$AO$15</definedName>
    <definedName name="CR">'[3]MCI Dynamic Modelling Tool'!$H$10</definedName>
    <definedName name="CU">'[3]MCI Dynamic Modelling Tool'!$H$9</definedName>
    <definedName name="EC">'[3]MCI Dynamic Modelling Tool'!$H$11</definedName>
    <definedName name="EF">'[3]MCI Dynamic Modelling Tool'!$E$11</definedName>
    <definedName name="f">'[3]MCI Dynamic Modelling Tool'!$D$29</definedName>
    <definedName name="Fluids_MR_Frac">'[1]Database Milad BEV'!$AO$19</definedName>
    <definedName name="Foam_MR_Frac">'[1]Database Milad BEV'!$AO$17</definedName>
    <definedName name="FR">'[3]MCI Dynamic Modelling Tool'!$E$10</definedName>
    <definedName name="FU">'[3]MCI Dynamic Modelling Tool'!$E$9</definedName>
    <definedName name="Further_Technological_Correlation">'[2]Drop Downs'!$R$6:$R$10</definedName>
    <definedName name="Geographical_Correlation">'[2]Drop Downs'!$Q$6:$Q$10</definedName>
    <definedName name="glass_MR_Frac">'[1]Database Milad BEV'!$AO$22</definedName>
    <definedName name="ICE_MAintenace1">#REF!</definedName>
    <definedName name="ICE_Maintenance">#REF!</definedName>
    <definedName name="Iron_MR_Frac">'[1]Database Milad BEV'!$AO$21</definedName>
    <definedName name="L">'[3]MCI Dynamic Modelling Tool'!$E$13</definedName>
    <definedName name="LFI">'[3]MCI Dynamic Modelling Tool'!$D$30</definedName>
    <definedName name="LHV" localSheetId="1">[1]!Table63[[#All],[Substance]:[LHV (MJ/kg)]]</definedName>
    <definedName name="LHV" localSheetId="0">[1]!Table63[[#All],[Substance]:[LHV (MJ/kg)]]</definedName>
    <definedName name="LHV">[1]!Table63[[#All],[Substance]:[LHV (MJ/kg)]]</definedName>
    <definedName name="MCI">'[3]MCI Dynamic Modelling Tool'!$D$31</definedName>
    <definedName name="Number">'[2]Drop Downs'!$M$6:$M$10</definedName>
    <definedName name="Reliability">'[2]Drop Downs'!$N$6:$N$10</definedName>
    <definedName name="Rubber_MR_Frac">'[1]Database Milad BEV'!$AO$16</definedName>
    <definedName name="Steel_MR_Frac">'[1]Database Milad BEV'!$AO$13</definedName>
    <definedName name="Temporal_Correlation">'[2]Drop Downs'!$P$6:$P$10</definedName>
    <definedName name="Textile_MR_Frac">'[1]Database Milad BEV'!$AO$18</definedName>
    <definedName name="Tire_MR_frac">'[1]Database Milad BEV'!$AO$24</definedName>
    <definedName name="U">'[3]MCI Dynamic Modelling Tool'!$E$14</definedName>
    <definedName name="V">'[3]MCI Dynamic Modelling Tool'!$D$23</definedName>
    <definedName name="W">'[3]MCI Dynamic Modelling Tool'!$D$27</definedName>
    <definedName name="W0">'[3]MCI Dynamic Modelling Tool'!$D$24</definedName>
    <definedName name="WC">'[3]MCI Dynamic Modelling Tool'!$D$26</definedName>
    <definedName name="WF">'[3]MCI Dynamic Modelling Tool'!$D$25</definedName>
    <definedName name="X">'[3]MCI Dynamic Modelling Tool'!$D$28</definedName>
  </definedNames>
  <calcPr calcId="191028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" i="13" l="1"/>
  <c r="G3" i="13"/>
  <c r="E4" i="13"/>
  <c r="G4" i="13"/>
  <c r="E5" i="13"/>
  <c r="G5" i="13"/>
  <c r="E6" i="13"/>
  <c r="G6" i="13"/>
  <c r="G7" i="13"/>
  <c r="E8" i="13"/>
  <c r="G8" i="13"/>
  <c r="D24" i="13"/>
  <c r="D25" i="13"/>
  <c r="D26" i="13"/>
  <c r="D27" i="13"/>
  <c r="D28" i="13"/>
  <c r="D29" i="13"/>
  <c r="D30" i="13"/>
  <c r="D32" i="13"/>
  <c r="D33" i="13"/>
  <c r="D34" i="13"/>
  <c r="D35" i="13"/>
  <c r="D37" i="13"/>
  <c r="D38" i="13"/>
  <c r="D39" i="13"/>
  <c r="D40" i="13"/>
  <c r="D41" i="13"/>
  <c r="D42" i="13"/>
  <c r="D43" i="13"/>
  <c r="D45" i="13"/>
  <c r="D46" i="13"/>
  <c r="D47" i="13"/>
  <c r="D48" i="13"/>
  <c r="D49" i="13"/>
  <c r="D50" i="13"/>
  <c r="D51" i="13"/>
  <c r="D52" i="13"/>
  <c r="D54" i="13"/>
  <c r="D56" i="13"/>
  <c r="D57" i="13"/>
  <c r="D58" i="13"/>
  <c r="D59" i="13"/>
  <c r="D60" i="13"/>
  <c r="D61" i="13"/>
  <c r="D62" i="13"/>
  <c r="D63" i="13"/>
  <c r="D64" i="13"/>
  <c r="D65" i="13"/>
  <c r="D66" i="13"/>
  <c r="D67" i="13"/>
  <c r="D68" i="13"/>
  <c r="D69" i="13"/>
  <c r="G126" i="13"/>
  <c r="F131" i="13"/>
  <c r="A144" i="13"/>
  <c r="E3" i="12"/>
  <c r="G3" i="12"/>
  <c r="E4" i="12"/>
  <c r="G4" i="12"/>
  <c r="E5" i="12"/>
  <c r="G5" i="12"/>
  <c r="E6" i="12"/>
  <c r="G6" i="12"/>
  <c r="G7" i="12"/>
  <c r="E8" i="12"/>
  <c r="G8" i="12"/>
  <c r="F9" i="12"/>
  <c r="B11" i="12"/>
  <c r="D18" i="12"/>
  <c r="D19" i="12"/>
  <c r="D20" i="12"/>
  <c r="D21" i="12"/>
  <c r="D22" i="12"/>
  <c r="D23" i="12"/>
  <c r="D24" i="12"/>
  <c r="D26" i="12"/>
  <c r="D27" i="12"/>
  <c r="D28" i="12"/>
  <c r="D29" i="12"/>
  <c r="D31" i="12"/>
  <c r="G91" i="12" s="1"/>
  <c r="D32" i="12"/>
  <c r="D33" i="12"/>
  <c r="D34" i="12"/>
  <c r="D35" i="12"/>
  <c r="D36" i="12"/>
  <c r="D37" i="12"/>
  <c r="D39" i="12"/>
  <c r="D40" i="12"/>
  <c r="D41" i="12"/>
  <c r="D42" i="12"/>
  <c r="D43" i="12"/>
  <c r="D44" i="12"/>
  <c r="D45" i="12"/>
  <c r="D46" i="12"/>
  <c r="D47" i="12"/>
  <c r="D48" i="12"/>
  <c r="G125" i="12" s="1"/>
  <c r="D50" i="12"/>
  <c r="D51" i="12"/>
  <c r="D52" i="12"/>
  <c r="D53" i="12"/>
  <c r="D54" i="12"/>
  <c r="D55" i="12"/>
  <c r="D56" i="12"/>
  <c r="D57" i="12"/>
  <c r="D58" i="12"/>
  <c r="D59" i="12"/>
  <c r="D60" i="12"/>
  <c r="D61" i="12"/>
  <c r="D62" i="12"/>
  <c r="G84" i="12"/>
  <c r="G99" i="12"/>
  <c r="G107" i="12"/>
  <c r="G116" i="12"/>
  <c r="G117" i="12"/>
  <c r="A128" i="12"/>
  <c r="F10" i="12" s="1"/>
  <c r="G137" i="12"/>
  <c r="G144" i="12"/>
  <c r="G78" i="12" l="1"/>
  <c r="D25" i="12"/>
  <c r="F3" i="12" s="1"/>
  <c r="D64" i="12"/>
  <c r="F8" i="12" s="1"/>
  <c r="D30" i="12"/>
  <c r="F4" i="12" s="1"/>
  <c r="D49" i="12"/>
  <c r="F6" i="12" s="1"/>
  <c r="D38" i="12"/>
  <c r="F5" i="12" s="1"/>
  <c r="H8" i="13"/>
  <c r="D31" i="13"/>
  <c r="F3" i="13" s="1"/>
  <c r="D36" i="13"/>
  <c r="F4" i="13" s="1"/>
  <c r="H4" i="13" s="1"/>
  <c r="D44" i="13"/>
  <c r="F5" i="13" s="1"/>
  <c r="H6" i="13" s="1"/>
  <c r="D55" i="13"/>
  <c r="F6" i="13" s="1"/>
  <c r="H7" i="13" s="1"/>
  <c r="D70" i="13"/>
  <c r="F8" i="13" s="1"/>
  <c r="G142" i="12"/>
  <c r="G123" i="12"/>
  <c r="G113" i="12"/>
  <c r="G105" i="12"/>
  <c r="G97" i="12"/>
  <c r="G83" i="12"/>
  <c r="G75" i="12"/>
  <c r="G77" i="12"/>
  <c r="G143" i="12"/>
  <c r="G98" i="12"/>
  <c r="G135" i="12"/>
  <c r="G134" i="12"/>
  <c r="G122" i="12"/>
  <c r="G112" i="12"/>
  <c r="G104" i="12"/>
  <c r="G96" i="12"/>
  <c r="G89" i="12"/>
  <c r="G82" i="12"/>
  <c r="G74" i="12"/>
  <c r="G106" i="12"/>
  <c r="G141" i="12"/>
  <c r="G121" i="12"/>
  <c r="G111" i="12"/>
  <c r="G103" i="12"/>
  <c r="G95" i="12"/>
  <c r="G88" i="12"/>
  <c r="G81" i="12"/>
  <c r="G73" i="12"/>
  <c r="G124" i="12"/>
  <c r="G140" i="12"/>
  <c r="G120" i="12"/>
  <c r="G110" i="12"/>
  <c r="G102" i="12"/>
  <c r="G94" i="12"/>
  <c r="G87" i="12"/>
  <c r="G80" i="12"/>
  <c r="G136" i="12"/>
  <c r="G76" i="12"/>
  <c r="G146" i="12"/>
  <c r="G139" i="12"/>
  <c r="G127" i="12"/>
  <c r="G119" i="12"/>
  <c r="G109" i="12"/>
  <c r="G101" i="12"/>
  <c r="G93" i="12"/>
  <c r="G86" i="12"/>
  <c r="G79" i="12"/>
  <c r="G72" i="12"/>
  <c r="G90" i="12"/>
  <c r="G145" i="12"/>
  <c r="G138" i="12"/>
  <c r="G126" i="12"/>
  <c r="G108" i="12"/>
  <c r="G100" i="12"/>
  <c r="G92" i="12"/>
  <c r="G85" i="12"/>
  <c r="F11" i="12" l="1"/>
  <c r="A115" i="12"/>
  <c r="H7" i="12" s="1"/>
  <c r="D66" i="12"/>
  <c r="H5" i="13"/>
  <c r="G130" i="13"/>
  <c r="G107" i="13"/>
  <c r="G113" i="13"/>
  <c r="G133" i="13"/>
  <c r="G115" i="13"/>
  <c r="G136" i="13"/>
  <c r="G103" i="13"/>
  <c r="G91" i="13"/>
  <c r="G119" i="13"/>
  <c r="G137" i="13"/>
  <c r="G121" i="13"/>
  <c r="G122" i="13"/>
  <c r="G142" i="13"/>
  <c r="G135" i="13"/>
  <c r="G99" i="13"/>
  <c r="G96" i="13"/>
  <c r="G132" i="13"/>
  <c r="G104" i="13"/>
  <c r="G97" i="13"/>
  <c r="G156" i="13"/>
  <c r="H3" i="13"/>
  <c r="H11" i="13" s="1"/>
  <c r="F11" i="13"/>
  <c r="G106" i="13" s="1"/>
  <c r="D74" i="13"/>
  <c r="A134" i="12"/>
  <c r="H5" i="12" s="1"/>
  <c r="A90" i="12"/>
  <c r="H6" i="12" s="1"/>
  <c r="A73" i="12"/>
  <c r="H3" i="12" s="1"/>
  <c r="G153" i="12"/>
  <c r="A143" i="12"/>
  <c r="H8" i="12" s="1"/>
  <c r="A84" i="12"/>
  <c r="H4" i="12" s="1"/>
  <c r="G158" i="13" l="1"/>
  <c r="G161" i="13"/>
  <c r="G117" i="13"/>
  <c r="G125" i="13"/>
  <c r="G116" i="13"/>
  <c r="G102" i="13"/>
  <c r="G140" i="13"/>
  <c r="G129" i="13"/>
  <c r="G78" i="13"/>
  <c r="G124" i="13"/>
  <c r="G118" i="13"/>
  <c r="G109" i="13"/>
  <c r="G110" i="13"/>
  <c r="G108" i="13"/>
  <c r="G100" i="13"/>
  <c r="G139" i="13"/>
  <c r="G141" i="13"/>
  <c r="G131" i="13"/>
  <c r="G85" i="13"/>
  <c r="G155" i="13"/>
  <c r="G82" i="13"/>
  <c r="G95" i="13"/>
  <c r="G101" i="13"/>
  <c r="G80" i="13"/>
  <c r="G120" i="13"/>
  <c r="G105" i="13"/>
  <c r="G160" i="13"/>
  <c r="G94" i="13"/>
  <c r="G88" i="13"/>
  <c r="G93" i="13"/>
  <c r="G86" i="13"/>
  <c r="G127" i="13"/>
  <c r="G79" i="13"/>
  <c r="G128" i="13"/>
  <c r="G138" i="13"/>
  <c r="G112" i="13"/>
  <c r="G123" i="13"/>
  <c r="G134" i="13"/>
  <c r="G89" i="13"/>
  <c r="G152" i="13"/>
  <c r="G87" i="13"/>
  <c r="G159" i="13"/>
  <c r="G111" i="13"/>
  <c r="G151" i="13"/>
  <c r="G81" i="13"/>
  <c r="G84" i="13"/>
  <c r="G153" i="13"/>
  <c r="G90" i="13"/>
  <c r="G92" i="13"/>
  <c r="G154" i="13"/>
  <c r="G83" i="13"/>
  <c r="G98" i="13"/>
  <c r="G150" i="13"/>
  <c r="G114" i="13"/>
  <c r="H11" i="12"/>
  <c r="A96" i="13" l="1"/>
  <c r="A90" i="13"/>
  <c r="A151" i="13"/>
  <c r="A121" i="13"/>
  <c r="A79" i="13"/>
  <c r="G168" i="13"/>
  <c r="A159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tc={B9CB2B00-68B9-4A10-A946-874D87304C7E}</author>
    <author>M. Golkaram PhD</author>
  </authors>
  <commentList>
    <comment ref="B11" authorId="0" shapeId="0" xr:uid="{B9CB2B00-68B9-4A10-A946-874D87304C7E}">
      <text>
        <t>[Threaded comment]
Your version of Excel allows you to read this threaded comment; however, any edits to it will get removed if the file is opened in a newer version of Excel. Learn more: https://go.microsoft.com/fwlink/?linkid=870924
Comment:
    @Mehta, R. (Rajesh) As you see I am building a total car with BoM from two different sources. The total weight is very close but I have to work on the nomenclatue mapping.</t>
      </text>
    </comment>
    <comment ref="C56" authorId="1" shapeId="0" xr:uid="{ED6845C0-A300-4D8E-B027-91454DBBE090}">
      <text>
        <r>
          <rPr>
            <b/>
            <sz val="9"/>
            <color indexed="81"/>
            <rFont val="Tahoma"/>
            <family val="2"/>
          </rPr>
          <t>M. Golkaram PhD:</t>
        </r>
        <r>
          <rPr>
            <sz val="9"/>
            <color indexed="81"/>
            <rFont val="Tahoma"/>
            <family val="2"/>
          </rPr>
          <t xml:space="preserve">
belong to the powertrain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tc={21512277-B61E-4596-A44E-03C1F5F2A04C}</author>
    <author>M. Golkaram PhD</author>
    <author>tc={833744DD-7A6D-4935-96B4-9553CAA559A2}</author>
  </authors>
  <commentList>
    <comment ref="B11" authorId="0" shapeId="0" xr:uid="{21512277-B61E-4596-A44E-03C1F5F2A04C}">
      <text>
        <t>[Threaded comment]
Your version of Excel allows you to read this threaded comment; however, any edits to it will get removed if the file is opened in a newer version of Excel. Learn more: https://go.microsoft.com/fwlink/?linkid=870924
Comment:
    @Mehta, R. (Rajesh) As you see I am building a total car with BoM from two different sources. The total weight is very close but I have to work on the nomenclatue mapping.</t>
      </text>
    </comment>
    <comment ref="C50" authorId="1" shapeId="0" xr:uid="{99B4CEFB-B478-421F-83A9-C0133795367C}">
      <text>
        <r>
          <rPr>
            <b/>
            <sz val="9"/>
            <color indexed="81"/>
            <rFont val="Tahoma"/>
            <family val="2"/>
          </rPr>
          <t>M. Golkaram PhD:</t>
        </r>
        <r>
          <rPr>
            <sz val="9"/>
            <color indexed="81"/>
            <rFont val="Tahoma"/>
            <family val="2"/>
          </rPr>
          <t xml:space="preserve">
belong to the powertrain</t>
        </r>
      </text>
    </comment>
    <comment ref="B71" authorId="2" shapeId="0" xr:uid="{833744DD-7A6D-4935-96B4-9553CAA559A2}">
      <text>
        <t>[Threaded comment]
Your version of Excel allows you to read this threaded comment; however, any edits to it will get removed if the file is opened in a newer version of Excel. Learn more: https://go.microsoft.com/fwlink/?linkid=870924
Comment:
    @Ligthart, T.N. (Tom) t could you please have a look at the BoM for the default cars? no rush but for the manuscripts we need this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69570C4-7895-4B50-BA37-887CAB2E4A33}" keepAlive="1" name="Query - Table10" description="Connection to the 'Table10' query in the workbook." type="5" refreshedVersion="0" background="1" saveData="1">
    <dbPr connection="Provider=Microsoft.Mashup.OleDb.1;Data Source=$Workbook$;Location=Table10;Extended Properties=&quot;&quot;" command="SELECT * FROM [Table10]"/>
  </connection>
</connections>
</file>

<file path=xl/sharedStrings.xml><?xml version="1.0" encoding="utf-8"?>
<sst xmlns="http://schemas.openxmlformats.org/spreadsheetml/2006/main" count="811" uniqueCount="180">
  <si>
    <t>Table: subsystems</t>
  </si>
  <si>
    <t>Column3</t>
  </si>
  <si>
    <t>Column4</t>
  </si>
  <si>
    <t>Column1</t>
  </si>
  <si>
    <t>Column2</t>
  </si>
  <si>
    <t>Sub-system (GREET)</t>
  </si>
  <si>
    <t>weights in kg (GREET)</t>
  </si>
  <si>
    <t>Sub-systemm (final)</t>
  </si>
  <si>
    <t>weights in kg (final)</t>
  </si>
  <si>
    <t>Body</t>
  </si>
  <si>
    <t>Closure</t>
  </si>
  <si>
    <t>Chassis</t>
  </si>
  <si>
    <t>Interior</t>
  </si>
  <si>
    <t>Powertrain</t>
  </si>
  <si>
    <t>Electrical</t>
  </si>
  <si>
    <t>Batteries</t>
  </si>
  <si>
    <t>fluids</t>
  </si>
  <si>
    <t>From GREET</t>
  </si>
  <si>
    <t>Subsystem</t>
  </si>
  <si>
    <t>Part</t>
  </si>
  <si>
    <t>ICE weight lb</t>
  </si>
  <si>
    <t>ICE weight kg</t>
  </si>
  <si>
    <t>BIW</t>
  </si>
  <si>
    <t>Body panels</t>
  </si>
  <si>
    <t>Front/rear bumpers</t>
  </si>
  <si>
    <t>Body hardware</t>
  </si>
  <si>
    <t>Weld blanks and fasteners (electronics to body)</t>
  </si>
  <si>
    <t>Weld blanks and fasteners (other systems to body)</t>
  </si>
  <si>
    <t>Glass</t>
  </si>
  <si>
    <t>Exterior</t>
  </si>
  <si>
    <t>Paint</t>
  </si>
  <si>
    <t>Exterior trim</t>
  </si>
  <si>
    <t>Sealers/deadeners</t>
  </si>
  <si>
    <t>Exterior electrical</t>
  </si>
  <si>
    <t>Instrument panel</t>
  </si>
  <si>
    <t>Trim &amp; insulation</t>
  </si>
  <si>
    <t>Door modules</t>
  </si>
  <si>
    <t>Seating &amp; restraint</t>
  </si>
  <si>
    <t>HVAC</t>
  </si>
  <si>
    <t>Interior electrical</t>
  </si>
  <si>
    <t>Weld blanks and fasteners (interior to body)</t>
  </si>
  <si>
    <t>Engine</t>
  </si>
  <si>
    <t>Fuel cell stack</t>
  </si>
  <si>
    <t>Engine fuel storage system</t>
  </si>
  <si>
    <t>Powertrain thermal</t>
  </si>
  <si>
    <t>Exhaust</t>
  </si>
  <si>
    <t>Powertrain electrical</t>
  </si>
  <si>
    <t>Emission control electronics</t>
  </si>
  <si>
    <t>Weld blanks and fasteners (powertrain to body)</t>
  </si>
  <si>
    <t>Transmission</t>
  </si>
  <si>
    <t>Cradle</t>
  </si>
  <si>
    <t>Driveshaft/axle</t>
  </si>
  <si>
    <t>Differential</t>
  </si>
  <si>
    <t>Corner suspension</t>
  </si>
  <si>
    <t>Braking system</t>
  </si>
  <si>
    <t>Wheels (4.5); spare = 0.5</t>
  </si>
  <si>
    <t>Tires (4.5); spare = 0.5</t>
  </si>
  <si>
    <t>Steering system</t>
  </si>
  <si>
    <t>Chassis electrical</t>
  </si>
  <si>
    <t>Weld blanks and fasteners (chassis to body)</t>
  </si>
  <si>
    <t>Generator</t>
  </si>
  <si>
    <t>Motor</t>
  </si>
  <si>
    <t>Controller/inverter</t>
  </si>
  <si>
    <t>Fuel cell auxiliaries</t>
  </si>
  <si>
    <t>Part in GREET</t>
  </si>
  <si>
    <t>Part in BEVSIM</t>
  </si>
  <si>
    <t>Composition (material) (GREET)</t>
  </si>
  <si>
    <t>Composition (material) (BEVSIM)</t>
  </si>
  <si>
    <t>Composition (%)</t>
  </si>
  <si>
    <t>Weight (kg)</t>
  </si>
  <si>
    <t>Processing 1</t>
  </si>
  <si>
    <t>Processing 2</t>
  </si>
  <si>
    <t>steel</t>
  </si>
  <si>
    <t>Steel HDG (World Steel) [BH, MS, HF, DP, HDG]</t>
  </si>
  <si>
    <t>Hot Stamping, Steel</t>
  </si>
  <si>
    <t>Exterior Trim</t>
  </si>
  <si>
    <t>Impact module</t>
  </si>
  <si>
    <t>Body Sealer &amp; Deadners</t>
  </si>
  <si>
    <t>steel+plastic</t>
  </si>
  <si>
    <t>Polyacrylamide</t>
  </si>
  <si>
    <t>glass</t>
  </si>
  <si>
    <t>Laminated glass</t>
  </si>
  <si>
    <t>Body Hardware</t>
  </si>
  <si>
    <t>plastic</t>
  </si>
  <si>
    <t>Plastics</t>
  </si>
  <si>
    <t>Injection moulding</t>
  </si>
  <si>
    <t>rubber</t>
  </si>
  <si>
    <t>copper</t>
  </si>
  <si>
    <t>Copper</t>
  </si>
  <si>
    <t>Panels</t>
  </si>
  <si>
    <t>paint</t>
  </si>
  <si>
    <t>Painting</t>
  </si>
  <si>
    <t>organic</t>
  </si>
  <si>
    <t>wrought Al</t>
  </si>
  <si>
    <t>Aluminium_sheet_automotive</t>
  </si>
  <si>
    <t>Stamping, Al</t>
  </si>
  <si>
    <t>magnesium</t>
  </si>
  <si>
    <t>Magnesium-alloy, AZ91, diecast</t>
  </si>
  <si>
    <t>Trim and insulation</t>
  </si>
  <si>
    <t>tempered glass</t>
  </si>
  <si>
    <t>Seating and restraint</t>
  </si>
  <si>
    <t>zinc</t>
  </si>
  <si>
    <t>other</t>
  </si>
  <si>
    <t>steel, plastic</t>
  </si>
  <si>
    <t>Other (engine)</t>
  </si>
  <si>
    <t>cast iron</t>
  </si>
  <si>
    <t>Cast iron</t>
  </si>
  <si>
    <t>cast Al</t>
  </si>
  <si>
    <t>Aluminium_cast</t>
  </si>
  <si>
    <t>Pb-Ac</t>
  </si>
  <si>
    <t>Battery (acid)</t>
  </si>
  <si>
    <t>Lead, water, sulfuric acid, plastic, others</t>
  </si>
  <si>
    <t>Lead-acid-battery-material</t>
  </si>
  <si>
    <t>Lead-acid-battery-manufacturing</t>
  </si>
  <si>
    <t>Fuel Tank+others</t>
  </si>
  <si>
    <t>fuel tank steel_material</t>
  </si>
  <si>
    <t>fuel tank steel_manufacturing</t>
  </si>
  <si>
    <t>Radiator fan assembly</t>
  </si>
  <si>
    <t>Polypropylene, PP, Glass fiber modified (30%)</t>
  </si>
  <si>
    <t>Exhaust manifold</t>
  </si>
  <si>
    <t>Catalytic converter</t>
  </si>
  <si>
    <t>platinium</t>
  </si>
  <si>
    <t>metal catalyst for catalytic converter (average)</t>
  </si>
  <si>
    <t>Emission Control Electronics</t>
  </si>
  <si>
    <t>CV joint</t>
  </si>
  <si>
    <t>Other (transmission)</t>
  </si>
  <si>
    <t>Driveshaft assembly</t>
  </si>
  <si>
    <t>Drive bearings</t>
  </si>
  <si>
    <t>Fluids</t>
  </si>
  <si>
    <t>Transmission Fluid</t>
  </si>
  <si>
    <t>Motor oil</t>
  </si>
  <si>
    <t>a mineral-based lubricant</t>
  </si>
  <si>
    <t>Power Steering Fluid</t>
  </si>
  <si>
    <t>Powertrain Coolant</t>
  </si>
  <si>
    <t>Coolant/antifreeze</t>
  </si>
  <si>
    <t>50%/50% mix of ethylene glycol and water,</t>
  </si>
  <si>
    <t>windshield wiper fluid</t>
  </si>
  <si>
    <t>Windshield wiper fluid</t>
  </si>
  <si>
    <t>50%/50% mix of methanol and water</t>
  </si>
  <si>
    <t>Brake Fluid</t>
  </si>
  <si>
    <t>Brake fluid</t>
  </si>
  <si>
    <t>Engine Oil</t>
  </si>
  <si>
    <t>Other (Corner Suspension)</t>
  </si>
  <si>
    <t>Brake Pad</t>
  </si>
  <si>
    <t>friction material</t>
  </si>
  <si>
    <t>Brake Pad_material</t>
  </si>
  <si>
    <t>Brake Pad_manufacturing</t>
  </si>
  <si>
    <t>Brake Rotor</t>
  </si>
  <si>
    <t>iron, steel</t>
  </si>
  <si>
    <t>brake rotor_material</t>
  </si>
  <si>
    <t>brake rotor_manufacturing</t>
  </si>
  <si>
    <t>Wheel</t>
  </si>
  <si>
    <t>Tire</t>
  </si>
  <si>
    <t>rubber, steel</t>
  </si>
  <si>
    <t>Tire_material</t>
  </si>
  <si>
    <t>Tire_manufacturing</t>
  </si>
  <si>
    <t>Steering column assembly</t>
  </si>
  <si>
    <t>steel, Al, rubber</t>
  </si>
  <si>
    <t>Other (corner suspension)</t>
  </si>
  <si>
    <t>Exterior Lighting</t>
  </si>
  <si>
    <t>plastic, copper</t>
  </si>
  <si>
    <t>Exterior Lighting_material</t>
  </si>
  <si>
    <t>Exterior Lighting_manufacturing</t>
  </si>
  <si>
    <t>Cable, unspecified</t>
  </si>
  <si>
    <t>Sub-system</t>
  </si>
  <si>
    <t>weights in kg</t>
  </si>
  <si>
    <t>Sub-system (final)</t>
  </si>
  <si>
    <t>Li-Ion (EV)</t>
  </si>
  <si>
    <t>flat glass</t>
  </si>
  <si>
    <t>Battery</t>
  </si>
  <si>
    <t>27.0% LiMn2O4
23.7% wrought Al
13.2% copper
12.2% graphite/carbon
4.5% plastic 4.4% ethylene carbonate
4.4% dimethyl carbonate
2.8% steel
2.3% glycol
2.1% binder
1.5% LiPF6
1.5% electronic parts
0.4% thermal insulation</t>
  </si>
  <si>
    <t>battery_NMC111_material (EoL includes recycling)</t>
  </si>
  <si>
    <t>Traction motor</t>
  </si>
  <si>
    <t>36.1% steel
36.1% cast Al
27.8% copper</t>
  </si>
  <si>
    <t>traction motor_material</t>
  </si>
  <si>
    <t>traction motor_manufacturing</t>
  </si>
  <si>
    <t>Controller/invertor</t>
  </si>
  <si>
    <t>5.0% steel
47.0% cast Al
8.2% copper
3.7% rubber
23.8% plastic
12.3% organic</t>
  </si>
  <si>
    <t>inverter_material</t>
  </si>
  <si>
    <t>inverter_manufacturing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</si>
</sst>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;;;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9C5700"/>
      <name val="Calibri"/>
      <family val="2"/>
      <scheme val="minor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theme="4" tint="0.79998168889431442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double">
        <color theme="4"/>
      </top>
      <bottom style="thin">
        <color theme="4" tint="0.39997558519241921"/>
      </bottom>
      <diagonal/>
    </border>
    <border>
      <left style="medium">
        <color indexed="64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4" borderId="0" applyNumberFormat="0" applyBorder="0" applyAlignment="0" applyProtection="0"/>
  </cellStyleXfs>
  <cellXfs count="34">
    <xf numFmtId="0" fontId="0" fillId="0" borderId="0" xfId="0"/>
    <xf numFmtId="0" fontId="6" fillId="2" borderId="0" xfId="6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6" fillId="2" borderId="0" xfId="6" applyBorder="1"/>
    <xf numFmtId="0" fontId="0" fillId="0" borderId="10" xfId="0" applyBorder="1"/>
    <xf numFmtId="164" fontId="0" fillId="0" borderId="0" xfId="0" applyNumberFormat="1"/>
    <xf numFmtId="164" fontId="0" fillId="0" borderId="17" xfId="0" applyNumberFormat="1" applyBorder="1"/>
    <xf numFmtId="165" fontId="0" fillId="0" borderId="0" xfId="0" applyNumberFormat="1"/>
    <xf numFmtId="164" fontId="0" fillId="0" borderId="14" xfId="0" applyNumberFormat="1" applyBorder="1"/>
    <xf numFmtId="166" fontId="0" fillId="0" borderId="13" xfId="0" applyNumberFormat="1" applyBorder="1"/>
    <xf numFmtId="165" fontId="0" fillId="0" borderId="12" xfId="0" applyNumberFormat="1" applyBorder="1"/>
    <xf numFmtId="165" fontId="0" fillId="0" borderId="17" xfId="0" applyNumberFormat="1" applyBorder="1"/>
    <xf numFmtId="165" fontId="0" fillId="0" borderId="14" xfId="0" applyNumberFormat="1" applyBorder="1"/>
    <xf numFmtId="0" fontId="0" fillId="0" borderId="20" xfId="0" applyBorder="1"/>
    <xf numFmtId="164" fontId="0" fillId="0" borderId="20" xfId="0" applyNumberFormat="1" applyBorder="1"/>
    <xf numFmtId="166" fontId="0" fillId="0" borderId="15" xfId="0" applyNumberFormat="1" applyBorder="1"/>
    <xf numFmtId="0" fontId="0" fillId="33" borderId="18" xfId="0" applyFill="1" applyBorder="1"/>
    <xf numFmtId="164" fontId="16" fillId="0" borderId="19" xfId="0" applyNumberFormat="1" applyFont="1" applyBorder="1"/>
    <xf numFmtId="164" fontId="16" fillId="0" borderId="0" xfId="0" applyNumberFormat="1" applyFont="1"/>
    <xf numFmtId="164" fontId="20" fillId="4" borderId="0" xfId="42" applyNumberFormat="1"/>
    <xf numFmtId="0" fontId="20" fillId="4" borderId="0" xfId="42"/>
    <xf numFmtId="0" fontId="0" fillId="8" borderId="8" xfId="15" applyFont="1"/>
    <xf numFmtId="1" fontId="0" fillId="0" borderId="0" xfId="0" applyNumberFormat="1"/>
    <xf numFmtId="1" fontId="0" fillId="0" borderId="15" xfId="0" applyNumberFormat="1" applyBorder="1"/>
    <xf numFmtId="164" fontId="0" fillId="0" borderId="13" xfId="0" applyNumberFormat="1" applyBorder="1"/>
    <xf numFmtId="2" fontId="0" fillId="0" borderId="0" xfId="0" applyNumberFormat="1"/>
    <xf numFmtId="0" fontId="0" fillId="8" borderId="21" xfId="15" applyFont="1" applyBorder="1"/>
    <xf numFmtId="0" fontId="6" fillId="2" borderId="13" xfId="6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eutral 2" xfId="42" xr:uid="{0F8EEEFA-737C-4F9B-98A4-94DC745E33BB}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"/>
    </dxf>
    <dxf>
      <numFmt numFmtId="164" formatCode="0.0"/>
    </dxf>
    <dxf>
      <numFmt numFmtId="1" formatCode="0"/>
    </dxf>
    <dxf>
      <numFmt numFmtId="164" formatCode="0.0"/>
    </dxf>
    <dxf>
      <numFmt numFmtId="1" formatCode="0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"/>
    </dxf>
    <dxf>
      <numFmt numFmtId="164" formatCode="0.0"/>
    </dxf>
    <dxf>
      <numFmt numFmtId="164" formatCode="0.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border diagonalUp="0" diagonalDown="0">
        <left/>
        <right style="medium">
          <color indexed="64"/>
        </right>
        <top/>
        <bottom/>
        <vertical/>
        <horizontal/>
      </border>
    </dxf>
    <dxf>
      <numFmt numFmtId="1" formatCode="0"/>
      <border diagonalUp="0" diagonalDown="0" outline="0">
        <left style="medium">
          <color indexed="64"/>
        </left>
        <right/>
        <top/>
        <bottom style="medium">
          <color indexed="64"/>
        </bottom>
      </border>
    </dxf>
    <dxf>
      <numFmt numFmtId="164" formatCode="0.0"/>
      <border diagonalUp="0" diagonalDown="0">
        <left style="medium">
          <color indexed="64"/>
        </left>
        <right/>
        <top/>
        <bottom/>
        <vertical/>
        <horizontal/>
      </border>
    </dxf>
    <dxf>
      <numFmt numFmtId="1" formatCode="0"/>
    </dxf>
    <dxf>
      <numFmt numFmtId="164" formatCode="0.0"/>
    </dxf>
    <dxf>
      <numFmt numFmtId="1" formatCode="0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onnections" Target="connections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5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5" Type="http://schemas.openxmlformats.org/officeDocument/2006/relationships/customXml" Target="../customXml/item4.xml"/><Relationship Id="rId10" Type="http://schemas.microsoft.com/office/2017/10/relationships/person" Target="persons/person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ams/T95357/TeamDocuments/Team/Work/WP1%20Circular%20Approach%20LCA%20and%20LCC/05%20LCA%20and%20LCC%20Tool/01%20Tool%20Development/1st%20design%202.1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eams/T95357/TeamDocuments/Team/Work/WP1%20Circular%20Approach%20LCA%20and%20LCC/03%20Working%20Files/Pedigree%20Matrix-finalized%20by%20Milad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eams/T95357/TeamDocuments/Team/Work/WP1%20Circular%20Approach%20LCA%20and%20LCC/01%20Literature/Circularity%20Indicator/Circularity-Indicators_MCI-Product-Level-Dynamic-Modelling-Tool_May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ckground"/>
      <sheetName val="Scenarios"/>
      <sheetName val="Database"/>
      <sheetName val="Database for JAck"/>
      <sheetName val="Functions"/>
      <sheetName val="Database Milad BEV"/>
      <sheetName val="BEV default BoM"/>
      <sheetName val="Database Milad ICE"/>
      <sheetName val="ICE default BoM"/>
      <sheetName val="Jack to do list (May 2022)"/>
      <sheetName val="Steel RC"/>
      <sheetName val="Descriptions"/>
      <sheetName val="Aluminum"/>
      <sheetName val="ALMA Actions Q1 2022"/>
      <sheetName val="MCI"/>
      <sheetName val="MCI test"/>
      <sheetName val="shadowcosts"/>
      <sheetName val="MCI Dynamic Modelling Tool "/>
      <sheetName val="Comments Tom2Jack"/>
      <sheetName val="Database_Profiles_CED"/>
      <sheetName val="Database_Profile_ReCiPe_mid"/>
      <sheetName val="IPCC 2013"/>
      <sheetName val="Pedigree Matrix"/>
      <sheetName val="Match"/>
      <sheetName val="User interface"/>
      <sheetName val="important assumptions"/>
      <sheetName val="Impact Assessment Methods"/>
      <sheetName val="Questionnaire"/>
      <sheetName val="xFunctions"/>
      <sheetName val="Test"/>
      <sheetName val="Plastics in Automotive Sector"/>
      <sheetName val="1st design 2.1."/>
    </sheetNames>
    <sheetDataSet>
      <sheetData sheetId="0"/>
      <sheetData sheetId="1"/>
      <sheetData sheetId="2"/>
      <sheetData sheetId="3"/>
      <sheetData sheetId="4"/>
      <sheetData sheetId="5">
        <row r="13">
          <cell r="AO13">
            <v>1</v>
          </cell>
        </row>
        <row r="14">
          <cell r="AO14">
            <v>0.98</v>
          </cell>
        </row>
        <row r="15">
          <cell r="AO15">
            <v>0.92</v>
          </cell>
        </row>
        <row r="16">
          <cell r="AO16">
            <v>0.02</v>
          </cell>
        </row>
        <row r="17">
          <cell r="AO17">
            <v>7.0000000000000001E-3</v>
          </cell>
        </row>
        <row r="18">
          <cell r="AO18">
            <v>8.0000000000000002E-3</v>
          </cell>
        </row>
        <row r="19">
          <cell r="AO19">
            <v>0.26464403724842295</v>
          </cell>
        </row>
        <row r="20">
          <cell r="AO20">
            <v>0</v>
          </cell>
        </row>
        <row r="21">
          <cell r="AO21">
            <v>1</v>
          </cell>
        </row>
        <row r="22">
          <cell r="AO22">
            <v>0.79</v>
          </cell>
        </row>
        <row r="24">
          <cell r="AO24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TNO REVIEW PROCESS"/>
      <sheetName val="Pedigree Matrix"/>
      <sheetName val="Pedigree Matrix- BEVSIM Dataset"/>
      <sheetName val="Drop Downs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CI Dynamic Modelling Tool"/>
      <sheetName val="Sheet2"/>
    </sheetNames>
    <sheetDataSet>
      <sheetData sheetId="0"/>
      <sheetData sheetId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Mehta, R. (Rajesh)" id="{2B37C05C-1D67-4A32-827B-2AB01FC3B1CE}" userId="rajesh.mehta@tno.nl" providerId="PeoplePicker"/>
  <person displayName="Ligthart, T.N. (Tom)" id="{E631EC3F-12DB-40DE-B842-1C08CE457144}" userId="tom.ligthart@tno.nl" providerId="PeoplePicker"/>
  <person displayName="Golkaram, M. (Milad)" id="{88535AC0-6959-459D-910A-3ACDA09442FD}" userId="S::milad.golkaram@tno.nl::92526a69-8282-4691-9c97-1c0cbd2d1e8d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326C229-77DB-4870-8E65-3683DE0F9284}" name="Subsys822883" displayName="Subsys822883" ref="A2:H11" totalsRowCount="1">
  <tableColumns count="8">
    <tableColumn id="1" xr3:uid="{08F11A60-F7CD-4E0D-AB23-66E253CB91E7}" name="Column3"/>
    <tableColumn id="3" xr3:uid="{D156C436-5BC5-43A0-96B1-F54C69ACE01C}" name="Column4" dataDxfId="15" totalsRowDxfId="14"/>
    <tableColumn id="2" xr3:uid="{77D18A8B-EDC7-4661-82DC-A45DE39ED146}" name="Column1"/>
    <tableColumn id="4" xr3:uid="{DAC85896-7ECC-4C18-945F-D41D9D945C9F}" name="Column2" dataCellStyle="Normal"/>
    <tableColumn id="5" xr3:uid="{E0F5F2CE-9B4A-4DE9-BA44-CE6254102C16}" name="Sub-system (GREET)"/>
    <tableColumn id="6" xr3:uid="{18A4254B-B07A-4F88-9C79-1479E855798D}" name="weights in kg (GREET)" totalsRowFunction="sum" dataDxfId="13" totalsRowDxfId="12"/>
    <tableColumn id="9" xr3:uid="{A6E78B1E-94D6-4618-B01F-1E2E9576B7FB}" name="Sub-systemm (final)" dataDxfId="11" totalsRowDxfId="10"/>
    <tableColumn id="7" xr3:uid="{88C71F98-99D3-4564-AEAD-D4B7835FF241}" name="weights in kg (final)" totalsRowFunction="custom" dataDxfId="9" totalsRowDxfId="8">
      <totalsRowFormula>SUM(Subsys822883[weights in kg (final)])</totalsRow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92AE3DC-7AFD-431E-98E5-74AF9CD9D28D}" name="Table9884" displayName="Table9884" ref="A23:D70" totalsRowCount="1">
  <autoFilter ref="A23:D69" xr:uid="{17F64D97-C72C-4FCC-8807-D7B0F112612D}"/>
  <tableColumns count="4">
    <tableColumn id="1" xr3:uid="{0DB19F97-BCB0-44AC-95C0-3819B56A60C0}" name="Subsystem"/>
    <tableColumn id="2" xr3:uid="{08BEEA0A-7FBE-4231-98D2-90E20D753D96}" name="Part"/>
    <tableColumn id="3" xr3:uid="{9844CD2D-4B2D-4043-96B9-178C71B2B65F}" name="ICE weight lb"/>
    <tableColumn id="4" xr3:uid="{4FDA7768-9343-4B62-A3D9-DF4590AA146C}" name="ICE weight kg" totalsRowFunction="custom" dataDxfId="7" totalsRowDxfId="6">
      <calculatedColumnFormula>0.45359237*C24</calculatedColumnFormula>
      <totalsRowFormula>SUM(D56:D69)</totalsRow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DDCC039-7E89-4677-86A4-1D0A143A8501}" name="Table9985" displayName="Table9985" ref="B77:I168" totalsRowCount="1" dataCellStyle="Normal">
  <autoFilter ref="B77:I167" xr:uid="{FA5FC839-8278-4DA7-ADAA-C36822E00748}"/>
  <tableColumns count="8">
    <tableColumn id="1" xr3:uid="{45B1025A-C182-472F-97FD-D253575A858E}" name="Part in GREET" dataCellStyle="Normal"/>
    <tableColumn id="2" xr3:uid="{22057900-C658-402A-98B1-19EF5030DC64}" name="Part in BEVSIM" dataCellStyle="Normal"/>
    <tableColumn id="3" xr3:uid="{AC36B2E3-CBF0-4CAA-A4D7-B175AA485511}" name="Composition (material) (GREET)" dataCellStyle="Normal"/>
    <tableColumn id="4" xr3:uid="{21EF294C-93A3-4226-9F60-9A3411E835E5}" name="Composition (material) (BEVSIM)" dataCellStyle="Normal"/>
    <tableColumn id="5" xr3:uid="{34F83271-0565-4C5C-9945-02EDE1F5DD2E}" name="Composition (%)" dataCellStyle="Normal"/>
    <tableColumn id="6" xr3:uid="{7665DBDA-E7F6-4264-BFC0-91E999CE9BB6}" name="Weight (kg)" totalsRowFunction="custom" dataCellStyle="Normal">
      <calculatedColumnFormula>VLOOKUP(B78, $B$8:$D$69, 3, 0)</calculatedColumnFormula>
      <totalsRowFormula>SUBTOTAL(109,G78:G161)</totalsRowFormula>
    </tableColumn>
    <tableColumn id="7" xr3:uid="{F58B41CE-B078-4A8E-812E-18A06D06BD44}" name="Processing 1" dataCellStyle="Normal"/>
    <tableColumn id="8" xr3:uid="{E2408BAB-5F17-409E-9BBA-5812B6DC805A}" name="Processing 2" dataCellStyle="Normal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F5EB45-FA96-4A1C-8B08-51623C2260AC}" name="Subsys822810158" displayName="Subsys822810158" ref="A2:H11" totalsRowCount="1">
  <tableColumns count="8">
    <tableColumn id="1" xr3:uid="{5EDBE36C-5C16-4283-8B25-16A78D900A40}" name="Sub-system"/>
    <tableColumn id="3" xr3:uid="{6C6630C4-0C2B-4FD5-BC32-AFEF8CF412F7}" name="weights in kg" totalsRowFunction="custom" dataDxfId="5" totalsRowDxfId="4">
      <calculatedColumnFormula>SUM(#REF!)</calculatedColumnFormula>
      <totalsRowFormula>SUBTOTAL(109,B3:B8)</totalsRowFormula>
    </tableColumn>
    <tableColumn id="2" xr3:uid="{290DF496-138B-400A-AE90-CA350B660DBF}" name="Column1"/>
    <tableColumn id="4" xr3:uid="{6514B80D-16EB-4EEC-AD0D-87825583040D}" name="Column2" dataCellStyle="Normal"/>
    <tableColumn id="5" xr3:uid="{66168066-C8B6-477E-B0D4-C91A02B89FA9}" name="Sub-system (GREET)"/>
    <tableColumn id="6" xr3:uid="{821C44F8-C6D7-4E25-96E8-79EAD97C207C}" name="weights in kg (GREET)" totalsRowFunction="custom" dataDxfId="3" totalsRowDxfId="2">
      <calculatedColumnFormula>D45</calculatedColumnFormula>
      <totalsRowFormula>SUM(Subsys822810158[weights in kg (GREET)])</totalsRowFormula>
    </tableColumn>
    <tableColumn id="9" xr3:uid="{94BEABF6-3FBE-4C70-B24F-70F58FDBFF91}" name="Sub-system (final)" dataCellStyle="Normal" totalsRowCellStyle="Normal">
      <calculatedColumnFormula>Subsys822810158[[#This Row],[Sub-system]]</calculatedColumnFormula>
    </tableColumn>
    <tableColumn id="7" xr3:uid="{25BEC4EE-3DA6-404C-AEE3-620017722D9E}" name="weights in kg (final)" totalsRowFunction="custom" dataCellStyle="Normal" totalsRowCellStyle="Normal">
      <totalsRowFormula>SUM(Subsys822810158[weights in kg (final)])</totalsRow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8B9F00D-395D-4663-AA57-413E42D29FBD}" name="Table9810677" displayName="Table9810677" ref="A17:D64" totalsRowCount="1">
  <autoFilter ref="A17:D63" xr:uid="{17F64D97-C72C-4FCC-8807-D7B0F112612D}"/>
  <tableColumns count="4">
    <tableColumn id="1" xr3:uid="{77115672-6A84-4F27-BCB4-2112D1CCD903}" name="Subsystem"/>
    <tableColumn id="2" xr3:uid="{5A792C89-DC7B-42F4-9C42-13169869B989}" name="Part"/>
    <tableColumn id="3" xr3:uid="{8A698C80-09D5-471E-97D2-CC5267AC9DAF}" name="ICE weight lb"/>
    <tableColumn id="4" xr3:uid="{A53D25C1-7409-4788-9623-0C90F077527C}" name="ICE weight kg" totalsRowFunction="custom" dataDxfId="1" totalsRowDxfId="0">
      <calculatedColumnFormula>0.45359237*C18</calculatedColumnFormula>
      <totalsRowFormula>SUM(D50:D63)</totalsRow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113684E-98BE-46B4-BD7D-977DD629D6D7}" name="Table9911678" displayName="Table9911678" ref="B71:H153" totalsRowCount="1" headerRowCellStyle="Normal" dataCellStyle="Normal" totalsRowCellStyle="Normal">
  <autoFilter ref="B71:H152" xr:uid="{FA5FC839-8278-4DA7-ADAA-C36822E00748}"/>
  <tableColumns count="7">
    <tableColumn id="1" xr3:uid="{09F1F8E7-5993-40E0-9D55-5D49A54E7D30}" name="Part in GREET" dataCellStyle="Normal" totalsRowCellStyle="Normal"/>
    <tableColumn id="2" xr3:uid="{8F989CAC-0FA0-4D6C-973E-FE7B4E5CB1C1}" name="Part in BEVSIM" dataCellStyle="Normal" totalsRowCellStyle="Normal"/>
    <tableColumn id="3" xr3:uid="{7A31CB03-4163-4F9E-8B8B-B51AA3B67682}" name="Composition (material) (GREET)" dataCellStyle="Normal" totalsRowCellStyle="Normal"/>
    <tableColumn id="4" xr3:uid="{FC922A66-2C72-41F6-99AC-D589308D873F}" name="Composition (material) (BEVSIM)" dataCellStyle="Normal" totalsRowCellStyle="Normal"/>
    <tableColumn id="5" xr3:uid="{BF19EC48-254A-4CCD-B390-CF089B8EB901}" name="Composition (%)" dataCellStyle="Normal" totalsRowCellStyle="Normal"/>
    <tableColumn id="6" xr3:uid="{376DDDDF-3C1E-456F-BF88-66E49431577D}" name="Weight (kg)" totalsRowFunction="custom" dataCellStyle="Normal" totalsRowCellStyle="Normal">
      <calculatedColumnFormula>VLOOKUP(B72, $B$8:$D$62, 3, 0)</calculatedColumnFormula>
      <totalsRowFormula>SUBTOTAL(109,G72:G146)</totalsRowFormula>
    </tableColumn>
    <tableColumn id="7" xr3:uid="{9C13020E-5CAC-4233-A712-FCD6BADF6605}" name="Processing 1" dataCellStyle="Normal" totalsRowCellStyle="Norm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1" dT="2022-04-28T10:55:21.65" personId="{88535AC0-6959-459D-910A-3ACDA09442FD}" id="{B9CB2B00-68B9-4A10-A946-874D87304C7E}">
    <text>@Mehta, R. (Rajesh) As you see I am building a total car with BoM from two different sources. The total weight is very close but I have to work on the nomenclatue mapping.</text>
    <mentions>
      <mention mentionpersonId="{2B37C05C-1D67-4A32-827B-2AB01FC3B1CE}" mentionId="{CD3C83F7-48CC-4483-8F20-F91D4E95BEDC}" startIndex="0" length="19"/>
    </mentions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11" dT="2022-04-28T10:55:21.65" personId="{88535AC0-6959-459D-910A-3ACDA09442FD}" id="{21512277-B61E-4596-A44E-03C1F5F2A04C}">
    <text>@Mehta, R. (Rajesh) As you see I am building a total car with BoM from two different sources. The total weight is very close but I have to work on the nomenclatue mapping.</text>
    <mentions>
      <mention mentionpersonId="{2B37C05C-1D67-4A32-827B-2AB01FC3B1CE}" mentionId="{4C11F043-0651-4F41-AB93-37B8E982562C}" startIndex="0" length="19"/>
    </mentions>
  </threadedComment>
  <threadedComment ref="B71" dT="2022-05-04T14:21:41.67" personId="{88535AC0-6959-459D-910A-3ACDA09442FD}" id="{833744DD-7A6D-4935-96B4-9553CAA559A2}">
    <text>@Ligthart, T.N. (Tom) t could you please have a look at the BoM for the default cars? no rush but for the manuscripts we need this</text>
    <mentions>
      <mention mentionpersonId="{E631EC3F-12DB-40DE-B842-1C08CE457144}" mentionId="{925F176E-234F-41B9-9130-9A9AA92C8AC5}" startIndex="0" length="21"/>
    </mentions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microsoft.com/office/2017/10/relationships/threadedComment" Target="../threadedComments/threadedComment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7" Type="http://schemas.microsoft.com/office/2017/10/relationships/threadedComment" Target="../threadedComments/threadedComment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2.xml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A03EB-A9C3-431A-9561-C21C378ADFCF}">
  <dimension ref="A1:I168"/>
  <sheetViews>
    <sheetView topLeftCell="A121" zoomScale="57" zoomScaleNormal="57" workbookViewId="0">
      <selection activeCell="I41" sqref="I41"/>
    </sheetView>
  </sheetViews>
  <sheetFormatPr defaultRowHeight="15" x14ac:dyDescent="0.25"/>
  <cols>
    <col min="1" max="2" width="21.28515625" customWidth="1"/>
    <col min="3" max="3" width="28" customWidth="1"/>
    <col min="4" max="4" width="29.5703125" customWidth="1"/>
    <col min="5" max="9" width="21.28515625" customWidth="1"/>
    <col min="25" max="25" width="11.5703125" customWidth="1"/>
    <col min="27" max="27" width="13.5703125" customWidth="1"/>
    <col min="28" max="28" width="13.85546875" customWidth="1"/>
  </cols>
  <sheetData>
    <row r="1" spans="1:8" ht="15.75" thickBot="1" x14ac:dyDescent="0.3">
      <c r="A1" s="27" t="s">
        <v>0</v>
      </c>
      <c r="B1" s="27"/>
      <c r="C1" s="27"/>
      <c r="D1" s="27"/>
      <c r="E1" s="27"/>
      <c r="F1" s="27"/>
      <c r="G1" s="32"/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s="10" t="s">
        <v>7</v>
      </c>
      <c r="H2" s="3" t="s">
        <v>8</v>
      </c>
    </row>
    <row r="3" spans="1:8" x14ac:dyDescent="0.25">
      <c r="A3" t="s">
        <v>9</v>
      </c>
      <c r="E3" t="str">
        <f>A24</f>
        <v>Body</v>
      </c>
      <c r="F3" s="11">
        <f>D31</f>
        <v>409.59391011000008</v>
      </c>
      <c r="G3" s="30" t="str">
        <f>Subsys822883[[#This Row],[Column3]]</f>
        <v>Body</v>
      </c>
      <c r="H3" s="14">
        <f>Subsys822883[[#This Row],[weights in kg (GREET)]]</f>
        <v>409.59391011000008</v>
      </c>
    </row>
    <row r="4" spans="1:8" x14ac:dyDescent="0.25">
      <c r="A4" t="s">
        <v>10</v>
      </c>
      <c r="E4" t="str">
        <f>A32</f>
        <v>Exterior</v>
      </c>
      <c r="F4" s="11">
        <f>D36</f>
        <v>33.565835380000003</v>
      </c>
      <c r="G4" s="30" t="str">
        <f>Subsys822883[[#This Row],[Column3]]</f>
        <v>Closure</v>
      </c>
      <c r="H4" s="14">
        <f>Subsys822883[[#This Row],[weights in kg (GREET)]]-D35</f>
        <v>23.586803240000002</v>
      </c>
    </row>
    <row r="5" spans="1:8" x14ac:dyDescent="0.25">
      <c r="A5" t="s">
        <v>11</v>
      </c>
      <c r="E5" t="str">
        <f>A37</f>
        <v>Interior</v>
      </c>
      <c r="F5" s="11">
        <f>D44</f>
        <v>171.00432349000005</v>
      </c>
      <c r="G5" s="30" t="str">
        <f>Subsys822883[[#This Row],[Column3]]</f>
        <v>Chassis</v>
      </c>
      <c r="H5" s="14">
        <f>F8-D64-(D56+D57+D58)</f>
        <v>193.23034962</v>
      </c>
    </row>
    <row r="6" spans="1:8" x14ac:dyDescent="0.25">
      <c r="A6" t="s">
        <v>12</v>
      </c>
      <c r="E6" t="str">
        <f>A45</f>
        <v>Powertrain</v>
      </c>
      <c r="F6" s="11">
        <f>D55</f>
        <v>444.52052260000005</v>
      </c>
      <c r="G6" s="30" t="str">
        <f>Subsys822883[[#This Row],[Column3]]</f>
        <v>Interior</v>
      </c>
      <c r="H6" s="14">
        <f>F5-D42</f>
        <v>161.02529135000003</v>
      </c>
    </row>
    <row r="7" spans="1:8" x14ac:dyDescent="0.25">
      <c r="A7" t="s">
        <v>13</v>
      </c>
      <c r="B7" s="31"/>
      <c r="F7" s="11"/>
      <c r="G7" s="30" t="str">
        <f>Subsys822883[[#This Row],[Column3]]</f>
        <v>Powertrain</v>
      </c>
      <c r="H7" s="14">
        <f>Subsys822883[[#This Row],[weights in kg (GREET)]]+F9+F6-D50+F10+(D56+D57+D58)</f>
        <v>608.69104886000002</v>
      </c>
    </row>
    <row r="8" spans="1:8" x14ac:dyDescent="0.25">
      <c r="A8" t="s">
        <v>14</v>
      </c>
      <c r="E8" t="str">
        <f>A56</f>
        <v>Chassis</v>
      </c>
      <c r="F8" s="11">
        <f>Table9884[[#Totals],[ICE weight kg]]</f>
        <v>332.02961484000002</v>
      </c>
      <c r="G8" s="30" t="str">
        <f>Subsys822883[[#This Row],[Column3]]</f>
        <v>Electrical</v>
      </c>
      <c r="H8" s="14">
        <f>D35+D50+D64+D42</f>
        <v>39.916128560000004</v>
      </c>
    </row>
    <row r="9" spans="1:8" x14ac:dyDescent="0.25">
      <c r="E9" t="s">
        <v>15</v>
      </c>
      <c r="F9" s="11">
        <v>16.329325320000002</v>
      </c>
      <c r="H9" s="11"/>
    </row>
    <row r="10" spans="1:8" x14ac:dyDescent="0.25">
      <c r="E10" t="s">
        <v>16</v>
      </c>
      <c r="F10" s="11">
        <v>29</v>
      </c>
      <c r="H10" s="11"/>
    </row>
    <row r="11" spans="1:8" ht="15.75" thickBot="1" x14ac:dyDescent="0.3">
      <c r="B11" s="28"/>
      <c r="F11" s="28">
        <f>SUBTOTAL(109,Subsys822883[weights in kg (GREET)])</f>
        <v>1436.0435317400002</v>
      </c>
      <c r="G11" s="29"/>
      <c r="H11" s="12">
        <f>SUM(Subsys822883[weights in kg (final)])</f>
        <v>1436.0435317400004</v>
      </c>
    </row>
    <row r="12" spans="1:8" x14ac:dyDescent="0.25">
      <c r="B12" s="28"/>
      <c r="F12" s="28"/>
      <c r="G12" s="28"/>
      <c r="H12" s="11"/>
    </row>
    <row r="13" spans="1:8" x14ac:dyDescent="0.25">
      <c r="B13" s="28"/>
      <c r="F13" s="28"/>
      <c r="G13" s="28"/>
      <c r="H13" s="11"/>
    </row>
    <row r="14" spans="1:8" x14ac:dyDescent="0.25">
      <c r="B14" s="28"/>
      <c r="F14" s="28"/>
      <c r="G14" s="28"/>
      <c r="H14" s="11"/>
    </row>
    <row r="15" spans="1:8" x14ac:dyDescent="0.25">
      <c r="B15" s="28"/>
      <c r="F15" s="28"/>
      <c r="G15" s="28"/>
      <c r="H15" s="11"/>
    </row>
    <row r="16" spans="1:8" x14ac:dyDescent="0.25">
      <c r="B16" s="28"/>
      <c r="F16" s="28"/>
      <c r="G16" s="28"/>
      <c r="H16" s="11"/>
    </row>
    <row r="17" spans="1:8" x14ac:dyDescent="0.25">
      <c r="B17" s="28"/>
      <c r="F17" s="28"/>
      <c r="G17" s="28"/>
      <c r="H17" s="11"/>
    </row>
    <row r="22" spans="1:8" x14ac:dyDescent="0.25">
      <c r="A22" s="27" t="s">
        <v>17</v>
      </c>
    </row>
    <row r="23" spans="1:8" x14ac:dyDescent="0.25">
      <c r="A23" t="s">
        <v>18</v>
      </c>
      <c r="B23" t="s">
        <v>19</v>
      </c>
      <c r="C23" t="s">
        <v>20</v>
      </c>
      <c r="D23" t="s">
        <v>21</v>
      </c>
    </row>
    <row r="24" spans="1:8" x14ac:dyDescent="0.25">
      <c r="A24" t="s">
        <v>9</v>
      </c>
      <c r="B24" t="s">
        <v>22</v>
      </c>
      <c r="C24">
        <v>551</v>
      </c>
      <c r="D24" s="11">
        <f t="shared" ref="D24:D30" si="0">0.45359237*C24</f>
        <v>249.92939587000001</v>
      </c>
    </row>
    <row r="25" spans="1:8" x14ac:dyDescent="0.25">
      <c r="B25" t="s">
        <v>23</v>
      </c>
      <c r="C25">
        <v>176</v>
      </c>
      <c r="D25" s="11">
        <f t="shared" si="0"/>
        <v>79.832257120000008</v>
      </c>
    </row>
    <row r="26" spans="1:8" x14ac:dyDescent="0.25">
      <c r="B26" t="s">
        <v>24</v>
      </c>
      <c r="C26">
        <v>22</v>
      </c>
      <c r="D26" s="11">
        <f t="shared" si="0"/>
        <v>9.979032140000001</v>
      </c>
    </row>
    <row r="27" spans="1:8" x14ac:dyDescent="0.25">
      <c r="B27" t="s">
        <v>25</v>
      </c>
      <c r="C27">
        <v>22</v>
      </c>
      <c r="D27" s="11">
        <f t="shared" si="0"/>
        <v>9.979032140000001</v>
      </c>
    </row>
    <row r="28" spans="1:8" x14ac:dyDescent="0.25">
      <c r="B28" t="s">
        <v>26</v>
      </c>
      <c r="C28">
        <v>22</v>
      </c>
      <c r="D28" s="11">
        <f t="shared" si="0"/>
        <v>9.979032140000001</v>
      </c>
    </row>
    <row r="29" spans="1:8" x14ac:dyDescent="0.25">
      <c r="B29" t="s">
        <v>27</v>
      </c>
      <c r="C29">
        <v>22</v>
      </c>
      <c r="D29" s="11">
        <f t="shared" si="0"/>
        <v>9.979032140000001</v>
      </c>
    </row>
    <row r="30" spans="1:8" x14ac:dyDescent="0.25">
      <c r="B30" t="s">
        <v>28</v>
      </c>
      <c r="C30">
        <v>88</v>
      </c>
      <c r="D30" s="11">
        <f t="shared" si="0"/>
        <v>39.916128560000004</v>
      </c>
    </row>
    <row r="31" spans="1:8" x14ac:dyDescent="0.25">
      <c r="D31" s="24">
        <f>SUM(D24:D30)</f>
        <v>409.59391011000008</v>
      </c>
    </row>
    <row r="32" spans="1:8" x14ac:dyDescent="0.25">
      <c r="A32" t="s">
        <v>29</v>
      </c>
      <c r="B32" t="s">
        <v>30</v>
      </c>
      <c r="C32">
        <v>26</v>
      </c>
      <c r="D32" s="11">
        <f>0.45359237*C32</f>
        <v>11.793401620000001</v>
      </c>
    </row>
    <row r="33" spans="1:4" x14ac:dyDescent="0.25">
      <c r="B33" t="s">
        <v>31</v>
      </c>
      <c r="C33">
        <v>22</v>
      </c>
      <c r="D33" s="11">
        <f>0.45359237*C33</f>
        <v>9.979032140000001</v>
      </c>
    </row>
    <row r="34" spans="1:4" x14ac:dyDescent="0.25">
      <c r="B34" t="s">
        <v>32</v>
      </c>
      <c r="C34">
        <v>4</v>
      </c>
      <c r="D34" s="11">
        <f>0.45359237*C34</f>
        <v>1.8143694800000001</v>
      </c>
    </row>
    <row r="35" spans="1:4" x14ac:dyDescent="0.25">
      <c r="B35" s="26" t="s">
        <v>33</v>
      </c>
      <c r="C35" s="26">
        <v>22</v>
      </c>
      <c r="D35" s="25">
        <f>0.45359237*C35</f>
        <v>9.979032140000001</v>
      </c>
    </row>
    <row r="36" spans="1:4" x14ac:dyDescent="0.25">
      <c r="D36" s="24">
        <f>SUM(D32:D35)</f>
        <v>33.565835380000003</v>
      </c>
    </row>
    <row r="37" spans="1:4" x14ac:dyDescent="0.25">
      <c r="A37" t="s">
        <v>12</v>
      </c>
      <c r="B37" t="s">
        <v>34</v>
      </c>
      <c r="C37">
        <v>53</v>
      </c>
      <c r="D37" s="11">
        <f t="shared" ref="D37:D43" si="1">0.45359237*C37</f>
        <v>24.040395610000001</v>
      </c>
    </row>
    <row r="38" spans="1:4" x14ac:dyDescent="0.25">
      <c r="B38" t="s">
        <v>35</v>
      </c>
      <c r="C38">
        <v>49</v>
      </c>
      <c r="D38" s="11">
        <f t="shared" si="1"/>
        <v>22.226026130000001</v>
      </c>
    </row>
    <row r="39" spans="1:4" x14ac:dyDescent="0.25">
      <c r="B39" t="s">
        <v>36</v>
      </c>
      <c r="C39">
        <v>55</v>
      </c>
      <c r="D39" s="11">
        <f t="shared" si="1"/>
        <v>24.947580350000003</v>
      </c>
    </row>
    <row r="40" spans="1:4" x14ac:dyDescent="0.25">
      <c r="B40" t="s">
        <v>37</v>
      </c>
      <c r="C40">
        <v>132</v>
      </c>
      <c r="D40" s="11">
        <f t="shared" si="1"/>
        <v>59.874192840000006</v>
      </c>
    </row>
    <row r="41" spans="1:4" x14ac:dyDescent="0.25">
      <c r="B41" t="s">
        <v>38</v>
      </c>
      <c r="C41">
        <v>44</v>
      </c>
      <c r="D41" s="11">
        <f t="shared" si="1"/>
        <v>19.958064280000002</v>
      </c>
    </row>
    <row r="42" spans="1:4" x14ac:dyDescent="0.25">
      <c r="B42" s="26" t="s">
        <v>39</v>
      </c>
      <c r="C42" s="26">
        <v>22</v>
      </c>
      <c r="D42" s="25">
        <f t="shared" si="1"/>
        <v>9.979032140000001</v>
      </c>
    </row>
    <row r="43" spans="1:4" x14ac:dyDescent="0.25">
      <c r="B43" t="s">
        <v>40</v>
      </c>
      <c r="C43">
        <v>22</v>
      </c>
      <c r="D43" s="11">
        <f t="shared" si="1"/>
        <v>9.979032140000001</v>
      </c>
    </row>
    <row r="44" spans="1:4" x14ac:dyDescent="0.25">
      <c r="D44" s="24">
        <f>SUM(D37:D43)</f>
        <v>171.00432349000005</v>
      </c>
    </row>
    <row r="45" spans="1:4" x14ac:dyDescent="0.25">
      <c r="A45" t="s">
        <v>13</v>
      </c>
      <c r="B45" t="s">
        <v>41</v>
      </c>
      <c r="C45">
        <v>450</v>
      </c>
      <c r="D45" s="11">
        <f t="shared" ref="D45:D52" si="2">0.45359237*C45</f>
        <v>204.1165665</v>
      </c>
    </row>
    <row r="46" spans="1:4" x14ac:dyDescent="0.25">
      <c r="B46" t="s">
        <v>42</v>
      </c>
      <c r="C46">
        <v>0</v>
      </c>
      <c r="D46" s="11">
        <f t="shared" si="2"/>
        <v>0</v>
      </c>
    </row>
    <row r="47" spans="1:4" x14ac:dyDescent="0.25">
      <c r="B47" t="s">
        <v>43</v>
      </c>
      <c r="C47">
        <v>119</v>
      </c>
      <c r="D47" s="11">
        <f t="shared" si="2"/>
        <v>53.977492030000001</v>
      </c>
    </row>
    <row r="48" spans="1:4" x14ac:dyDescent="0.25">
      <c r="B48" t="s">
        <v>44</v>
      </c>
      <c r="C48">
        <v>53</v>
      </c>
      <c r="D48" s="11">
        <f t="shared" si="2"/>
        <v>24.040395610000001</v>
      </c>
    </row>
    <row r="49" spans="1:4" x14ac:dyDescent="0.25">
      <c r="B49" t="s">
        <v>45</v>
      </c>
      <c r="C49">
        <v>99</v>
      </c>
      <c r="D49" s="11">
        <f t="shared" si="2"/>
        <v>44.905644630000005</v>
      </c>
    </row>
    <row r="50" spans="1:4" x14ac:dyDescent="0.25">
      <c r="B50" s="26" t="s">
        <v>46</v>
      </c>
      <c r="C50" s="26">
        <v>22</v>
      </c>
      <c r="D50" s="25">
        <f t="shared" si="2"/>
        <v>9.979032140000001</v>
      </c>
    </row>
    <row r="51" spans="1:4" x14ac:dyDescent="0.25">
      <c r="B51" t="s">
        <v>47</v>
      </c>
      <c r="C51">
        <v>22</v>
      </c>
      <c r="D51" s="11">
        <f t="shared" si="2"/>
        <v>9.979032140000001</v>
      </c>
    </row>
    <row r="52" spans="1:4" x14ac:dyDescent="0.25">
      <c r="B52" t="s">
        <v>48</v>
      </c>
      <c r="C52">
        <v>22</v>
      </c>
      <c r="D52" s="11">
        <f t="shared" si="2"/>
        <v>9.979032140000001</v>
      </c>
    </row>
    <row r="53" spans="1:4" x14ac:dyDescent="0.25">
      <c r="D53" s="24"/>
    </row>
    <row r="54" spans="1:4" x14ac:dyDescent="0.25">
      <c r="B54" t="s">
        <v>49</v>
      </c>
      <c r="C54">
        <v>193</v>
      </c>
      <c r="D54" s="11">
        <f>0.45359237*C54</f>
        <v>87.543327410000003</v>
      </c>
    </row>
    <row r="55" spans="1:4" x14ac:dyDescent="0.25">
      <c r="D55" s="24">
        <f>SUM(D45:D54)</f>
        <v>444.52052260000005</v>
      </c>
    </row>
    <row r="56" spans="1:4" x14ac:dyDescent="0.25">
      <c r="A56" t="s">
        <v>11</v>
      </c>
      <c r="B56" s="26" t="s">
        <v>50</v>
      </c>
      <c r="C56" s="26">
        <v>66</v>
      </c>
      <c r="D56" s="25">
        <f t="shared" ref="D56:D69" si="3">0.45359237*C56</f>
        <v>29.937096420000003</v>
      </c>
    </row>
    <row r="57" spans="1:4" x14ac:dyDescent="0.25">
      <c r="B57" s="26" t="s">
        <v>51</v>
      </c>
      <c r="C57" s="26">
        <v>163</v>
      </c>
      <c r="D57" s="25">
        <f t="shared" si="3"/>
        <v>73.93555631000001</v>
      </c>
    </row>
    <row r="58" spans="1:4" x14ac:dyDescent="0.25">
      <c r="B58" s="26" t="s">
        <v>52</v>
      </c>
      <c r="C58" s="26">
        <v>55</v>
      </c>
      <c r="D58" s="25">
        <f t="shared" si="3"/>
        <v>24.947580350000003</v>
      </c>
    </row>
    <row r="59" spans="1:4" x14ac:dyDescent="0.25">
      <c r="B59" t="s">
        <v>53</v>
      </c>
      <c r="C59">
        <v>90</v>
      </c>
      <c r="D59" s="11">
        <f t="shared" si="3"/>
        <v>40.823313300000002</v>
      </c>
    </row>
    <row r="60" spans="1:4" x14ac:dyDescent="0.25">
      <c r="B60" t="s">
        <v>54</v>
      </c>
      <c r="C60">
        <v>84</v>
      </c>
      <c r="D60" s="11">
        <f t="shared" si="3"/>
        <v>38.101759080000001</v>
      </c>
    </row>
    <row r="61" spans="1:4" x14ac:dyDescent="0.25">
      <c r="B61" t="s">
        <v>55</v>
      </c>
      <c r="C61">
        <v>91</v>
      </c>
      <c r="D61" s="11">
        <f t="shared" si="3"/>
        <v>41.276905670000005</v>
      </c>
    </row>
    <row r="62" spans="1:4" x14ac:dyDescent="0.25">
      <c r="B62" t="s">
        <v>56</v>
      </c>
      <c r="C62">
        <v>90</v>
      </c>
      <c r="D62" s="11">
        <f t="shared" si="3"/>
        <v>40.823313300000002</v>
      </c>
    </row>
    <row r="63" spans="1:4" x14ac:dyDescent="0.25">
      <c r="B63" t="s">
        <v>57</v>
      </c>
      <c r="C63">
        <v>49</v>
      </c>
      <c r="D63" s="11">
        <f t="shared" si="3"/>
        <v>22.226026130000001</v>
      </c>
    </row>
    <row r="64" spans="1:4" x14ac:dyDescent="0.25">
      <c r="B64" s="26" t="s">
        <v>58</v>
      </c>
      <c r="C64" s="26">
        <v>22</v>
      </c>
      <c r="D64" s="25">
        <f t="shared" si="3"/>
        <v>9.979032140000001</v>
      </c>
    </row>
    <row r="65" spans="1:9" x14ac:dyDescent="0.25">
      <c r="B65" t="s">
        <v>59</v>
      </c>
      <c r="C65">
        <v>22</v>
      </c>
      <c r="D65" s="11">
        <f t="shared" si="3"/>
        <v>9.979032140000001</v>
      </c>
    </row>
    <row r="66" spans="1:9" x14ac:dyDescent="0.25">
      <c r="B66" t="s">
        <v>60</v>
      </c>
      <c r="C66">
        <v>0</v>
      </c>
      <c r="D66" s="11">
        <f t="shared" si="3"/>
        <v>0</v>
      </c>
    </row>
    <row r="67" spans="1:9" x14ac:dyDescent="0.25">
      <c r="B67" t="s">
        <v>61</v>
      </c>
      <c r="C67">
        <v>0</v>
      </c>
      <c r="D67" s="11">
        <f t="shared" si="3"/>
        <v>0</v>
      </c>
    </row>
    <row r="68" spans="1:9" x14ac:dyDescent="0.25">
      <c r="B68" t="s">
        <v>62</v>
      </c>
      <c r="C68">
        <v>0</v>
      </c>
      <c r="D68" s="11">
        <f t="shared" si="3"/>
        <v>0</v>
      </c>
    </row>
    <row r="69" spans="1:9" x14ac:dyDescent="0.25">
      <c r="B69" t="s">
        <v>63</v>
      </c>
      <c r="C69">
        <v>0</v>
      </c>
      <c r="D69" s="11">
        <f t="shared" si="3"/>
        <v>0</v>
      </c>
    </row>
    <row r="70" spans="1:9" x14ac:dyDescent="0.25">
      <c r="D70" s="24">
        <f>SUM(D56:D69)</f>
        <v>332.02961484000002</v>
      </c>
    </row>
    <row r="73" spans="1:9" ht="15.75" thickBot="1" x14ac:dyDescent="0.3"/>
    <row r="74" spans="1:9" ht="15.75" thickTop="1" x14ac:dyDescent="0.25">
      <c r="D74" s="23">
        <f>SUM(D31,D36,D44,D53,D55,D70)+F10+F9</f>
        <v>1436.0435317400002</v>
      </c>
    </row>
    <row r="77" spans="1:9" ht="15.75" thickBot="1" x14ac:dyDescent="0.3">
      <c r="A77" t="s">
        <v>18</v>
      </c>
      <c r="B77" t="s">
        <v>64</v>
      </c>
      <c r="C77" t="s">
        <v>65</v>
      </c>
      <c r="D77" t="s">
        <v>66</v>
      </c>
      <c r="E77" t="s">
        <v>67</v>
      </c>
      <c r="F77" t="s">
        <v>68</v>
      </c>
      <c r="G77" t="s">
        <v>69</v>
      </c>
      <c r="H77" t="s">
        <v>70</v>
      </c>
      <c r="I77" t="s">
        <v>71</v>
      </c>
    </row>
    <row r="78" spans="1:9" x14ac:dyDescent="0.25">
      <c r="A78" s="22" t="s">
        <v>9</v>
      </c>
      <c r="B78" s="10" t="s">
        <v>22</v>
      </c>
      <c r="C78" s="2" t="s">
        <v>22</v>
      </c>
      <c r="D78" s="2" t="s">
        <v>72</v>
      </c>
      <c r="E78" s="2" t="s">
        <v>73</v>
      </c>
      <c r="F78" s="2">
        <v>100</v>
      </c>
      <c r="G78" s="16">
        <f>(Table9985[[#This Row],[Composition (%)]]/100)*VLOOKUP(B78, $B$8:$D$69, 3, 0)</f>
        <v>249.92939587000001</v>
      </c>
      <c r="H78" t="s">
        <v>74</v>
      </c>
    </row>
    <row r="79" spans="1:9" x14ac:dyDescent="0.25">
      <c r="A79" s="13">
        <f>SUM(G78:G88)</f>
        <v>409.59391011000014</v>
      </c>
      <c r="B79" s="4" t="s">
        <v>23</v>
      </c>
      <c r="C79" t="s">
        <v>75</v>
      </c>
      <c r="D79" t="s">
        <v>72</v>
      </c>
      <c r="E79" t="s">
        <v>73</v>
      </c>
      <c r="F79">
        <v>100</v>
      </c>
      <c r="G79" s="18">
        <f>(Table9985[[#This Row],[Composition (%)]]/100)*VLOOKUP(B79, $B$8:$D$69, 3, 0)</f>
        <v>79.832257120000008</v>
      </c>
      <c r="H79" t="s">
        <v>74</v>
      </c>
    </row>
    <row r="80" spans="1:9" x14ac:dyDescent="0.25">
      <c r="B80" s="4" t="s">
        <v>24</v>
      </c>
      <c r="C80" t="s">
        <v>76</v>
      </c>
      <c r="D80" t="s">
        <v>72</v>
      </c>
      <c r="E80" t="s">
        <v>73</v>
      </c>
      <c r="F80">
        <v>100</v>
      </c>
      <c r="G80" s="18">
        <f>(Table9985[[#This Row],[Composition (%)]]/100)*VLOOKUP(B80, $B$8:$D$69, 3, 0)</f>
        <v>9.979032140000001</v>
      </c>
      <c r="H80" t="s">
        <v>74</v>
      </c>
    </row>
    <row r="81" spans="1:8" x14ac:dyDescent="0.25">
      <c r="B81" s="4" t="s">
        <v>26</v>
      </c>
      <c r="C81" t="s">
        <v>77</v>
      </c>
      <c r="D81" t="s">
        <v>78</v>
      </c>
      <c r="E81" t="s">
        <v>79</v>
      </c>
      <c r="F81">
        <v>100</v>
      </c>
      <c r="G81" s="18">
        <f>(Table9985[[#This Row],[Composition (%)]]/100)*VLOOKUP(B81, $B$8:$D$69, 3, 0)</f>
        <v>9.979032140000001</v>
      </c>
    </row>
    <row r="82" spans="1:8" x14ac:dyDescent="0.25">
      <c r="B82" s="4" t="s">
        <v>27</v>
      </c>
      <c r="C82" t="s">
        <v>77</v>
      </c>
      <c r="D82" t="s">
        <v>78</v>
      </c>
      <c r="E82" t="s">
        <v>79</v>
      </c>
      <c r="F82">
        <v>100</v>
      </c>
      <c r="G82" s="18">
        <f>(Table9985[[#This Row],[Composition (%)]]/100)*VLOOKUP(B82, $B$8:$D$69, 3, 0)</f>
        <v>9.979032140000001</v>
      </c>
    </row>
    <row r="83" spans="1:8" x14ac:dyDescent="0.25">
      <c r="B83" s="4" t="s">
        <v>28</v>
      </c>
      <c r="C83" t="s">
        <v>28</v>
      </c>
      <c r="D83" t="s">
        <v>80</v>
      </c>
      <c r="E83" t="s">
        <v>81</v>
      </c>
      <c r="F83">
        <v>100</v>
      </c>
      <c r="G83" s="18">
        <f>(Table9985[[#This Row],[Composition (%)]]/100)*VLOOKUP(B83, $B$8:$D$69, 3, 0)</f>
        <v>39.916128560000004</v>
      </c>
    </row>
    <row r="84" spans="1:8" x14ac:dyDescent="0.25">
      <c r="B84" s="4" t="s">
        <v>25</v>
      </c>
      <c r="C84" t="s">
        <v>82</v>
      </c>
      <c r="D84" t="s">
        <v>83</v>
      </c>
      <c r="E84" t="s">
        <v>84</v>
      </c>
      <c r="F84">
        <v>89.8</v>
      </c>
      <c r="G84" s="18">
        <f>(Table9985[[#This Row],[Composition (%)]]/100)*VLOOKUP(B84, $B$8:$D$69, 3, 0)</f>
        <v>8.9611708617200012</v>
      </c>
      <c r="H84" t="s">
        <v>85</v>
      </c>
    </row>
    <row r="85" spans="1:8" x14ac:dyDescent="0.25">
      <c r="B85" s="15" t="s">
        <v>25</v>
      </c>
      <c r="D85" t="s">
        <v>72</v>
      </c>
      <c r="E85" t="s">
        <v>73</v>
      </c>
      <c r="F85">
        <v>5.3</v>
      </c>
      <c r="G85" s="18">
        <f>(Table9985[[#This Row],[Composition (%)]]/100)*VLOOKUP(B85, $B$8:$D$69, 3, 0)</f>
        <v>0.52888870342000005</v>
      </c>
      <c r="H85" t="s">
        <v>74</v>
      </c>
    </row>
    <row r="86" spans="1:8" x14ac:dyDescent="0.25">
      <c r="B86" s="15" t="s">
        <v>25</v>
      </c>
      <c r="D86" t="s">
        <v>86</v>
      </c>
      <c r="E86" t="s">
        <v>84</v>
      </c>
      <c r="F86">
        <v>2.2999999999999998</v>
      </c>
      <c r="G86" s="18">
        <f>(Table9985[[#This Row],[Composition (%)]]/100)*VLOOKUP(B86, $B$8:$D$69, 3, 0)</f>
        <v>0.22951773922000002</v>
      </c>
      <c r="H86" t="s">
        <v>85</v>
      </c>
    </row>
    <row r="87" spans="1:8" x14ac:dyDescent="0.25">
      <c r="B87" s="15" t="s">
        <v>25</v>
      </c>
      <c r="D87" t="s">
        <v>87</v>
      </c>
      <c r="E87" t="s">
        <v>88</v>
      </c>
      <c r="F87">
        <v>2</v>
      </c>
      <c r="G87" s="18">
        <f>(Table9985[[#This Row],[Composition (%)]]/100)*VLOOKUP(B87, $B$8:$D$69, 3, 0)</f>
        <v>0.19958064280000001</v>
      </c>
    </row>
    <row r="88" spans="1:8" ht="15.75" thickBot="1" x14ac:dyDescent="0.3">
      <c r="B88" s="21" t="s">
        <v>25</v>
      </c>
      <c r="C88" s="7"/>
      <c r="D88" s="7" t="s">
        <v>80</v>
      </c>
      <c r="E88" s="7" t="s">
        <v>81</v>
      </c>
      <c r="F88" s="7">
        <v>0.6</v>
      </c>
      <c r="G88" s="17">
        <f>(Table9985[[#This Row],[Composition (%)]]/100)*VLOOKUP(B88, $B$8:$D$69, 3, 0)</f>
        <v>5.9874192840000007E-2</v>
      </c>
    </row>
    <row r="89" spans="1:8" x14ac:dyDescent="0.25">
      <c r="A89" s="20" t="s">
        <v>10</v>
      </c>
      <c r="B89" s="10" t="s">
        <v>30</v>
      </c>
      <c r="C89" s="2" t="s">
        <v>89</v>
      </c>
      <c r="D89" s="2" t="s">
        <v>90</v>
      </c>
      <c r="E89" s="2" t="s">
        <v>90</v>
      </c>
      <c r="F89" s="2">
        <v>100</v>
      </c>
      <c r="G89" s="16">
        <f>(Table9985[[#This Row],[Composition (%)]]/100)*VLOOKUP(B89, $B$8:$D$69, 3, 0)</f>
        <v>11.793401620000001</v>
      </c>
      <c r="H89" t="s">
        <v>91</v>
      </c>
    </row>
    <row r="90" spans="1:8" x14ac:dyDescent="0.25">
      <c r="A90" s="13">
        <f>SUM(G89:G94)</f>
        <v>23.586803240000002</v>
      </c>
      <c r="B90" s="4" t="s">
        <v>32</v>
      </c>
      <c r="C90" t="s">
        <v>89</v>
      </c>
      <c r="D90" t="s">
        <v>86</v>
      </c>
      <c r="E90" t="s">
        <v>83</v>
      </c>
      <c r="F90">
        <v>100</v>
      </c>
      <c r="G90" s="18">
        <f>(Table9985[[#This Row],[Composition (%)]]/100)*VLOOKUP(B90, $B$8:$D$69, 3, 0)</f>
        <v>1.8143694800000001</v>
      </c>
      <c r="H90" t="s">
        <v>85</v>
      </c>
    </row>
    <row r="91" spans="1:8" x14ac:dyDescent="0.25">
      <c r="B91" s="4" t="s">
        <v>31</v>
      </c>
      <c r="C91" t="s">
        <v>89</v>
      </c>
      <c r="D91" t="s">
        <v>83</v>
      </c>
      <c r="E91" t="s">
        <v>83</v>
      </c>
      <c r="F91">
        <v>93.6</v>
      </c>
      <c r="G91" s="18">
        <f>(Table9985[[#This Row],[Composition (%)]]/100)*VLOOKUP(B91, $B$8:$D$69, 3, 0)</f>
        <v>9.3403740830400004</v>
      </c>
      <c r="H91" t="s">
        <v>85</v>
      </c>
    </row>
    <row r="92" spans="1:8" x14ac:dyDescent="0.25">
      <c r="B92" s="15" t="s">
        <v>31</v>
      </c>
      <c r="C92" t="s">
        <v>89</v>
      </c>
      <c r="D92" t="s">
        <v>72</v>
      </c>
      <c r="E92" t="s">
        <v>73</v>
      </c>
      <c r="F92">
        <v>4.3</v>
      </c>
      <c r="G92" s="18">
        <f>(Table9985[[#This Row],[Composition (%)]]/100)*VLOOKUP(B92, $B$8:$D$69, 3, 0)</f>
        <v>0.42909838202</v>
      </c>
      <c r="H92" t="s">
        <v>74</v>
      </c>
    </row>
    <row r="93" spans="1:8" x14ac:dyDescent="0.25">
      <c r="B93" s="15" t="s">
        <v>31</v>
      </c>
      <c r="C93" t="s">
        <v>89</v>
      </c>
      <c r="D93" t="s">
        <v>86</v>
      </c>
      <c r="E93" t="s">
        <v>83</v>
      </c>
      <c r="F93">
        <v>1.5</v>
      </c>
      <c r="G93" s="18">
        <f>(Table9985[[#This Row],[Composition (%)]]/100)*VLOOKUP(B93, $B$8:$D$69, 3, 0)</f>
        <v>0.14968548210000002</v>
      </c>
      <c r="H93" t="s">
        <v>85</v>
      </c>
    </row>
    <row r="94" spans="1:8" ht="15.75" thickBot="1" x14ac:dyDescent="0.3">
      <c r="B94" s="21" t="s">
        <v>31</v>
      </c>
      <c r="C94" s="7" t="s">
        <v>89</v>
      </c>
      <c r="D94" s="7" t="s">
        <v>92</v>
      </c>
      <c r="E94" s="7" t="s">
        <v>83</v>
      </c>
      <c r="F94" s="7">
        <v>0.6</v>
      </c>
      <c r="G94" s="17">
        <f>(Table9985[[#This Row],[Composition (%)]]/100)*VLOOKUP(B94, $B$8:$D$69, 3, 0)</f>
        <v>5.9874192840000007E-2</v>
      </c>
    </row>
    <row r="95" spans="1:8" x14ac:dyDescent="0.25">
      <c r="A95" s="20" t="s">
        <v>12</v>
      </c>
      <c r="B95" s="10" t="s">
        <v>34</v>
      </c>
      <c r="C95" s="2" t="s">
        <v>34</v>
      </c>
      <c r="D95" s="2" t="s">
        <v>72</v>
      </c>
      <c r="E95" s="2" t="s">
        <v>73</v>
      </c>
      <c r="F95" s="2">
        <v>46</v>
      </c>
      <c r="G95" s="16">
        <f>(Table9985[[#This Row],[Composition (%)]]/100)*VLOOKUP(B95, $B$8:$D$69, 3, 0)</f>
        <v>11.058581980600001</v>
      </c>
      <c r="H95" t="s">
        <v>74</v>
      </c>
    </row>
    <row r="96" spans="1:8" x14ac:dyDescent="0.25">
      <c r="A96" s="13">
        <f>SUM(G95:G119)</f>
        <v>161.02529135000003</v>
      </c>
      <c r="B96" s="15" t="s">
        <v>34</v>
      </c>
      <c r="D96" t="s">
        <v>83</v>
      </c>
      <c r="E96" t="s">
        <v>84</v>
      </c>
      <c r="F96">
        <v>47</v>
      </c>
      <c r="G96" s="18">
        <f>(Table9985[[#This Row],[Composition (%)]]/100)*VLOOKUP(B96, $B$8:$D$69, 3, 0)</f>
        <v>11.298985936699999</v>
      </c>
      <c r="H96" t="s">
        <v>85</v>
      </c>
    </row>
    <row r="97" spans="2:8" x14ac:dyDescent="0.25">
      <c r="B97" s="15" t="s">
        <v>34</v>
      </c>
      <c r="D97" t="s">
        <v>92</v>
      </c>
      <c r="E97" t="s">
        <v>84</v>
      </c>
      <c r="F97">
        <v>4</v>
      </c>
      <c r="G97" s="18">
        <f>(Table9985[[#This Row],[Composition (%)]]/100)*VLOOKUP(B97, $B$8:$D$69, 3, 0)</f>
        <v>0.96161582440000004</v>
      </c>
    </row>
    <row r="98" spans="2:8" x14ac:dyDescent="0.25">
      <c r="B98" s="15" t="s">
        <v>34</v>
      </c>
      <c r="D98" t="s">
        <v>93</v>
      </c>
      <c r="E98" t="s">
        <v>94</v>
      </c>
      <c r="F98">
        <v>1</v>
      </c>
      <c r="G98" s="18">
        <f>(Table9985[[#This Row],[Composition (%)]]/100)*VLOOKUP(B98, $B$8:$D$69, 3, 0)</f>
        <v>0.24040395610000001</v>
      </c>
      <c r="H98" s="1" t="s">
        <v>95</v>
      </c>
    </row>
    <row r="99" spans="2:8" x14ac:dyDescent="0.25">
      <c r="B99" s="15" t="s">
        <v>34</v>
      </c>
      <c r="D99" t="s">
        <v>86</v>
      </c>
      <c r="E99" t="s">
        <v>84</v>
      </c>
      <c r="F99">
        <v>1</v>
      </c>
      <c r="G99" s="18">
        <f>(Table9985[[#This Row],[Composition (%)]]/100)*VLOOKUP(B99, $B$8:$D$69, 3, 0)</f>
        <v>0.24040395610000001</v>
      </c>
      <c r="H99" t="s">
        <v>85</v>
      </c>
    </row>
    <row r="100" spans="2:8" x14ac:dyDescent="0.25">
      <c r="B100" s="15" t="s">
        <v>34</v>
      </c>
      <c r="D100" t="s">
        <v>96</v>
      </c>
      <c r="E100" t="s">
        <v>97</v>
      </c>
      <c r="F100">
        <v>1</v>
      </c>
      <c r="G100" s="18">
        <f>(Table9985[[#This Row],[Composition (%)]]/100)*VLOOKUP(B100, $B$8:$D$69, 3, 0)</f>
        <v>0.24040395610000001</v>
      </c>
    </row>
    <row r="101" spans="2:8" x14ac:dyDescent="0.25">
      <c r="B101" s="4" t="s">
        <v>35</v>
      </c>
      <c r="C101" t="s">
        <v>98</v>
      </c>
      <c r="D101" t="s">
        <v>83</v>
      </c>
      <c r="E101" t="s">
        <v>84</v>
      </c>
      <c r="F101">
        <v>67.2</v>
      </c>
      <c r="G101" s="18">
        <f>(Table9985[[#This Row],[Composition (%)]]/100)*VLOOKUP(B101, $B$8:$D$69, 3, 0)</f>
        <v>14.935889559360001</v>
      </c>
      <c r="H101" t="s">
        <v>85</v>
      </c>
    </row>
    <row r="102" spans="2:8" x14ac:dyDescent="0.25">
      <c r="B102" s="15" t="s">
        <v>35</v>
      </c>
      <c r="D102" t="s">
        <v>72</v>
      </c>
      <c r="E102" t="s">
        <v>73</v>
      </c>
      <c r="F102">
        <v>29.5</v>
      </c>
      <c r="G102" s="18">
        <f>(Table9985[[#This Row],[Composition (%)]]/100)*VLOOKUP(B102, $B$8:$D$69, 3, 0)</f>
        <v>6.5566777083499996</v>
      </c>
      <c r="H102" t="s">
        <v>74</v>
      </c>
    </row>
    <row r="103" spans="2:8" x14ac:dyDescent="0.25">
      <c r="B103" s="15" t="s">
        <v>35</v>
      </c>
      <c r="D103" t="s">
        <v>92</v>
      </c>
      <c r="E103" t="s">
        <v>84</v>
      </c>
      <c r="F103">
        <v>3.2</v>
      </c>
      <c r="G103" s="18">
        <f>(Table9985[[#This Row],[Composition (%)]]/100)*VLOOKUP(B103, $B$8:$D$69, 3, 0)</f>
        <v>0.7112328361600001</v>
      </c>
    </row>
    <row r="104" spans="2:8" x14ac:dyDescent="0.25">
      <c r="B104" s="15" t="s">
        <v>35</v>
      </c>
      <c r="D104" t="s">
        <v>93</v>
      </c>
      <c r="E104" t="s">
        <v>94</v>
      </c>
      <c r="F104">
        <v>0.1</v>
      </c>
      <c r="G104" s="18">
        <f>(Table9985[[#This Row],[Composition (%)]]/100)*VLOOKUP(B104, $B$8:$D$69, 3, 0)</f>
        <v>2.2226026130000003E-2</v>
      </c>
      <c r="H104" s="1" t="s">
        <v>95</v>
      </c>
    </row>
    <row r="105" spans="2:8" x14ac:dyDescent="0.25">
      <c r="B105" s="4" t="s">
        <v>36</v>
      </c>
      <c r="C105" t="s">
        <v>36</v>
      </c>
      <c r="D105" t="s">
        <v>83</v>
      </c>
      <c r="E105" t="s">
        <v>84</v>
      </c>
      <c r="F105">
        <v>65.3</v>
      </c>
      <c r="G105" s="18">
        <f>(Table9985[[#This Row],[Composition (%)]]/100)*VLOOKUP(B105, $B$8:$D$69, 3, 0)</f>
        <v>16.290769968550002</v>
      </c>
      <c r="H105" t="s">
        <v>85</v>
      </c>
    </row>
    <row r="106" spans="2:8" x14ac:dyDescent="0.25">
      <c r="B106" s="15" t="s">
        <v>36</v>
      </c>
      <c r="D106" t="s">
        <v>92</v>
      </c>
      <c r="E106" t="s">
        <v>84</v>
      </c>
      <c r="F106">
        <v>32.6</v>
      </c>
      <c r="G106" s="18">
        <f>(Table9985[[#This Row],[Composition (%)]]/100)*VLOOKUP(B106, $B$8:$D$69, 3, 0)</f>
        <v>8.1329111941000019</v>
      </c>
    </row>
    <row r="107" spans="2:8" x14ac:dyDescent="0.25">
      <c r="B107" s="15" t="s">
        <v>36</v>
      </c>
      <c r="D107" t="s">
        <v>72</v>
      </c>
      <c r="E107" t="s">
        <v>73</v>
      </c>
      <c r="F107">
        <v>1.8</v>
      </c>
      <c r="G107" s="18">
        <f>(Table9985[[#This Row],[Composition (%)]]/100)*VLOOKUP(B107, $B$8:$D$69, 3, 0)</f>
        <v>0.44905644630000008</v>
      </c>
      <c r="H107" t="s">
        <v>74</v>
      </c>
    </row>
    <row r="108" spans="2:8" x14ac:dyDescent="0.25">
      <c r="B108" s="15" t="s">
        <v>36</v>
      </c>
      <c r="D108" t="s">
        <v>80</v>
      </c>
      <c r="E108" t="s">
        <v>99</v>
      </c>
      <c r="F108">
        <v>0.3</v>
      </c>
      <c r="G108" s="18">
        <f>(Table9985[[#This Row],[Composition (%)]]/100)*VLOOKUP(B108, $B$8:$D$69, 3, 0)</f>
        <v>7.4842741050000008E-2</v>
      </c>
    </row>
    <row r="109" spans="2:8" x14ac:dyDescent="0.25">
      <c r="B109" s="4" t="s">
        <v>37</v>
      </c>
      <c r="C109" t="s">
        <v>100</v>
      </c>
      <c r="D109" t="s">
        <v>72</v>
      </c>
      <c r="E109" t="s">
        <v>73</v>
      </c>
      <c r="F109">
        <v>58</v>
      </c>
      <c r="G109" s="18">
        <f>(Table9985[[#This Row],[Composition (%)]]/100)*VLOOKUP(B109, $B$8:$D$69, 3, 0)</f>
        <v>34.727031847200003</v>
      </c>
      <c r="H109" t="s">
        <v>74</v>
      </c>
    </row>
    <row r="110" spans="2:8" x14ac:dyDescent="0.25">
      <c r="B110" s="15" t="s">
        <v>37</v>
      </c>
      <c r="D110" t="s">
        <v>83</v>
      </c>
      <c r="E110" t="s">
        <v>84</v>
      </c>
      <c r="F110">
        <v>39</v>
      </c>
      <c r="G110" s="18">
        <f>(Table9985[[#This Row],[Composition (%)]]/100)*VLOOKUP(B110, $B$8:$D$69, 3, 0)</f>
        <v>23.350935207600003</v>
      </c>
      <c r="H110" t="s">
        <v>85</v>
      </c>
    </row>
    <row r="111" spans="2:8" x14ac:dyDescent="0.25">
      <c r="B111" s="15" t="s">
        <v>37</v>
      </c>
      <c r="D111" t="s">
        <v>92</v>
      </c>
      <c r="E111" t="s">
        <v>84</v>
      </c>
      <c r="F111">
        <v>3</v>
      </c>
      <c r="G111" s="18">
        <f>(Table9985[[#This Row],[Composition (%)]]/100)*VLOOKUP(B111, $B$8:$D$69, 3, 0)</f>
        <v>1.7962257852000001</v>
      </c>
    </row>
    <row r="112" spans="2:8" x14ac:dyDescent="0.25">
      <c r="B112" s="4" t="s">
        <v>38</v>
      </c>
      <c r="C112" t="s">
        <v>38</v>
      </c>
      <c r="D112" t="s">
        <v>72</v>
      </c>
      <c r="E112" t="s">
        <v>73</v>
      </c>
      <c r="F112">
        <v>56.2</v>
      </c>
      <c r="G112" s="18">
        <f>(Table9985[[#This Row],[Composition (%)]]/100)*VLOOKUP(B112, $B$8:$D$69, 3, 0)</f>
        <v>11.216432125360003</v>
      </c>
      <c r="H112" t="s">
        <v>74</v>
      </c>
    </row>
    <row r="113" spans="1:8" x14ac:dyDescent="0.25">
      <c r="B113" s="15" t="s">
        <v>38</v>
      </c>
      <c r="D113" t="s">
        <v>93</v>
      </c>
      <c r="E113" t="s">
        <v>94</v>
      </c>
      <c r="F113">
        <v>21.5</v>
      </c>
      <c r="G113" s="18">
        <f>(Table9985[[#This Row],[Composition (%)]]/100)*VLOOKUP(B113, $B$8:$D$69, 3, 0)</f>
        <v>4.2909838202000001</v>
      </c>
      <c r="H113" s="1" t="s">
        <v>95</v>
      </c>
    </row>
    <row r="114" spans="1:8" x14ac:dyDescent="0.25">
      <c r="B114" s="15" t="s">
        <v>38</v>
      </c>
      <c r="D114" t="s">
        <v>87</v>
      </c>
      <c r="E114" t="s">
        <v>87</v>
      </c>
      <c r="F114">
        <v>16.7</v>
      </c>
      <c r="G114" s="18">
        <f>(Table9985[[#This Row],[Composition (%)]]/100)*VLOOKUP(B114, $B$8:$D$69, 3, 0)</f>
        <v>3.33299673476</v>
      </c>
    </row>
    <row r="115" spans="1:8" x14ac:dyDescent="0.25">
      <c r="B115" s="15" t="s">
        <v>38</v>
      </c>
      <c r="D115" t="s">
        <v>83</v>
      </c>
      <c r="E115" t="s">
        <v>84</v>
      </c>
      <c r="F115">
        <v>2.4</v>
      </c>
      <c r="G115" s="18">
        <f>(Table9985[[#This Row],[Composition (%)]]/100)*VLOOKUP(B115, $B$8:$D$69, 3, 0)</f>
        <v>0.47899354272000005</v>
      </c>
      <c r="H115" t="s">
        <v>85</v>
      </c>
    </row>
    <row r="116" spans="1:8" x14ac:dyDescent="0.25">
      <c r="B116" s="15" t="s">
        <v>38</v>
      </c>
      <c r="D116" t="s">
        <v>86</v>
      </c>
      <c r="E116" t="s">
        <v>84</v>
      </c>
      <c r="F116">
        <v>2</v>
      </c>
      <c r="G116" s="18">
        <f>(Table9985[[#This Row],[Composition (%)]]/100)*VLOOKUP(B116, $B$8:$D$69, 3, 0)</f>
        <v>0.39916128560000003</v>
      </c>
      <c r="H116" t="s">
        <v>85</v>
      </c>
    </row>
    <row r="117" spans="1:8" x14ac:dyDescent="0.25">
      <c r="B117" s="15" t="s">
        <v>38</v>
      </c>
      <c r="D117" t="s">
        <v>101</v>
      </c>
      <c r="E117" t="s">
        <v>101</v>
      </c>
      <c r="F117">
        <v>0.5</v>
      </c>
      <c r="G117" s="18">
        <f>(Table9985[[#This Row],[Composition (%)]]/100)*VLOOKUP(B117, $B$8:$D$69, 3, 0)</f>
        <v>9.9790321400000007E-2</v>
      </c>
    </row>
    <row r="118" spans="1:8" x14ac:dyDescent="0.25">
      <c r="B118" s="15" t="s">
        <v>38</v>
      </c>
      <c r="D118" t="s">
        <v>102</v>
      </c>
      <c r="E118" t="s">
        <v>84</v>
      </c>
      <c r="F118">
        <v>0.7</v>
      </c>
      <c r="G118" s="18">
        <f>(Table9985[[#This Row],[Composition (%)]]/100)*VLOOKUP(B118, $B$8:$D$69, 3, 0)</f>
        <v>0.13970644996000001</v>
      </c>
      <c r="H118" t="s">
        <v>85</v>
      </c>
    </row>
    <row r="119" spans="1:8" ht="15.75" thickBot="1" x14ac:dyDescent="0.3">
      <c r="B119" s="6" t="s">
        <v>40</v>
      </c>
      <c r="C119" s="7" t="s">
        <v>98</v>
      </c>
      <c r="D119" s="7" t="s">
        <v>103</v>
      </c>
      <c r="E119" s="7" t="s">
        <v>73</v>
      </c>
      <c r="F119" s="7">
        <v>100</v>
      </c>
      <c r="G119" s="12">
        <f>(Table9985[[#This Row],[Composition (%)]]/100)*VLOOKUP(B119, $B$8:$D$69, 3, 0)</f>
        <v>9.979032140000001</v>
      </c>
      <c r="H119" t="s">
        <v>74</v>
      </c>
    </row>
    <row r="120" spans="1:8" x14ac:dyDescent="0.25">
      <c r="A120" t="s">
        <v>13</v>
      </c>
      <c r="B120" s="10" t="s">
        <v>41</v>
      </c>
      <c r="C120" s="2" t="s">
        <v>104</v>
      </c>
      <c r="D120" s="2" t="s">
        <v>105</v>
      </c>
      <c r="E120" s="2" t="s">
        <v>106</v>
      </c>
      <c r="F120" s="2">
        <v>50</v>
      </c>
      <c r="G120" s="3">
        <f>(Table9985[[#This Row],[Composition (%)]]/100)*VLOOKUP(B120, $B$8:$D$69, 3, 0)</f>
        <v>102.05828325</v>
      </c>
    </row>
    <row r="121" spans="1:8" x14ac:dyDescent="0.25">
      <c r="A121" s="13">
        <f>SUM(G120:G142)</f>
        <v>579.69104885999991</v>
      </c>
      <c r="B121" s="4" t="s">
        <v>41</v>
      </c>
      <c r="D121" t="s">
        <v>107</v>
      </c>
      <c r="E121" t="s">
        <v>108</v>
      </c>
      <c r="F121">
        <v>30</v>
      </c>
      <c r="G121" s="5">
        <f>(Table9985[[#This Row],[Composition (%)]]/100)*VLOOKUP(B121, $B$8:$D$69, 3, 0)</f>
        <v>61.23496995</v>
      </c>
    </row>
    <row r="122" spans="1:8" x14ac:dyDescent="0.25">
      <c r="B122" s="4" t="s">
        <v>41</v>
      </c>
      <c r="D122" t="s">
        <v>72</v>
      </c>
      <c r="E122" t="s">
        <v>73</v>
      </c>
      <c r="F122">
        <v>10</v>
      </c>
      <c r="G122" s="5">
        <f>(Table9985[[#This Row],[Composition (%)]]/100)*VLOOKUP(B122, $B$8:$D$69, 3, 0)</f>
        <v>20.411656650000001</v>
      </c>
      <c r="H122" t="s">
        <v>74</v>
      </c>
    </row>
    <row r="123" spans="1:8" x14ac:dyDescent="0.25">
      <c r="B123" s="4" t="s">
        <v>41</v>
      </c>
      <c r="D123" t="s">
        <v>83</v>
      </c>
      <c r="E123" t="s">
        <v>84</v>
      </c>
      <c r="F123">
        <v>4.5</v>
      </c>
      <c r="G123" s="5">
        <f>(Table9985[[#This Row],[Composition (%)]]/100)*VLOOKUP(B123, $B$8:$D$69, 3, 0)</f>
        <v>9.1852454925</v>
      </c>
      <c r="H123" t="s">
        <v>85</v>
      </c>
    </row>
    <row r="124" spans="1:8" x14ac:dyDescent="0.25">
      <c r="B124" s="4" t="s">
        <v>41</v>
      </c>
      <c r="D124" t="s">
        <v>86</v>
      </c>
      <c r="E124" t="s">
        <v>84</v>
      </c>
      <c r="F124">
        <v>4.5</v>
      </c>
      <c r="G124" s="5">
        <f>(Table9985[[#This Row],[Composition (%)]]/100)*VLOOKUP(B124, $B$8:$D$69, 3, 0)</f>
        <v>9.1852454925</v>
      </c>
      <c r="H124" t="s">
        <v>85</v>
      </c>
    </row>
    <row r="125" spans="1:8" x14ac:dyDescent="0.25">
      <c r="B125" s="4" t="s">
        <v>41</v>
      </c>
      <c r="D125" t="s">
        <v>87</v>
      </c>
      <c r="E125" t="s">
        <v>87</v>
      </c>
      <c r="F125">
        <v>1</v>
      </c>
      <c r="G125" s="5">
        <f>(Table9985[[#This Row],[Composition (%)]]/100)*VLOOKUP(B125, $B$8:$D$69, 3, 0)</f>
        <v>2.0411656650000003</v>
      </c>
    </row>
    <row r="126" spans="1:8" x14ac:dyDescent="0.25">
      <c r="B126" s="4" t="s">
        <v>109</v>
      </c>
      <c r="C126" t="s">
        <v>110</v>
      </c>
      <c r="D126" t="s">
        <v>111</v>
      </c>
      <c r="E126" t="s">
        <v>112</v>
      </c>
      <c r="F126">
        <v>100</v>
      </c>
      <c r="G126" s="5">
        <f>F9</f>
        <v>16.329325320000002</v>
      </c>
      <c r="H126" t="s">
        <v>113</v>
      </c>
    </row>
    <row r="127" spans="1:8" x14ac:dyDescent="0.25">
      <c r="B127" s="4" t="s">
        <v>43</v>
      </c>
      <c r="C127" t="s">
        <v>114</v>
      </c>
      <c r="D127" t="s">
        <v>72</v>
      </c>
      <c r="E127" t="s">
        <v>115</v>
      </c>
      <c r="F127">
        <v>100</v>
      </c>
      <c r="G127" s="5">
        <f>(Table9985[[#This Row],[Composition (%)]]/100)*VLOOKUP(B127, $B$8:$D$69, 3, 0)</f>
        <v>53.977492030000001</v>
      </c>
      <c r="H127" t="s">
        <v>116</v>
      </c>
    </row>
    <row r="128" spans="1:8" x14ac:dyDescent="0.25">
      <c r="B128" s="4" t="s">
        <v>44</v>
      </c>
      <c r="C128" t="s">
        <v>117</v>
      </c>
      <c r="D128" t="s">
        <v>84</v>
      </c>
      <c r="E128" t="s">
        <v>118</v>
      </c>
      <c r="F128">
        <v>59</v>
      </c>
      <c r="G128" s="5">
        <f>(Table9985[[#This Row],[Composition (%)]]/100)*VLOOKUP(B128, $B$8:$D$69, 3, 0)</f>
        <v>14.1838334099</v>
      </c>
      <c r="H128" t="s">
        <v>85</v>
      </c>
    </row>
    <row r="129" spans="1:8" x14ac:dyDescent="0.25">
      <c r="B129" s="4" t="s">
        <v>44</v>
      </c>
      <c r="D129" t="s">
        <v>87</v>
      </c>
      <c r="E129" t="s">
        <v>118</v>
      </c>
      <c r="F129">
        <v>41</v>
      </c>
      <c r="G129" s="5">
        <f>(Table9985[[#This Row],[Composition (%)]]/100)*VLOOKUP(B129, $B$8:$D$69, 3, 0)</f>
        <v>9.8565622000999991</v>
      </c>
      <c r="H129" t="s">
        <v>85</v>
      </c>
    </row>
    <row r="130" spans="1:8" x14ac:dyDescent="0.25">
      <c r="B130" s="4" t="s">
        <v>45</v>
      </c>
      <c r="C130" t="s">
        <v>119</v>
      </c>
      <c r="D130" t="s">
        <v>72</v>
      </c>
      <c r="E130" t="s">
        <v>73</v>
      </c>
      <c r="F130">
        <v>99.984999999999999</v>
      </c>
      <c r="G130" s="5">
        <f>(Table9985[[#This Row],[Composition (%)]]/100)*VLOOKUP(B130, $B$8:$D$69, 3, 0)</f>
        <v>44.898908783305508</v>
      </c>
      <c r="H130" t="s">
        <v>74</v>
      </c>
    </row>
    <row r="131" spans="1:8" x14ac:dyDescent="0.25">
      <c r="B131" s="4" t="s">
        <v>45</v>
      </c>
      <c r="C131" t="s">
        <v>120</v>
      </c>
      <c r="D131" t="s">
        <v>121</v>
      </c>
      <c r="E131" t="s">
        <v>122</v>
      </c>
      <c r="F131">
        <f>100-99.985</f>
        <v>1.5000000000000568E-2</v>
      </c>
      <c r="G131" s="5">
        <f>(Table9985[[#This Row],[Composition (%)]]/100)*VLOOKUP(B131, $B$8:$D$69, 3, 0)</f>
        <v>6.7358466945002561E-3</v>
      </c>
    </row>
    <row r="132" spans="1:8" x14ac:dyDescent="0.25">
      <c r="B132" s="4" t="s">
        <v>47</v>
      </c>
      <c r="C132" t="s">
        <v>123</v>
      </c>
      <c r="D132" t="s">
        <v>84</v>
      </c>
      <c r="E132" t="s">
        <v>84</v>
      </c>
      <c r="F132">
        <v>59</v>
      </c>
      <c r="G132" s="5">
        <f>(Table9985[[#This Row],[Composition (%)]]/100)*VLOOKUP(B132, $B$8:$D$69, 3, 0)</f>
        <v>5.8876289626</v>
      </c>
      <c r="H132" t="s">
        <v>85</v>
      </c>
    </row>
    <row r="133" spans="1:8" x14ac:dyDescent="0.25">
      <c r="B133" s="4" t="s">
        <v>47</v>
      </c>
      <c r="D133" t="s">
        <v>87</v>
      </c>
      <c r="E133" t="s">
        <v>87</v>
      </c>
      <c r="F133">
        <v>41</v>
      </c>
      <c r="G133" s="5">
        <f>(Table9985[[#This Row],[Composition (%)]]/100)*VLOOKUP(B133, $B$8:$D$69, 3, 0)</f>
        <v>4.0914031774000001</v>
      </c>
    </row>
    <row r="134" spans="1:8" x14ac:dyDescent="0.25">
      <c r="B134" s="4" t="s">
        <v>48</v>
      </c>
      <c r="C134" t="s">
        <v>124</v>
      </c>
      <c r="D134" t="s">
        <v>72</v>
      </c>
      <c r="E134" t="s">
        <v>73</v>
      </c>
      <c r="F134">
        <v>100</v>
      </c>
      <c r="G134" s="5">
        <f>(Table9985[[#This Row],[Composition (%)]]/100)*VLOOKUP(B134, $B$8:$D$69, 3, 0)</f>
        <v>9.979032140000001</v>
      </c>
      <c r="H134" t="s">
        <v>74</v>
      </c>
    </row>
    <row r="135" spans="1:8" x14ac:dyDescent="0.25">
      <c r="B135" s="33" t="s">
        <v>50</v>
      </c>
      <c r="C135" s="9" t="s">
        <v>50</v>
      </c>
      <c r="D135" s="9" t="s">
        <v>72</v>
      </c>
      <c r="E135" s="9" t="s">
        <v>73</v>
      </c>
      <c r="F135" s="9">
        <v>100</v>
      </c>
      <c r="G135" s="5">
        <f>(Table9985[[#This Row],[Composition (%)]]/100)*VLOOKUP(B135, $B$8:$D$69, 3, 0)</f>
        <v>29.937096420000003</v>
      </c>
      <c r="H135" s="1" t="s">
        <v>74</v>
      </c>
    </row>
    <row r="136" spans="1:8" x14ac:dyDescent="0.25">
      <c r="B136" s="4" t="s">
        <v>49</v>
      </c>
      <c r="C136" t="s">
        <v>125</v>
      </c>
      <c r="D136" t="s">
        <v>72</v>
      </c>
      <c r="E136" t="s">
        <v>73</v>
      </c>
      <c r="F136">
        <v>30</v>
      </c>
      <c r="G136" s="5">
        <f>(Table9985[[#This Row],[Composition (%)]]/100)*VLOOKUP(B136, $B$8:$D$69, 3, 0)</f>
        <v>26.262998223</v>
      </c>
      <c r="H136" t="s">
        <v>74</v>
      </c>
    </row>
    <row r="137" spans="1:8" x14ac:dyDescent="0.25">
      <c r="B137" s="15" t="s">
        <v>49</v>
      </c>
      <c r="D137" t="s">
        <v>93</v>
      </c>
      <c r="E137" t="s">
        <v>94</v>
      </c>
      <c r="F137">
        <v>30</v>
      </c>
      <c r="G137" s="5">
        <f>(Table9985[[#This Row],[Composition (%)]]/100)*VLOOKUP(B137, $B$8:$D$69, 3, 0)</f>
        <v>26.262998223</v>
      </c>
      <c r="H137" s="1" t="s">
        <v>95</v>
      </c>
    </row>
    <row r="138" spans="1:8" x14ac:dyDescent="0.25">
      <c r="B138" s="15" t="s">
        <v>49</v>
      </c>
      <c r="D138" t="s">
        <v>105</v>
      </c>
      <c r="E138" t="s">
        <v>105</v>
      </c>
      <c r="F138">
        <v>30</v>
      </c>
      <c r="G138" s="5">
        <f>(Table9985[[#This Row],[Composition (%)]]/100)*VLOOKUP(B138, $B$8:$D$69, 3, 0)</f>
        <v>26.262998223</v>
      </c>
    </row>
    <row r="139" spans="1:8" x14ac:dyDescent="0.25">
      <c r="B139" s="15" t="s">
        <v>49</v>
      </c>
      <c r="D139" t="s">
        <v>83</v>
      </c>
      <c r="E139" t="s">
        <v>84</v>
      </c>
      <c r="F139">
        <v>5</v>
      </c>
      <c r="G139" s="5">
        <f>(Table9985[[#This Row],[Composition (%)]]/100)*VLOOKUP(B139, $B$8:$D$69, 3, 0)</f>
        <v>4.3771663705000003</v>
      </c>
      <c r="H139" t="s">
        <v>85</v>
      </c>
    </row>
    <row r="140" spans="1:8" x14ac:dyDescent="0.25">
      <c r="B140" s="15" t="s">
        <v>49</v>
      </c>
      <c r="D140" t="s">
        <v>86</v>
      </c>
      <c r="E140" t="s">
        <v>84</v>
      </c>
      <c r="F140">
        <v>5</v>
      </c>
      <c r="G140" s="5">
        <f>(Table9985[[#This Row],[Composition (%)]]/100)*VLOOKUP(B140, $B$8:$D$69, 3, 0)</f>
        <v>4.3771663705000003</v>
      </c>
      <c r="H140" t="s">
        <v>85</v>
      </c>
    </row>
    <row r="141" spans="1:8" x14ac:dyDescent="0.25">
      <c r="B141" s="4" t="s">
        <v>51</v>
      </c>
      <c r="C141" t="s">
        <v>126</v>
      </c>
      <c r="D141" t="s">
        <v>72</v>
      </c>
      <c r="E141" t="s">
        <v>73</v>
      </c>
      <c r="F141">
        <v>100</v>
      </c>
      <c r="G141" s="5">
        <f>(Table9985[[#This Row],[Composition (%)]]/100)*VLOOKUP(B141, $B$8:$D$69, 3, 0)</f>
        <v>73.93555631000001</v>
      </c>
      <c r="H141" t="s">
        <v>74</v>
      </c>
    </row>
    <row r="142" spans="1:8" ht="15.75" thickBot="1" x14ac:dyDescent="0.3">
      <c r="B142" s="6" t="s">
        <v>52</v>
      </c>
      <c r="C142" s="7" t="s">
        <v>127</v>
      </c>
      <c r="D142" s="7" t="s">
        <v>72</v>
      </c>
      <c r="E142" s="7" t="s">
        <v>73</v>
      </c>
      <c r="F142" s="7">
        <v>100</v>
      </c>
      <c r="G142" s="8">
        <f>(Table9985[[#This Row],[Composition (%)]]/100)*VLOOKUP(B142, $B$8:$D$69, 3, 0)</f>
        <v>24.947580350000003</v>
      </c>
      <c r="H142" t="s">
        <v>74</v>
      </c>
    </row>
    <row r="143" spans="1:8" x14ac:dyDescent="0.25">
      <c r="A143" s="19" t="s">
        <v>128</v>
      </c>
      <c r="B143" s="10" t="s">
        <v>129</v>
      </c>
      <c r="C143" s="2" t="s">
        <v>130</v>
      </c>
      <c r="D143" s="2" t="s">
        <v>131</v>
      </c>
      <c r="E143" s="2" t="s">
        <v>132</v>
      </c>
      <c r="F143" s="2">
        <v>100</v>
      </c>
      <c r="G143" s="3">
        <v>10.886216880000001</v>
      </c>
    </row>
    <row r="144" spans="1:8" x14ac:dyDescent="0.25">
      <c r="A144" s="13">
        <f>SUM(G143:G148)</f>
        <v>29.029911680000005</v>
      </c>
      <c r="B144" s="4" t="s">
        <v>133</v>
      </c>
      <c r="C144" t="s">
        <v>134</v>
      </c>
      <c r="D144" t="s">
        <v>135</v>
      </c>
      <c r="E144" t="s">
        <v>134</v>
      </c>
      <c r="F144">
        <v>100</v>
      </c>
      <c r="G144" s="5">
        <v>10.43262451</v>
      </c>
    </row>
    <row r="145" spans="1:8" x14ac:dyDescent="0.25">
      <c r="B145" s="4" t="s">
        <v>136</v>
      </c>
      <c r="C145" t="s">
        <v>137</v>
      </c>
      <c r="D145" t="s">
        <v>138</v>
      </c>
      <c r="E145" t="s">
        <v>137</v>
      </c>
      <c r="F145">
        <v>100</v>
      </c>
      <c r="G145" s="5">
        <v>2.7215542200000002</v>
      </c>
    </row>
    <row r="146" spans="1:8" x14ac:dyDescent="0.25">
      <c r="B146" s="4" t="s">
        <v>139</v>
      </c>
      <c r="C146" t="s">
        <v>140</v>
      </c>
      <c r="D146" t="s">
        <v>135</v>
      </c>
      <c r="E146" t="s">
        <v>140</v>
      </c>
      <c r="F146">
        <v>100</v>
      </c>
      <c r="G146" s="5">
        <v>0.90718474000000004</v>
      </c>
    </row>
    <row r="147" spans="1:8" x14ac:dyDescent="0.25">
      <c r="B147" s="4" t="s">
        <v>141</v>
      </c>
      <c r="C147" t="s">
        <v>130</v>
      </c>
      <c r="E147" t="s">
        <v>130</v>
      </c>
      <c r="F147">
        <v>100</v>
      </c>
      <c r="G147" s="5">
        <v>4.0823313300000006</v>
      </c>
    </row>
    <row r="148" spans="1:8" x14ac:dyDescent="0.25">
      <c r="B148" s="4" t="s">
        <v>132</v>
      </c>
      <c r="C148" t="s">
        <v>132</v>
      </c>
      <c r="D148" t="s">
        <v>131</v>
      </c>
      <c r="E148" t="s">
        <v>132</v>
      </c>
      <c r="F148">
        <v>100</v>
      </c>
      <c r="G148" s="5">
        <v>0</v>
      </c>
    </row>
    <row r="149" spans="1:8" ht="15.75" thickBot="1" x14ac:dyDescent="0.3">
      <c r="B149" s="6"/>
      <c r="C149" s="7"/>
      <c r="D149" s="7"/>
      <c r="E149" s="7"/>
      <c r="F149" s="7"/>
      <c r="G149" s="17"/>
    </row>
    <row r="150" spans="1:8" x14ac:dyDescent="0.25">
      <c r="A150" t="s">
        <v>11</v>
      </c>
      <c r="B150" s="10" t="s">
        <v>53</v>
      </c>
      <c r="C150" s="2" t="s">
        <v>142</v>
      </c>
      <c r="D150" s="2" t="s">
        <v>72</v>
      </c>
      <c r="E150" s="2" t="s">
        <v>73</v>
      </c>
      <c r="F150" s="2">
        <v>100</v>
      </c>
      <c r="G150" s="16">
        <f>(Table9985[[#This Row],[Composition (%)]]/100)*VLOOKUP(B150, $B$8:$D$69, 3, 0)</f>
        <v>40.823313300000002</v>
      </c>
      <c r="H150" t="s">
        <v>74</v>
      </c>
    </row>
    <row r="151" spans="1:8" x14ac:dyDescent="0.25">
      <c r="A151" s="13">
        <f>SUM(G150:G156)</f>
        <v>193.23034962000003</v>
      </c>
      <c r="B151" s="4" t="s">
        <v>54</v>
      </c>
      <c r="C151" t="s">
        <v>143</v>
      </c>
      <c r="D151" t="s">
        <v>144</v>
      </c>
      <c r="E151" t="s">
        <v>145</v>
      </c>
      <c r="F151">
        <v>5</v>
      </c>
      <c r="G151" s="14">
        <f>(Table9985[[#This Row],[Composition (%)]]/100)*VLOOKUP(B151, $B$8:$D$69, 3, 0)</f>
        <v>1.9050879540000001</v>
      </c>
      <c r="H151" t="s">
        <v>146</v>
      </c>
    </row>
    <row r="152" spans="1:8" x14ac:dyDescent="0.25">
      <c r="B152" s="15" t="s">
        <v>54</v>
      </c>
      <c r="C152" t="s">
        <v>147</v>
      </c>
      <c r="D152" t="s">
        <v>148</v>
      </c>
      <c r="E152" t="s">
        <v>149</v>
      </c>
      <c r="F152">
        <v>95</v>
      </c>
      <c r="G152" s="14">
        <f>(Table9985[[#This Row],[Composition (%)]]/100)*VLOOKUP(B152, $B$8:$D$69, 3, 0)</f>
        <v>36.196671125999998</v>
      </c>
      <c r="H152" t="s">
        <v>150</v>
      </c>
    </row>
    <row r="153" spans="1:8" x14ac:dyDescent="0.25">
      <c r="B153" s="4" t="s">
        <v>55</v>
      </c>
      <c r="C153" t="s">
        <v>151</v>
      </c>
      <c r="D153" t="s">
        <v>72</v>
      </c>
      <c r="E153" t="s">
        <v>73</v>
      </c>
      <c r="F153">
        <v>100</v>
      </c>
      <c r="G153" s="14">
        <f>(Table9985[[#This Row],[Composition (%)]]/100)*VLOOKUP(B153, $B$8:$D$69, 3, 0)</f>
        <v>41.276905670000005</v>
      </c>
      <c r="H153" t="s">
        <v>74</v>
      </c>
    </row>
    <row r="154" spans="1:8" x14ac:dyDescent="0.25">
      <c r="B154" s="4" t="s">
        <v>56</v>
      </c>
      <c r="C154" t="s">
        <v>152</v>
      </c>
      <c r="D154" t="s">
        <v>153</v>
      </c>
      <c r="E154" t="s">
        <v>154</v>
      </c>
      <c r="F154">
        <v>100</v>
      </c>
      <c r="G154" s="14">
        <f>(Table9985[[#This Row],[Composition (%)]]/100)*VLOOKUP(B154, $B$8:$D$69, 3, 0)</f>
        <v>40.823313300000002</v>
      </c>
      <c r="H154" t="s">
        <v>155</v>
      </c>
    </row>
    <row r="155" spans="1:8" x14ac:dyDescent="0.25">
      <c r="B155" s="4" t="s">
        <v>57</v>
      </c>
      <c r="C155" t="s">
        <v>156</v>
      </c>
      <c r="D155" t="s">
        <v>157</v>
      </c>
      <c r="E155" t="s">
        <v>73</v>
      </c>
      <c r="F155">
        <v>100</v>
      </c>
      <c r="G155" s="14">
        <f>(Table9985[[#This Row],[Composition (%)]]/100)*VLOOKUP(B155, $B$8:$D$69, 3, 0)</f>
        <v>22.226026130000001</v>
      </c>
      <c r="H155" t="s">
        <v>74</v>
      </c>
    </row>
    <row r="156" spans="1:8" ht="15.75" thickBot="1" x14ac:dyDescent="0.3">
      <c r="B156" s="6" t="s">
        <v>59</v>
      </c>
      <c r="C156" s="7" t="s">
        <v>158</v>
      </c>
      <c r="D156" s="7" t="s">
        <v>72</v>
      </c>
      <c r="E156" s="7" t="s">
        <v>73</v>
      </c>
      <c r="F156" s="7">
        <v>100</v>
      </c>
      <c r="G156" s="12">
        <f>(Table9985[[#This Row],[Composition (%)]]/100)*VLOOKUP(B156, $B$8:$D$69, 3, 0)</f>
        <v>9.979032140000001</v>
      </c>
      <c r="H156" t="s">
        <v>74</v>
      </c>
    </row>
    <row r="157" spans="1:8" ht="15.75" thickBot="1" x14ac:dyDescent="0.3">
      <c r="G157" s="11"/>
    </row>
    <row r="158" spans="1:8" x14ac:dyDescent="0.25">
      <c r="A158" t="s">
        <v>14</v>
      </c>
      <c r="B158" s="10" t="s">
        <v>33</v>
      </c>
      <c r="C158" s="2" t="s">
        <v>159</v>
      </c>
      <c r="D158" s="2" t="s">
        <v>160</v>
      </c>
      <c r="E158" s="2" t="s">
        <v>161</v>
      </c>
      <c r="F158" s="2">
        <v>25</v>
      </c>
      <c r="G158" s="3">
        <f>VLOOKUP(B158, $B$8:$D$69, 3, 0)</f>
        <v>9.979032140000001</v>
      </c>
      <c r="H158" t="s">
        <v>162</v>
      </c>
    </row>
    <row r="159" spans="1:8" x14ac:dyDescent="0.25">
      <c r="A159" s="13">
        <f>SUM(G158:G161)</f>
        <v>39.916128560000004</v>
      </c>
      <c r="B159" s="4" t="s">
        <v>39</v>
      </c>
      <c r="C159" t="s">
        <v>12</v>
      </c>
      <c r="D159" t="s">
        <v>160</v>
      </c>
      <c r="E159" t="s">
        <v>163</v>
      </c>
      <c r="F159">
        <v>25</v>
      </c>
      <c r="G159" s="5">
        <f>VLOOKUP(B159, $B$8:$D$69, 3, 0)</f>
        <v>9.979032140000001</v>
      </c>
    </row>
    <row r="160" spans="1:8" x14ac:dyDescent="0.25">
      <c r="B160" s="4" t="s">
        <v>46</v>
      </c>
      <c r="D160" t="s">
        <v>160</v>
      </c>
      <c r="E160" t="s">
        <v>163</v>
      </c>
      <c r="F160">
        <v>25</v>
      </c>
      <c r="G160" s="5">
        <f>VLOOKUP(B160, $B$8:$D$69, 3, 0)</f>
        <v>9.979032140000001</v>
      </c>
    </row>
    <row r="161" spans="2:7" ht="15.75" thickBot="1" x14ac:dyDescent="0.3">
      <c r="B161" s="6" t="s">
        <v>58</v>
      </c>
      <c r="C161" s="7" t="s">
        <v>11</v>
      </c>
      <c r="D161" s="7" t="s">
        <v>160</v>
      </c>
      <c r="E161" s="7" t="s">
        <v>163</v>
      </c>
      <c r="F161" s="7">
        <v>25</v>
      </c>
      <c r="G161" s="8">
        <f>VLOOKUP(B161, $B$8:$D$69, 3, 0)</f>
        <v>9.979032140000001</v>
      </c>
    </row>
    <row r="168" spans="2:7" x14ac:dyDescent="0.25">
      <c r="G168">
        <f>SUBTOTAL(109,G78:G161)</f>
        <v>1436.0734434200008</v>
      </c>
    </row>
  </sheetData>
  <phoneticPr fontId="21" type="noConversion"/>
  <pageMargins left="0.7" right="0.7" top="0.75" bottom="0.75" header="0.3" footer="0.3"/>
  <pageSetup paperSize="9" orientation="portrait" r:id="rId1"/>
  <legacyDrawing r:id="rId2"/>
  <tableParts count="3"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173FF-45CB-4E7C-A948-8F6500E2FB38}">
  <dimension ref="A1:H157"/>
  <sheetViews>
    <sheetView tabSelected="1" topLeftCell="A46" zoomScale="45" zoomScaleNormal="45" workbookViewId="0">
      <selection activeCell="D60" sqref="D60"/>
    </sheetView>
  </sheetViews>
  <sheetFormatPr defaultRowHeight="15" x14ac:dyDescent="0.25"/>
  <cols>
    <col min="1" max="2" width="21.28515625" customWidth="1"/>
    <col min="3" max="3" width="28" customWidth="1"/>
    <col min="4" max="4" width="29.5703125" customWidth="1"/>
    <col min="5" max="7" width="21.28515625" customWidth="1"/>
    <col min="8" max="8" width="32.85546875" customWidth="1"/>
    <col min="9" max="9" width="21.28515625" customWidth="1"/>
    <col min="25" max="25" width="11.5703125" customWidth="1"/>
    <col min="27" max="27" width="13.5703125" customWidth="1"/>
    <col min="28" max="28" width="13.85546875" customWidth="1"/>
  </cols>
  <sheetData>
    <row r="1" spans="1:8" x14ac:dyDescent="0.25">
      <c r="A1" s="27" t="s">
        <v>0</v>
      </c>
      <c r="B1" s="27"/>
      <c r="C1" s="27"/>
      <c r="D1" s="27"/>
      <c r="E1" s="27"/>
      <c r="F1" s="27"/>
      <c r="G1" s="32"/>
    </row>
    <row r="2" spans="1:8" x14ac:dyDescent="0.25">
      <c r="A2" t="s">
        <v>164</v>
      </c>
      <c r="B2" t="s">
        <v>165</v>
      </c>
      <c r="C2" t="s">
        <v>3</v>
      </c>
      <c r="D2" t="s">
        <v>4</v>
      </c>
      <c r="E2" t="s">
        <v>5</v>
      </c>
      <c r="F2" t="s">
        <v>6</v>
      </c>
      <c r="G2" t="s">
        <v>166</v>
      </c>
      <c r="H2" t="s">
        <v>8</v>
      </c>
    </row>
    <row r="3" spans="1:8" x14ac:dyDescent="0.25">
      <c r="A3" t="s">
        <v>9</v>
      </c>
      <c r="B3">
        <v>388.49999999999994</v>
      </c>
      <c r="E3" t="str">
        <f>A18</f>
        <v>Body</v>
      </c>
      <c r="F3" s="11">
        <f>D25</f>
        <v>409.59391011000008</v>
      </c>
      <c r="G3" t="str">
        <f>Subsys822810158[[#This Row],[Sub-system]]</f>
        <v>Body</v>
      </c>
      <c r="H3">
        <f>A73</f>
        <v>409.59391011000014</v>
      </c>
    </row>
    <row r="4" spans="1:8" x14ac:dyDescent="0.25">
      <c r="A4" t="s">
        <v>10</v>
      </c>
      <c r="B4">
        <v>101</v>
      </c>
      <c r="E4" t="str">
        <f>A26</f>
        <v>Exterior</v>
      </c>
      <c r="F4" s="11">
        <f>D30</f>
        <v>33.565835380000003</v>
      </c>
      <c r="G4" t="str">
        <f>Subsys822810158[[#This Row],[Sub-system]]</f>
        <v>Closure</v>
      </c>
      <c r="H4">
        <f>A84</f>
        <v>23.586803240000002</v>
      </c>
    </row>
    <row r="5" spans="1:8" x14ac:dyDescent="0.25">
      <c r="A5" t="s">
        <v>11</v>
      </c>
      <c r="B5">
        <v>328</v>
      </c>
      <c r="E5" t="str">
        <f>A31</f>
        <v>Interior</v>
      </c>
      <c r="F5" s="11">
        <f>D38</f>
        <v>171.00432349000005</v>
      </c>
      <c r="G5" t="str">
        <f>Subsys822810158[[#This Row],[Sub-system]]</f>
        <v>Chassis</v>
      </c>
      <c r="H5">
        <f>A134</f>
        <v>337.47272327999997</v>
      </c>
    </row>
    <row r="6" spans="1:8" x14ac:dyDescent="0.25">
      <c r="A6" t="s">
        <v>12</v>
      </c>
      <c r="B6">
        <v>200.65</v>
      </c>
      <c r="E6" t="str">
        <f>A39</f>
        <v>Powertrain</v>
      </c>
      <c r="F6" s="11">
        <f>D49</f>
        <v>675.39903893000007</v>
      </c>
      <c r="G6" t="str">
        <f>Subsys822810158[[#This Row],[Sub-system]]</f>
        <v>Interior</v>
      </c>
      <c r="H6">
        <f>A90</f>
        <v>161.02529135000003</v>
      </c>
    </row>
    <row r="7" spans="1:8" x14ac:dyDescent="0.25">
      <c r="A7" t="s">
        <v>13</v>
      </c>
      <c r="B7" s="31">
        <v>419.88485000000003</v>
      </c>
      <c r="F7" s="11"/>
      <c r="G7" t="str">
        <f>Subsys822810158[[#This Row],[Sub-system]]</f>
        <v>Powertrain</v>
      </c>
      <c r="H7">
        <f>A115+A128</f>
        <v>825.84801096999979</v>
      </c>
    </row>
    <row r="8" spans="1:8" x14ac:dyDescent="0.25">
      <c r="A8" t="s">
        <v>14</v>
      </c>
      <c r="B8">
        <v>57</v>
      </c>
      <c r="E8" t="str">
        <f>A50</f>
        <v>Chassis</v>
      </c>
      <c r="F8" s="11">
        <f>Table9810677[[#Totals],[ICE weight kg]]</f>
        <v>476.27198850000002</v>
      </c>
      <c r="G8" t="str">
        <f>Subsys822810158[[#This Row],[Sub-system]]</f>
        <v>Electrical</v>
      </c>
      <c r="H8">
        <f>A143</f>
        <v>39.916128560000004</v>
      </c>
    </row>
    <row r="9" spans="1:8" x14ac:dyDescent="0.25">
      <c r="E9" t="s">
        <v>15</v>
      </c>
      <c r="F9" s="11">
        <f>0.45359237*(22)</f>
        <v>9.979032140000001</v>
      </c>
    </row>
    <row r="10" spans="1:8" x14ac:dyDescent="0.25">
      <c r="E10" t="s">
        <v>16</v>
      </c>
      <c r="F10" s="11">
        <f>A128</f>
        <v>21.628738960000003</v>
      </c>
    </row>
    <row r="11" spans="1:8" x14ac:dyDescent="0.25">
      <c r="B11" s="28">
        <f>SUBTOTAL(109,B3:B8)</f>
        <v>1495.03485</v>
      </c>
      <c r="F11" s="28">
        <f>SUM(Subsys822810158[weights in kg (GREET)])</f>
        <v>1797.4428675100005</v>
      </c>
      <c r="H11">
        <f>SUM(Subsys822810158[weights in kg (final)])</f>
        <v>1797.44286751</v>
      </c>
    </row>
    <row r="13" spans="1:8" x14ac:dyDescent="0.25">
      <c r="F13" s="28"/>
    </row>
    <row r="16" spans="1:8" x14ac:dyDescent="0.25">
      <c r="A16" s="27" t="s">
        <v>17</v>
      </c>
      <c r="F16" s="11"/>
    </row>
    <row r="17" spans="1:4" x14ac:dyDescent="0.25">
      <c r="A17" t="s">
        <v>18</v>
      </c>
      <c r="B17" t="s">
        <v>19</v>
      </c>
      <c r="C17" t="s">
        <v>20</v>
      </c>
      <c r="D17" t="s">
        <v>21</v>
      </c>
    </row>
    <row r="18" spans="1:4" x14ac:dyDescent="0.25">
      <c r="A18" t="s">
        <v>9</v>
      </c>
      <c r="B18" t="s">
        <v>22</v>
      </c>
      <c r="C18">
        <v>551</v>
      </c>
      <c r="D18" s="11">
        <f t="shared" ref="D18:D24" si="0">0.45359237*C18</f>
        <v>249.92939587000001</v>
      </c>
    </row>
    <row r="19" spans="1:4" x14ac:dyDescent="0.25">
      <c r="B19" t="s">
        <v>23</v>
      </c>
      <c r="C19">
        <v>176</v>
      </c>
      <c r="D19" s="11">
        <f t="shared" si="0"/>
        <v>79.832257120000008</v>
      </c>
    </row>
    <row r="20" spans="1:4" x14ac:dyDescent="0.25">
      <c r="B20" t="s">
        <v>24</v>
      </c>
      <c r="C20">
        <v>22</v>
      </c>
      <c r="D20" s="11">
        <f t="shared" si="0"/>
        <v>9.979032140000001</v>
      </c>
    </row>
    <row r="21" spans="1:4" x14ac:dyDescent="0.25">
      <c r="B21" t="s">
        <v>25</v>
      </c>
      <c r="C21">
        <v>22</v>
      </c>
      <c r="D21" s="11">
        <f t="shared" si="0"/>
        <v>9.979032140000001</v>
      </c>
    </row>
    <row r="22" spans="1:4" x14ac:dyDescent="0.25">
      <c r="B22" t="s">
        <v>26</v>
      </c>
      <c r="C22">
        <v>22</v>
      </c>
      <c r="D22" s="11">
        <f t="shared" si="0"/>
        <v>9.979032140000001</v>
      </c>
    </row>
    <row r="23" spans="1:4" x14ac:dyDescent="0.25">
      <c r="B23" t="s">
        <v>27</v>
      </c>
      <c r="C23">
        <v>22</v>
      </c>
      <c r="D23" s="11">
        <f t="shared" si="0"/>
        <v>9.979032140000001</v>
      </c>
    </row>
    <row r="24" spans="1:4" x14ac:dyDescent="0.25">
      <c r="B24" t="s">
        <v>28</v>
      </c>
      <c r="C24">
        <v>88</v>
      </c>
      <c r="D24" s="11">
        <f t="shared" si="0"/>
        <v>39.916128560000004</v>
      </c>
    </row>
    <row r="25" spans="1:4" x14ac:dyDescent="0.25">
      <c r="D25" s="24">
        <f>SUM(D18:D24)</f>
        <v>409.59391011000008</v>
      </c>
    </row>
    <row r="26" spans="1:4" x14ac:dyDescent="0.25">
      <c r="A26" t="s">
        <v>29</v>
      </c>
      <c r="B26" t="s">
        <v>30</v>
      </c>
      <c r="C26">
        <v>26</v>
      </c>
      <c r="D26" s="11">
        <f>0.45359237*C26</f>
        <v>11.793401620000001</v>
      </c>
    </row>
    <row r="27" spans="1:4" x14ac:dyDescent="0.25">
      <c r="B27" t="s">
        <v>31</v>
      </c>
      <c r="C27">
        <v>22</v>
      </c>
      <c r="D27" s="11">
        <f>0.45359237*C27</f>
        <v>9.979032140000001</v>
      </c>
    </row>
    <row r="28" spans="1:4" x14ac:dyDescent="0.25">
      <c r="B28" t="s">
        <v>32</v>
      </c>
      <c r="C28">
        <v>4</v>
      </c>
      <c r="D28" s="11">
        <f>0.45359237*C28</f>
        <v>1.8143694800000001</v>
      </c>
    </row>
    <row r="29" spans="1:4" x14ac:dyDescent="0.25">
      <c r="B29" s="26" t="s">
        <v>33</v>
      </c>
      <c r="C29" s="26">
        <v>22</v>
      </c>
      <c r="D29" s="25">
        <f>0.45359237*C29</f>
        <v>9.979032140000001</v>
      </c>
    </row>
    <row r="30" spans="1:4" x14ac:dyDescent="0.25">
      <c r="D30" s="24">
        <f>SUM(D26:D29)</f>
        <v>33.565835380000003</v>
      </c>
    </row>
    <row r="31" spans="1:4" x14ac:dyDescent="0.25">
      <c r="A31" t="s">
        <v>12</v>
      </c>
      <c r="B31" t="s">
        <v>34</v>
      </c>
      <c r="C31">
        <v>53</v>
      </c>
      <c r="D31" s="11">
        <f t="shared" ref="D31:D37" si="1">0.45359237*C31</f>
        <v>24.040395610000001</v>
      </c>
    </row>
    <row r="32" spans="1:4" x14ac:dyDescent="0.25">
      <c r="B32" t="s">
        <v>35</v>
      </c>
      <c r="C32">
        <v>49</v>
      </c>
      <c r="D32" s="11">
        <f t="shared" si="1"/>
        <v>22.226026130000001</v>
      </c>
    </row>
    <row r="33" spans="1:4" x14ac:dyDescent="0.25">
      <c r="B33" t="s">
        <v>36</v>
      </c>
      <c r="C33">
        <v>55</v>
      </c>
      <c r="D33" s="11">
        <f t="shared" si="1"/>
        <v>24.947580350000003</v>
      </c>
    </row>
    <row r="34" spans="1:4" x14ac:dyDescent="0.25">
      <c r="B34" t="s">
        <v>37</v>
      </c>
      <c r="C34">
        <v>132</v>
      </c>
      <c r="D34" s="11">
        <f t="shared" si="1"/>
        <v>59.874192840000006</v>
      </c>
    </row>
    <row r="35" spans="1:4" x14ac:dyDescent="0.25">
      <c r="B35" t="s">
        <v>38</v>
      </c>
      <c r="C35">
        <v>44</v>
      </c>
      <c r="D35" s="11">
        <f t="shared" si="1"/>
        <v>19.958064280000002</v>
      </c>
    </row>
    <row r="36" spans="1:4" x14ac:dyDescent="0.25">
      <c r="B36" s="26" t="s">
        <v>39</v>
      </c>
      <c r="C36" s="26">
        <v>22</v>
      </c>
      <c r="D36" s="25">
        <f t="shared" si="1"/>
        <v>9.979032140000001</v>
      </c>
    </row>
    <row r="37" spans="1:4" x14ac:dyDescent="0.25">
      <c r="B37" t="s">
        <v>40</v>
      </c>
      <c r="C37">
        <v>22</v>
      </c>
      <c r="D37" s="11">
        <f t="shared" si="1"/>
        <v>9.979032140000001</v>
      </c>
    </row>
    <row r="38" spans="1:4" x14ac:dyDescent="0.25">
      <c r="D38" s="24">
        <f>SUM(D31:D37)</f>
        <v>171.00432349000005</v>
      </c>
    </row>
    <row r="39" spans="1:4" x14ac:dyDescent="0.25">
      <c r="A39" t="s">
        <v>13</v>
      </c>
      <c r="B39" t="s">
        <v>41</v>
      </c>
      <c r="C39">
        <v>0</v>
      </c>
      <c r="D39" s="11">
        <f t="shared" ref="D39:D48" si="2">0.45359237*C39</f>
        <v>0</v>
      </c>
    </row>
    <row r="40" spans="1:4" x14ac:dyDescent="0.25">
      <c r="B40" t="s">
        <v>42</v>
      </c>
      <c r="C40">
        <v>0</v>
      </c>
      <c r="D40" s="11">
        <f t="shared" si="2"/>
        <v>0</v>
      </c>
    </row>
    <row r="41" spans="1:4" x14ac:dyDescent="0.25">
      <c r="B41" t="s">
        <v>43</v>
      </c>
      <c r="C41">
        <v>0</v>
      </c>
      <c r="D41" s="11">
        <f t="shared" si="2"/>
        <v>0</v>
      </c>
    </row>
    <row r="42" spans="1:4" x14ac:dyDescent="0.25">
      <c r="B42" t="s">
        <v>44</v>
      </c>
      <c r="C42">
        <v>0</v>
      </c>
      <c r="D42" s="11">
        <f t="shared" si="2"/>
        <v>0</v>
      </c>
    </row>
    <row r="43" spans="1:4" x14ac:dyDescent="0.25">
      <c r="B43" t="s">
        <v>45</v>
      </c>
      <c r="C43">
        <v>0</v>
      </c>
      <c r="D43" s="11">
        <f t="shared" si="2"/>
        <v>0</v>
      </c>
    </row>
    <row r="44" spans="1:4" x14ac:dyDescent="0.25">
      <c r="B44" s="26" t="s">
        <v>46</v>
      </c>
      <c r="C44" s="26">
        <v>22</v>
      </c>
      <c r="D44" s="25">
        <f t="shared" si="2"/>
        <v>9.979032140000001</v>
      </c>
    </row>
    <row r="45" spans="1:4" x14ac:dyDescent="0.25">
      <c r="B45" t="s">
        <v>47</v>
      </c>
      <c r="C45">
        <v>0</v>
      </c>
      <c r="D45" s="11">
        <f t="shared" si="2"/>
        <v>0</v>
      </c>
    </row>
    <row r="46" spans="1:4" x14ac:dyDescent="0.25">
      <c r="B46" t="s">
        <v>48</v>
      </c>
      <c r="C46">
        <v>22</v>
      </c>
      <c r="D46" s="11">
        <f t="shared" si="2"/>
        <v>9.979032140000001</v>
      </c>
    </row>
    <row r="47" spans="1:4" x14ac:dyDescent="0.25">
      <c r="B47" t="s">
        <v>167</v>
      </c>
      <c r="C47">
        <v>1362</v>
      </c>
      <c r="D47" s="11">
        <f t="shared" si="2"/>
        <v>617.79280793999999</v>
      </c>
    </row>
    <row r="48" spans="1:4" x14ac:dyDescent="0.25">
      <c r="B48" t="s">
        <v>49</v>
      </c>
      <c r="C48">
        <v>83</v>
      </c>
      <c r="D48" s="11">
        <f t="shared" si="2"/>
        <v>37.648166710000005</v>
      </c>
    </row>
    <row r="49" spans="1:4" x14ac:dyDescent="0.25">
      <c r="D49" s="24">
        <f>SUM(D39:D48)</f>
        <v>675.39903893000007</v>
      </c>
    </row>
    <row r="50" spans="1:4" x14ac:dyDescent="0.25">
      <c r="A50" t="s">
        <v>11</v>
      </c>
      <c r="B50" s="26" t="s">
        <v>50</v>
      </c>
      <c r="C50" s="26">
        <v>66</v>
      </c>
      <c r="D50" s="25">
        <f t="shared" ref="D50:D62" si="3">0.45359237*C50</f>
        <v>29.937096420000003</v>
      </c>
    </row>
    <row r="51" spans="1:4" x14ac:dyDescent="0.25">
      <c r="B51" s="26" t="s">
        <v>51</v>
      </c>
      <c r="C51" s="26">
        <v>163</v>
      </c>
      <c r="D51" s="25">
        <f t="shared" si="3"/>
        <v>73.93555631000001</v>
      </c>
    </row>
    <row r="52" spans="1:4" x14ac:dyDescent="0.25">
      <c r="B52" s="26" t="s">
        <v>52</v>
      </c>
      <c r="C52" s="26">
        <v>55</v>
      </c>
      <c r="D52" s="25">
        <f t="shared" si="3"/>
        <v>24.947580350000003</v>
      </c>
    </row>
    <row r="53" spans="1:4" x14ac:dyDescent="0.25">
      <c r="B53" t="s">
        <v>53</v>
      </c>
      <c r="C53">
        <v>90</v>
      </c>
      <c r="D53" s="11">
        <f t="shared" si="3"/>
        <v>40.823313300000002</v>
      </c>
    </row>
    <row r="54" spans="1:4" x14ac:dyDescent="0.25">
      <c r="B54" t="s">
        <v>54</v>
      </c>
      <c r="C54">
        <v>84</v>
      </c>
      <c r="D54" s="11">
        <f t="shared" si="3"/>
        <v>38.101759080000001</v>
      </c>
    </row>
    <row r="55" spans="1:4" x14ac:dyDescent="0.25">
      <c r="B55" t="s">
        <v>55</v>
      </c>
      <c r="C55">
        <v>91</v>
      </c>
      <c r="D55" s="11">
        <f t="shared" si="3"/>
        <v>41.276905670000005</v>
      </c>
    </row>
    <row r="56" spans="1:4" x14ac:dyDescent="0.25">
      <c r="B56" t="s">
        <v>56</v>
      </c>
      <c r="C56">
        <v>90</v>
      </c>
      <c r="D56" s="11">
        <f t="shared" si="3"/>
        <v>40.823313300000002</v>
      </c>
    </row>
    <row r="57" spans="1:4" x14ac:dyDescent="0.25">
      <c r="B57" t="s">
        <v>57</v>
      </c>
      <c r="C57">
        <v>49</v>
      </c>
      <c r="D57" s="11">
        <f t="shared" si="3"/>
        <v>22.226026130000001</v>
      </c>
    </row>
    <row r="58" spans="1:4" x14ac:dyDescent="0.25">
      <c r="B58" s="26" t="s">
        <v>58</v>
      </c>
      <c r="C58" s="26">
        <v>22</v>
      </c>
      <c r="D58" s="25">
        <f t="shared" si="3"/>
        <v>9.979032140000001</v>
      </c>
    </row>
    <row r="59" spans="1:4" x14ac:dyDescent="0.25">
      <c r="B59" t="s">
        <v>59</v>
      </c>
      <c r="C59">
        <v>22</v>
      </c>
      <c r="D59" s="11">
        <f t="shared" si="3"/>
        <v>9.979032140000001</v>
      </c>
    </row>
    <row r="60" spans="1:4" x14ac:dyDescent="0.25">
      <c r="B60" t="s">
        <v>60</v>
      </c>
      <c r="C60">
        <v>0</v>
      </c>
      <c r="D60" s="11">
        <f t="shared" si="3"/>
        <v>0</v>
      </c>
    </row>
    <row r="61" spans="1:4" x14ac:dyDescent="0.25">
      <c r="B61" t="s">
        <v>61</v>
      </c>
      <c r="C61">
        <v>169</v>
      </c>
      <c r="D61" s="11">
        <f t="shared" si="3"/>
        <v>76.657110529999997</v>
      </c>
    </row>
    <row r="62" spans="1:4" x14ac:dyDescent="0.25">
      <c r="B62" t="s">
        <v>62</v>
      </c>
      <c r="C62">
        <v>149</v>
      </c>
      <c r="D62" s="11">
        <f t="shared" si="3"/>
        <v>67.585263130000001</v>
      </c>
    </row>
    <row r="63" spans="1:4" x14ac:dyDescent="0.25">
      <c r="D63" s="11"/>
    </row>
    <row r="64" spans="1:4" x14ac:dyDescent="0.25">
      <c r="D64" s="24">
        <f>SUM(D50:D63)</f>
        <v>476.27198850000002</v>
      </c>
    </row>
    <row r="65" spans="1:8" ht="15.75" thickBot="1" x14ac:dyDescent="0.3"/>
    <row r="66" spans="1:8" ht="15.75" thickTop="1" x14ac:dyDescent="0.25">
      <c r="D66" s="23">
        <f>SUM(D25,D30,D38,D49,D64)+F10+F9</f>
        <v>1797.4428675100005</v>
      </c>
    </row>
    <row r="71" spans="1:8" ht="15.75" thickBot="1" x14ac:dyDescent="0.3">
      <c r="A71" t="s">
        <v>18</v>
      </c>
      <c r="B71" t="s">
        <v>64</v>
      </c>
      <c r="C71" t="s">
        <v>65</v>
      </c>
      <c r="D71" t="s">
        <v>66</v>
      </c>
      <c r="E71" t="s">
        <v>67</v>
      </c>
      <c r="F71" t="s">
        <v>68</v>
      </c>
      <c r="G71" t="s">
        <v>69</v>
      </c>
      <c r="H71" t="s">
        <v>70</v>
      </c>
    </row>
    <row r="72" spans="1:8" x14ac:dyDescent="0.25">
      <c r="A72" t="s">
        <v>9</v>
      </c>
      <c r="B72" s="10" t="s">
        <v>22</v>
      </c>
      <c r="C72" s="2" t="s">
        <v>22</v>
      </c>
      <c r="D72" s="2" t="s">
        <v>72</v>
      </c>
      <c r="E72" s="2" t="s">
        <v>73</v>
      </c>
      <c r="F72" s="2">
        <v>100</v>
      </c>
      <c r="G72" s="2">
        <f>(Table9911678[[#This Row],[Composition (%)]]/100)*VLOOKUP(B72, $B$8:$D$62, 3, 0)</f>
        <v>249.92939587000001</v>
      </c>
      <c r="H72" s="3" t="s">
        <v>74</v>
      </c>
    </row>
    <row r="73" spans="1:8" x14ac:dyDescent="0.25">
      <c r="A73">
        <f>SUM(G72:G82)</f>
        <v>409.59391011000014</v>
      </c>
      <c r="B73" s="4" t="s">
        <v>23</v>
      </c>
      <c r="C73" t="s">
        <v>75</v>
      </c>
      <c r="D73" t="s">
        <v>72</v>
      </c>
      <c r="E73" t="s">
        <v>73</v>
      </c>
      <c r="F73">
        <v>100</v>
      </c>
      <c r="G73">
        <f>(Table9911678[[#This Row],[Composition (%)]]/100)*VLOOKUP(B73, $B$8:$D$62, 3, 0)</f>
        <v>79.832257120000008</v>
      </c>
      <c r="H73" s="5" t="s">
        <v>74</v>
      </c>
    </row>
    <row r="74" spans="1:8" x14ac:dyDescent="0.25">
      <c r="B74" s="4" t="s">
        <v>24</v>
      </c>
      <c r="C74" t="s">
        <v>76</v>
      </c>
      <c r="D74" t="s">
        <v>72</v>
      </c>
      <c r="E74" t="s">
        <v>73</v>
      </c>
      <c r="F74">
        <v>100</v>
      </c>
      <c r="G74">
        <f>(Table9911678[[#This Row],[Composition (%)]]/100)*VLOOKUP(B74, $B$8:$D$62, 3, 0)</f>
        <v>9.979032140000001</v>
      </c>
      <c r="H74" s="5" t="s">
        <v>74</v>
      </c>
    </row>
    <row r="75" spans="1:8" x14ac:dyDescent="0.25">
      <c r="B75" s="4" t="s">
        <v>26</v>
      </c>
      <c r="C75" t="s">
        <v>77</v>
      </c>
      <c r="D75" t="s">
        <v>78</v>
      </c>
      <c r="E75" t="s">
        <v>79</v>
      </c>
      <c r="F75">
        <v>100</v>
      </c>
      <c r="G75">
        <f>(Table9911678[[#This Row],[Composition (%)]]/100)*VLOOKUP(B75, $B$8:$D$62, 3, 0)</f>
        <v>9.979032140000001</v>
      </c>
      <c r="H75" s="5"/>
    </row>
    <row r="76" spans="1:8" x14ac:dyDescent="0.25">
      <c r="B76" s="4" t="s">
        <v>27</v>
      </c>
      <c r="C76" t="s">
        <v>77</v>
      </c>
      <c r="D76" t="s">
        <v>78</v>
      </c>
      <c r="E76" t="s">
        <v>79</v>
      </c>
      <c r="F76">
        <v>100</v>
      </c>
      <c r="G76">
        <f>(Table9911678[[#This Row],[Composition (%)]]/100)*VLOOKUP(B76, $B$8:$D$62, 3, 0)</f>
        <v>9.979032140000001</v>
      </c>
      <c r="H76" s="5"/>
    </row>
    <row r="77" spans="1:8" x14ac:dyDescent="0.25">
      <c r="B77" s="4" t="s">
        <v>28</v>
      </c>
      <c r="C77" t="s">
        <v>28</v>
      </c>
      <c r="D77" t="s">
        <v>80</v>
      </c>
      <c r="E77" t="s">
        <v>81</v>
      </c>
      <c r="F77">
        <v>100</v>
      </c>
      <c r="G77">
        <f>(Table9911678[[#This Row],[Composition (%)]]/100)*VLOOKUP(B77, $B$8:$D$62, 3, 0)</f>
        <v>39.916128560000004</v>
      </c>
      <c r="H77" s="5"/>
    </row>
    <row r="78" spans="1:8" x14ac:dyDescent="0.25">
      <c r="B78" s="4" t="s">
        <v>25</v>
      </c>
      <c r="C78" t="s">
        <v>82</v>
      </c>
      <c r="D78" t="s">
        <v>83</v>
      </c>
      <c r="E78" t="s">
        <v>84</v>
      </c>
      <c r="F78">
        <v>89.8</v>
      </c>
      <c r="G78">
        <f>(Table9911678[[#This Row],[Composition (%)]]/100)*VLOOKUP(B78, $B$8:$D$62, 3, 0)</f>
        <v>8.9611708617200012</v>
      </c>
      <c r="H78" s="5" t="s">
        <v>85</v>
      </c>
    </row>
    <row r="79" spans="1:8" x14ac:dyDescent="0.25">
      <c r="B79" s="4" t="s">
        <v>25</v>
      </c>
      <c r="D79" t="s">
        <v>72</v>
      </c>
      <c r="E79" t="s">
        <v>73</v>
      </c>
      <c r="F79">
        <v>5.3</v>
      </c>
      <c r="G79">
        <f>(Table9911678[[#This Row],[Composition (%)]]/100)*VLOOKUP(B79, $B$8:$D$62, 3, 0)</f>
        <v>0.52888870342000005</v>
      </c>
      <c r="H79" s="5" t="s">
        <v>74</v>
      </c>
    </row>
    <row r="80" spans="1:8" x14ac:dyDescent="0.25">
      <c r="B80" s="4" t="s">
        <v>25</v>
      </c>
      <c r="D80" t="s">
        <v>86</v>
      </c>
      <c r="E80" t="s">
        <v>84</v>
      </c>
      <c r="F80">
        <v>2.2999999999999998</v>
      </c>
      <c r="G80">
        <f>(Table9911678[[#This Row],[Composition (%)]]/100)*VLOOKUP(B80, $B$8:$D$62, 3, 0)</f>
        <v>0.22951773922000002</v>
      </c>
      <c r="H80" s="5" t="s">
        <v>85</v>
      </c>
    </row>
    <row r="81" spans="1:8" x14ac:dyDescent="0.25">
      <c r="B81" s="4" t="s">
        <v>25</v>
      </c>
      <c r="D81" t="s">
        <v>87</v>
      </c>
      <c r="E81" t="s">
        <v>88</v>
      </c>
      <c r="F81">
        <v>2</v>
      </c>
      <c r="G81">
        <f>(Table9911678[[#This Row],[Composition (%)]]/100)*VLOOKUP(B81, $B$8:$D$62, 3, 0)</f>
        <v>0.19958064280000001</v>
      </c>
      <c r="H81" s="5"/>
    </row>
    <row r="82" spans="1:8" ht="15.75" thickBot="1" x14ac:dyDescent="0.3">
      <c r="B82" s="6" t="s">
        <v>25</v>
      </c>
      <c r="C82" s="7"/>
      <c r="D82" s="7" t="s">
        <v>80</v>
      </c>
      <c r="E82" s="7" t="s">
        <v>81</v>
      </c>
      <c r="F82" s="7">
        <v>0.6</v>
      </c>
      <c r="G82" s="7">
        <f>(Table9911678[[#This Row],[Composition (%)]]/100)*VLOOKUP(B82, $B$8:$D$62, 3, 0)</f>
        <v>5.9874192840000007E-2</v>
      </c>
      <c r="H82" s="8"/>
    </row>
    <row r="83" spans="1:8" x14ac:dyDescent="0.25">
      <c r="A83" t="s">
        <v>10</v>
      </c>
      <c r="B83" s="10" t="s">
        <v>30</v>
      </c>
      <c r="C83" s="2" t="s">
        <v>89</v>
      </c>
      <c r="D83" s="2" t="s">
        <v>90</v>
      </c>
      <c r="E83" s="2" t="s">
        <v>90</v>
      </c>
      <c r="F83" s="2">
        <v>100</v>
      </c>
      <c r="G83" s="2">
        <f>(Table9911678[[#This Row],[Composition (%)]]/100)*VLOOKUP(B83, $B$8:$D$62, 3, 0)</f>
        <v>11.793401620000001</v>
      </c>
      <c r="H83" s="3" t="s">
        <v>91</v>
      </c>
    </row>
    <row r="84" spans="1:8" x14ac:dyDescent="0.25">
      <c r="A84">
        <f>SUM(G83:G88)</f>
        <v>23.586803240000002</v>
      </c>
      <c r="B84" s="4" t="s">
        <v>32</v>
      </c>
      <c r="C84" t="s">
        <v>89</v>
      </c>
      <c r="D84" t="s">
        <v>86</v>
      </c>
      <c r="E84" t="s">
        <v>83</v>
      </c>
      <c r="F84">
        <v>100</v>
      </c>
      <c r="G84">
        <f>(Table9911678[[#This Row],[Composition (%)]]/100)*VLOOKUP(B84, $B$8:$D$62, 3, 0)</f>
        <v>1.8143694800000001</v>
      </c>
      <c r="H84" s="5" t="s">
        <v>85</v>
      </c>
    </row>
    <row r="85" spans="1:8" x14ac:dyDescent="0.25">
      <c r="B85" s="4" t="s">
        <v>31</v>
      </c>
      <c r="C85" t="s">
        <v>89</v>
      </c>
      <c r="D85" t="s">
        <v>83</v>
      </c>
      <c r="E85" t="s">
        <v>83</v>
      </c>
      <c r="F85">
        <v>93.6</v>
      </c>
      <c r="G85">
        <f>(Table9911678[[#This Row],[Composition (%)]]/100)*VLOOKUP(B85, $B$8:$D$62, 3, 0)</f>
        <v>9.3403740830400004</v>
      </c>
      <c r="H85" s="5" t="s">
        <v>85</v>
      </c>
    </row>
    <row r="86" spans="1:8" x14ac:dyDescent="0.25">
      <c r="B86" s="4" t="s">
        <v>31</v>
      </c>
      <c r="C86" t="s">
        <v>89</v>
      </c>
      <c r="D86" t="s">
        <v>72</v>
      </c>
      <c r="E86" t="s">
        <v>73</v>
      </c>
      <c r="F86">
        <v>4.3</v>
      </c>
      <c r="G86">
        <f>(Table9911678[[#This Row],[Composition (%)]]/100)*VLOOKUP(B86, $B$8:$D$62, 3, 0)</f>
        <v>0.42909838202</v>
      </c>
      <c r="H86" s="5" t="s">
        <v>74</v>
      </c>
    </row>
    <row r="87" spans="1:8" x14ac:dyDescent="0.25">
      <c r="B87" s="4" t="s">
        <v>31</v>
      </c>
      <c r="C87" t="s">
        <v>89</v>
      </c>
      <c r="D87" t="s">
        <v>86</v>
      </c>
      <c r="E87" t="s">
        <v>83</v>
      </c>
      <c r="F87">
        <v>1.5</v>
      </c>
      <c r="G87">
        <f>(Table9911678[[#This Row],[Composition (%)]]/100)*VLOOKUP(B87, $B$8:$D$62, 3, 0)</f>
        <v>0.14968548210000002</v>
      </c>
      <c r="H87" s="5" t="s">
        <v>85</v>
      </c>
    </row>
    <row r="88" spans="1:8" ht="15.75" thickBot="1" x14ac:dyDescent="0.3">
      <c r="B88" s="6" t="s">
        <v>31</v>
      </c>
      <c r="C88" s="7" t="s">
        <v>89</v>
      </c>
      <c r="D88" s="7" t="s">
        <v>92</v>
      </c>
      <c r="E88" s="7" t="s">
        <v>83</v>
      </c>
      <c r="F88" s="7">
        <v>0.6</v>
      </c>
      <c r="G88" s="7">
        <f>(Table9911678[[#This Row],[Composition (%)]]/100)*VLOOKUP(B88, $B$8:$D$62, 3, 0)</f>
        <v>5.9874192840000007E-2</v>
      </c>
      <c r="H88" s="8"/>
    </row>
    <row r="89" spans="1:8" x14ac:dyDescent="0.25">
      <c r="A89" t="s">
        <v>12</v>
      </c>
      <c r="B89" s="10" t="s">
        <v>34</v>
      </c>
      <c r="C89" s="2" t="s">
        <v>34</v>
      </c>
      <c r="D89" s="2" t="s">
        <v>72</v>
      </c>
      <c r="E89" s="2" t="s">
        <v>73</v>
      </c>
      <c r="F89" s="2">
        <v>46</v>
      </c>
      <c r="G89" s="2">
        <f>(Table9911678[[#This Row],[Composition (%)]]/100)*VLOOKUP(B89, $B$8:$D$62, 3, 0)</f>
        <v>11.058581980600001</v>
      </c>
      <c r="H89" s="3" t="s">
        <v>74</v>
      </c>
    </row>
    <row r="90" spans="1:8" x14ac:dyDescent="0.25">
      <c r="A90">
        <f>SUM(G89:G113)</f>
        <v>161.02529135000003</v>
      </c>
      <c r="B90" s="4" t="s">
        <v>34</v>
      </c>
      <c r="D90" t="s">
        <v>83</v>
      </c>
      <c r="E90" t="s">
        <v>84</v>
      </c>
      <c r="F90">
        <v>47</v>
      </c>
      <c r="G90">
        <f>(Table9911678[[#This Row],[Composition (%)]]/100)*VLOOKUP(B90, $B$8:$D$62, 3, 0)</f>
        <v>11.298985936699999</v>
      </c>
      <c r="H90" s="5" t="s">
        <v>85</v>
      </c>
    </row>
    <row r="91" spans="1:8" x14ac:dyDescent="0.25">
      <c r="B91" s="4" t="s">
        <v>34</v>
      </c>
      <c r="D91" t="s">
        <v>92</v>
      </c>
      <c r="E91" t="s">
        <v>84</v>
      </c>
      <c r="F91">
        <v>4</v>
      </c>
      <c r="G91">
        <f>(Table9911678[[#This Row],[Composition (%)]]/100)*VLOOKUP(B91, $B$8:$D$62, 3, 0)</f>
        <v>0.96161582440000004</v>
      </c>
      <c r="H91" s="5"/>
    </row>
    <row r="92" spans="1:8" x14ac:dyDescent="0.25">
      <c r="B92" s="4" t="s">
        <v>34</v>
      </c>
      <c r="D92" t="s">
        <v>93</v>
      </c>
      <c r="E92" t="s">
        <v>94</v>
      </c>
      <c r="F92">
        <v>1</v>
      </c>
      <c r="G92">
        <f>(Table9911678[[#This Row],[Composition (%)]]/100)*VLOOKUP(B92, $B$8:$D$62, 3, 0)</f>
        <v>0.24040395610000001</v>
      </c>
      <c r="H92" s="5" t="s">
        <v>95</v>
      </c>
    </row>
    <row r="93" spans="1:8" x14ac:dyDescent="0.25">
      <c r="B93" s="4" t="s">
        <v>34</v>
      </c>
      <c r="D93" t="s">
        <v>86</v>
      </c>
      <c r="E93" t="s">
        <v>84</v>
      </c>
      <c r="F93">
        <v>1</v>
      </c>
      <c r="G93">
        <f>(Table9911678[[#This Row],[Composition (%)]]/100)*VLOOKUP(B93, $B$8:$D$62, 3, 0)</f>
        <v>0.24040395610000001</v>
      </c>
      <c r="H93" s="5" t="s">
        <v>85</v>
      </c>
    </row>
    <row r="94" spans="1:8" x14ac:dyDescent="0.25">
      <c r="B94" s="4" t="s">
        <v>34</v>
      </c>
      <c r="D94" t="s">
        <v>96</v>
      </c>
      <c r="E94" t="s">
        <v>97</v>
      </c>
      <c r="F94">
        <v>1</v>
      </c>
      <c r="G94">
        <f>(Table9911678[[#This Row],[Composition (%)]]/100)*VLOOKUP(B94, $B$8:$D$62, 3, 0)</f>
        <v>0.24040395610000001</v>
      </c>
      <c r="H94" s="5"/>
    </row>
    <row r="95" spans="1:8" x14ac:dyDescent="0.25">
      <c r="B95" s="4" t="s">
        <v>35</v>
      </c>
      <c r="C95" t="s">
        <v>98</v>
      </c>
      <c r="D95" t="s">
        <v>83</v>
      </c>
      <c r="E95" t="s">
        <v>84</v>
      </c>
      <c r="F95">
        <v>67.2</v>
      </c>
      <c r="G95">
        <f>(Table9911678[[#This Row],[Composition (%)]]/100)*VLOOKUP(B95, $B$8:$D$62, 3, 0)</f>
        <v>14.935889559360001</v>
      </c>
      <c r="H95" s="5" t="s">
        <v>85</v>
      </c>
    </row>
    <row r="96" spans="1:8" x14ac:dyDescent="0.25">
      <c r="B96" s="4" t="s">
        <v>35</v>
      </c>
      <c r="D96" t="s">
        <v>72</v>
      </c>
      <c r="E96" t="s">
        <v>73</v>
      </c>
      <c r="F96">
        <v>29.5</v>
      </c>
      <c r="G96">
        <f>(Table9911678[[#This Row],[Composition (%)]]/100)*VLOOKUP(B96, $B$8:$D$62, 3, 0)</f>
        <v>6.5566777083499996</v>
      </c>
      <c r="H96" s="5" t="s">
        <v>74</v>
      </c>
    </row>
    <row r="97" spans="2:8" x14ac:dyDescent="0.25">
      <c r="B97" s="4" t="s">
        <v>35</v>
      </c>
      <c r="D97" t="s">
        <v>92</v>
      </c>
      <c r="E97" t="s">
        <v>84</v>
      </c>
      <c r="F97">
        <v>3.2</v>
      </c>
      <c r="G97">
        <f>(Table9911678[[#This Row],[Composition (%)]]/100)*VLOOKUP(B97, $B$8:$D$62, 3, 0)</f>
        <v>0.7112328361600001</v>
      </c>
      <c r="H97" s="5"/>
    </row>
    <row r="98" spans="2:8" x14ac:dyDescent="0.25">
      <c r="B98" s="4" t="s">
        <v>35</v>
      </c>
      <c r="D98" t="s">
        <v>93</v>
      </c>
      <c r="E98" t="s">
        <v>94</v>
      </c>
      <c r="F98">
        <v>0.1</v>
      </c>
      <c r="G98">
        <f>(Table9911678[[#This Row],[Composition (%)]]/100)*VLOOKUP(B98, $B$8:$D$62, 3, 0)</f>
        <v>2.2226026130000003E-2</v>
      </c>
      <c r="H98" s="5" t="s">
        <v>95</v>
      </c>
    </row>
    <row r="99" spans="2:8" x14ac:dyDescent="0.25">
      <c r="B99" s="4" t="s">
        <v>36</v>
      </c>
      <c r="C99" t="s">
        <v>36</v>
      </c>
      <c r="D99" t="s">
        <v>83</v>
      </c>
      <c r="E99" t="s">
        <v>84</v>
      </c>
      <c r="F99">
        <v>65.3</v>
      </c>
      <c r="G99">
        <f>(Table9911678[[#This Row],[Composition (%)]]/100)*VLOOKUP(B99, $B$8:$D$62, 3, 0)</f>
        <v>16.290769968550002</v>
      </c>
      <c r="H99" s="5" t="s">
        <v>85</v>
      </c>
    </row>
    <row r="100" spans="2:8" x14ac:dyDescent="0.25">
      <c r="B100" s="4" t="s">
        <v>36</v>
      </c>
      <c r="D100" t="s">
        <v>92</v>
      </c>
      <c r="E100" t="s">
        <v>84</v>
      </c>
      <c r="F100">
        <v>32.6</v>
      </c>
      <c r="G100">
        <f>(Table9911678[[#This Row],[Composition (%)]]/100)*VLOOKUP(B100, $B$8:$D$62, 3, 0)</f>
        <v>8.1329111941000019</v>
      </c>
      <c r="H100" s="5"/>
    </row>
    <row r="101" spans="2:8" x14ac:dyDescent="0.25">
      <c r="B101" s="4" t="s">
        <v>36</v>
      </c>
      <c r="D101" t="s">
        <v>72</v>
      </c>
      <c r="E101" t="s">
        <v>73</v>
      </c>
      <c r="F101">
        <v>1.8</v>
      </c>
      <c r="G101">
        <f>(Table9911678[[#This Row],[Composition (%)]]/100)*VLOOKUP(B101, $B$8:$D$62, 3, 0)</f>
        <v>0.44905644630000008</v>
      </c>
      <c r="H101" s="5" t="s">
        <v>74</v>
      </c>
    </row>
    <row r="102" spans="2:8" x14ac:dyDescent="0.25">
      <c r="B102" s="4" t="s">
        <v>36</v>
      </c>
      <c r="D102" t="s">
        <v>80</v>
      </c>
      <c r="E102" t="s">
        <v>168</v>
      </c>
      <c r="F102">
        <v>0.3</v>
      </c>
      <c r="G102">
        <f>(Table9911678[[#This Row],[Composition (%)]]/100)*VLOOKUP(B102, $B$8:$D$62, 3, 0)</f>
        <v>7.4842741050000008E-2</v>
      </c>
      <c r="H102" s="5"/>
    </row>
    <row r="103" spans="2:8" x14ac:dyDescent="0.25">
      <c r="B103" s="4" t="s">
        <v>37</v>
      </c>
      <c r="C103" t="s">
        <v>100</v>
      </c>
      <c r="D103" t="s">
        <v>72</v>
      </c>
      <c r="E103" t="s">
        <v>73</v>
      </c>
      <c r="F103">
        <v>58</v>
      </c>
      <c r="G103">
        <f>(Table9911678[[#This Row],[Composition (%)]]/100)*VLOOKUP(B103, $B$8:$D$62, 3, 0)</f>
        <v>34.727031847200003</v>
      </c>
      <c r="H103" s="5" t="s">
        <v>74</v>
      </c>
    </row>
    <row r="104" spans="2:8" x14ac:dyDescent="0.25">
      <c r="B104" s="4" t="s">
        <v>37</v>
      </c>
      <c r="D104" t="s">
        <v>83</v>
      </c>
      <c r="E104" t="s">
        <v>84</v>
      </c>
      <c r="F104">
        <v>39</v>
      </c>
      <c r="G104">
        <f>(Table9911678[[#This Row],[Composition (%)]]/100)*VLOOKUP(B104, $B$8:$D$62, 3, 0)</f>
        <v>23.350935207600003</v>
      </c>
      <c r="H104" s="5" t="s">
        <v>85</v>
      </c>
    </row>
    <row r="105" spans="2:8" x14ac:dyDescent="0.25">
      <c r="B105" s="4" t="s">
        <v>37</v>
      </c>
      <c r="D105" t="s">
        <v>92</v>
      </c>
      <c r="E105" t="s">
        <v>84</v>
      </c>
      <c r="F105">
        <v>3</v>
      </c>
      <c r="G105">
        <f>(Table9911678[[#This Row],[Composition (%)]]/100)*VLOOKUP(B105, $B$8:$D$62, 3, 0)</f>
        <v>1.7962257852000001</v>
      </c>
      <c r="H105" s="5"/>
    </row>
    <row r="106" spans="2:8" x14ac:dyDescent="0.25">
      <c r="B106" s="4" t="s">
        <v>38</v>
      </c>
      <c r="C106" t="s">
        <v>38</v>
      </c>
      <c r="D106" t="s">
        <v>72</v>
      </c>
      <c r="E106" t="s">
        <v>73</v>
      </c>
      <c r="F106">
        <v>56.2</v>
      </c>
      <c r="G106">
        <f>(Table9911678[[#This Row],[Composition (%)]]/100)*VLOOKUP(B106, $B$8:$D$62, 3, 0)</f>
        <v>11.216432125360003</v>
      </c>
      <c r="H106" s="5" t="s">
        <v>74</v>
      </c>
    </row>
    <row r="107" spans="2:8" x14ac:dyDescent="0.25">
      <c r="B107" s="4" t="s">
        <v>38</v>
      </c>
      <c r="D107" t="s">
        <v>93</v>
      </c>
      <c r="E107" t="s">
        <v>94</v>
      </c>
      <c r="F107">
        <v>21.5</v>
      </c>
      <c r="G107">
        <f>(Table9911678[[#This Row],[Composition (%)]]/100)*VLOOKUP(B107, $B$8:$D$62, 3, 0)</f>
        <v>4.2909838202000001</v>
      </c>
      <c r="H107" s="5" t="s">
        <v>95</v>
      </c>
    </row>
    <row r="108" spans="2:8" x14ac:dyDescent="0.25">
      <c r="B108" s="4" t="s">
        <v>38</v>
      </c>
      <c r="D108" t="s">
        <v>87</v>
      </c>
      <c r="E108" t="s">
        <v>87</v>
      </c>
      <c r="F108">
        <v>16.7</v>
      </c>
      <c r="G108">
        <f>(Table9911678[[#This Row],[Composition (%)]]/100)*VLOOKUP(B108, $B$8:$D$62, 3, 0)</f>
        <v>3.33299673476</v>
      </c>
      <c r="H108" s="5"/>
    </row>
    <row r="109" spans="2:8" x14ac:dyDescent="0.25">
      <c r="B109" s="4" t="s">
        <v>38</v>
      </c>
      <c r="D109" t="s">
        <v>83</v>
      </c>
      <c r="E109" t="s">
        <v>84</v>
      </c>
      <c r="F109">
        <v>2.4</v>
      </c>
      <c r="G109">
        <f>(Table9911678[[#This Row],[Composition (%)]]/100)*VLOOKUP(B109, $B$8:$D$62, 3, 0)</f>
        <v>0.47899354272000005</v>
      </c>
      <c r="H109" s="5" t="s">
        <v>85</v>
      </c>
    </row>
    <row r="110" spans="2:8" x14ac:dyDescent="0.25">
      <c r="B110" s="4" t="s">
        <v>38</v>
      </c>
      <c r="D110" t="s">
        <v>86</v>
      </c>
      <c r="E110" t="s">
        <v>84</v>
      </c>
      <c r="F110">
        <v>2</v>
      </c>
      <c r="G110">
        <f>(Table9911678[[#This Row],[Composition (%)]]/100)*VLOOKUP(B110, $B$8:$D$62, 3, 0)</f>
        <v>0.39916128560000003</v>
      </c>
      <c r="H110" s="5" t="s">
        <v>85</v>
      </c>
    </row>
    <row r="111" spans="2:8" x14ac:dyDescent="0.25">
      <c r="B111" s="4" t="s">
        <v>38</v>
      </c>
      <c r="D111" t="s">
        <v>101</v>
      </c>
      <c r="E111" t="s">
        <v>101</v>
      </c>
      <c r="F111">
        <v>0.5</v>
      </c>
      <c r="G111">
        <f>(Table9911678[[#This Row],[Composition (%)]]/100)*VLOOKUP(B111, $B$8:$D$62, 3, 0)</f>
        <v>9.9790321400000007E-2</v>
      </c>
      <c r="H111" s="5"/>
    </row>
    <row r="112" spans="2:8" x14ac:dyDescent="0.25">
      <c r="B112" s="4" t="s">
        <v>38</v>
      </c>
      <c r="D112" t="s">
        <v>102</v>
      </c>
      <c r="E112" t="s">
        <v>84</v>
      </c>
      <c r="F112">
        <v>0.7</v>
      </c>
      <c r="G112">
        <f>(Table9911678[[#This Row],[Composition (%)]]/100)*VLOOKUP(B112, $B$8:$D$62, 3, 0)</f>
        <v>0.13970644996000001</v>
      </c>
      <c r="H112" s="5" t="s">
        <v>85</v>
      </c>
    </row>
    <row r="113" spans="1:8" ht="15.75" thickBot="1" x14ac:dyDescent="0.3">
      <c r="B113" s="6" t="s">
        <v>40</v>
      </c>
      <c r="C113" s="7" t="s">
        <v>98</v>
      </c>
      <c r="D113" s="7" t="s">
        <v>103</v>
      </c>
      <c r="E113" s="7" t="s">
        <v>73</v>
      </c>
      <c r="F113" s="7">
        <v>100</v>
      </c>
      <c r="G113" s="7">
        <f>(Table9911678[[#This Row],[Composition (%)]]/100)*VLOOKUP(B113, $B$8:$D$62, 3, 0)</f>
        <v>9.979032140000001</v>
      </c>
      <c r="H113" s="8" t="s">
        <v>74</v>
      </c>
    </row>
    <row r="114" spans="1:8" ht="15.75" thickBot="1" x14ac:dyDescent="0.3">
      <c r="A114" t="s">
        <v>13</v>
      </c>
    </row>
    <row r="115" spans="1:8" x14ac:dyDescent="0.25">
      <c r="A115">
        <f>SUM(G114:G127)</f>
        <v>804.21927200999983</v>
      </c>
      <c r="B115" s="10"/>
      <c r="C115" s="2"/>
      <c r="D115" s="2"/>
      <c r="E115" s="2"/>
      <c r="F115" s="2"/>
      <c r="G115" s="2"/>
      <c r="H115" s="3"/>
    </row>
    <row r="116" spans="1:8" ht="15.75" customHeight="1" x14ac:dyDescent="0.25">
      <c r="B116" s="4" t="s">
        <v>167</v>
      </c>
      <c r="C116" t="s">
        <v>169</v>
      </c>
      <c r="D116" t="s">
        <v>170</v>
      </c>
      <c r="E116" t="s">
        <v>171</v>
      </c>
      <c r="F116">
        <v>100</v>
      </c>
      <c r="G116">
        <f>0.45359237*(1362)</f>
        <v>617.79280793999999</v>
      </c>
      <c r="H116" s="5"/>
    </row>
    <row r="117" spans="1:8" x14ac:dyDescent="0.25">
      <c r="B117" s="4" t="s">
        <v>109</v>
      </c>
      <c r="C117" t="s">
        <v>110</v>
      </c>
      <c r="D117" t="s">
        <v>111</v>
      </c>
      <c r="E117" t="s">
        <v>112</v>
      </c>
      <c r="F117">
        <v>100</v>
      </c>
      <c r="G117">
        <f>0.45359237*(22)</f>
        <v>9.979032140000001</v>
      </c>
      <c r="H117" s="5" t="s">
        <v>113</v>
      </c>
    </row>
    <row r="118" spans="1:8" x14ac:dyDescent="0.25">
      <c r="B118" s="4"/>
      <c r="H118" s="5"/>
    </row>
    <row r="119" spans="1:8" x14ac:dyDescent="0.25">
      <c r="B119" s="4" t="s">
        <v>48</v>
      </c>
      <c r="C119" t="s">
        <v>124</v>
      </c>
      <c r="D119" t="s">
        <v>72</v>
      </c>
      <c r="E119" t="s">
        <v>73</v>
      </c>
      <c r="F119">
        <v>100</v>
      </c>
      <c r="G119">
        <f>(Table9911678[[#This Row],[Composition (%)]]/100)*VLOOKUP(B119, $B$8:$D$62, 3, 0)</f>
        <v>9.979032140000001</v>
      </c>
      <c r="H119" s="5" t="s">
        <v>74</v>
      </c>
    </row>
    <row r="120" spans="1:8" x14ac:dyDescent="0.25">
      <c r="B120" s="4" t="s">
        <v>50</v>
      </c>
      <c r="C120" t="s">
        <v>50</v>
      </c>
      <c r="D120" t="s">
        <v>72</v>
      </c>
      <c r="E120" t="s">
        <v>73</v>
      </c>
      <c r="F120">
        <v>100</v>
      </c>
      <c r="G120">
        <f>(Table9911678[[#This Row],[Composition (%)]]/100)*VLOOKUP(B120, $B$8:$D$62, 3, 0)</f>
        <v>29.937096420000003</v>
      </c>
      <c r="H120" s="5" t="s">
        <v>74</v>
      </c>
    </row>
    <row r="121" spans="1:8" x14ac:dyDescent="0.25">
      <c r="B121" s="4" t="s">
        <v>49</v>
      </c>
      <c r="C121" t="s">
        <v>125</v>
      </c>
      <c r="D121" t="s">
        <v>72</v>
      </c>
      <c r="E121" t="s">
        <v>73</v>
      </c>
      <c r="F121">
        <v>30</v>
      </c>
      <c r="G121">
        <f>(Table9911678[[#This Row],[Composition (%)]]/100)*VLOOKUP(B121, $B$8:$D$62, 3, 0)</f>
        <v>11.294450013000001</v>
      </c>
      <c r="H121" s="5" t="s">
        <v>74</v>
      </c>
    </row>
    <row r="122" spans="1:8" x14ac:dyDescent="0.25">
      <c r="B122" s="4" t="s">
        <v>49</v>
      </c>
      <c r="D122" t="s">
        <v>93</v>
      </c>
      <c r="E122" t="s">
        <v>94</v>
      </c>
      <c r="F122">
        <v>30</v>
      </c>
      <c r="G122">
        <f>(Table9911678[[#This Row],[Composition (%)]]/100)*VLOOKUP(B122, $B$8:$D$62, 3, 0)</f>
        <v>11.294450013000001</v>
      </c>
      <c r="H122" s="5" t="s">
        <v>95</v>
      </c>
    </row>
    <row r="123" spans="1:8" x14ac:dyDescent="0.25">
      <c r="B123" s="4" t="s">
        <v>49</v>
      </c>
      <c r="D123" t="s">
        <v>105</v>
      </c>
      <c r="E123" t="s">
        <v>105</v>
      </c>
      <c r="F123">
        <v>30</v>
      </c>
      <c r="G123">
        <f>(Table9911678[[#This Row],[Composition (%)]]/100)*VLOOKUP(B123, $B$8:$D$62, 3, 0)</f>
        <v>11.294450013000001</v>
      </c>
      <c r="H123" s="5"/>
    </row>
    <row r="124" spans="1:8" x14ac:dyDescent="0.25">
      <c r="B124" s="4" t="s">
        <v>49</v>
      </c>
      <c r="D124" t="s">
        <v>83</v>
      </c>
      <c r="E124" t="s">
        <v>84</v>
      </c>
      <c r="F124">
        <v>5</v>
      </c>
      <c r="G124">
        <f>(Table9911678[[#This Row],[Composition (%)]]/100)*VLOOKUP(B124, $B$8:$D$62, 3, 0)</f>
        <v>1.8824083355000003</v>
      </c>
      <c r="H124" s="5" t="s">
        <v>85</v>
      </c>
    </row>
    <row r="125" spans="1:8" x14ac:dyDescent="0.25">
      <c r="B125" s="4" t="s">
        <v>49</v>
      </c>
      <c r="D125" t="s">
        <v>86</v>
      </c>
      <c r="E125" t="s">
        <v>84</v>
      </c>
      <c r="F125">
        <v>5</v>
      </c>
      <c r="G125">
        <f>(Table9911678[[#This Row],[Composition (%)]]/100)*VLOOKUP(B125, $B$8:$D$62, 3, 0)</f>
        <v>1.8824083355000003</v>
      </c>
      <c r="H125" s="5" t="s">
        <v>85</v>
      </c>
    </row>
    <row r="126" spans="1:8" x14ac:dyDescent="0.25">
      <c r="B126" s="4" t="s">
        <v>51</v>
      </c>
      <c r="C126" t="s">
        <v>126</v>
      </c>
      <c r="D126" t="s">
        <v>72</v>
      </c>
      <c r="E126" t="s">
        <v>73</v>
      </c>
      <c r="F126">
        <v>100</v>
      </c>
      <c r="G126">
        <f>(Table9911678[[#This Row],[Composition (%)]]/100)*VLOOKUP(B126, $B$8:$D$62, 3, 0)</f>
        <v>73.93555631000001</v>
      </c>
      <c r="H126" s="5" t="s">
        <v>74</v>
      </c>
    </row>
    <row r="127" spans="1:8" ht="15.75" thickBot="1" x14ac:dyDescent="0.3">
      <c r="A127" t="s">
        <v>128</v>
      </c>
      <c r="B127" s="6" t="s">
        <v>52</v>
      </c>
      <c r="C127" s="7" t="s">
        <v>127</v>
      </c>
      <c r="D127" s="7" t="s">
        <v>72</v>
      </c>
      <c r="E127" s="7" t="s">
        <v>73</v>
      </c>
      <c r="F127" s="7">
        <v>100</v>
      </c>
      <c r="G127" s="7">
        <f>(Table9911678[[#This Row],[Composition (%)]]/100)*VLOOKUP(B127, $B$8:$D$62, 3, 0)</f>
        <v>24.947580350000003</v>
      </c>
      <c r="H127" s="8" t="s">
        <v>74</v>
      </c>
    </row>
    <row r="128" spans="1:8" x14ac:dyDescent="0.25">
      <c r="A128">
        <f>SUM(G128:G132)</f>
        <v>21.628738960000003</v>
      </c>
      <c r="B128" s="10" t="s">
        <v>129</v>
      </c>
      <c r="C128" s="2" t="s">
        <v>130</v>
      </c>
      <c r="D128" s="2" t="s">
        <v>131</v>
      </c>
      <c r="E128" s="2" t="s">
        <v>132</v>
      </c>
      <c r="F128" s="2">
        <v>100</v>
      </c>
      <c r="G128" s="2">
        <v>2</v>
      </c>
      <c r="H128" s="3"/>
    </row>
    <row r="129" spans="1:8" x14ac:dyDescent="0.25">
      <c r="B129" s="4" t="s">
        <v>133</v>
      </c>
      <c r="C129" t="s">
        <v>134</v>
      </c>
      <c r="D129" t="s">
        <v>135</v>
      </c>
      <c r="E129" t="s">
        <v>134</v>
      </c>
      <c r="F129">
        <v>100</v>
      </c>
      <c r="G129">
        <v>16</v>
      </c>
      <c r="H129" s="5"/>
    </row>
    <row r="130" spans="1:8" x14ac:dyDescent="0.25">
      <c r="B130" s="4" t="s">
        <v>136</v>
      </c>
      <c r="C130" t="s">
        <v>137</v>
      </c>
      <c r="D130" t="s">
        <v>138</v>
      </c>
      <c r="E130" t="s">
        <v>137</v>
      </c>
      <c r="F130">
        <v>100</v>
      </c>
      <c r="G130">
        <v>2.7215542200000002</v>
      </c>
      <c r="H130" s="5"/>
    </row>
    <row r="131" spans="1:8" ht="15.75" thickBot="1" x14ac:dyDescent="0.3">
      <c r="B131" s="6" t="s">
        <v>139</v>
      </c>
      <c r="C131" s="7" t="s">
        <v>140</v>
      </c>
      <c r="D131" s="7" t="s">
        <v>135</v>
      </c>
      <c r="E131" s="7" t="s">
        <v>140</v>
      </c>
      <c r="F131" s="7">
        <v>100</v>
      </c>
      <c r="G131" s="7">
        <v>0.90718474000000004</v>
      </c>
      <c r="H131" s="8"/>
    </row>
    <row r="133" spans="1:8" ht="15.75" thickBot="1" x14ac:dyDescent="0.3">
      <c r="A133" t="s">
        <v>11</v>
      </c>
    </row>
    <row r="134" spans="1:8" x14ac:dyDescent="0.25">
      <c r="A134">
        <f>SUM(G134:G142)</f>
        <v>337.47272327999997</v>
      </c>
      <c r="B134" s="10" t="s">
        <v>53</v>
      </c>
      <c r="C134" s="2" t="s">
        <v>142</v>
      </c>
      <c r="D134" s="2" t="s">
        <v>72</v>
      </c>
      <c r="E134" s="2" t="s">
        <v>73</v>
      </c>
      <c r="F134" s="2">
        <v>100</v>
      </c>
      <c r="G134" s="2">
        <f>(Table9911678[[#This Row],[Composition (%)]]/100)*VLOOKUP(B134, $B$8:$D$62, 3, 0)</f>
        <v>40.823313300000002</v>
      </c>
      <c r="H134" s="3" t="s">
        <v>74</v>
      </c>
    </row>
    <row r="135" spans="1:8" x14ac:dyDescent="0.25">
      <c r="B135" s="4" t="s">
        <v>54</v>
      </c>
      <c r="C135" t="s">
        <v>143</v>
      </c>
      <c r="D135" t="s">
        <v>144</v>
      </c>
      <c r="E135" t="s">
        <v>145</v>
      </c>
      <c r="F135">
        <v>5</v>
      </c>
      <c r="G135">
        <f>(Table9911678[[#This Row],[Composition (%)]]/100)*VLOOKUP(B135, $B$8:$D$62, 3, 0)</f>
        <v>1.9050879540000001</v>
      </c>
      <c r="H135" s="5" t="s">
        <v>146</v>
      </c>
    </row>
    <row r="136" spans="1:8" x14ac:dyDescent="0.25">
      <c r="B136" s="4" t="s">
        <v>54</v>
      </c>
      <c r="C136" t="s">
        <v>147</v>
      </c>
      <c r="D136" t="s">
        <v>148</v>
      </c>
      <c r="E136" t="s">
        <v>149</v>
      </c>
      <c r="F136">
        <v>95</v>
      </c>
      <c r="G136">
        <f>(Table9911678[[#This Row],[Composition (%)]]/100)*VLOOKUP(B136, $B$8:$D$62, 3, 0)</f>
        <v>36.196671125999998</v>
      </c>
      <c r="H136" s="5" t="s">
        <v>150</v>
      </c>
    </row>
    <row r="137" spans="1:8" x14ac:dyDescent="0.25">
      <c r="B137" s="4" t="s">
        <v>55</v>
      </c>
      <c r="C137" t="s">
        <v>151</v>
      </c>
      <c r="D137" t="s">
        <v>72</v>
      </c>
      <c r="E137" t="s">
        <v>73</v>
      </c>
      <c r="F137">
        <v>100</v>
      </c>
      <c r="G137">
        <f>(Table9911678[[#This Row],[Composition (%)]]/100)*VLOOKUP(B137, $B$8:$D$62, 3, 0)</f>
        <v>41.276905670000005</v>
      </c>
      <c r="H137" s="5" t="s">
        <v>74</v>
      </c>
    </row>
    <row r="138" spans="1:8" x14ac:dyDescent="0.25">
      <c r="B138" s="4" t="s">
        <v>56</v>
      </c>
      <c r="C138" t="s">
        <v>152</v>
      </c>
      <c r="D138" t="s">
        <v>153</v>
      </c>
      <c r="E138" t="s">
        <v>154</v>
      </c>
      <c r="F138">
        <v>100</v>
      </c>
      <c r="G138">
        <f>(Table9911678[[#This Row],[Composition (%)]]/100)*VLOOKUP(B138, $B$8:$D$62, 3, 0)</f>
        <v>40.823313300000002</v>
      </c>
      <c r="H138" s="5" t="s">
        <v>155</v>
      </c>
    </row>
    <row r="139" spans="1:8" x14ac:dyDescent="0.25">
      <c r="B139" s="4" t="s">
        <v>61</v>
      </c>
      <c r="C139" t="s">
        <v>172</v>
      </c>
      <c r="D139" t="s">
        <v>173</v>
      </c>
      <c r="E139" t="s">
        <v>174</v>
      </c>
      <c r="F139">
        <v>100</v>
      </c>
      <c r="G139">
        <f>(Table9911678[[#This Row],[Composition (%)]]/100)*VLOOKUP(B139, $B$8:$D$62, 3, 0)</f>
        <v>76.657110529999997</v>
      </c>
      <c r="H139" s="5" t="s">
        <v>175</v>
      </c>
    </row>
    <row r="140" spans="1:8" x14ac:dyDescent="0.25">
      <c r="B140" s="4" t="s">
        <v>62</v>
      </c>
      <c r="C140" t="s">
        <v>176</v>
      </c>
      <c r="D140" t="s">
        <v>177</v>
      </c>
      <c r="E140" t="s">
        <v>178</v>
      </c>
      <c r="F140">
        <v>100</v>
      </c>
      <c r="G140">
        <f>(Table9911678[[#This Row],[Composition (%)]]/100)*VLOOKUP(B140, $B$8:$D$62, 3, 0)</f>
        <v>67.585263130000001</v>
      </c>
      <c r="H140" s="5" t="s">
        <v>179</v>
      </c>
    </row>
    <row r="141" spans="1:8" x14ac:dyDescent="0.25">
      <c r="B141" s="4" t="s">
        <v>57</v>
      </c>
      <c r="C141" t="s">
        <v>156</v>
      </c>
      <c r="D141" t="s">
        <v>157</v>
      </c>
      <c r="E141" t="s">
        <v>73</v>
      </c>
      <c r="F141">
        <v>100</v>
      </c>
      <c r="G141">
        <f>(Table9911678[[#This Row],[Composition (%)]]/100)*VLOOKUP(B141, $B$8:$D$62, 3, 0)</f>
        <v>22.226026130000001</v>
      </c>
      <c r="H141" s="5" t="s">
        <v>74</v>
      </c>
    </row>
    <row r="142" spans="1:8" ht="15.75" thickBot="1" x14ac:dyDescent="0.3">
      <c r="A142" t="s">
        <v>14</v>
      </c>
      <c r="B142" s="6" t="s">
        <v>59</v>
      </c>
      <c r="C142" s="7" t="s">
        <v>158</v>
      </c>
      <c r="D142" s="7" t="s">
        <v>72</v>
      </c>
      <c r="E142" s="7" t="s">
        <v>73</v>
      </c>
      <c r="F142" s="7">
        <v>100</v>
      </c>
      <c r="G142" s="7">
        <f>(Table9911678[[#This Row],[Composition (%)]]/100)*VLOOKUP(B142, $B$8:$D$62, 3, 0)</f>
        <v>9.979032140000001</v>
      </c>
      <c r="H142" s="8" t="s">
        <v>74</v>
      </c>
    </row>
    <row r="143" spans="1:8" x14ac:dyDescent="0.25">
      <c r="A143">
        <f>SUM(G143:G146)</f>
        <v>39.916128560000004</v>
      </c>
      <c r="B143" s="10" t="s">
        <v>33</v>
      </c>
      <c r="C143" s="2" t="s">
        <v>159</v>
      </c>
      <c r="D143" s="2" t="s">
        <v>160</v>
      </c>
      <c r="E143" s="2" t="s">
        <v>161</v>
      </c>
      <c r="F143" s="2">
        <v>25</v>
      </c>
      <c r="G143" s="2">
        <f>VLOOKUP(B143, $B$8:$D$62, 3, 0)</f>
        <v>9.979032140000001</v>
      </c>
      <c r="H143" s="3" t="s">
        <v>162</v>
      </c>
    </row>
    <row r="144" spans="1:8" x14ac:dyDescent="0.25">
      <c r="B144" s="4" t="s">
        <v>39</v>
      </c>
      <c r="C144" t="s">
        <v>12</v>
      </c>
      <c r="D144" t="s">
        <v>160</v>
      </c>
      <c r="E144" t="s">
        <v>163</v>
      </c>
      <c r="F144">
        <v>25</v>
      </c>
      <c r="G144">
        <f>VLOOKUP(B144, $B$8:$D$62, 3, 0)</f>
        <v>9.979032140000001</v>
      </c>
      <c r="H144" s="5"/>
    </row>
    <row r="145" spans="2:8" x14ac:dyDescent="0.25">
      <c r="B145" s="4" t="s">
        <v>46</v>
      </c>
      <c r="D145" t="s">
        <v>160</v>
      </c>
      <c r="E145" t="s">
        <v>163</v>
      </c>
      <c r="F145">
        <v>25</v>
      </c>
      <c r="G145">
        <f>VLOOKUP(B145, $B$8:$D$62, 3, 0)</f>
        <v>9.979032140000001</v>
      </c>
      <c r="H145" s="5"/>
    </row>
    <row r="146" spans="2:8" ht="15.75" thickBot="1" x14ac:dyDescent="0.3">
      <c r="B146" s="6" t="s">
        <v>58</v>
      </c>
      <c r="C146" s="7" t="s">
        <v>11</v>
      </c>
      <c r="D146" s="7" t="s">
        <v>160</v>
      </c>
      <c r="E146" s="7" t="s">
        <v>163</v>
      </c>
      <c r="F146" s="7">
        <v>25</v>
      </c>
      <c r="G146" s="7">
        <f>VLOOKUP(B146, $B$8:$D$62, 3, 0)</f>
        <v>9.979032140000001</v>
      </c>
      <c r="H146" s="8"/>
    </row>
    <row r="153" spans="2:8" x14ac:dyDescent="0.25">
      <c r="G153">
        <f>SUBTOTAL(109,G72:G146)</f>
        <v>1797.4428675100007</v>
      </c>
    </row>
    <row r="157" spans="2:8" x14ac:dyDescent="0.25">
      <c r="G157" s="11"/>
    </row>
  </sheetData>
  <pageMargins left="0.7" right="0.7" top="0.75" bottom="0.75" header="0.3" footer="0.3"/>
  <pageSetup paperSize="9" orientation="portrait" r:id="rId1"/>
  <legacyDrawing r:id="rId2"/>
  <tableParts count="3">
    <tablePart r:id="rId3"/>
    <tablePart r:id="rId4"/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a20d149a844688b6abf34073d5c21d xmlns="34ef9c88-61fe-4b47-ba46-6f97aa286270">
      <Terms xmlns="http://schemas.microsoft.com/office/infopath/2007/PartnerControls"/>
    </lca20d149a844688b6abf34073d5c21d>
    <cf581d8792c646118aad2c2c4ecdfa8c xmlns="34ef9c88-61fe-4b47-ba46-6f97aa286270">
      <Terms xmlns="http://schemas.microsoft.com/office/infopath/2007/PartnerControls"/>
    </cf581d8792c646118aad2c2c4ecdfa8c>
    <bac4ab11065f4f6c809c820c57e320e5 xmlns="34ef9c88-61fe-4b47-ba46-6f97aa286270">
      <Terms xmlns="http://schemas.microsoft.com/office/infopath/2007/PartnerControls"/>
    </bac4ab11065f4f6c809c820c57e320e5>
    <_dlc_DocId xmlns="34ef9c88-61fe-4b47-ba46-6f97aa286270">2ZQFC5FF5JET-908597919-1366</_dlc_DocId>
    <n2a7a23bcc2241cb9261f9a914c7c1bb xmlns="34ef9c88-61fe-4b47-ba46-6f97aa286270">
      <Terms xmlns="http://schemas.microsoft.com/office/infopath/2007/PartnerControls">
        <TermInfo xmlns="http://schemas.microsoft.com/office/infopath/2007/PartnerControls">
          <TermName xmlns="http://schemas.microsoft.com/office/infopath/2007/PartnerControls">TNO Internal</TermName>
          <TermId xmlns="http://schemas.microsoft.com/office/infopath/2007/PartnerControls">1a23c89f-ef54-4907-86fd-8242403ff722</TermId>
        </TermInfo>
      </Terms>
    </n2a7a23bcc2241cb9261f9a914c7c1bb>
    <TNOC_ClusterName xmlns="2f6a910d-138e-42c1-8e8a-320c1b7cf3f7">ALMA-WP1 confidential data</TNOC_ClusterName>
    <_dlc_DocIdUrl xmlns="34ef9c88-61fe-4b47-ba46-6f97aa286270">
      <Url>https://365tno.sharepoint.com/teams/T95357/_layouts/15/DocIdRedir.aspx?ID=2ZQFC5FF5JET-908597919-1366</Url>
      <Description>2ZQFC5FF5JET-908597919-1366</Description>
    </_dlc_DocIdUrl>
    <TNOC_ClusterId xmlns="2f6a910d-138e-42c1-8e8a-320c1b7cf3f7">95357</TNOC_ClusterId>
    <h15fbb78f4cb41d290e72f301ea2865f xmlns="34ef9c88-61fe-4b47-ba46-6f97aa286270">
      <Terms xmlns="http://schemas.microsoft.com/office/infopath/2007/PartnerControls">
        <TermInfo xmlns="http://schemas.microsoft.com/office/infopath/2007/PartnerControls">
          <TermName xmlns="http://schemas.microsoft.com/office/infopath/2007/PartnerControls">Team</TermName>
          <TermId xmlns="http://schemas.microsoft.com/office/infopath/2007/PartnerControls">c614ed86-6527-4042-aa9d-da80e2b69463</TermId>
        </TermInfo>
      </Terms>
    </h15fbb78f4cb41d290e72f301ea2865f>
    <SharedWithUsers xmlns="34ef9c88-61fe-4b47-ba46-6f97aa286270">
      <UserInfo>
        <DisplayName>Mehta, R. (Rajesh)</DisplayName>
        <AccountId>27</AccountId>
        <AccountType/>
      </UserInfo>
      <UserInfo>
        <DisplayName>Ligthart, T.N. (Tom)</DisplayName>
        <AccountId>26</AccountId>
        <AccountType/>
      </UserInfo>
    </SharedWithUsers>
    <TaxCatchAll xmlns="34ef9c88-61fe-4b47-ba46-6f97aa286270">
      <Value>5</Value>
      <Value>3</Value>
    </TaxCatchAll>
    <lcf76f155ced4ddcb4097134ff3c332f xmlns="d9feee12-55f4-46d5-a8cb-f2c8c87da3aa">
      <Terms xmlns="http://schemas.microsoft.com/office/infopath/2007/PartnerControls"/>
    </lcf76f155ced4ddcb4097134ff3c332f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Team Document" ma:contentTypeID="0x010100A35317DCC28344A7B82488658A034A5C01008F6E931E26C1C7488B87AB414F8C1A5E" ma:contentTypeVersion="17" ma:contentTypeDescription=" " ma:contentTypeScope="" ma:versionID="de6473d4bbff8be691b6a4aa543a47ed">
  <xsd:schema xmlns:xsd="http://www.w3.org/2001/XMLSchema" xmlns:xs="http://www.w3.org/2001/XMLSchema" xmlns:p="http://schemas.microsoft.com/office/2006/metadata/properties" xmlns:ns2="34ef9c88-61fe-4b47-ba46-6f97aa286270" xmlns:ns3="2f6a910d-138e-42c1-8e8a-320c1b7cf3f7" xmlns:ns5="d9feee12-55f4-46d5-a8cb-f2c8c87da3aa" targetNamespace="http://schemas.microsoft.com/office/2006/metadata/properties" ma:root="true" ma:fieldsID="3527d677e337415f2ae75f6537093daf" ns2:_="" ns3:_="" ns5:_="">
    <xsd:import namespace="34ef9c88-61fe-4b47-ba46-6f97aa286270"/>
    <xsd:import namespace="2f6a910d-138e-42c1-8e8a-320c1b7cf3f7"/>
    <xsd:import namespace="d9feee12-55f4-46d5-a8cb-f2c8c87da3a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TNOC_ClusterName" minOccurs="0"/>
                <xsd:element ref="ns3:TNOC_ClusterId" minOccurs="0"/>
                <xsd:element ref="ns2:h15fbb78f4cb41d290e72f301ea2865f" minOccurs="0"/>
                <xsd:element ref="ns2:TaxCatchAll" minOccurs="0"/>
                <xsd:element ref="ns2:TaxCatchAllLabel" minOccurs="0"/>
                <xsd:element ref="ns2:n2a7a23bcc2241cb9261f9a914c7c1bb" minOccurs="0"/>
                <xsd:element ref="ns2:lca20d149a844688b6abf34073d5c21d" minOccurs="0"/>
                <xsd:element ref="ns2:cf581d8792c646118aad2c2c4ecdfa8c" minOccurs="0"/>
                <xsd:element ref="ns2:bac4ab11065f4f6c809c820c57e320e5" minOccurs="0"/>
                <xsd:element ref="ns2:SharedWithUsers" minOccurs="0"/>
                <xsd:element ref="ns2:SharedWithDetails" minOccurs="0"/>
                <xsd:element ref="ns5:MediaServiceMetadata" minOccurs="0"/>
                <xsd:element ref="ns5:MediaServiceFastMetadata" minOccurs="0"/>
                <xsd:element ref="ns5:MediaServiceAutoKeyPoints" minOccurs="0"/>
                <xsd:element ref="ns5:MediaServiceKeyPoints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lcf76f155ced4ddcb4097134ff3c332f" minOccurs="0"/>
                <xsd:element ref="ns5:MediaServiceDateTaken" minOccurs="0"/>
                <xsd:element ref="ns5:MediaLengthInSeconds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f9c88-61fe-4b47-ba46-6f97aa286270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h15fbb78f4cb41d290e72f301ea2865f" ma:index="13" nillable="true" ma:taxonomy="true" ma:internalName="h15fbb78f4cb41d290e72f301ea2865f" ma:taxonomyFieldName="TNOC_ClusterType" ma:displayName="Cluster type" ma:default="3;#Team|c614ed86-6527-4042-aa9d-da80e2b69463" ma:fieldId="{115fbb78-f4cb-41d2-90e7-2f301ea2865f}" ma:sspId="7378aa68-586f-4892-bb77-0985b40f41a6" ma:termSetId="e7feef8e-5ede-44cd-b7d5-7ed7dacef0b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4" nillable="true" ma:displayName="Taxonomy Catch All Column" ma:hidden="true" ma:list="{06335eb4-8d6d-4886-86f9-0d9e5a1feebf}" ma:internalName="TaxCatchAll" ma:showField="CatchAllData" ma:web="34ef9c88-61fe-4b47-ba46-6f97aa28627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06335eb4-8d6d-4886-86f9-0d9e5a1feebf}" ma:internalName="TaxCatchAllLabel" ma:readOnly="true" ma:showField="CatchAllDataLabel" ma:web="34ef9c88-61fe-4b47-ba46-6f97aa28627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n2a7a23bcc2241cb9261f9a914c7c1bb" ma:index="17" nillable="true" ma:taxonomy="true" ma:internalName="n2a7a23bcc2241cb9261f9a914c7c1bb" ma:taxonomyFieldName="TNOC_DocumentClassification" ma:displayName="Document classification" ma:default="5;#TNO Internal|1a23c89f-ef54-4907-86fd-8242403ff722" ma:fieldId="{72a7a23b-cc22-41cb-9261-f9a914c7c1bb}" ma:sspId="7378aa68-586f-4892-bb77-0985b40f41a6" ma:termSetId="ff8f31fd-7572-41dc-9fe4-bd4c6d280f3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lca20d149a844688b6abf34073d5c21d" ma:index="19" nillable="true" ma:taxonomy="true" ma:internalName="lca20d149a844688b6abf34073d5c21d" ma:taxonomyFieldName="TNOC_DocumentType" ma:displayName="Document type" ma:fieldId="{5ca20d14-9a84-4688-b6ab-f34073d5c21d}" ma:sspId="7378aa68-586f-4892-bb77-0985b40f41a6" ma:termSetId="e8a13a9e-c4f3-4184-b8d9-8210abad494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f581d8792c646118aad2c2c4ecdfa8c" ma:index="22" nillable="true" ma:taxonomy="true" ma:internalName="cf581d8792c646118aad2c2c4ecdfa8c" ma:taxonomyFieldName="TNOC_DocumentSetType" ma:displayName="Document set type" ma:readOnly="false" ma:fieldId="{cf581d87-92c6-4611-8aad-2c2c4ecdfa8c}" ma:sspId="7378aa68-586f-4892-bb77-0985b40f41a6" ma:termSetId="a8d4306b-62bf-468f-9587-ff078c86432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bac4ab11065f4f6c809c820c57e320e5" ma:index="24" nillable="true" ma:taxonomy="true" ma:internalName="bac4ab11065f4f6c809c820c57e320e5" ma:taxonomyFieldName="TNOC_DocumentCategory" ma:displayName="Document category" ma:fieldId="{bac4ab11-065f-4f6c-809c-820c57e320e5}" ma:sspId="7378aa68-586f-4892-bb77-0985b40f41a6" ma:termSetId="94d42b6a-4155-4fa6-95e9-087bc306ceb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aredWithUsers" ma:index="2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a910d-138e-42c1-8e8a-320c1b7cf3f7" elementFormDefault="qualified">
    <xsd:import namespace="http://schemas.microsoft.com/office/2006/documentManagement/types"/>
    <xsd:import namespace="http://schemas.microsoft.com/office/infopath/2007/PartnerControls"/>
    <xsd:element name="TNOC_ClusterName" ma:index="11" nillable="true" ma:displayName="Cluster name" ma:default="ALMA-WP1 confidential data" ma:internalName="TNOC_ClusterName">
      <xsd:simpleType>
        <xsd:restriction base="dms:Text">
          <xsd:maxLength value="255"/>
        </xsd:restriction>
      </xsd:simpleType>
    </xsd:element>
    <xsd:element name="TNOC_ClusterId" ma:index="12" nillable="true" ma:displayName="Cluster ID" ma:default="95357" ma:internalName="TNOC_Cluster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feee12-55f4-46d5-a8cb-f2c8c87da3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3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OCR" ma:index="3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7" nillable="true" ma:taxonomy="true" ma:internalName="lcf76f155ced4ddcb4097134ff3c332f" ma:taxonomyFieldName="MediaServiceImageTags" ma:displayName="Image Tags" ma:readOnly="false" ma:fieldId="{5cf76f15-5ced-4ddc-b409-7134ff3c332f}" ma:taxonomyMulti="true" ma:sspId="7378aa68-586f-4892-bb77-0985b40f41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��
</file>

<file path=customXml/itemProps1.xml><?xml version="1.0" encoding="utf-8"?>
<ds:datastoreItem xmlns:ds="http://schemas.openxmlformats.org/officeDocument/2006/customXml" ds:itemID="{357C67EA-8C37-45D5-9D6B-EA8CF9E25C2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E794F3-06EB-4286-89BD-2C8DA992403C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7481D165-E6E3-41A7-8F21-381D1D34927E}">
  <ds:schemaRefs>
    <ds:schemaRef ds:uri="http://purl.org/dc/dcmitype/"/>
    <ds:schemaRef ds:uri="d9feee12-55f4-46d5-a8cb-f2c8c87da3aa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2f6a910d-138e-42c1-8e8a-320c1b7cf3f7"/>
    <ds:schemaRef ds:uri="http://schemas.openxmlformats.org/package/2006/metadata/core-properties"/>
    <ds:schemaRef ds:uri="http://schemas.microsoft.com/office/2006/metadata/properties"/>
    <ds:schemaRef ds:uri="34ef9c88-61fe-4b47-ba46-6f97aa286270"/>
    <ds:schemaRef ds:uri="http://purl.org/dc/terms/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7671040D-7A84-4460-907F-58F335D416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f9c88-61fe-4b47-ba46-6f97aa286270"/>
    <ds:schemaRef ds:uri="2f6a910d-138e-42c1-8e8a-320c1b7cf3f7"/>
    <ds:schemaRef ds:uri="d9feee12-55f4-46d5-a8cb-f2c8c87da3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5.xml><?xml version="1.0" encoding="utf-8"?>
<ds:datastoreItem xmlns:ds="http://schemas.openxmlformats.org/officeDocument/2006/customXml" ds:itemID="{DD4E34F8-34A7-4FF5-9145-99BB274A72A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ICE default BoM</vt:lpstr>
      <vt:lpstr>BEV default BoM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West, Jim (L&amp;W, Black Mountain)</dc:creator>
  <cp:keywords/>
  <dc:description/>
  <cp:lastModifiedBy>Golkaram, M. (Milad)</cp:lastModifiedBy>
  <cp:revision/>
  <dcterms:created xsi:type="dcterms:W3CDTF">2016-04-15T00:06:52Z</dcterms:created>
  <dcterms:modified xsi:type="dcterms:W3CDTF">2024-08-01T11:35:30Z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0x010100A35317DCC28344A7B82488658A034A5C01008F6E931E26C1C7488B87AB414F8C1A5E</vt:lpwstr>
  </property>
  <property fmtid="{D5CDD505-2E9C-101B-9397-08002B2CF9AE}" pid="3" name="TNOC_DocumentType">
    <vt:lpwstr/>
  </property>
  <property fmtid="{D5CDD505-2E9C-101B-9397-08002B2CF9AE}" pid="4" name="ComplianceAssetId">
    <vt:lpwstr/>
  </property>
  <property fmtid="{D5CDD505-2E9C-101B-9397-08002B2CF9AE}" pid="5" name="TNOC_DocumentCategory">
    <vt:lpwstr/>
  </property>
  <property fmtid="{D5CDD505-2E9C-101B-9397-08002B2CF9AE}" pid="6" name="TNOC_ClusterType">
    <vt:lpwstr>3;#Team|c614ed86-6527-4042-aa9d-da80e2b69463</vt:lpwstr>
  </property>
  <property fmtid="{D5CDD505-2E9C-101B-9397-08002B2CF9AE}" pid="7" name="_dlc_DocIdItemGuid">
    <vt:lpwstr>de6a9a55-c4db-40ac-8691-b831f0ec3f88</vt:lpwstr>
  </property>
  <property fmtid="{D5CDD505-2E9C-101B-9397-08002B2CF9AE}" pid="8" name="TNOC_DocumentSetType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  <property fmtid="{D5CDD505-2E9C-101B-9397-08002B2CF9AE}" pid="11" name="TNOC_DocumentClassification">
    <vt:lpwstr>5;#TNO Internal|1a23c89f-ef54-4907-86fd-8242403ff722</vt:lpwstr>
  </property>
  <property fmtid="{D5CDD505-2E9C-101B-9397-08002B2CF9AE}" pid="12" name="MediaServiceImageTags">
    <vt:lpwstr/>
  </property>
</Properties>
</file>