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21075" windowHeight="8265"/>
  </bookViews>
  <sheets>
    <sheet name="Ol" sheetId="1" r:id="rId1"/>
    <sheet name="Opx" sheetId="2" r:id="rId2"/>
  </sheets>
  <definedNames>
    <definedName name="_xlnm.Print_Area" localSheetId="0">Ol!$B$1:$Z$49</definedName>
  </definedNames>
  <calcPr calcId="125725"/>
</workbook>
</file>

<file path=xl/calcChain.xml><?xml version="1.0" encoding="utf-8"?>
<calcChain xmlns="http://schemas.openxmlformats.org/spreadsheetml/2006/main">
  <c r="D48" i="1"/>
  <c r="E48"/>
  <c r="F48"/>
  <c r="G48"/>
  <c r="H48"/>
  <c r="I48"/>
  <c r="J48"/>
  <c r="K48"/>
  <c r="L48"/>
  <c r="M48"/>
  <c r="N48"/>
  <c r="O48"/>
  <c r="P48"/>
  <c r="Q48"/>
  <c r="R48"/>
  <c r="S48"/>
  <c r="T48"/>
  <c r="U48"/>
  <c r="V48"/>
  <c r="W48"/>
  <c r="X48"/>
  <c r="Y48"/>
  <c r="Z48"/>
  <c r="C48"/>
  <c r="D30"/>
  <c r="E30"/>
  <c r="F30"/>
  <c r="G30"/>
  <c r="H30"/>
  <c r="I30"/>
  <c r="J30"/>
  <c r="K30"/>
  <c r="L30"/>
  <c r="M30"/>
  <c r="N30"/>
  <c r="O30"/>
  <c r="P30"/>
  <c r="Q30"/>
  <c r="R30"/>
  <c r="S30"/>
  <c r="T30"/>
  <c r="U30"/>
  <c r="V30"/>
  <c r="W30"/>
  <c r="X30"/>
  <c r="Y30"/>
  <c r="Z30"/>
  <c r="D41"/>
  <c r="E41"/>
  <c r="F41"/>
  <c r="G41"/>
  <c r="H41"/>
  <c r="I41"/>
  <c r="J41"/>
  <c r="K41"/>
  <c r="L41"/>
  <c r="M41"/>
  <c r="N41"/>
  <c r="O41"/>
  <c r="P41"/>
  <c r="Q41"/>
  <c r="R41"/>
  <c r="S41"/>
  <c r="T41"/>
  <c r="U41"/>
  <c r="V41"/>
  <c r="W41"/>
  <c r="X41"/>
  <c r="Y41"/>
  <c r="Z41"/>
  <c r="C41"/>
  <c r="C30"/>
  <c r="Z33"/>
  <c r="Z37" s="1"/>
  <c r="Z42" s="1"/>
  <c r="Y33"/>
  <c r="Y37" s="1"/>
  <c r="Y42" s="1"/>
  <c r="X33"/>
  <c r="X37" s="1"/>
  <c r="X42" s="1"/>
  <c r="Z26"/>
  <c r="Y26"/>
  <c r="X26"/>
  <c r="W33"/>
  <c r="V33"/>
  <c r="V37" s="1"/>
  <c r="V42" s="1"/>
  <c r="U33"/>
  <c r="U37" s="1"/>
  <c r="U42" s="1"/>
  <c r="T33"/>
  <c r="T37" s="1"/>
  <c r="T42" s="1"/>
  <c r="S33"/>
  <c r="R33"/>
  <c r="R37" s="1"/>
  <c r="R42" s="1"/>
  <c r="Q33"/>
  <c r="Q37" s="1"/>
  <c r="Q42" s="1"/>
  <c r="P33"/>
  <c r="P37" s="1"/>
  <c r="P42" s="1"/>
  <c r="O33"/>
  <c r="O37" s="1"/>
  <c r="O42" s="1"/>
  <c r="N33"/>
  <c r="N37" s="1"/>
  <c r="N42" s="1"/>
  <c r="M33"/>
  <c r="M37" s="1"/>
  <c r="M42" s="1"/>
  <c r="L33"/>
  <c r="L37" s="1"/>
  <c r="L42" s="1"/>
  <c r="L44" s="1"/>
  <c r="L49" s="1"/>
  <c r="K33"/>
  <c r="J33"/>
  <c r="J37" s="1"/>
  <c r="I33"/>
  <c r="I37" s="1"/>
  <c r="I42" s="1"/>
  <c r="H33"/>
  <c r="H37" s="1"/>
  <c r="H42" s="1"/>
  <c r="H44" s="1"/>
  <c r="G33"/>
  <c r="F33"/>
  <c r="F37" s="1"/>
  <c r="E33"/>
  <c r="E37" s="1"/>
  <c r="D33"/>
  <c r="D37" s="1"/>
  <c r="D42" s="1"/>
  <c r="C33"/>
  <c r="W26"/>
  <c r="V26"/>
  <c r="V31" s="1"/>
  <c r="V35" s="1"/>
  <c r="V36" s="1"/>
  <c r="U26"/>
  <c r="T26"/>
  <c r="S26"/>
  <c r="R26"/>
  <c r="R31" s="1"/>
  <c r="R35" s="1"/>
  <c r="R36" s="1"/>
  <c r="Q26"/>
  <c r="P26"/>
  <c r="O26"/>
  <c r="N26"/>
  <c r="N31" s="1"/>
  <c r="N35" s="1"/>
  <c r="N36" s="1"/>
  <c r="M26"/>
  <c r="L26"/>
  <c r="K26"/>
  <c r="J26"/>
  <c r="J31" s="1"/>
  <c r="J35" s="1"/>
  <c r="J36" s="1"/>
  <c r="I26"/>
  <c r="H26"/>
  <c r="G26"/>
  <c r="F26"/>
  <c r="E26"/>
  <c r="D26"/>
  <c r="C26"/>
  <c r="I19"/>
  <c r="K19"/>
  <c r="U15"/>
  <c r="U13"/>
  <c r="T15"/>
  <c r="T13"/>
  <c r="S15"/>
  <c r="S13"/>
  <c r="R15"/>
  <c r="Q15"/>
  <c r="R13"/>
  <c r="Q13"/>
  <c r="R10"/>
  <c r="R11" s="1"/>
  <c r="R19" s="1"/>
  <c r="P15"/>
  <c r="P13"/>
  <c r="O15"/>
  <c r="O13"/>
  <c r="N15"/>
  <c r="M15"/>
  <c r="N13"/>
  <c r="M13"/>
  <c r="N10"/>
  <c r="N11" s="1"/>
  <c r="N19" s="1"/>
  <c r="L15"/>
  <c r="L13"/>
  <c r="J15"/>
  <c r="J13"/>
  <c r="H15"/>
  <c r="H13"/>
  <c r="G15"/>
  <c r="G13"/>
  <c r="F15"/>
  <c r="F13"/>
  <c r="E15"/>
  <c r="E13"/>
  <c r="D15"/>
  <c r="D13"/>
  <c r="C15"/>
  <c r="C13"/>
  <c r="C8"/>
  <c r="C10" s="1"/>
  <c r="C11" s="1"/>
  <c r="M44" l="1"/>
  <c r="M49" s="1"/>
  <c r="Q49"/>
  <c r="Q44"/>
  <c r="U44"/>
  <c r="U49" s="1"/>
  <c r="Z49"/>
  <c r="Z44"/>
  <c r="P44"/>
  <c r="P49" s="1"/>
  <c r="T44"/>
  <c r="T49" s="1"/>
  <c r="Y44"/>
  <c r="Y49" s="1"/>
  <c r="O44"/>
  <c r="O49" s="1"/>
  <c r="X49"/>
  <c r="X44"/>
  <c r="N49"/>
  <c r="N44"/>
  <c r="R49"/>
  <c r="R44"/>
  <c r="V49"/>
  <c r="V44"/>
  <c r="I44"/>
  <c r="I49" s="1"/>
  <c r="D44"/>
  <c r="D49" s="1"/>
  <c r="H49"/>
  <c r="R17"/>
  <c r="N17"/>
  <c r="F31"/>
  <c r="F35" s="1"/>
  <c r="F36" s="1"/>
  <c r="C31"/>
  <c r="C35" s="1"/>
  <c r="G31"/>
  <c r="G35" s="1"/>
  <c r="G36" s="1"/>
  <c r="K31"/>
  <c r="K35" s="1"/>
  <c r="K36" s="1"/>
  <c r="O31"/>
  <c r="O35" s="1"/>
  <c r="O36" s="1"/>
  <c r="S31"/>
  <c r="S35" s="1"/>
  <c r="S36" s="1"/>
  <c r="W31"/>
  <c r="W35" s="1"/>
  <c r="W36" s="1"/>
  <c r="D31"/>
  <c r="D35" s="1"/>
  <c r="D36" s="1"/>
  <c r="H31"/>
  <c r="H35" s="1"/>
  <c r="H36" s="1"/>
  <c r="L31"/>
  <c r="P31"/>
  <c r="P35" s="1"/>
  <c r="P36" s="1"/>
  <c r="T31"/>
  <c r="T35" s="1"/>
  <c r="T36" s="1"/>
  <c r="F42"/>
  <c r="J42"/>
  <c r="E31"/>
  <c r="E35" s="1"/>
  <c r="I31"/>
  <c r="I35" s="1"/>
  <c r="I36" s="1"/>
  <c r="M31"/>
  <c r="M35" s="1"/>
  <c r="M36" s="1"/>
  <c r="Q31"/>
  <c r="Q35" s="1"/>
  <c r="Q36" s="1"/>
  <c r="U31"/>
  <c r="U35" s="1"/>
  <c r="U36" s="1"/>
  <c r="Z31"/>
  <c r="Z35" s="1"/>
  <c r="Z36" s="1"/>
  <c r="Y31"/>
  <c r="Y35" s="1"/>
  <c r="Y36" s="1"/>
  <c r="X31"/>
  <c r="X35" s="1"/>
  <c r="X36" s="1"/>
  <c r="C19"/>
  <c r="K37"/>
  <c r="K42" s="1"/>
  <c r="G37"/>
  <c r="G42" s="1"/>
  <c r="W37"/>
  <c r="W42" s="1"/>
  <c r="C37"/>
  <c r="C42" s="1"/>
  <c r="S37"/>
  <c r="S42" s="1"/>
  <c r="E10"/>
  <c r="E11" s="1"/>
  <c r="E19" s="1"/>
  <c r="J10"/>
  <c r="J11" s="1"/>
  <c r="P10"/>
  <c r="P11" s="1"/>
  <c r="U10"/>
  <c r="U11" s="1"/>
  <c r="C17"/>
  <c r="D10"/>
  <c r="D11" s="1"/>
  <c r="H10"/>
  <c r="H11" s="1"/>
  <c r="H19" s="1"/>
  <c r="O10"/>
  <c r="O11" s="1"/>
  <c r="T10"/>
  <c r="T11" s="1"/>
  <c r="G10"/>
  <c r="G11" s="1"/>
  <c r="G19" s="1"/>
  <c r="M10"/>
  <c r="M11" s="1"/>
  <c r="S10"/>
  <c r="S11" s="1"/>
  <c r="F10"/>
  <c r="F11" s="1"/>
  <c r="F17" s="1"/>
  <c r="L10"/>
  <c r="L11" s="1"/>
  <c r="Q10"/>
  <c r="Q11" s="1"/>
  <c r="L19" l="1"/>
  <c r="L17"/>
  <c r="W44"/>
  <c r="W49" s="1"/>
  <c r="J49"/>
  <c r="J44"/>
  <c r="L36"/>
  <c r="L35"/>
  <c r="U17"/>
  <c r="U19"/>
  <c r="K49"/>
  <c r="K44"/>
  <c r="Q17"/>
  <c r="Q19"/>
  <c r="M17"/>
  <c r="M19"/>
  <c r="P17"/>
  <c r="P19"/>
  <c r="C49"/>
  <c r="C44"/>
  <c r="S19"/>
  <c r="S17"/>
  <c r="S49"/>
  <c r="S44"/>
  <c r="O19"/>
  <c r="O17"/>
  <c r="T17"/>
  <c r="T19"/>
  <c r="G49"/>
  <c r="G44"/>
  <c r="F49"/>
  <c r="F44"/>
  <c r="C36"/>
  <c r="D17"/>
  <c r="D19"/>
  <c r="J17"/>
  <c r="J19"/>
  <c r="E17"/>
  <c r="G17"/>
  <c r="H17"/>
</calcChain>
</file>

<file path=xl/sharedStrings.xml><?xml version="1.0" encoding="utf-8"?>
<sst xmlns="http://schemas.openxmlformats.org/spreadsheetml/2006/main" count="87" uniqueCount="65">
  <si>
    <t>Sample</t>
  </si>
  <si>
    <t>422/6</t>
  </si>
  <si>
    <t>422/4</t>
  </si>
  <si>
    <t>422/5</t>
  </si>
  <si>
    <t>422/7</t>
  </si>
  <si>
    <t>423/3</t>
  </si>
  <si>
    <t>423/4</t>
  </si>
  <si>
    <t>422/8</t>
  </si>
  <si>
    <t>423/6</t>
  </si>
  <si>
    <t>423/1</t>
  </si>
  <si>
    <t>Rocks</t>
  </si>
  <si>
    <t>dunite</t>
  </si>
  <si>
    <t>harzburgite</t>
  </si>
  <si>
    <t>orthopyroxenite</t>
  </si>
  <si>
    <t>host olivine orthopyroxenite</t>
  </si>
  <si>
    <r>
      <t>D</t>
    </r>
    <r>
      <rPr>
        <i/>
        <vertAlign val="superscript"/>
        <sz val="12"/>
        <color theme="1"/>
        <rFont val="Times New Roman"/>
        <family val="1"/>
        <charset val="204"/>
      </rPr>
      <t>ol/liq</t>
    </r>
    <r>
      <rPr>
        <vertAlign val="subscript"/>
        <sz val="12"/>
        <color theme="1"/>
        <rFont val="Times New Roman"/>
        <family val="1"/>
        <charset val="204"/>
      </rPr>
      <t>Mg</t>
    </r>
  </si>
  <si>
    <r>
      <t>X</t>
    </r>
    <r>
      <rPr>
        <i/>
        <vertAlign val="superscript"/>
        <sz val="11"/>
        <color theme="1"/>
        <rFont val="Times New Roman"/>
        <family val="1"/>
        <charset val="204"/>
      </rPr>
      <t>liq</t>
    </r>
    <r>
      <rPr>
        <vertAlign val="subscript"/>
        <sz val="11"/>
        <color theme="1"/>
        <rFont val="Times New Roman"/>
        <family val="1"/>
        <charset val="204"/>
      </rPr>
      <t>MgO</t>
    </r>
  </si>
  <si>
    <r>
      <t>X</t>
    </r>
    <r>
      <rPr>
        <i/>
        <vertAlign val="superscript"/>
        <sz val="11"/>
        <color theme="1"/>
        <rFont val="Times New Roman"/>
        <family val="1"/>
        <charset val="204"/>
      </rPr>
      <t>liq</t>
    </r>
    <r>
      <rPr>
        <i/>
        <vertAlign val="subscript"/>
        <sz val="11"/>
        <color theme="1"/>
        <rFont val="Times New Roman"/>
        <family val="1"/>
        <charset val="204"/>
      </rPr>
      <t>Fe</t>
    </r>
    <r>
      <rPr>
        <vertAlign val="subscript"/>
        <sz val="11"/>
        <color theme="1"/>
        <rFont val="Times New Roman"/>
        <family val="1"/>
        <charset val="204"/>
      </rPr>
      <t>O</t>
    </r>
  </si>
  <si>
    <r>
      <t>X</t>
    </r>
    <r>
      <rPr>
        <vertAlign val="superscript"/>
        <sz val="11"/>
        <color theme="1"/>
        <rFont val="Times New Roman"/>
        <family val="1"/>
        <charset val="204"/>
      </rPr>
      <t>liq</t>
    </r>
    <r>
      <rPr>
        <vertAlign val="subscript"/>
        <sz val="11"/>
        <color theme="1"/>
        <rFont val="Times New Roman"/>
        <family val="1"/>
        <charset val="204"/>
      </rPr>
      <t>MnO</t>
    </r>
  </si>
  <si>
    <r>
      <t>X</t>
    </r>
    <r>
      <rPr>
        <vertAlign val="superscript"/>
        <sz val="12"/>
        <color theme="1"/>
        <rFont val="Times New Roman"/>
        <family val="1"/>
        <charset val="204"/>
      </rPr>
      <t>ol</t>
    </r>
    <r>
      <rPr>
        <vertAlign val="subscript"/>
        <sz val="12"/>
        <color theme="1"/>
        <rFont val="Times New Roman"/>
        <family val="1"/>
        <charset val="204"/>
      </rPr>
      <t>Mg</t>
    </r>
  </si>
  <si>
    <r>
      <t>X</t>
    </r>
    <r>
      <rPr>
        <i/>
        <vertAlign val="superscript"/>
        <sz val="12"/>
        <color theme="1"/>
        <rFont val="Times New Roman"/>
        <family val="1"/>
        <charset val="204"/>
      </rPr>
      <t>liq</t>
    </r>
    <r>
      <rPr>
        <vertAlign val="subscript"/>
        <sz val="12"/>
        <color theme="1"/>
        <rFont val="Times New Roman"/>
        <family val="1"/>
        <charset val="204"/>
      </rPr>
      <t>Mg</t>
    </r>
  </si>
  <si>
    <t>LnD</t>
  </si>
  <si>
    <r>
      <t>C</t>
    </r>
    <r>
      <rPr>
        <vertAlign val="superscript"/>
        <sz val="12"/>
        <color theme="1"/>
        <rFont val="Times New Roman"/>
        <family val="1"/>
        <charset val="204"/>
      </rPr>
      <t>L</t>
    </r>
    <r>
      <rPr>
        <vertAlign val="subscript"/>
        <sz val="12"/>
        <color theme="1"/>
        <rFont val="Times New Roman"/>
        <family val="1"/>
        <charset val="204"/>
      </rPr>
      <t>NM</t>
    </r>
  </si>
  <si>
    <r>
      <t>C</t>
    </r>
    <r>
      <rPr>
        <vertAlign val="superscript"/>
        <sz val="12"/>
        <color theme="1"/>
        <rFont val="Times New Roman"/>
        <family val="1"/>
        <charset val="204"/>
      </rPr>
      <t>L</t>
    </r>
    <r>
      <rPr>
        <vertAlign val="subscript"/>
        <sz val="12"/>
        <color theme="1"/>
        <rFont val="Times New Roman"/>
        <family val="1"/>
        <charset val="204"/>
      </rPr>
      <t>SiO2</t>
    </r>
  </si>
  <si>
    <r>
      <t>LnC</t>
    </r>
    <r>
      <rPr>
        <vertAlign val="superscript"/>
        <sz val="12"/>
        <color theme="1"/>
        <rFont val="Times New Roman"/>
        <family val="1"/>
        <charset val="204"/>
      </rPr>
      <t>L</t>
    </r>
    <r>
      <rPr>
        <vertAlign val="subscript"/>
        <sz val="12"/>
        <color theme="1"/>
        <rFont val="Times New Roman"/>
        <family val="1"/>
        <charset val="204"/>
      </rPr>
      <t>SiO2</t>
    </r>
  </si>
  <si>
    <t>NF</t>
  </si>
  <si>
    <r>
      <t>LnC</t>
    </r>
    <r>
      <rPr>
        <vertAlign val="superscript"/>
        <sz val="12"/>
        <color theme="1"/>
        <rFont val="Times New Roman"/>
        <family val="1"/>
        <charset val="204"/>
      </rPr>
      <t>L</t>
    </r>
    <r>
      <rPr>
        <vertAlign val="subscript"/>
        <sz val="12"/>
        <color theme="1"/>
        <rFont val="Times New Roman"/>
        <family val="1"/>
        <charset val="204"/>
      </rPr>
      <t>NM</t>
    </r>
  </si>
  <si>
    <t>422/9</t>
  </si>
  <si>
    <t>422/10</t>
  </si>
  <si>
    <t>423/7</t>
  </si>
  <si>
    <t>Table S3. PT conditions for the formation of OH330 rocks and host olivine orthopyroxenite</t>
  </si>
  <si>
    <t>423/9</t>
  </si>
  <si>
    <t>Olivine-liquid equilibria (Putirka, 2008)</t>
  </si>
  <si>
    <t>Orthopyroxene-liquid equilibria (Putirka, 2008)</t>
  </si>
  <si>
    <r>
      <t>H</t>
    </r>
    <r>
      <rPr>
        <vertAlign val="sub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>O</t>
    </r>
    <r>
      <rPr>
        <vertAlign val="superscript"/>
        <sz val="12"/>
        <color theme="1"/>
        <rFont val="Times New Roman"/>
        <family val="1"/>
        <charset val="204"/>
      </rPr>
      <t>liq</t>
    </r>
  </si>
  <si>
    <r>
      <t xml:space="preserve">T, </t>
    </r>
    <r>
      <rPr>
        <b/>
        <sz val="12"/>
        <color theme="1"/>
        <rFont val="Symbol"/>
        <family val="1"/>
        <charset val="2"/>
      </rPr>
      <t>°</t>
    </r>
    <r>
      <rPr>
        <b/>
        <sz val="12"/>
        <color theme="1"/>
        <rFont val="Times New Roman"/>
        <family val="1"/>
        <charset val="204"/>
      </rPr>
      <t>C (for anhydrous system)</t>
    </r>
  </si>
  <si>
    <r>
      <t xml:space="preserve">T, </t>
    </r>
    <r>
      <rPr>
        <b/>
        <sz val="12"/>
        <color theme="1"/>
        <rFont val="Symbol"/>
        <family val="1"/>
        <charset val="2"/>
      </rPr>
      <t>°</t>
    </r>
    <r>
      <rPr>
        <b/>
        <sz val="12"/>
        <color theme="1"/>
        <rFont val="Times New Roman"/>
        <family val="1"/>
        <charset val="204"/>
      </rPr>
      <t>C (for hydrous system)</t>
    </r>
  </si>
  <si>
    <t>423/5</t>
  </si>
  <si>
    <t>422/1</t>
  </si>
  <si>
    <t>422/2</t>
  </si>
  <si>
    <t>422/3</t>
  </si>
  <si>
    <t>423/2</t>
  </si>
  <si>
    <t>423/8</t>
  </si>
  <si>
    <r>
      <t>X</t>
    </r>
    <r>
      <rPr>
        <vertAlign val="superscript"/>
        <sz val="12"/>
        <color theme="1"/>
        <rFont val="Times New Roman"/>
        <family val="1"/>
        <charset val="204"/>
      </rPr>
      <t>Opx</t>
    </r>
    <r>
      <rPr>
        <vertAlign val="subscript"/>
        <sz val="12"/>
        <color theme="1"/>
        <rFont val="Times New Roman"/>
        <family val="1"/>
        <charset val="204"/>
      </rPr>
      <t>Fm2Si2O6</t>
    </r>
  </si>
  <si>
    <r>
      <t>X</t>
    </r>
    <r>
      <rPr>
        <vertAlign val="superscript"/>
        <sz val="12"/>
        <color theme="1"/>
        <rFont val="Times New Roman"/>
        <family val="1"/>
        <charset val="204"/>
      </rPr>
      <t>liq</t>
    </r>
    <r>
      <rPr>
        <vertAlign val="subscript"/>
        <sz val="12"/>
        <color theme="1"/>
        <rFont val="Times New Roman"/>
        <family val="1"/>
        <charset val="204"/>
      </rPr>
      <t>SiO2</t>
    </r>
  </si>
  <si>
    <r>
      <t>(X</t>
    </r>
    <r>
      <rPr>
        <vertAlign val="superscript"/>
        <sz val="12"/>
        <color theme="1"/>
        <rFont val="Times New Roman"/>
        <family val="1"/>
        <charset val="204"/>
      </rPr>
      <t>liq</t>
    </r>
    <r>
      <rPr>
        <vertAlign val="subscript"/>
        <sz val="12"/>
        <color theme="1"/>
        <rFont val="Times New Roman"/>
        <family val="1"/>
        <charset val="204"/>
      </rPr>
      <t>SiO2</t>
    </r>
    <r>
      <rPr>
        <sz val="12"/>
        <color theme="1"/>
        <rFont val="Times New Roman"/>
        <family val="1"/>
        <charset val="204"/>
      </rPr>
      <t>)</t>
    </r>
    <r>
      <rPr>
        <vertAlign val="superscript"/>
        <sz val="12"/>
        <color theme="1"/>
        <rFont val="Times New Roman"/>
        <family val="1"/>
        <charset val="204"/>
      </rPr>
      <t>2</t>
    </r>
  </si>
  <si>
    <r>
      <t>X</t>
    </r>
    <r>
      <rPr>
        <vertAlign val="superscript"/>
        <sz val="12"/>
        <color theme="1"/>
        <rFont val="Times New Roman"/>
        <family val="1"/>
        <charset val="204"/>
      </rPr>
      <t>liq</t>
    </r>
    <r>
      <rPr>
        <vertAlign val="subscript"/>
        <sz val="12"/>
        <color theme="1"/>
        <rFont val="Times New Roman"/>
        <family val="1"/>
        <charset val="204"/>
      </rPr>
      <t>FeO</t>
    </r>
  </si>
  <si>
    <r>
      <t>X</t>
    </r>
    <r>
      <rPr>
        <vertAlign val="superscript"/>
        <sz val="12"/>
        <color theme="1"/>
        <rFont val="Times New Roman"/>
        <family val="1"/>
        <charset val="204"/>
      </rPr>
      <t>liq</t>
    </r>
    <r>
      <rPr>
        <vertAlign val="subscript"/>
        <sz val="12"/>
        <color theme="1"/>
        <rFont val="Times New Roman"/>
        <family val="1"/>
        <charset val="204"/>
      </rPr>
      <t>MnO</t>
    </r>
  </si>
  <si>
    <r>
      <t>X</t>
    </r>
    <r>
      <rPr>
        <vertAlign val="superscript"/>
        <sz val="12"/>
        <color theme="1"/>
        <rFont val="Times New Roman"/>
        <family val="1"/>
        <charset val="204"/>
      </rPr>
      <t>liq</t>
    </r>
    <r>
      <rPr>
        <vertAlign val="subscript"/>
        <sz val="12"/>
        <color theme="1"/>
        <rFont val="Times New Roman"/>
        <family val="1"/>
        <charset val="204"/>
      </rPr>
      <t>MgO</t>
    </r>
  </si>
  <si>
    <r>
      <t>X</t>
    </r>
    <r>
      <rPr>
        <vertAlign val="superscript"/>
        <sz val="12"/>
        <color theme="1"/>
        <rFont val="Times New Roman"/>
        <family val="1"/>
        <charset val="204"/>
      </rPr>
      <t>liq</t>
    </r>
    <r>
      <rPr>
        <vertAlign val="subscript"/>
        <sz val="12"/>
        <color theme="1"/>
        <rFont val="Times New Roman"/>
        <family val="1"/>
        <charset val="204"/>
      </rPr>
      <t>KO0.5</t>
    </r>
  </si>
  <si>
    <r>
      <t>Mg#</t>
    </r>
    <r>
      <rPr>
        <vertAlign val="superscript"/>
        <sz val="12"/>
        <color theme="1"/>
        <rFont val="Times New Roman"/>
        <family val="1"/>
        <charset val="204"/>
      </rPr>
      <t>liq</t>
    </r>
  </si>
  <si>
    <r>
      <t>X</t>
    </r>
    <r>
      <rPr>
        <vertAlign val="superscript"/>
        <sz val="12"/>
        <color theme="1"/>
        <rFont val="Times New Roman"/>
        <family val="1"/>
        <charset val="204"/>
      </rPr>
      <t>opx</t>
    </r>
    <r>
      <rPr>
        <vertAlign val="subscript"/>
        <sz val="12"/>
        <color theme="1"/>
        <rFont val="Times New Roman"/>
        <family val="1"/>
        <charset val="204"/>
      </rPr>
      <t>Fe</t>
    </r>
  </si>
  <si>
    <r>
      <t>LN(Mg#</t>
    </r>
    <r>
      <rPr>
        <vertAlign val="superscript"/>
        <sz val="12"/>
        <color theme="1"/>
        <rFont val="Times New Roman"/>
        <family val="1"/>
        <charset val="204"/>
      </rPr>
      <t>liq</t>
    </r>
    <r>
      <rPr>
        <sz val="12"/>
        <color theme="1"/>
        <rFont val="Times New Roman"/>
        <family val="1"/>
        <charset val="204"/>
      </rPr>
      <t>)</t>
    </r>
  </si>
  <si>
    <r>
      <t xml:space="preserve">10000/T, </t>
    </r>
    <r>
      <rPr>
        <sz val="12"/>
        <color theme="1"/>
        <rFont val="Symbol"/>
        <family val="1"/>
        <charset val="2"/>
      </rPr>
      <t>°</t>
    </r>
    <r>
      <rPr>
        <sz val="12"/>
        <color theme="1"/>
        <rFont val="Times New Roman"/>
        <family val="1"/>
        <charset val="204"/>
      </rPr>
      <t>C</t>
    </r>
  </si>
  <si>
    <t>LN</t>
  </si>
  <si>
    <r>
      <t>(X</t>
    </r>
    <r>
      <rPr>
        <vertAlign val="superscript"/>
        <sz val="12"/>
        <color theme="1"/>
        <rFont val="Times New Roman"/>
        <family val="1"/>
        <charset val="204"/>
      </rPr>
      <t>liq</t>
    </r>
    <r>
      <rPr>
        <vertAlign val="subscript"/>
        <sz val="12"/>
        <color theme="1"/>
        <rFont val="Times New Roman"/>
        <family val="1"/>
        <charset val="204"/>
      </rPr>
      <t>FeO</t>
    </r>
    <r>
      <rPr>
        <sz val="12"/>
        <color theme="1"/>
        <rFont val="Times New Roman"/>
        <family val="1"/>
        <charset val="204"/>
      </rPr>
      <t>+X</t>
    </r>
    <r>
      <rPr>
        <vertAlign val="superscript"/>
        <sz val="12"/>
        <color theme="1"/>
        <rFont val="Times New Roman"/>
        <family val="1"/>
        <charset val="204"/>
      </rPr>
      <t>liq</t>
    </r>
    <r>
      <rPr>
        <vertAlign val="subscript"/>
        <sz val="12"/>
        <color theme="1"/>
        <rFont val="Times New Roman"/>
        <family val="1"/>
        <charset val="204"/>
      </rPr>
      <t>MnO</t>
    </r>
    <r>
      <rPr>
        <sz val="12"/>
        <color theme="1"/>
        <rFont val="Times New Roman"/>
        <family val="1"/>
        <charset val="204"/>
      </rPr>
      <t>+X</t>
    </r>
    <r>
      <rPr>
        <vertAlign val="superscript"/>
        <sz val="12"/>
        <color theme="1"/>
        <rFont val="Times New Roman"/>
        <family val="1"/>
        <charset val="204"/>
      </rPr>
      <t>liq</t>
    </r>
    <r>
      <rPr>
        <vertAlign val="subscript"/>
        <sz val="12"/>
        <color theme="1"/>
        <rFont val="Times New Roman"/>
        <family val="1"/>
        <charset val="204"/>
      </rPr>
      <t>MgO</t>
    </r>
    <r>
      <rPr>
        <sz val="12"/>
        <color theme="1"/>
        <rFont val="Times New Roman"/>
        <family val="1"/>
        <charset val="204"/>
      </rPr>
      <t>)</t>
    </r>
    <r>
      <rPr>
        <vertAlign val="superscript"/>
        <sz val="12"/>
        <color theme="1"/>
        <rFont val="Times New Roman"/>
        <family val="1"/>
        <charset val="204"/>
      </rPr>
      <t>2</t>
    </r>
  </si>
  <si>
    <r>
      <t>X</t>
    </r>
    <r>
      <rPr>
        <vertAlign val="superscript"/>
        <sz val="12"/>
        <color theme="1"/>
        <rFont val="Times New Roman"/>
        <family val="1"/>
        <charset val="204"/>
      </rPr>
      <t>liq</t>
    </r>
    <r>
      <rPr>
        <vertAlign val="subscript"/>
        <sz val="12"/>
        <color theme="1"/>
        <rFont val="Times New Roman"/>
        <family val="1"/>
        <charset val="204"/>
      </rPr>
      <t>CaO</t>
    </r>
  </si>
  <si>
    <r>
      <t>(X</t>
    </r>
    <r>
      <rPr>
        <vertAlign val="superscript"/>
        <sz val="12"/>
        <color theme="1"/>
        <rFont val="Times New Roman"/>
        <family val="1"/>
        <charset val="204"/>
      </rPr>
      <t>iq</t>
    </r>
    <r>
      <rPr>
        <vertAlign val="subscript"/>
        <sz val="12"/>
        <color theme="1"/>
        <rFont val="Times New Roman"/>
        <family val="1"/>
        <charset val="204"/>
      </rPr>
      <t>CaO</t>
    </r>
    <r>
      <rPr>
        <sz val="12"/>
        <color theme="1"/>
        <rFont val="Times New Roman"/>
        <family val="1"/>
        <charset val="204"/>
      </rPr>
      <t>)</t>
    </r>
    <r>
      <rPr>
        <vertAlign val="superscript"/>
        <sz val="12"/>
        <color theme="1"/>
        <rFont val="Times New Roman"/>
        <family val="1"/>
        <charset val="204"/>
      </rPr>
      <t>2</t>
    </r>
  </si>
  <si>
    <r>
      <t>X</t>
    </r>
    <r>
      <rPr>
        <vertAlign val="superscript"/>
        <sz val="12"/>
        <color theme="1"/>
        <rFont val="Times New Roman"/>
        <family val="1"/>
        <charset val="204"/>
      </rPr>
      <t>Opx</t>
    </r>
    <r>
      <rPr>
        <vertAlign val="subscript"/>
        <sz val="12"/>
        <color theme="1"/>
        <rFont val="Times New Roman"/>
        <family val="1"/>
        <charset val="204"/>
      </rPr>
      <t>Al</t>
    </r>
  </si>
  <si>
    <r>
      <t>X</t>
    </r>
    <r>
      <rPr>
        <vertAlign val="superscript"/>
        <sz val="12"/>
        <color theme="1"/>
        <rFont val="Times New Roman"/>
        <family val="1"/>
        <charset val="204"/>
      </rPr>
      <t>Opx</t>
    </r>
    <r>
      <rPr>
        <vertAlign val="subscript"/>
        <sz val="12"/>
        <color theme="1"/>
        <rFont val="Times New Roman"/>
        <family val="1"/>
        <charset val="204"/>
      </rPr>
      <t>Cr</t>
    </r>
  </si>
  <si>
    <r>
      <t>X</t>
    </r>
    <r>
      <rPr>
        <vertAlign val="superscript"/>
        <sz val="12"/>
        <color theme="1"/>
        <rFont val="Times New Roman"/>
        <family val="1"/>
        <charset val="204"/>
      </rPr>
      <t>Opx</t>
    </r>
    <r>
      <rPr>
        <vertAlign val="subscript"/>
        <sz val="12"/>
        <color theme="1"/>
        <rFont val="Times New Roman"/>
        <family val="1"/>
        <charset val="204"/>
      </rPr>
      <t>Ca</t>
    </r>
  </si>
  <si>
    <t>LNT</t>
  </si>
  <si>
    <r>
      <t>LN(X</t>
    </r>
    <r>
      <rPr>
        <vertAlign val="superscript"/>
        <sz val="12"/>
        <color theme="1"/>
        <rFont val="Times New Roman"/>
        <family val="1"/>
        <charset val="204"/>
      </rPr>
      <t>Opx</t>
    </r>
    <r>
      <rPr>
        <vertAlign val="subscript"/>
        <sz val="12"/>
        <color theme="1"/>
        <rFont val="Times New Roman"/>
        <family val="1"/>
        <charset val="204"/>
      </rPr>
      <t>Cr</t>
    </r>
    <r>
      <rPr>
        <sz val="12"/>
        <color theme="1"/>
        <rFont val="Times New Roman"/>
        <family val="1"/>
        <charset val="204"/>
      </rPr>
      <t>)</t>
    </r>
  </si>
  <si>
    <t>Orthopyroxene barometer (Putirka, 2008)</t>
  </si>
  <si>
    <t>P (kbar)</t>
  </si>
</sst>
</file>

<file path=xl/styles.xml><?xml version="1.0" encoding="utf-8"?>
<styleSheet xmlns="http://schemas.openxmlformats.org/spreadsheetml/2006/main">
  <numFmts count="4">
    <numFmt numFmtId="164" formatCode="0.000"/>
    <numFmt numFmtId="165" formatCode="0.0"/>
    <numFmt numFmtId="166" formatCode="0.0000"/>
    <numFmt numFmtId="167" formatCode="0.00000"/>
  </numFmts>
  <fonts count="14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vertAlign val="subscript"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i/>
      <vertAlign val="superscript"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vertAlign val="superscript"/>
      <sz val="11"/>
      <color theme="1"/>
      <name val="Times New Roman"/>
      <family val="1"/>
      <charset val="204"/>
    </font>
    <font>
      <vertAlign val="subscript"/>
      <sz val="11"/>
      <color theme="1"/>
      <name val="Times New Roman"/>
      <family val="1"/>
      <charset val="204"/>
    </font>
    <font>
      <i/>
      <vertAlign val="superscript"/>
      <sz val="11"/>
      <color theme="1"/>
      <name val="Times New Roman"/>
      <family val="1"/>
      <charset val="204"/>
    </font>
    <font>
      <i/>
      <vertAlign val="subscript"/>
      <sz val="11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sz val="12"/>
      <color theme="1"/>
      <name val="Symbol"/>
      <family val="1"/>
      <charset val="2"/>
    </font>
    <font>
      <b/>
      <sz val="12"/>
      <color theme="1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left" wrapText="1"/>
    </xf>
    <xf numFmtId="0" fontId="0" fillId="0" borderId="0" xfId="0" applyBorder="1"/>
    <xf numFmtId="0" fontId="2" fillId="0" borderId="1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0" borderId="0" xfId="0" applyFont="1" applyAlignment="1">
      <alignment wrapText="1"/>
    </xf>
    <xf numFmtId="164" fontId="2" fillId="0" borderId="0" xfId="0" applyNumberFormat="1" applyFont="1" applyAlignment="1">
      <alignment horizontal="left" wrapText="1"/>
    </xf>
    <xf numFmtId="165" fontId="2" fillId="0" borderId="0" xfId="0" applyNumberFormat="1" applyFont="1" applyAlignment="1">
      <alignment horizontal="left" wrapText="1"/>
    </xf>
    <xf numFmtId="2" fontId="2" fillId="0" borderId="0" xfId="0" applyNumberFormat="1" applyFont="1" applyAlignment="1">
      <alignment horizontal="left" wrapText="1"/>
    </xf>
    <xf numFmtId="2" fontId="2" fillId="0" borderId="0" xfId="0" applyNumberFormat="1" applyFont="1" applyAlignment="1">
      <alignment horizontal="left" vertical="center" wrapText="1"/>
    </xf>
    <xf numFmtId="0" fontId="2" fillId="0" borderId="0" xfId="0" applyFont="1" applyBorder="1" applyAlignment="1"/>
    <xf numFmtId="0" fontId="1" fillId="0" borderId="0" xfId="0" applyFont="1" applyBorder="1" applyAlignment="1"/>
    <xf numFmtId="0" fontId="2" fillId="0" borderId="6" xfId="0" applyFont="1" applyBorder="1" applyAlignment="1">
      <alignment wrapText="1"/>
    </xf>
    <xf numFmtId="0" fontId="6" fillId="0" borderId="0" xfId="0" applyFont="1"/>
    <xf numFmtId="2" fontId="0" fillId="0" borderId="0" xfId="0" applyNumberFormat="1"/>
    <xf numFmtId="164" fontId="0" fillId="0" borderId="0" xfId="0" applyNumberFormat="1"/>
    <xf numFmtId="0" fontId="2" fillId="0" borderId="0" xfId="0" applyFont="1" applyBorder="1" applyAlignment="1">
      <alignment horizontal="left" wrapText="1"/>
    </xf>
    <xf numFmtId="0" fontId="2" fillId="0" borderId="0" xfId="0" applyFont="1" applyBorder="1" applyAlignment="1">
      <alignment wrapText="1"/>
    </xf>
    <xf numFmtId="2" fontId="2" fillId="0" borderId="0" xfId="0" applyNumberFormat="1" applyFont="1" applyBorder="1" applyAlignment="1">
      <alignment horizontal="left" wrapText="1"/>
    </xf>
    <xf numFmtId="164" fontId="2" fillId="0" borderId="0" xfId="0" applyNumberFormat="1" applyFont="1" applyBorder="1" applyAlignment="1">
      <alignment horizontal="left" wrapText="1"/>
    </xf>
    <xf numFmtId="165" fontId="2" fillId="0" borderId="0" xfId="0" applyNumberFormat="1" applyFont="1" applyBorder="1" applyAlignment="1">
      <alignment horizontal="left" wrapText="1"/>
    </xf>
    <xf numFmtId="1" fontId="4" fillId="0" borderId="0" xfId="0" applyNumberFormat="1" applyFont="1"/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164" fontId="2" fillId="0" borderId="0" xfId="0" applyNumberFormat="1" applyFont="1" applyAlignment="1">
      <alignment horizontal="left" wrapText="1"/>
    </xf>
    <xf numFmtId="2" fontId="2" fillId="0" borderId="0" xfId="0" applyNumberFormat="1" applyFont="1" applyAlignment="1">
      <alignment horizontal="left" wrapText="1"/>
    </xf>
    <xf numFmtId="2" fontId="2" fillId="0" borderId="0" xfId="0" applyNumberFormat="1" applyFont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1" fillId="0" borderId="2" xfId="0" applyFont="1" applyBorder="1" applyAlignment="1"/>
    <xf numFmtId="0" fontId="2" fillId="0" borderId="3" xfId="0" applyFont="1" applyBorder="1" applyAlignment="1">
      <alignment horizontal="left"/>
    </xf>
    <xf numFmtId="0" fontId="2" fillId="0" borderId="0" xfId="0" applyFont="1" applyBorder="1"/>
    <xf numFmtId="1" fontId="1" fillId="0" borderId="0" xfId="0" applyNumberFormat="1" applyFont="1" applyBorder="1" applyAlignment="1">
      <alignment horizontal="left" wrapText="1"/>
    </xf>
    <xf numFmtId="0" fontId="1" fillId="0" borderId="0" xfId="0" applyFont="1"/>
    <xf numFmtId="0" fontId="1" fillId="0" borderId="2" xfId="0" applyFont="1" applyBorder="1"/>
    <xf numFmtId="2" fontId="2" fillId="0" borderId="0" xfId="0" applyNumberFormat="1" applyFont="1" applyAlignment="1">
      <alignment horizontal="left"/>
    </xf>
    <xf numFmtId="2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left"/>
    </xf>
    <xf numFmtId="164" fontId="2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left"/>
    </xf>
    <xf numFmtId="1" fontId="1" fillId="0" borderId="0" xfId="0" applyNumberFormat="1" applyFont="1" applyBorder="1" applyAlignment="1">
      <alignment horizontal="left"/>
    </xf>
    <xf numFmtId="1" fontId="1" fillId="0" borderId="2" xfId="0" applyNumberFormat="1" applyFont="1" applyBorder="1" applyAlignment="1">
      <alignment horizontal="left"/>
    </xf>
    <xf numFmtId="0" fontId="1" fillId="0" borderId="0" xfId="0" applyFont="1" applyAlignment="1">
      <alignment wrapText="1"/>
    </xf>
    <xf numFmtId="0" fontId="2" fillId="0" borderId="1" xfId="0" applyFont="1" applyFill="1" applyBorder="1" applyAlignment="1">
      <alignment horizontal="left" wrapText="1"/>
    </xf>
    <xf numFmtId="0" fontId="2" fillId="0" borderId="3" xfId="0" applyFont="1" applyBorder="1" applyAlignment="1">
      <alignment wrapText="1"/>
    </xf>
    <xf numFmtId="0" fontId="2" fillId="0" borderId="1" xfId="0" applyFont="1" applyBorder="1" applyAlignment="1">
      <alignment wrapText="1"/>
    </xf>
    <xf numFmtId="2" fontId="2" fillId="0" borderId="0" xfId="0" applyNumberFormat="1" applyFont="1" applyFill="1" applyBorder="1" applyAlignment="1">
      <alignment horizontal="left" wrapText="1"/>
    </xf>
    <xf numFmtId="2" fontId="2" fillId="0" borderId="0" xfId="0" applyNumberFormat="1" applyFont="1" applyFill="1" applyBorder="1" applyAlignment="1">
      <alignment horizontal="left"/>
    </xf>
    <xf numFmtId="0" fontId="2" fillId="0" borderId="3" xfId="0" applyFont="1" applyFill="1" applyBorder="1" applyAlignment="1">
      <alignment horizontal="left" wrapText="1"/>
    </xf>
    <xf numFmtId="167" fontId="2" fillId="0" borderId="0" xfId="0" applyNumberFormat="1" applyFont="1" applyAlignment="1">
      <alignment horizontal="left"/>
    </xf>
    <xf numFmtId="166" fontId="2" fillId="0" borderId="0" xfId="0" applyNumberFormat="1" applyFont="1" applyAlignment="1">
      <alignment horizontal="left"/>
    </xf>
    <xf numFmtId="167" fontId="2" fillId="0" borderId="0" xfId="0" applyNumberFormat="1" applyFont="1" applyBorder="1" applyAlignment="1">
      <alignment horizontal="left" wrapText="1"/>
    </xf>
    <xf numFmtId="166" fontId="2" fillId="0" borderId="0" xfId="0" applyNumberFormat="1" applyFont="1" applyBorder="1" applyAlignment="1">
      <alignment horizontal="left" wrapText="1"/>
    </xf>
    <xf numFmtId="166" fontId="2" fillId="0" borderId="0" xfId="0" applyNumberFormat="1" applyFont="1" applyBorder="1" applyAlignment="1">
      <alignment horizontal="left"/>
    </xf>
    <xf numFmtId="1" fontId="0" fillId="0" borderId="0" xfId="0" applyNumberFormat="1"/>
    <xf numFmtId="165" fontId="0" fillId="0" borderId="0" xfId="0" applyNumberFormat="1"/>
    <xf numFmtId="0" fontId="2" fillId="0" borderId="1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2" fontId="2" fillId="0" borderId="0" xfId="0" applyNumberFormat="1" applyFont="1" applyAlignment="1">
      <alignment horizontal="left" vertical="center" wrapText="1"/>
    </xf>
    <xf numFmtId="2" fontId="2" fillId="0" borderId="0" xfId="0" applyNumberFormat="1" applyFont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5" xfId="0" applyFont="1" applyBorder="1" applyAlignment="1">
      <alignment horizontal="left"/>
    </xf>
    <xf numFmtId="165" fontId="2" fillId="0" borderId="0" xfId="0" applyNumberFormat="1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51"/>
  <sheetViews>
    <sheetView tabSelected="1" topLeftCell="A31" workbookViewId="0">
      <selection activeCell="AA49" sqref="AA49"/>
    </sheetView>
  </sheetViews>
  <sheetFormatPr defaultRowHeight="15"/>
  <cols>
    <col min="2" max="2" width="32.140625" customWidth="1"/>
    <col min="3" max="3" width="9.5703125" bestFit="1" customWidth="1"/>
    <col min="4" max="4" width="9.140625" customWidth="1"/>
    <col min="5" max="5" width="9.7109375" bestFit="1" customWidth="1"/>
    <col min="6" max="7" width="9.5703125" bestFit="1" customWidth="1"/>
    <col min="8" max="8" width="11.140625" customWidth="1"/>
    <col min="9" max="9" width="9.140625" hidden="1" customWidth="1"/>
    <col min="10" max="10" width="15.42578125" customWidth="1"/>
    <col min="11" max="11" width="9.140625" hidden="1" customWidth="1"/>
    <col min="12" max="12" width="9.140625" customWidth="1"/>
    <col min="13" max="13" width="9" customWidth="1"/>
    <col min="14" max="14" width="9.140625" hidden="1" customWidth="1"/>
    <col min="15" max="16" width="9.140625" customWidth="1"/>
    <col min="17" max="17" width="12.5703125" customWidth="1"/>
    <col min="18" max="18" width="15.5703125" hidden="1" customWidth="1"/>
    <col min="19" max="19" width="9.5703125" bestFit="1" customWidth="1"/>
    <col min="20" max="22" width="9.5703125" customWidth="1"/>
    <col min="23" max="23" width="11" customWidth="1"/>
    <col min="24" max="24" width="10.5703125" bestFit="1" customWidth="1"/>
    <col min="25" max="25" width="11.5703125" bestFit="1" customWidth="1"/>
    <col min="35" max="36" width="11.5703125" bestFit="1" customWidth="1"/>
  </cols>
  <sheetData>
    <row r="1" spans="1:38" ht="15.75">
      <c r="B1" s="13" t="s">
        <v>30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35"/>
      <c r="P1" s="35"/>
      <c r="Q1" s="14"/>
      <c r="R1" s="14"/>
      <c r="S1" s="14"/>
      <c r="T1" s="14"/>
      <c r="U1" s="14"/>
      <c r="V1" s="14"/>
    </row>
    <row r="2" spans="1:38" ht="15.75">
      <c r="A2" s="3"/>
      <c r="B2" s="15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31" t="s">
        <v>6</v>
      </c>
      <c r="I2" s="4"/>
      <c r="J2" s="2" t="s">
        <v>9</v>
      </c>
      <c r="L2" s="31">
        <v>422</v>
      </c>
      <c r="M2" s="62" t="s">
        <v>7</v>
      </c>
      <c r="N2" s="62"/>
      <c r="O2" s="36" t="s">
        <v>27</v>
      </c>
      <c r="P2" s="34" t="s">
        <v>28</v>
      </c>
      <c r="Q2" s="62">
        <v>423</v>
      </c>
      <c r="R2" s="62"/>
      <c r="S2" s="5" t="s">
        <v>8</v>
      </c>
      <c r="T2" s="34" t="s">
        <v>29</v>
      </c>
      <c r="U2" s="36" t="s">
        <v>31</v>
      </c>
      <c r="V2" s="3"/>
    </row>
    <row r="3" spans="1:38" ht="21" customHeight="1">
      <c r="A3" s="3"/>
      <c r="B3" s="15" t="s">
        <v>10</v>
      </c>
      <c r="C3" s="2" t="s">
        <v>11</v>
      </c>
      <c r="D3" s="66" t="s">
        <v>12</v>
      </c>
      <c r="E3" s="67"/>
      <c r="F3" s="67"/>
      <c r="G3" s="67"/>
      <c r="H3" s="67"/>
      <c r="I3" s="6"/>
      <c r="J3" s="2" t="s">
        <v>13</v>
      </c>
      <c r="L3" s="66" t="s">
        <v>14</v>
      </c>
      <c r="M3" s="67"/>
      <c r="N3" s="67"/>
      <c r="O3" s="67"/>
      <c r="P3" s="67"/>
      <c r="Q3" s="67"/>
      <c r="R3" s="67"/>
      <c r="S3" s="67"/>
      <c r="T3" s="27"/>
      <c r="U3" s="27"/>
      <c r="V3" s="19"/>
    </row>
    <row r="4" spans="1:38" ht="17.25" customHeight="1">
      <c r="A4" s="3"/>
      <c r="B4" s="63" t="s">
        <v>32</v>
      </c>
      <c r="C4" s="63"/>
      <c r="D4" s="7"/>
      <c r="E4" s="32"/>
      <c r="F4" s="32"/>
      <c r="G4" s="32"/>
      <c r="H4" s="32"/>
      <c r="I4" s="7"/>
      <c r="J4" s="32"/>
      <c r="K4" s="3"/>
      <c r="L4" s="32"/>
      <c r="M4" s="32"/>
      <c r="N4" s="32"/>
      <c r="O4" s="32"/>
      <c r="P4" s="32"/>
      <c r="Q4" s="32"/>
      <c r="R4" s="32"/>
      <c r="S4" s="32"/>
      <c r="T4" s="19"/>
      <c r="U4" s="19"/>
      <c r="V4" s="19"/>
    </row>
    <row r="5" spans="1:38" ht="17.25" customHeight="1">
      <c r="B5" s="16" t="s">
        <v>16</v>
      </c>
      <c r="C5" s="43">
        <v>0.19620000000000001</v>
      </c>
      <c r="D5" s="20"/>
      <c r="E5" s="20"/>
      <c r="F5" s="20"/>
      <c r="G5" s="20"/>
      <c r="H5" s="20"/>
      <c r="I5" s="20"/>
      <c r="J5" s="20"/>
      <c r="K5" s="37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16"/>
      <c r="X5" s="25"/>
    </row>
    <row r="6" spans="1:38" ht="16.5" customHeight="1">
      <c r="B6" s="16" t="s">
        <v>17</v>
      </c>
      <c r="C6" s="33">
        <v>6.8500000000000005E-2</v>
      </c>
      <c r="D6" s="30"/>
      <c r="E6" s="30"/>
      <c r="F6" s="30"/>
      <c r="G6" s="30"/>
      <c r="H6" s="30"/>
      <c r="I6" s="30"/>
      <c r="J6" s="30"/>
      <c r="K6" s="1"/>
      <c r="L6" s="30"/>
      <c r="M6" s="64"/>
      <c r="N6" s="64"/>
      <c r="O6" s="30"/>
      <c r="P6" s="30"/>
      <c r="Q6" s="64"/>
      <c r="R6" s="64"/>
      <c r="S6" s="30"/>
      <c r="T6" s="30"/>
      <c r="U6" s="30"/>
      <c r="V6" s="12"/>
      <c r="W6" s="16"/>
      <c r="X6" s="25"/>
    </row>
    <row r="7" spans="1:38" ht="19.5" customHeight="1">
      <c r="B7" s="16" t="s">
        <v>18</v>
      </c>
      <c r="C7" s="33">
        <v>1.2999999999999999E-3</v>
      </c>
      <c r="D7" s="29"/>
      <c r="E7" s="29"/>
      <c r="F7" s="29"/>
      <c r="G7" s="29"/>
      <c r="H7" s="29"/>
      <c r="I7" s="29"/>
      <c r="J7" s="29"/>
      <c r="K7" s="1"/>
      <c r="L7" s="29"/>
      <c r="M7" s="65"/>
      <c r="N7" s="65"/>
      <c r="O7" s="29"/>
      <c r="P7" s="29"/>
      <c r="Q7" s="65"/>
      <c r="R7" s="65"/>
      <c r="S7" s="29"/>
      <c r="T7" s="29"/>
      <c r="U7" s="29"/>
      <c r="V7" s="11"/>
      <c r="W7" s="16"/>
      <c r="X7" s="25"/>
    </row>
    <row r="8" spans="1:38" ht="21" customHeight="1">
      <c r="B8" s="1" t="s">
        <v>20</v>
      </c>
      <c r="C8" s="44">
        <f>0.666-(-0.049*C7+0.027*C6)/(C5+0.259*C7+0.299*C6)</f>
        <v>0.65777119707010756</v>
      </c>
      <c r="D8" s="29"/>
      <c r="E8" s="29"/>
      <c r="F8" s="29"/>
      <c r="G8" s="29"/>
      <c r="H8" s="29"/>
      <c r="I8" s="29"/>
      <c r="J8" s="29"/>
      <c r="K8" s="1"/>
      <c r="L8" s="29"/>
      <c r="M8" s="65"/>
      <c r="N8" s="65"/>
      <c r="O8" s="29"/>
      <c r="P8" s="29"/>
      <c r="Q8" s="65"/>
      <c r="R8" s="65"/>
      <c r="S8" s="29"/>
      <c r="T8" s="29"/>
      <c r="U8" s="29"/>
      <c r="V8" s="11"/>
      <c r="W8" s="1"/>
      <c r="X8" s="18"/>
    </row>
    <row r="9" spans="1:38" ht="15.75" customHeight="1">
      <c r="B9" s="1" t="s">
        <v>19</v>
      </c>
      <c r="C9" s="41">
        <v>0.86454183266932272</v>
      </c>
      <c r="D9" s="41">
        <v>0.84785819793205308</v>
      </c>
      <c r="E9" s="41">
        <v>0.85111662531017374</v>
      </c>
      <c r="F9" s="41">
        <v>0.83626318432948266</v>
      </c>
      <c r="G9" s="41">
        <v>0.86011904761904756</v>
      </c>
      <c r="H9" s="41">
        <v>0.85298470646275282</v>
      </c>
      <c r="I9" s="41">
        <v>0.85650446871896713</v>
      </c>
      <c r="J9" s="41">
        <v>0.85185185185185197</v>
      </c>
      <c r="K9" s="33"/>
      <c r="L9" s="29">
        <v>0.85650446871896713</v>
      </c>
      <c r="M9" s="65">
        <v>0.832576903681291</v>
      </c>
      <c r="N9" s="65"/>
      <c r="O9" s="29">
        <v>0.85627836611195163</v>
      </c>
      <c r="P9" s="29">
        <v>0.83249749247743232</v>
      </c>
      <c r="Q9" s="65">
        <v>0.85627836611195163</v>
      </c>
      <c r="R9" s="65"/>
      <c r="S9" s="29">
        <v>0.85806451612903223</v>
      </c>
      <c r="T9" s="29">
        <v>0.85621567648527208</v>
      </c>
      <c r="U9" s="29">
        <v>0.8516842634489693</v>
      </c>
      <c r="V9" s="11"/>
      <c r="W9" s="1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L9" s="17"/>
    </row>
    <row r="10" spans="1:38" ht="19.5" customHeight="1">
      <c r="B10" s="1" t="s">
        <v>15</v>
      </c>
      <c r="C10" s="33">
        <f>C9/C8</f>
        <v>1.3143503949705126</v>
      </c>
      <c r="D10" s="33">
        <f>D9/C8</f>
        <v>1.2889865073275402</v>
      </c>
      <c r="E10" s="33">
        <f>E9/C8</f>
        <v>1.2939402471577952</v>
      </c>
      <c r="F10" s="33">
        <f>F9/C8</f>
        <v>1.2713587765083469</v>
      </c>
      <c r="G10" s="33">
        <f>G9/C8</f>
        <v>1.3076264990778748</v>
      </c>
      <c r="H10" s="55">
        <f>H9/C8</f>
        <v>1.29678026380933</v>
      </c>
      <c r="I10" s="57"/>
      <c r="J10" s="55">
        <f>J9/C8</f>
        <v>1.2950580013935433</v>
      </c>
      <c r="K10" s="43"/>
      <c r="L10" s="33">
        <f>L9/C8</f>
        <v>1.3021313072601413</v>
      </c>
      <c r="M10" s="33">
        <f>M9/C8</f>
        <v>1.2657545775640766</v>
      </c>
      <c r="N10" s="33" t="e">
        <f>N9/N8</f>
        <v>#DIV/0!</v>
      </c>
      <c r="O10" s="33">
        <f>O9/C8</f>
        <v>1.3017875667497287</v>
      </c>
      <c r="P10" s="33">
        <f>P9/C8</f>
        <v>1.2656338498639093</v>
      </c>
      <c r="Q10" s="55">
        <f>Q9/C8</f>
        <v>1.3017875667497287</v>
      </c>
      <c r="R10" s="33" t="e">
        <f>R9/R8</f>
        <v>#DIV/0!</v>
      </c>
      <c r="S10" s="33">
        <f>S9/C8</f>
        <v>1.3045030246856137</v>
      </c>
      <c r="T10" s="33">
        <f>T9/C8</f>
        <v>1.3016922606205477</v>
      </c>
      <c r="U10" s="33">
        <f>U9/C8</f>
        <v>1.2948032191780416</v>
      </c>
      <c r="V10" s="21"/>
      <c r="W10" s="1"/>
    </row>
    <row r="11" spans="1:38" ht="15.75" customHeight="1">
      <c r="B11" s="1" t="s">
        <v>21</v>
      </c>
      <c r="C11" s="33">
        <f t="shared" ref="C11:D11" si="0">LN(C10)</f>
        <v>0.27334254735325408</v>
      </c>
      <c r="D11" s="33">
        <f t="shared" si="0"/>
        <v>0.25385625635186965</v>
      </c>
      <c r="E11" s="33">
        <f t="shared" ref="E11:H11" si="1">LN(E10)</f>
        <v>0.25769201816383536</v>
      </c>
      <c r="F11" s="33">
        <f t="shared" si="1"/>
        <v>0.24008623129492629</v>
      </c>
      <c r="G11" s="33">
        <f t="shared" si="1"/>
        <v>0.26821366109380623</v>
      </c>
      <c r="H11" s="55">
        <f t="shared" si="1"/>
        <v>0.2598844721758688</v>
      </c>
      <c r="I11" s="57"/>
      <c r="J11" s="55">
        <f t="shared" ref="J11" si="2">LN(J10)</f>
        <v>0.25855548286939911</v>
      </c>
      <c r="K11" s="43"/>
      <c r="L11" s="55">
        <f t="shared" ref="L11:U11" si="3">LN(L10)</f>
        <v>0.26400238913153079</v>
      </c>
      <c r="M11" s="33">
        <f t="shared" si="3"/>
        <v>0.23566844834491038</v>
      </c>
      <c r="N11" s="33" t="e">
        <f t="shared" si="3"/>
        <v>#DIV/0!</v>
      </c>
      <c r="O11" s="33">
        <f t="shared" si="3"/>
        <v>0.26373837129607502</v>
      </c>
      <c r="P11" s="33">
        <f t="shared" si="3"/>
        <v>0.23557306377338369</v>
      </c>
      <c r="Q11" s="55">
        <f t="shared" si="3"/>
        <v>0.26373837129607502</v>
      </c>
      <c r="R11" s="33" t="e">
        <f t="shared" si="3"/>
        <v>#DIV/0!</v>
      </c>
      <c r="S11" s="33">
        <f t="shared" si="3"/>
        <v>0.26582214424708545</v>
      </c>
      <c r="T11" s="33">
        <f t="shared" si="3"/>
        <v>0.26366515687880032</v>
      </c>
      <c r="U11" s="33">
        <f t="shared" si="3"/>
        <v>0.25835872930260578</v>
      </c>
      <c r="V11" s="11"/>
      <c r="W11" s="1"/>
    </row>
    <row r="12" spans="1:38" ht="15.75" customHeight="1">
      <c r="B12" s="1" t="s">
        <v>22</v>
      </c>
      <c r="C12" s="33">
        <v>0.34720000000000001</v>
      </c>
      <c r="D12" s="33">
        <v>0.34720000000000001</v>
      </c>
      <c r="E12" s="33">
        <v>0.34720000000000001</v>
      </c>
      <c r="F12" s="33">
        <v>0.34720000000000001</v>
      </c>
      <c r="G12" s="33">
        <v>0.34720000000000001</v>
      </c>
      <c r="H12" s="33">
        <v>0.34720000000000001</v>
      </c>
      <c r="I12" s="19"/>
      <c r="J12" s="33">
        <v>0.34720000000000001</v>
      </c>
      <c r="K12" s="43"/>
      <c r="L12" s="33">
        <v>0.34720000000000001</v>
      </c>
      <c r="M12" s="33">
        <v>0.34720000000000001</v>
      </c>
      <c r="N12" s="33">
        <v>0.34720000000000001</v>
      </c>
      <c r="O12" s="33">
        <v>0.34720000000000001</v>
      </c>
      <c r="P12" s="33">
        <v>0.34720000000000001</v>
      </c>
      <c r="Q12" s="33">
        <v>0.34720000000000001</v>
      </c>
      <c r="R12" s="33">
        <v>0.34720000000000001</v>
      </c>
      <c r="S12" s="33">
        <v>0.34720000000000001</v>
      </c>
      <c r="T12" s="33">
        <v>0.34720000000000001</v>
      </c>
      <c r="U12" s="33">
        <v>0.34720000000000001</v>
      </c>
      <c r="V12" s="8"/>
      <c r="W12" s="1"/>
    </row>
    <row r="13" spans="1:38" ht="15.75" customHeight="1">
      <c r="B13" s="1" t="s">
        <v>26</v>
      </c>
      <c r="C13" s="56">
        <f t="shared" ref="C13:D13" si="4">LN(1.5*C12)</f>
        <v>-0.65238918808777746</v>
      </c>
      <c r="D13" s="56">
        <f t="shared" si="4"/>
        <v>-0.65238918808777746</v>
      </c>
      <c r="E13" s="56">
        <f t="shared" ref="E13:H13" si="5">LN(1.5*E12)</f>
        <v>-0.65238918808777746</v>
      </c>
      <c r="F13" s="56">
        <f t="shared" si="5"/>
        <v>-0.65238918808777746</v>
      </c>
      <c r="G13" s="56">
        <f t="shared" si="5"/>
        <v>-0.65238918808777746</v>
      </c>
      <c r="H13" s="56">
        <f t="shared" si="5"/>
        <v>-0.65238918808777746</v>
      </c>
      <c r="I13" s="58"/>
      <c r="J13" s="56">
        <f t="shared" ref="J13" si="6">LN(1.5*J12)</f>
        <v>-0.65238918808777746</v>
      </c>
      <c r="K13" s="59"/>
      <c r="L13" s="56">
        <f t="shared" ref="L13:U13" si="7">LN(1.5*L12)</f>
        <v>-0.65238918808777746</v>
      </c>
      <c r="M13" s="56">
        <f t="shared" si="7"/>
        <v>-0.65238918808777746</v>
      </c>
      <c r="N13" s="56">
        <f t="shared" si="7"/>
        <v>-0.65238918808777746</v>
      </c>
      <c r="O13" s="56">
        <f t="shared" si="7"/>
        <v>-0.65238918808777746</v>
      </c>
      <c r="P13" s="56">
        <f t="shared" si="7"/>
        <v>-0.65238918808777746</v>
      </c>
      <c r="Q13" s="56">
        <f t="shared" si="7"/>
        <v>-0.65238918808777746</v>
      </c>
      <c r="R13" s="56">
        <f t="shared" si="7"/>
        <v>-0.65238918808777746</v>
      </c>
      <c r="S13" s="56">
        <f t="shared" si="7"/>
        <v>-0.65238918808777746</v>
      </c>
      <c r="T13" s="56">
        <f t="shared" si="7"/>
        <v>-0.65238918808777746</v>
      </c>
      <c r="U13" s="56">
        <f t="shared" si="7"/>
        <v>-0.65238918808777746</v>
      </c>
      <c r="V13" s="9"/>
      <c r="W13" s="1"/>
    </row>
    <row r="14" spans="1:38" ht="15.75" customHeight="1">
      <c r="B14" s="1" t="s">
        <v>23</v>
      </c>
      <c r="C14" s="33">
        <v>0.43269999999999997</v>
      </c>
      <c r="D14" s="33">
        <v>0.43269999999999997</v>
      </c>
      <c r="E14" s="33">
        <v>0.43269999999999997</v>
      </c>
      <c r="F14" s="33">
        <v>0.43269999999999997</v>
      </c>
      <c r="G14" s="33">
        <v>0.43269999999999997</v>
      </c>
      <c r="H14" s="33">
        <v>0.43269999999999997</v>
      </c>
      <c r="I14" s="22"/>
      <c r="J14" s="33">
        <v>0.43269999999999997</v>
      </c>
      <c r="K14" s="43"/>
      <c r="L14" s="33">
        <v>0.43269999999999997</v>
      </c>
      <c r="M14" s="33">
        <v>0.43269999999999997</v>
      </c>
      <c r="N14" s="33">
        <v>0.43269999999999997</v>
      </c>
      <c r="O14" s="33">
        <v>0.43269999999999997</v>
      </c>
      <c r="P14" s="33">
        <v>0.43269999999999997</v>
      </c>
      <c r="Q14" s="33">
        <v>0.43269999999999997</v>
      </c>
      <c r="R14" s="33">
        <v>0.43269999999999997</v>
      </c>
      <c r="S14" s="33">
        <v>0.43269999999999997</v>
      </c>
      <c r="T14" s="33">
        <v>0.43269999999999997</v>
      </c>
      <c r="U14" s="33">
        <v>0.43269999999999997</v>
      </c>
      <c r="V14" s="9"/>
      <c r="W14" s="1"/>
    </row>
    <row r="15" spans="1:38" ht="15.75" customHeight="1">
      <c r="B15" s="1" t="s">
        <v>24</v>
      </c>
      <c r="C15" s="33">
        <f t="shared" ref="C15:D15" si="8">LN(3*C14)</f>
        <v>0.26090165691681161</v>
      </c>
      <c r="D15" s="33">
        <f t="shared" si="8"/>
        <v>0.26090165691681161</v>
      </c>
      <c r="E15" s="33">
        <f t="shared" ref="E15:H15" si="9">LN(3*E14)</f>
        <v>0.26090165691681161</v>
      </c>
      <c r="F15" s="33">
        <f t="shared" si="9"/>
        <v>0.26090165691681161</v>
      </c>
      <c r="G15" s="33">
        <f t="shared" si="9"/>
        <v>0.26090165691681161</v>
      </c>
      <c r="H15" s="56">
        <f t="shared" si="9"/>
        <v>0.26090165691681161</v>
      </c>
      <c r="I15" s="58"/>
      <c r="J15" s="56">
        <f t="shared" ref="J15" si="10">LN(3*J14)</f>
        <v>0.26090165691681161</v>
      </c>
      <c r="K15" s="43"/>
      <c r="L15" s="33">
        <f t="shared" ref="L15:U15" si="11">LN(3*L14)</f>
        <v>0.26090165691681161</v>
      </c>
      <c r="M15" s="33">
        <f t="shared" si="11"/>
        <v>0.26090165691681161</v>
      </c>
      <c r="N15" s="33">
        <f t="shared" si="11"/>
        <v>0.26090165691681161</v>
      </c>
      <c r="O15" s="33">
        <f t="shared" si="11"/>
        <v>0.26090165691681161</v>
      </c>
      <c r="P15" s="33">
        <f t="shared" si="11"/>
        <v>0.26090165691681161</v>
      </c>
      <c r="Q15" s="56">
        <f t="shared" si="11"/>
        <v>0.26090165691681161</v>
      </c>
      <c r="R15" s="33">
        <f t="shared" si="11"/>
        <v>0.26090165691681161</v>
      </c>
      <c r="S15" s="33">
        <f t="shared" si="11"/>
        <v>0.26090165691681161</v>
      </c>
      <c r="T15" s="33">
        <f t="shared" si="11"/>
        <v>0.26090165691681161</v>
      </c>
      <c r="U15" s="33">
        <f t="shared" si="11"/>
        <v>0.26090165691681161</v>
      </c>
      <c r="V15" s="9"/>
      <c r="W15" s="1"/>
    </row>
    <row r="16" spans="1:38" ht="15.75" customHeight="1">
      <c r="B16" s="1" t="s">
        <v>25</v>
      </c>
      <c r="C16" s="33">
        <v>-0.71479999999999999</v>
      </c>
      <c r="D16" s="33">
        <v>-0.71479999999999999</v>
      </c>
      <c r="E16" s="33">
        <v>-0.71479999999999999</v>
      </c>
      <c r="F16" s="33">
        <v>-0.71479999999999999</v>
      </c>
      <c r="G16" s="33">
        <v>-0.71479999999999999</v>
      </c>
      <c r="H16" s="33">
        <v>-0.71479999999999999</v>
      </c>
      <c r="I16" s="22"/>
      <c r="J16" s="33">
        <v>-0.71479999999999999</v>
      </c>
      <c r="K16" s="43"/>
      <c r="L16" s="33">
        <v>-0.71479999999999999</v>
      </c>
      <c r="M16" s="33">
        <v>-0.71479999999999999</v>
      </c>
      <c r="N16" s="33">
        <v>-0.71479999999999999</v>
      </c>
      <c r="O16" s="33">
        <v>-0.71479999999999999</v>
      </c>
      <c r="P16" s="33">
        <v>-0.71479999999999999</v>
      </c>
      <c r="Q16" s="33">
        <v>-0.71479999999999999</v>
      </c>
      <c r="R16" s="33">
        <v>-0.71479999999999999</v>
      </c>
      <c r="S16" s="33">
        <v>-0.71479999999999999</v>
      </c>
      <c r="T16" s="33">
        <v>-0.71479999999999999</v>
      </c>
      <c r="U16" s="33">
        <v>-0.71479999999999999</v>
      </c>
      <c r="V16" s="9"/>
      <c r="W16" s="1"/>
    </row>
    <row r="17" spans="2:38" ht="15.75" customHeight="1">
      <c r="B17" s="48" t="s">
        <v>35</v>
      </c>
      <c r="C17" s="45">
        <f>(13603+4.943*0.0000001*(0.5*1000000000-0.00001))/(6.26+2*C11+2*C13+2*C15-C16)-273.15</f>
        <v>1782.2227654153103</v>
      </c>
      <c r="D17" s="45">
        <f>(13603+4.943*0.0000001*(0.5*1000000000-0.00001))/(6.26+2*D11+2*D13+2*D15-D16)-273.15</f>
        <v>1794.1792899126963</v>
      </c>
      <c r="E17" s="45">
        <f>(13603+4.943*0.0000001*(0.5*1000000000-0.00001))/(6.26+2*E11+2*E13+2*E15-E16)-273.15</f>
        <v>1791.8147347679974</v>
      </c>
      <c r="F17" s="45">
        <f>(13603+4.943*0.0000001*(0.5*1000000000-0.00001))/(6.26+2*F11+2*F13+2*F15-F16)-273.15</f>
        <v>1802.7126194136922</v>
      </c>
      <c r="G17" s="45">
        <f>(13603+4.943*0.0000001*(0.5*1000000000-0.00001))/(6.26+2*G11+2*G13+2*G15-G16)-273.15</f>
        <v>1785.3563498076483</v>
      </c>
      <c r="H17" s="45">
        <f t="shared" ref="H17" si="12">(13603+4.943*0.0000001*(0.5*1000000000-0.00001))/(6.26+2*H11+2*H13+2*H15-H16)-273.15</f>
        <v>1790.4656244681073</v>
      </c>
      <c r="I17" s="38"/>
      <c r="J17" s="45">
        <f>(13603+4.943*0.0000001*(0.5*1000000000-0.00001))/(6.26+2*J11+2*J13+2*J15-J16)-273.15</f>
        <v>1791.2831976681118</v>
      </c>
      <c r="K17" s="46"/>
      <c r="L17" s="45">
        <f>(13603+4.943*0.0000001*(0.6*1000000000-0.00001))/(6.26+2*L11+2*L13+2*L15-L16)-273.15</f>
        <v>1795.2922950581701</v>
      </c>
      <c r="M17" s="45">
        <f t="shared" ref="M17:U17" si="13">(13603+4.943*0.0000001*(0.6*1000000000-0.00001))/(6.26+2*M11+2*M13+2*M15-M16)-273.15</f>
        <v>1812.8836797388199</v>
      </c>
      <c r="N17" s="45" t="e">
        <f t="shared" si="13"/>
        <v>#DIV/0!</v>
      </c>
      <c r="O17" s="45">
        <f t="shared" si="13"/>
        <v>1795.4548433953323</v>
      </c>
      <c r="P17" s="45">
        <f t="shared" si="13"/>
        <v>1812.9434054758181</v>
      </c>
      <c r="Q17" s="45">
        <f t="shared" si="13"/>
        <v>1795.4548433953323</v>
      </c>
      <c r="R17" s="45" t="e">
        <f t="shared" si="13"/>
        <v>#DIV/0!</v>
      </c>
      <c r="S17" s="45">
        <f t="shared" si="13"/>
        <v>1794.1726176056372</v>
      </c>
      <c r="T17" s="45">
        <f t="shared" si="13"/>
        <v>1795.4999239724325</v>
      </c>
      <c r="U17" s="45">
        <f t="shared" si="13"/>
        <v>1798.772509984015</v>
      </c>
      <c r="V17" s="9"/>
      <c r="W17" s="1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</row>
    <row r="18" spans="2:38" ht="20.25" customHeight="1">
      <c r="B18" s="8" t="s">
        <v>34</v>
      </c>
      <c r="C18" s="41">
        <v>2.67</v>
      </c>
      <c r="D18" s="41">
        <v>2.78</v>
      </c>
      <c r="E18" s="41">
        <v>2.7</v>
      </c>
      <c r="F18" s="41"/>
      <c r="G18" s="41">
        <v>5.64</v>
      </c>
      <c r="H18" s="41">
        <v>6.73</v>
      </c>
      <c r="I18" s="21"/>
      <c r="J18" s="41">
        <v>3.37</v>
      </c>
      <c r="K18" s="42"/>
      <c r="L18" s="41">
        <v>2.13</v>
      </c>
      <c r="M18" s="41">
        <v>1.51</v>
      </c>
      <c r="N18" s="41"/>
      <c r="O18" s="41">
        <v>1.59</v>
      </c>
      <c r="P18" s="41">
        <v>1.4</v>
      </c>
      <c r="Q18" s="41">
        <v>1.97</v>
      </c>
      <c r="R18" s="41"/>
      <c r="S18" s="41">
        <v>1.82</v>
      </c>
      <c r="T18" s="41">
        <v>1.75</v>
      </c>
      <c r="U18" s="41">
        <v>0.8</v>
      </c>
      <c r="V18" s="28"/>
      <c r="W18" s="1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</row>
    <row r="19" spans="2:38" ht="15.75" customHeight="1">
      <c r="B19" s="40" t="s">
        <v>36</v>
      </c>
      <c r="C19" s="47">
        <f>(15294.6+1318.8*0.5+2.4834*0.5*0.5)/(8.048+2.8352*C11+2.097*C13+2.575*C15-1.41*C16+0.222*C18+0.5*0.5)</f>
        <v>1599.0839414632831</v>
      </c>
      <c r="D19" s="47">
        <f t="shared" ref="D19:K19" si="14">(15294.6+1318.8*0.5+2.4834*0.5*0.5)/(8.048+2.8352*D11+2.097*D13+2.575*D15-1.41*D16+0.222*D18+0.5*0.5)</f>
        <v>1604.0400263465183</v>
      </c>
      <c r="E19" s="47">
        <f t="shared" si="14"/>
        <v>1605.1510901388233</v>
      </c>
      <c r="F19" s="47"/>
      <c r="G19" s="47">
        <f t="shared" si="14"/>
        <v>1502.0144071945208</v>
      </c>
      <c r="H19" s="47">
        <f t="shared" si="14"/>
        <v>1471.7586925022676</v>
      </c>
      <c r="I19" s="47">
        <f t="shared" si="14"/>
        <v>1922.7067787418655</v>
      </c>
      <c r="J19" s="47">
        <f t="shared" si="14"/>
        <v>1581.1015492735046</v>
      </c>
      <c r="K19" s="47">
        <f t="shared" si="14"/>
        <v>1922.7067787418655</v>
      </c>
      <c r="L19" s="47">
        <f>(15294.6+1318.8*0.6+2.4834*0.36)/(8.048+2.8352*L11+2.097*L13+2.575*L15-1.41*L16+0.222*L18+0.36)</f>
        <v>1618.2266854566426</v>
      </c>
      <c r="M19" s="47">
        <f t="shared" ref="M19:U19" si="15">(15294.6+1318.8*0.6+2.4834*0.36)/(8.048+2.8352*M11+2.097*M13+2.575*M15-1.41*M16+0.222*M18+0.36)</f>
        <v>1654.5043904970782</v>
      </c>
      <c r="N19" s="47" t="e">
        <f t="shared" si="15"/>
        <v>#DIV/0!</v>
      </c>
      <c r="O19" s="47">
        <f t="shared" si="15"/>
        <v>1638.1041965252382</v>
      </c>
      <c r="P19" s="47">
        <f t="shared" si="15"/>
        <v>1658.716501986559</v>
      </c>
      <c r="Q19" s="47">
        <f t="shared" si="15"/>
        <v>1624.1522159867811</v>
      </c>
      <c r="R19" s="47" t="e">
        <f t="shared" si="15"/>
        <v>#DIV/0!</v>
      </c>
      <c r="S19" s="47">
        <f t="shared" si="15"/>
        <v>1628.656360838811</v>
      </c>
      <c r="T19" s="47">
        <f t="shared" si="15"/>
        <v>1632.2349446820383</v>
      </c>
      <c r="U19" s="47">
        <f t="shared" si="15"/>
        <v>1670.532491541655</v>
      </c>
      <c r="V19" s="22"/>
      <c r="W19" s="1"/>
    </row>
    <row r="20" spans="2:38" ht="15" customHeight="1">
      <c r="B20" s="71" t="s">
        <v>33</v>
      </c>
      <c r="C20" s="71"/>
      <c r="D20" s="71"/>
      <c r="E20" s="23"/>
      <c r="F20" s="23"/>
      <c r="G20" s="23"/>
      <c r="H20" s="23"/>
      <c r="I20" s="23"/>
      <c r="J20" s="23"/>
      <c r="K20" s="3"/>
      <c r="L20" s="23"/>
      <c r="M20" s="72"/>
      <c r="N20" s="72"/>
      <c r="O20" s="23"/>
      <c r="P20" s="23"/>
      <c r="Q20" s="72"/>
      <c r="R20" s="72"/>
      <c r="S20" s="23"/>
      <c r="T20" s="23"/>
      <c r="U20" s="23"/>
      <c r="V20" s="10"/>
      <c r="W20" s="1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</row>
    <row r="21" spans="2:38" ht="15.75">
      <c r="B21" s="15" t="s">
        <v>0</v>
      </c>
      <c r="C21" s="31" t="s">
        <v>2</v>
      </c>
      <c r="D21" s="50" t="s">
        <v>3</v>
      </c>
      <c r="E21" s="51" t="s">
        <v>4</v>
      </c>
      <c r="F21" s="31" t="s">
        <v>5</v>
      </c>
      <c r="G21" s="31" t="s">
        <v>6</v>
      </c>
      <c r="H21" s="31" t="s">
        <v>37</v>
      </c>
      <c r="I21" s="31"/>
      <c r="J21" s="31" t="s">
        <v>38</v>
      </c>
      <c r="K21" s="31"/>
      <c r="L21" s="31" t="s">
        <v>39</v>
      </c>
      <c r="M21" s="31" t="s">
        <v>40</v>
      </c>
      <c r="N21" s="31"/>
      <c r="O21" s="31" t="s">
        <v>9</v>
      </c>
      <c r="P21" s="31" t="s">
        <v>41</v>
      </c>
      <c r="Q21" s="49">
        <v>422</v>
      </c>
      <c r="R21" s="49"/>
      <c r="S21" s="49" t="s">
        <v>7</v>
      </c>
      <c r="T21" s="49" t="s">
        <v>27</v>
      </c>
      <c r="U21" s="49" t="s">
        <v>28</v>
      </c>
      <c r="V21" s="49">
        <v>423</v>
      </c>
      <c r="W21" s="49" t="s">
        <v>8</v>
      </c>
      <c r="X21" s="49" t="s">
        <v>29</v>
      </c>
      <c r="Y21" s="49" t="s">
        <v>42</v>
      </c>
      <c r="Z21" s="54" t="s">
        <v>31</v>
      </c>
      <c r="AA21" s="3"/>
    </row>
    <row r="22" spans="2:38" ht="15.75">
      <c r="B22" s="15" t="s">
        <v>10</v>
      </c>
      <c r="C22" s="68" t="s">
        <v>12</v>
      </c>
      <c r="D22" s="68"/>
      <c r="E22" s="68"/>
      <c r="F22" s="68"/>
      <c r="G22" s="68"/>
      <c r="H22" s="68"/>
      <c r="I22" s="34"/>
      <c r="J22" s="68" t="s">
        <v>13</v>
      </c>
      <c r="K22" s="68"/>
      <c r="L22" s="68"/>
      <c r="M22" s="68"/>
      <c r="N22" s="68"/>
      <c r="O22" s="68"/>
      <c r="P22" s="68"/>
      <c r="Q22" s="68" t="s">
        <v>14</v>
      </c>
      <c r="R22" s="68"/>
      <c r="S22" s="68"/>
      <c r="T22" s="68"/>
      <c r="U22" s="68"/>
      <c r="V22" s="68"/>
      <c r="W22" s="68"/>
      <c r="X22" s="68"/>
      <c r="Y22" s="68"/>
      <c r="Z22" s="69"/>
      <c r="AA22" s="3"/>
    </row>
    <row r="23" spans="2:38" ht="20.25">
      <c r="B23" s="26" t="s">
        <v>34</v>
      </c>
      <c r="C23" s="52">
        <v>2.78</v>
      </c>
      <c r="D23" s="52">
        <v>2.7</v>
      </c>
      <c r="E23" s="17"/>
      <c r="F23" s="52">
        <v>5.64</v>
      </c>
      <c r="G23" s="52">
        <v>6.73</v>
      </c>
      <c r="H23" s="52">
        <v>9.76</v>
      </c>
      <c r="I23" s="52">
        <v>1.45</v>
      </c>
      <c r="J23" s="52">
        <v>1.45</v>
      </c>
      <c r="K23" s="52">
        <v>3.88</v>
      </c>
      <c r="L23" s="52">
        <v>1.58</v>
      </c>
      <c r="M23" s="52">
        <v>3.88</v>
      </c>
      <c r="N23" s="52">
        <v>1.84</v>
      </c>
      <c r="O23" s="52">
        <v>3.37</v>
      </c>
      <c r="P23" s="52">
        <v>1.84</v>
      </c>
      <c r="Q23" s="52">
        <v>2.13</v>
      </c>
      <c r="R23" s="52">
        <v>1.4</v>
      </c>
      <c r="S23" s="52">
        <v>1.53</v>
      </c>
      <c r="T23" s="52">
        <v>1.58</v>
      </c>
      <c r="U23" s="52">
        <v>1.4</v>
      </c>
      <c r="V23" s="53">
        <v>1.97</v>
      </c>
      <c r="W23" s="53">
        <v>1.82</v>
      </c>
      <c r="X23" s="33">
        <v>1.75</v>
      </c>
      <c r="Y23" s="33">
        <v>0.71</v>
      </c>
      <c r="Z23" s="41">
        <v>0.8</v>
      </c>
    </row>
    <row r="24" spans="2:38" ht="20.25">
      <c r="B24" s="26" t="s">
        <v>43</v>
      </c>
      <c r="C24" s="33">
        <v>0.89729999999999999</v>
      </c>
      <c r="D24" s="33">
        <v>0.89729999999999999</v>
      </c>
      <c r="E24" s="33">
        <v>0.89729999999999999</v>
      </c>
      <c r="F24" s="33">
        <v>0.89729999999999999</v>
      </c>
      <c r="G24" s="33">
        <v>0.89729999999999999</v>
      </c>
      <c r="H24" s="33">
        <v>0.89729999999999999</v>
      </c>
      <c r="I24" s="33">
        <v>0.89729999999999999</v>
      </c>
      <c r="J24" s="33">
        <v>0.89729999999999999</v>
      </c>
      <c r="K24" s="33">
        <v>0.89729999999999999</v>
      </c>
      <c r="L24" s="33">
        <v>0.89729999999999999</v>
      </c>
      <c r="M24" s="33">
        <v>0.89729999999999999</v>
      </c>
      <c r="N24" s="33">
        <v>0.89729999999999999</v>
      </c>
      <c r="O24" s="33">
        <v>0.89729999999999999</v>
      </c>
      <c r="P24" s="33">
        <v>0.89729999999999999</v>
      </c>
      <c r="Q24" s="33">
        <v>0.89729999999999999</v>
      </c>
      <c r="R24" s="33">
        <v>0.89729999999999999</v>
      </c>
      <c r="S24" s="33">
        <v>0.89729999999999999</v>
      </c>
      <c r="T24" s="33">
        <v>0.89729999999999999</v>
      </c>
      <c r="U24" s="33">
        <v>0.89729999999999999</v>
      </c>
      <c r="V24" s="33">
        <v>0.89729999999999999</v>
      </c>
      <c r="W24" s="33">
        <v>0.89729999999999999</v>
      </c>
      <c r="X24" s="33">
        <v>0.89729999999999999</v>
      </c>
      <c r="Y24" s="33">
        <v>0.89729999999999999</v>
      </c>
      <c r="Z24" s="33">
        <v>0.89729999999999999</v>
      </c>
    </row>
    <row r="25" spans="2:38" ht="20.25">
      <c r="B25" s="26" t="s">
        <v>44</v>
      </c>
      <c r="C25" s="33">
        <v>0.43269999999999997</v>
      </c>
      <c r="D25" s="33">
        <v>0.43269999999999997</v>
      </c>
      <c r="E25" s="33">
        <v>0.43269999999999997</v>
      </c>
      <c r="F25" s="33">
        <v>0.43269999999999997</v>
      </c>
      <c r="G25" s="33">
        <v>0.43269999999999997</v>
      </c>
      <c r="H25" s="33">
        <v>0.43269999999999997</v>
      </c>
      <c r="I25" s="33">
        <v>0.43269999999999997</v>
      </c>
      <c r="J25" s="33">
        <v>0.43269999999999997</v>
      </c>
      <c r="K25" s="33">
        <v>0.43269999999999997</v>
      </c>
      <c r="L25" s="33">
        <v>0.43269999999999997</v>
      </c>
      <c r="M25" s="33">
        <v>0.43269999999999997</v>
      </c>
      <c r="N25" s="33">
        <v>0.43269999999999997</v>
      </c>
      <c r="O25" s="33">
        <v>0.43269999999999997</v>
      </c>
      <c r="P25" s="33">
        <v>0.43269999999999997</v>
      </c>
      <c r="Q25" s="33">
        <v>0.43269999999999997</v>
      </c>
      <c r="R25" s="33">
        <v>0.43269999999999997</v>
      </c>
      <c r="S25" s="33">
        <v>0.43269999999999997</v>
      </c>
      <c r="T25" s="33">
        <v>0.43269999999999997</v>
      </c>
      <c r="U25" s="33">
        <v>0.43269999999999997</v>
      </c>
      <c r="V25" s="33">
        <v>0.43269999999999997</v>
      </c>
      <c r="W25" s="33">
        <v>0.43269999999999997</v>
      </c>
      <c r="X25" s="33">
        <v>0.43269999999999997</v>
      </c>
      <c r="Y25" s="33">
        <v>0.43269999999999997</v>
      </c>
      <c r="Z25" s="33">
        <v>0.43269999999999997</v>
      </c>
    </row>
    <row r="26" spans="2:38" ht="20.25">
      <c r="B26" s="26" t="s">
        <v>45</v>
      </c>
      <c r="C26" s="33">
        <f>C25*C25</f>
        <v>0.18722928999999996</v>
      </c>
      <c r="D26" s="33">
        <f t="shared" ref="D26:W26" si="16">D25*D25</f>
        <v>0.18722928999999996</v>
      </c>
      <c r="E26" s="33">
        <f t="shared" si="16"/>
        <v>0.18722928999999996</v>
      </c>
      <c r="F26" s="33">
        <f t="shared" si="16"/>
        <v>0.18722928999999996</v>
      </c>
      <c r="G26" s="33">
        <f t="shared" si="16"/>
        <v>0.18722928999999996</v>
      </c>
      <c r="H26" s="55">
        <f t="shared" si="16"/>
        <v>0.18722928999999996</v>
      </c>
      <c r="I26" s="55">
        <f t="shared" si="16"/>
        <v>0.18722928999999996</v>
      </c>
      <c r="J26" s="55">
        <f t="shared" si="16"/>
        <v>0.18722928999999996</v>
      </c>
      <c r="K26" s="33">
        <f t="shared" si="16"/>
        <v>0.18722928999999996</v>
      </c>
      <c r="L26" s="33">
        <f t="shared" si="16"/>
        <v>0.18722928999999996</v>
      </c>
      <c r="M26" s="33">
        <f t="shared" si="16"/>
        <v>0.18722928999999996</v>
      </c>
      <c r="N26" s="33">
        <f t="shared" si="16"/>
        <v>0.18722928999999996</v>
      </c>
      <c r="O26" s="33">
        <f t="shared" si="16"/>
        <v>0.18722928999999996</v>
      </c>
      <c r="P26" s="33">
        <f t="shared" si="16"/>
        <v>0.18722928999999996</v>
      </c>
      <c r="Q26" s="55">
        <f t="shared" si="16"/>
        <v>0.18722928999999996</v>
      </c>
      <c r="R26" s="33">
        <f t="shared" si="16"/>
        <v>0.18722928999999996</v>
      </c>
      <c r="S26" s="33">
        <f t="shared" si="16"/>
        <v>0.18722928999999996</v>
      </c>
      <c r="T26" s="33">
        <f t="shared" si="16"/>
        <v>0.18722928999999996</v>
      </c>
      <c r="U26" s="33">
        <f t="shared" si="16"/>
        <v>0.18722928999999996</v>
      </c>
      <c r="V26" s="33">
        <f t="shared" si="16"/>
        <v>0.18722928999999996</v>
      </c>
      <c r="W26" s="55">
        <f t="shared" si="16"/>
        <v>0.18722928999999996</v>
      </c>
      <c r="X26" s="55">
        <f t="shared" ref="X26:Z26" si="17">X25*X25</f>
        <v>0.18722928999999996</v>
      </c>
      <c r="Y26" s="55">
        <f t="shared" si="17"/>
        <v>0.18722928999999996</v>
      </c>
      <c r="Z26" s="33">
        <f t="shared" si="17"/>
        <v>0.18722928999999996</v>
      </c>
    </row>
    <row r="27" spans="2:38" ht="20.25">
      <c r="B27" s="26" t="s">
        <v>46</v>
      </c>
      <c r="C27" s="33">
        <v>6.1199999999999997E-2</v>
      </c>
      <c r="D27" s="33">
        <v>6.1199999999999997E-2</v>
      </c>
      <c r="E27" s="33">
        <v>6.1199999999999997E-2</v>
      </c>
      <c r="F27" s="33">
        <v>6.1199999999999997E-2</v>
      </c>
      <c r="G27" s="33">
        <v>6.1199999999999997E-2</v>
      </c>
      <c r="H27" s="55">
        <v>6.1199999999999997E-2</v>
      </c>
      <c r="I27" s="55">
        <v>6.1199999999999997E-2</v>
      </c>
      <c r="J27" s="55">
        <v>6.1199999999999997E-2</v>
      </c>
      <c r="K27" s="33">
        <v>6.1199999999999997E-2</v>
      </c>
      <c r="L27" s="33">
        <v>6.1199999999999997E-2</v>
      </c>
      <c r="M27" s="33">
        <v>6.1199999999999997E-2</v>
      </c>
      <c r="N27" s="33">
        <v>6.1199999999999997E-2</v>
      </c>
      <c r="O27" s="33">
        <v>6.1199999999999997E-2</v>
      </c>
      <c r="P27" s="33">
        <v>6.1199999999999997E-2</v>
      </c>
      <c r="Q27" s="33">
        <v>6.1199999999999997E-2</v>
      </c>
      <c r="R27" s="33">
        <v>6.1199999999999997E-2</v>
      </c>
      <c r="S27" s="33">
        <v>6.1199999999999997E-2</v>
      </c>
      <c r="T27" s="33">
        <v>6.1199999999999997E-2</v>
      </c>
      <c r="U27" s="33">
        <v>6.1199999999999997E-2</v>
      </c>
      <c r="V27" s="33">
        <v>6.1199999999999997E-2</v>
      </c>
      <c r="W27" s="33">
        <v>6.1199999999999997E-2</v>
      </c>
      <c r="X27" s="33">
        <v>6.1199999999999997E-2</v>
      </c>
      <c r="Y27" s="33">
        <v>6.1199999999999997E-2</v>
      </c>
      <c r="Z27" s="33">
        <v>6.1199999999999997E-2</v>
      </c>
    </row>
    <row r="28" spans="2:38" ht="20.25">
      <c r="B28" s="26" t="s">
        <v>47</v>
      </c>
      <c r="C28" s="33">
        <v>1.1999999999999999E-3</v>
      </c>
      <c r="D28" s="33">
        <v>1.1999999999999999E-3</v>
      </c>
      <c r="E28" s="33">
        <v>1.1999999999999999E-3</v>
      </c>
      <c r="F28" s="33">
        <v>1.1999999999999999E-3</v>
      </c>
      <c r="G28" s="33">
        <v>1.1999999999999999E-3</v>
      </c>
      <c r="H28" s="55">
        <v>1.1999999999999999E-3</v>
      </c>
      <c r="I28" s="55">
        <v>1.1999999999999999E-3</v>
      </c>
      <c r="J28" s="55">
        <v>1.1999999999999999E-3</v>
      </c>
      <c r="K28" s="33">
        <v>1.1999999999999999E-3</v>
      </c>
      <c r="L28" s="33">
        <v>1.1999999999999999E-3</v>
      </c>
      <c r="M28" s="33">
        <v>1.1999999999999999E-3</v>
      </c>
      <c r="N28" s="33">
        <v>1.1999999999999999E-3</v>
      </c>
      <c r="O28" s="33">
        <v>1.1999999999999999E-3</v>
      </c>
      <c r="P28" s="33">
        <v>1.1999999999999999E-3</v>
      </c>
      <c r="Q28" s="33">
        <v>1.1999999999999999E-3</v>
      </c>
      <c r="R28" s="33">
        <v>1.1999999999999999E-3</v>
      </c>
      <c r="S28" s="33">
        <v>1.1999999999999999E-3</v>
      </c>
      <c r="T28" s="33">
        <v>1.1999999999999999E-3</v>
      </c>
      <c r="U28" s="33">
        <v>1.1999999999999999E-3</v>
      </c>
      <c r="V28" s="33">
        <v>1.1999999999999999E-3</v>
      </c>
      <c r="W28" s="33">
        <v>1.1999999999999999E-3</v>
      </c>
      <c r="X28" s="33">
        <v>1.1999999999999999E-3</v>
      </c>
      <c r="Y28" s="33">
        <v>1.1999999999999999E-3</v>
      </c>
      <c r="Z28" s="33">
        <v>1.1999999999999999E-3</v>
      </c>
    </row>
    <row r="29" spans="2:38" ht="20.25">
      <c r="B29" s="26" t="s">
        <v>48</v>
      </c>
      <c r="C29" s="33">
        <v>0.17519999999999999</v>
      </c>
      <c r="D29" s="33">
        <v>0.17519999999999999</v>
      </c>
      <c r="E29" s="33">
        <v>0.17519999999999999</v>
      </c>
      <c r="F29" s="33">
        <v>0.17519999999999999</v>
      </c>
      <c r="G29" s="33">
        <v>0.17519999999999999</v>
      </c>
      <c r="H29" s="55">
        <v>0.17519999999999999</v>
      </c>
      <c r="I29" s="55">
        <v>0.17519999999999999</v>
      </c>
      <c r="J29" s="55">
        <v>0.17519999999999999</v>
      </c>
      <c r="K29" s="33">
        <v>0.17519999999999999</v>
      </c>
      <c r="L29" s="33">
        <v>0.17519999999999999</v>
      </c>
      <c r="M29" s="33">
        <v>0.17519999999999999</v>
      </c>
      <c r="N29" s="33">
        <v>0.17519999999999999</v>
      </c>
      <c r="O29" s="33">
        <v>0.17519999999999999</v>
      </c>
      <c r="P29" s="33">
        <v>0.17519999999999999</v>
      </c>
      <c r="Q29" s="33">
        <v>0.17519999999999999</v>
      </c>
      <c r="R29" s="33">
        <v>0.17519999999999999</v>
      </c>
      <c r="S29" s="33">
        <v>0.17519999999999999</v>
      </c>
      <c r="T29" s="33">
        <v>0.17519999999999999</v>
      </c>
      <c r="U29" s="33">
        <v>0.17519999999999999</v>
      </c>
      <c r="V29" s="33">
        <v>0.17519999999999999</v>
      </c>
      <c r="W29" s="33">
        <v>0.17519999999999999</v>
      </c>
      <c r="X29" s="33">
        <v>0.17519999999999999</v>
      </c>
      <c r="Y29" s="33">
        <v>0.17519999999999999</v>
      </c>
      <c r="Z29" s="33">
        <v>0.17519999999999999</v>
      </c>
    </row>
    <row r="30" spans="2:38" ht="20.25">
      <c r="B30" s="26" t="s">
        <v>55</v>
      </c>
      <c r="C30" s="33">
        <f>(C27+C28+C29)^2</f>
        <v>5.6453759999999992E-2</v>
      </c>
      <c r="D30" s="33">
        <f t="shared" ref="D30:Z30" si="18">(D27+D28+D29)^2</f>
        <v>5.6453759999999992E-2</v>
      </c>
      <c r="E30" s="33">
        <f t="shared" si="18"/>
        <v>5.6453759999999992E-2</v>
      </c>
      <c r="F30" s="33">
        <f t="shared" si="18"/>
        <v>5.6453759999999992E-2</v>
      </c>
      <c r="G30" s="33">
        <f t="shared" si="18"/>
        <v>5.6453759999999992E-2</v>
      </c>
      <c r="H30" s="55">
        <f t="shared" si="18"/>
        <v>5.6453759999999992E-2</v>
      </c>
      <c r="I30" s="55">
        <f t="shared" si="18"/>
        <v>5.6453759999999992E-2</v>
      </c>
      <c r="J30" s="55">
        <f t="shared" si="18"/>
        <v>5.6453759999999992E-2</v>
      </c>
      <c r="K30" s="33">
        <f t="shared" si="18"/>
        <v>5.6453759999999992E-2</v>
      </c>
      <c r="L30" s="33">
        <f t="shared" si="18"/>
        <v>5.6453759999999992E-2</v>
      </c>
      <c r="M30" s="33">
        <f t="shared" si="18"/>
        <v>5.6453759999999992E-2</v>
      </c>
      <c r="N30" s="33">
        <f t="shared" si="18"/>
        <v>5.6453759999999992E-2</v>
      </c>
      <c r="O30" s="33">
        <f t="shared" si="18"/>
        <v>5.6453759999999992E-2</v>
      </c>
      <c r="P30" s="33">
        <f t="shared" si="18"/>
        <v>5.6453759999999992E-2</v>
      </c>
      <c r="Q30" s="55">
        <f t="shared" si="18"/>
        <v>5.6453759999999992E-2</v>
      </c>
      <c r="R30" s="33">
        <f t="shared" si="18"/>
        <v>5.6453759999999992E-2</v>
      </c>
      <c r="S30" s="33">
        <f t="shared" si="18"/>
        <v>5.6453759999999992E-2</v>
      </c>
      <c r="T30" s="33">
        <f t="shared" si="18"/>
        <v>5.6453759999999992E-2</v>
      </c>
      <c r="U30" s="33">
        <f t="shared" si="18"/>
        <v>5.6453759999999992E-2</v>
      </c>
      <c r="V30" s="33">
        <f t="shared" si="18"/>
        <v>5.6453759999999992E-2</v>
      </c>
      <c r="W30" s="55">
        <f t="shared" si="18"/>
        <v>5.6453759999999992E-2</v>
      </c>
      <c r="X30" s="55">
        <f t="shared" si="18"/>
        <v>5.6453759999999992E-2</v>
      </c>
      <c r="Y30" s="55">
        <f t="shared" si="18"/>
        <v>5.6453759999999992E-2</v>
      </c>
      <c r="Z30" s="33">
        <f t="shared" si="18"/>
        <v>5.6453759999999992E-2</v>
      </c>
    </row>
    <row r="31" spans="2:38" ht="15.75">
      <c r="B31" s="26" t="s">
        <v>54</v>
      </c>
      <c r="C31" s="56">
        <f>LN(C24/(C26*C30))</f>
        <v>4.4413896218117657</v>
      </c>
      <c r="D31" s="56">
        <f t="shared" ref="D31:J31" si="19">LN(D24/(D26*D30))</f>
        <v>4.4413896218117657</v>
      </c>
      <c r="E31" s="56">
        <f t="shared" si="19"/>
        <v>4.4413896218117657</v>
      </c>
      <c r="F31" s="56">
        <f t="shared" si="19"/>
        <v>4.4413896218117657</v>
      </c>
      <c r="G31" s="56">
        <f t="shared" si="19"/>
        <v>4.4413896218117657</v>
      </c>
      <c r="H31" s="56">
        <f t="shared" si="19"/>
        <v>4.4413896218117657</v>
      </c>
      <c r="I31" s="56">
        <f t="shared" si="19"/>
        <v>4.4413896218117657</v>
      </c>
      <c r="J31" s="56">
        <f t="shared" si="19"/>
        <v>4.4413896218117657</v>
      </c>
      <c r="K31" s="56">
        <f t="shared" ref="K31" si="20">LN(K24/(K26*K30))</f>
        <v>4.4413896218117657</v>
      </c>
      <c r="L31" s="56">
        <f t="shared" ref="L31" si="21">LN(L24/(L26*L30))</f>
        <v>4.4413896218117657</v>
      </c>
      <c r="M31" s="56">
        <f t="shared" ref="M31" si="22">LN(M24/(M26*M30))</f>
        <v>4.4413896218117657</v>
      </c>
      <c r="N31" s="56">
        <f t="shared" ref="N31" si="23">LN(N24/(N26*N30))</f>
        <v>4.4413896218117657</v>
      </c>
      <c r="O31" s="56">
        <f t="shared" ref="O31" si="24">LN(O24/(O26*O30))</f>
        <v>4.4413896218117657</v>
      </c>
      <c r="P31" s="56">
        <f t="shared" ref="P31" si="25">LN(P24/(P26*P30))</f>
        <v>4.4413896218117657</v>
      </c>
      <c r="Q31" s="56">
        <f t="shared" ref="Q31" si="26">LN(Q24/(Q26*Q30))</f>
        <v>4.4413896218117657</v>
      </c>
      <c r="R31" s="56">
        <f t="shared" ref="R31" si="27">LN(R24/(R26*R30))</f>
        <v>4.4413896218117657</v>
      </c>
      <c r="S31" s="56">
        <f t="shared" ref="S31" si="28">LN(S24/(S26*S30))</f>
        <v>4.4413896218117657</v>
      </c>
      <c r="T31" s="56">
        <f t="shared" ref="T31" si="29">LN(T24/(T26*T30))</f>
        <v>4.4413896218117657</v>
      </c>
      <c r="U31" s="56">
        <f t="shared" ref="U31" si="30">LN(U24/(U26*U30))</f>
        <v>4.4413896218117657</v>
      </c>
      <c r="V31" s="56">
        <f t="shared" ref="V31" si="31">LN(V24/(V26*V30))</f>
        <v>4.4413896218117657</v>
      </c>
      <c r="W31" s="56">
        <f t="shared" ref="W31" si="32">LN(W24/(W26*W30))</f>
        <v>4.4413896218117657</v>
      </c>
      <c r="X31" s="56">
        <f t="shared" ref="X31" si="33">LN(X24/(X26*X30))</f>
        <v>4.4413896218117657</v>
      </c>
      <c r="Y31" s="56">
        <f t="shared" ref="Y31" si="34">LN(Y24/(Y26*Y30))</f>
        <v>4.4413896218117657</v>
      </c>
      <c r="Z31" s="56">
        <f t="shared" ref="Z31" si="35">LN(Z24/(Z26*Z30))</f>
        <v>4.4413896218117657</v>
      </c>
    </row>
    <row r="32" spans="2:38" ht="20.25">
      <c r="B32" s="26" t="s">
        <v>49</v>
      </c>
      <c r="C32" s="33">
        <v>5.0000000000000001E-4</v>
      </c>
      <c r="D32" s="33">
        <v>5.0000000000000001E-4</v>
      </c>
      <c r="E32" s="33">
        <v>5.0000000000000001E-4</v>
      </c>
      <c r="F32" s="33">
        <v>5.0000000000000001E-4</v>
      </c>
      <c r="G32" s="33">
        <v>5.0000000000000001E-4</v>
      </c>
      <c r="H32" s="55">
        <v>5.0000000000000001E-4</v>
      </c>
      <c r="I32" s="55">
        <v>5.0000000000000001E-4</v>
      </c>
      <c r="J32" s="55">
        <v>5.0000000000000001E-4</v>
      </c>
      <c r="K32" s="33">
        <v>5.0000000000000001E-4</v>
      </c>
      <c r="L32" s="33">
        <v>5.0000000000000001E-4</v>
      </c>
      <c r="M32" s="33">
        <v>5.0000000000000001E-4</v>
      </c>
      <c r="N32" s="33">
        <v>5.0000000000000001E-4</v>
      </c>
      <c r="O32" s="33">
        <v>5.0000000000000001E-4</v>
      </c>
      <c r="P32" s="33">
        <v>5.0000000000000001E-4</v>
      </c>
      <c r="Q32" s="33">
        <v>5.0000000000000001E-4</v>
      </c>
      <c r="R32" s="33">
        <v>5.0000000000000001E-4</v>
      </c>
      <c r="S32" s="33">
        <v>5.0000000000000001E-4</v>
      </c>
      <c r="T32" s="33">
        <v>5.0000000000000001E-4</v>
      </c>
      <c r="U32" s="33">
        <v>5.0000000000000001E-4</v>
      </c>
      <c r="V32" s="33">
        <v>5.0000000000000001E-4</v>
      </c>
      <c r="W32" s="33">
        <v>5.0000000000000001E-4</v>
      </c>
      <c r="X32" s="33">
        <v>5.0000000000000001E-4</v>
      </c>
      <c r="Y32" s="33">
        <v>5.0000000000000001E-4</v>
      </c>
      <c r="Z32" s="33">
        <v>5.0000000000000001E-4</v>
      </c>
    </row>
    <row r="33" spans="2:26" ht="18.75">
      <c r="B33" s="26" t="s">
        <v>50</v>
      </c>
      <c r="C33" s="33">
        <f>C29/(C29+C28+C27)</f>
        <v>0.73737373737373735</v>
      </c>
      <c r="D33" s="33">
        <f t="shared" ref="D33:W33" si="36">D29/(D29+D28+D27)</f>
        <v>0.73737373737373735</v>
      </c>
      <c r="E33" s="33">
        <f t="shared" si="36"/>
        <v>0.73737373737373735</v>
      </c>
      <c r="F33" s="33">
        <f t="shared" si="36"/>
        <v>0.73737373737373735</v>
      </c>
      <c r="G33" s="33">
        <f t="shared" si="36"/>
        <v>0.73737373737373735</v>
      </c>
      <c r="H33" s="55">
        <f t="shared" si="36"/>
        <v>0.73737373737373735</v>
      </c>
      <c r="I33" s="55">
        <f t="shared" si="36"/>
        <v>0.73737373737373735</v>
      </c>
      <c r="J33" s="55">
        <f t="shared" si="36"/>
        <v>0.73737373737373735</v>
      </c>
      <c r="K33" s="33">
        <f t="shared" si="36"/>
        <v>0.73737373737373735</v>
      </c>
      <c r="L33" s="33">
        <f t="shared" si="36"/>
        <v>0.73737373737373735</v>
      </c>
      <c r="M33" s="33">
        <f t="shared" si="36"/>
        <v>0.73737373737373735</v>
      </c>
      <c r="N33" s="33">
        <f t="shared" si="36"/>
        <v>0.73737373737373735</v>
      </c>
      <c r="O33" s="33">
        <f t="shared" si="36"/>
        <v>0.73737373737373735</v>
      </c>
      <c r="P33" s="33">
        <f t="shared" si="36"/>
        <v>0.73737373737373735</v>
      </c>
      <c r="Q33" s="55">
        <f t="shared" si="36"/>
        <v>0.73737373737373735</v>
      </c>
      <c r="R33" s="33">
        <f t="shared" si="36"/>
        <v>0.73737373737373735</v>
      </c>
      <c r="S33" s="33">
        <f t="shared" si="36"/>
        <v>0.73737373737373735</v>
      </c>
      <c r="T33" s="33">
        <f t="shared" si="36"/>
        <v>0.73737373737373735</v>
      </c>
      <c r="U33" s="33">
        <f t="shared" si="36"/>
        <v>0.73737373737373735</v>
      </c>
      <c r="V33" s="33">
        <f t="shared" si="36"/>
        <v>0.73737373737373735</v>
      </c>
      <c r="W33" s="55">
        <f t="shared" si="36"/>
        <v>0.73737373737373735</v>
      </c>
      <c r="X33" s="55">
        <f t="shared" ref="X33:Z33" si="37">X29/(X29+X28+X27)</f>
        <v>0.73737373737373735</v>
      </c>
      <c r="Y33" s="55">
        <f t="shared" si="37"/>
        <v>0.73737373737373735</v>
      </c>
      <c r="Z33" s="33">
        <f t="shared" si="37"/>
        <v>0.73737373737373735</v>
      </c>
    </row>
    <row r="34" spans="2:26" ht="20.25">
      <c r="B34" s="26" t="s">
        <v>51</v>
      </c>
      <c r="C34" s="33">
        <v>0.249</v>
      </c>
      <c r="D34" s="28">
        <v>0.23200000000000001</v>
      </c>
      <c r="E34" s="28">
        <v>0.245</v>
      </c>
      <c r="F34" s="28">
        <v>0.25700000000000001</v>
      </c>
      <c r="G34" s="28">
        <v>0.249</v>
      </c>
      <c r="H34" s="28">
        <v>0.251</v>
      </c>
      <c r="I34" s="28">
        <v>0.251</v>
      </c>
      <c r="J34" s="28">
        <v>0.247</v>
      </c>
      <c r="K34" s="28">
        <v>0.26100000000000001</v>
      </c>
      <c r="L34" s="28">
        <v>0.26100000000000001</v>
      </c>
      <c r="M34" s="28">
        <v>0.253</v>
      </c>
      <c r="N34" s="28">
        <v>0.26100000000000001</v>
      </c>
      <c r="O34" s="28">
        <v>0.255</v>
      </c>
      <c r="P34" s="28">
        <v>0.26100000000000001</v>
      </c>
      <c r="Q34" s="28">
        <v>0.248</v>
      </c>
      <c r="R34" s="28">
        <v>0.246</v>
      </c>
      <c r="S34" s="28">
        <v>0.24399999999999999</v>
      </c>
      <c r="T34" s="28">
        <v>0.252</v>
      </c>
      <c r="U34" s="28">
        <v>0.246</v>
      </c>
      <c r="V34" s="44">
        <v>0.252</v>
      </c>
      <c r="W34" s="44">
        <v>0.252</v>
      </c>
      <c r="X34" s="44">
        <v>0.247</v>
      </c>
      <c r="Y34" s="44">
        <v>0.26500000000000001</v>
      </c>
      <c r="Z34" s="44">
        <v>0.26500000000000001</v>
      </c>
    </row>
    <row r="35" spans="2:26" ht="15.75">
      <c r="B35" s="1" t="s">
        <v>53</v>
      </c>
      <c r="C35" s="55">
        <f>4.07-0.329*0.5+0.12*C23+0.567*C31-3.06*C29-6.17*C32+1.89*C33+2.57*C34</f>
        <v>8.2517372792036348</v>
      </c>
      <c r="D35" s="55">
        <f t="shared" ref="D35:K35" si="38">4.07-0.329*0.5+0.12*D23+0.567*D31-3.06*D29-6.17*D32+1.89*D33+2.57*D34</f>
        <v>8.198447279203636</v>
      </c>
      <c r="E35" s="55">
        <f t="shared" si="38"/>
        <v>7.9078572792036352</v>
      </c>
      <c r="F35" s="55">
        <f t="shared" si="38"/>
        <v>8.615497279203634</v>
      </c>
      <c r="G35" s="55">
        <f t="shared" si="38"/>
        <v>8.725737279203635</v>
      </c>
      <c r="H35" s="55">
        <f t="shared" si="38"/>
        <v>9.0944772792036357</v>
      </c>
      <c r="I35" s="55">
        <f t="shared" si="38"/>
        <v>8.0972772792036345</v>
      </c>
      <c r="J35" s="55">
        <f t="shared" si="38"/>
        <v>8.0869972792036346</v>
      </c>
      <c r="K35" s="55">
        <f t="shared" si="38"/>
        <v>8.414577279203634</v>
      </c>
      <c r="L35" s="55">
        <f>4.07-0.329*0.6+0.12*L23+0.567*L31-3.06*L29-6.17*L32+1.89*L33+2.57*L34</f>
        <v>8.1056772792036345</v>
      </c>
      <c r="M35" s="55">
        <f t="shared" ref="M35" si="39">4.07-0.329*0.5+0.12*M23+0.567*M31-3.06*M29-6.17*M32+1.89*M33+2.57*M34</f>
        <v>8.3940172792036343</v>
      </c>
      <c r="N35" s="55">
        <f t="shared" ref="N35" si="40">4.07-0.329*0.5+0.12*N23+0.567*N31-3.06*N29-6.17*N32+1.89*N33+2.57*N34</f>
        <v>8.1697772792036343</v>
      </c>
      <c r="O35" s="55">
        <f t="shared" ref="O35" si="41">4.07-0.329*0.5+0.12*O23+0.567*O31-3.06*O29-6.17*O32+1.89*O33+2.57*O34</f>
        <v>8.3379572792036356</v>
      </c>
      <c r="P35" s="55">
        <f t="shared" ref="P35" si="42">4.07-0.329*0.5+0.12*P23+0.567*P31-3.06*P29-6.17*P32+1.89*P33+2.57*P34</f>
        <v>8.1697772792036343</v>
      </c>
      <c r="Q35" s="55">
        <f t="shared" ref="Q35" si="43">4.07-0.329*0.5+0.12*Q23+0.567*Q31-3.06*Q29-6.17*Q32+1.89*Q33+2.57*Q34</f>
        <v>8.1711672792036349</v>
      </c>
      <c r="R35" s="55">
        <f t="shared" ref="R35:S35" si="44">4.07-0.329*0.5+0.12*R23+0.567*R31-3.06*R29-6.17*R32+1.89*R33+2.57*R34</f>
        <v>8.078427279203634</v>
      </c>
      <c r="S35" s="55">
        <f t="shared" si="44"/>
        <v>8.0888872792036342</v>
      </c>
      <c r="T35" s="55">
        <f t="shared" ref="T35" si="45">4.07-0.329*0.5+0.12*T23+0.567*T31-3.06*T29-6.17*T32+1.89*T33+2.57*T34</f>
        <v>8.1154472792036358</v>
      </c>
      <c r="U35" s="55">
        <f t="shared" ref="U35" si="46">4.07-0.329*0.5+0.12*U23+0.567*U31-3.06*U29-6.17*U32+1.89*U33+2.57*U34</f>
        <v>8.078427279203634</v>
      </c>
      <c r="V35" s="55">
        <f t="shared" ref="V35" si="47">4.07-0.329*0.5+0.12*V23+0.567*V31-3.06*V29-6.17*V32+1.89*V33+2.57*V34</f>
        <v>8.1622472792036351</v>
      </c>
      <c r="W35" s="55">
        <f t="shared" ref="W35" si="48">4.07-0.329*0.5+0.12*W23+0.567*W31-3.06*W29-6.17*W32+1.89*W33+2.57*W34</f>
        <v>8.1442472792036362</v>
      </c>
      <c r="X35" s="55">
        <f t="shared" ref="X35" si="49">4.07-0.329*0.5+0.12*X23+0.567*X31-3.06*X29-6.17*X32+1.89*X33+2.57*X34</f>
        <v>8.122997279203636</v>
      </c>
      <c r="Y35" s="55">
        <f t="shared" ref="Y35" si="50">4.07-0.329*0.5+0.12*Y23+0.567*Y31-3.06*Y29-6.17*Y32+1.89*Y33+2.57*Y34</f>
        <v>8.0444572792036357</v>
      </c>
      <c r="Z35" s="55">
        <f t="shared" ref="Z35" si="51">4.07-0.329*0.5+0.12*Z23+0.567*Z31-3.06*Z29-6.17*Z32+1.89*Z33+2.57*Z34</f>
        <v>8.0552572792036354</v>
      </c>
    </row>
    <row r="36" spans="2:26" ht="15.75">
      <c r="B36" s="39" t="s">
        <v>36</v>
      </c>
      <c r="C36" s="45">
        <f>10000/C35</f>
        <v>1211.8660182265387</v>
      </c>
      <c r="D36" s="45">
        <f t="shared" ref="D36:K36" si="52">10000/D35</f>
        <v>1219.7431610454119</v>
      </c>
      <c r="E36" s="45"/>
      <c r="F36" s="45">
        <f t="shared" si="52"/>
        <v>1160.6991071935365</v>
      </c>
      <c r="G36" s="45">
        <f t="shared" si="52"/>
        <v>1146.0349630091846</v>
      </c>
      <c r="H36" s="45">
        <f t="shared" si="52"/>
        <v>1099.5684186123622</v>
      </c>
      <c r="I36" s="45">
        <f t="shared" si="52"/>
        <v>1234.9830264159482</v>
      </c>
      <c r="J36" s="45">
        <f t="shared" si="52"/>
        <v>1236.5529076800615</v>
      </c>
      <c r="K36" s="45">
        <f t="shared" si="52"/>
        <v>1188.4138285490217</v>
      </c>
      <c r="L36" s="45">
        <f t="shared" ref="L36" si="53">10000/L35</f>
        <v>1233.7032003058575</v>
      </c>
      <c r="M36" s="45">
        <f t="shared" ref="M36" si="54">10000/M35</f>
        <v>1191.3246860684005</v>
      </c>
      <c r="N36" s="45">
        <f t="shared" ref="N36" si="55">10000/N35</f>
        <v>1224.0235759492787</v>
      </c>
      <c r="O36" s="45">
        <f t="shared" ref="O36" si="56">10000/O35</f>
        <v>1199.3345210513128</v>
      </c>
      <c r="P36" s="45">
        <f t="shared" ref="P36" si="57">10000/P35</f>
        <v>1224.0235759492787</v>
      </c>
      <c r="Q36" s="45">
        <f t="shared" ref="Q36" si="58">10000/Q35</f>
        <v>1223.8153568892062</v>
      </c>
      <c r="R36" s="45">
        <f t="shared" ref="R36" si="59">10000/R35</f>
        <v>1237.8647048965938</v>
      </c>
      <c r="S36" s="45">
        <f t="shared" ref="S36" si="60">10000/S35</f>
        <v>1236.2639822797132</v>
      </c>
      <c r="T36" s="45">
        <f t="shared" ref="T36" si="61">10000/T35</f>
        <v>1232.2179734474591</v>
      </c>
      <c r="U36" s="45">
        <f t="shared" ref="U36" si="62">10000/U35</f>
        <v>1237.8647048965938</v>
      </c>
      <c r="V36" s="45">
        <f t="shared" ref="V36" si="63">10000/V35</f>
        <v>1225.152786718276</v>
      </c>
      <c r="W36" s="45">
        <f t="shared" ref="W36" si="64">10000/W35</f>
        <v>1227.8605569277145</v>
      </c>
      <c r="X36" s="45">
        <f t="shared" ref="X36" si="65">10000/X35</f>
        <v>1231.0726762893096</v>
      </c>
      <c r="Y36" s="45">
        <f t="shared" ref="Y36" si="66">10000/Y35</f>
        <v>1243.0919393222205</v>
      </c>
      <c r="Z36" s="45">
        <f t="shared" ref="Z36" si="67">10000/Z35</f>
        <v>1241.425277106559</v>
      </c>
    </row>
    <row r="37" spans="2:26" ht="18.75">
      <c r="B37" s="26" t="s">
        <v>52</v>
      </c>
      <c r="C37" s="56">
        <f>LN(C33)</f>
        <v>-0.30466040898619884</v>
      </c>
      <c r="D37" s="56">
        <f t="shared" ref="D37:W37" si="68">LN(D33)</f>
        <v>-0.30466040898619884</v>
      </c>
      <c r="E37" s="56">
        <f t="shared" si="68"/>
        <v>-0.30466040898619884</v>
      </c>
      <c r="F37" s="56">
        <f t="shared" si="68"/>
        <v>-0.30466040898619884</v>
      </c>
      <c r="G37" s="56">
        <f t="shared" si="68"/>
        <v>-0.30466040898619884</v>
      </c>
      <c r="H37" s="56">
        <f t="shared" si="68"/>
        <v>-0.30466040898619884</v>
      </c>
      <c r="I37" s="56">
        <f t="shared" si="68"/>
        <v>-0.30466040898619884</v>
      </c>
      <c r="J37" s="56">
        <f t="shared" si="68"/>
        <v>-0.30466040898619884</v>
      </c>
      <c r="K37" s="56">
        <f t="shared" si="68"/>
        <v>-0.30466040898619884</v>
      </c>
      <c r="L37" s="56">
        <f t="shared" si="68"/>
        <v>-0.30466040898619884</v>
      </c>
      <c r="M37" s="56">
        <f t="shared" si="68"/>
        <v>-0.30466040898619884</v>
      </c>
      <c r="N37" s="56">
        <f t="shared" si="68"/>
        <v>-0.30466040898619884</v>
      </c>
      <c r="O37" s="56">
        <f t="shared" si="68"/>
        <v>-0.30466040898619884</v>
      </c>
      <c r="P37" s="56">
        <f t="shared" si="68"/>
        <v>-0.30466040898619884</v>
      </c>
      <c r="Q37" s="56">
        <f t="shared" si="68"/>
        <v>-0.30466040898619884</v>
      </c>
      <c r="R37" s="56">
        <f t="shared" si="68"/>
        <v>-0.30466040898619884</v>
      </c>
      <c r="S37" s="56">
        <f t="shared" si="68"/>
        <v>-0.30466040898619884</v>
      </c>
      <c r="T37" s="56">
        <f t="shared" si="68"/>
        <v>-0.30466040898619884</v>
      </c>
      <c r="U37" s="56">
        <f t="shared" si="68"/>
        <v>-0.30466040898619884</v>
      </c>
      <c r="V37" s="56">
        <f t="shared" si="68"/>
        <v>-0.30466040898619884</v>
      </c>
      <c r="W37" s="56">
        <f t="shared" si="68"/>
        <v>-0.30466040898619884</v>
      </c>
      <c r="X37" s="56">
        <f t="shared" ref="X37:Z37" si="69">LN(X33)</f>
        <v>-0.30466040898619884</v>
      </c>
      <c r="Y37" s="56">
        <f t="shared" si="69"/>
        <v>-0.30466040898619884</v>
      </c>
      <c r="Z37" s="56">
        <f t="shared" si="69"/>
        <v>-0.30466040898619884</v>
      </c>
    </row>
    <row r="38" spans="2:26" ht="20.25">
      <c r="B38" s="1" t="s">
        <v>22</v>
      </c>
      <c r="C38" s="33">
        <v>0.34720000000000001</v>
      </c>
      <c r="D38" s="33">
        <v>0.34720000000000001</v>
      </c>
      <c r="E38" s="33">
        <v>0.34720000000000001</v>
      </c>
      <c r="F38" s="33">
        <v>0.34720000000000001</v>
      </c>
      <c r="G38" s="33">
        <v>0.34720000000000001</v>
      </c>
      <c r="H38" s="33">
        <v>0.34720000000000001</v>
      </c>
      <c r="I38" s="33">
        <v>0.34720000000000001</v>
      </c>
      <c r="J38" s="33">
        <v>0.34720000000000001</v>
      </c>
      <c r="K38" s="33">
        <v>0.34720000000000001</v>
      </c>
      <c r="L38" s="33">
        <v>0.34720000000000001</v>
      </c>
      <c r="M38" s="33">
        <v>0.34720000000000001</v>
      </c>
      <c r="N38" s="33">
        <v>0.34720000000000001</v>
      </c>
      <c r="O38" s="33">
        <v>0.34720000000000001</v>
      </c>
      <c r="P38" s="33">
        <v>0.34720000000000001</v>
      </c>
      <c r="Q38" s="33">
        <v>0.34720000000000001</v>
      </c>
      <c r="R38" s="33">
        <v>0.34720000000000001</v>
      </c>
      <c r="S38" s="33">
        <v>0.34720000000000001</v>
      </c>
      <c r="T38" s="33">
        <v>0.34720000000000001</v>
      </c>
      <c r="U38" s="33">
        <v>0.34720000000000001</v>
      </c>
      <c r="V38" s="33">
        <v>0.34720000000000001</v>
      </c>
      <c r="W38" s="33">
        <v>0.34720000000000001</v>
      </c>
      <c r="X38" s="33">
        <v>0.34720000000000001</v>
      </c>
      <c r="Y38" s="33">
        <v>0.34720000000000001</v>
      </c>
      <c r="Z38" s="33">
        <v>0.34720000000000001</v>
      </c>
    </row>
    <row r="39" spans="2:26" ht="15.75">
      <c r="B39" s="1" t="s">
        <v>25</v>
      </c>
      <c r="C39" s="33">
        <v>-0.71479999999999999</v>
      </c>
      <c r="D39" s="33">
        <v>-0.71479999999999999</v>
      </c>
      <c r="E39" s="33">
        <v>-0.71479999999999999</v>
      </c>
      <c r="F39" s="33">
        <v>-0.71479999999999999</v>
      </c>
      <c r="G39" s="33">
        <v>-0.71479999999999999</v>
      </c>
      <c r="H39" s="33">
        <v>-0.71479999999999999</v>
      </c>
      <c r="I39" s="33">
        <v>-0.71479999999999999</v>
      </c>
      <c r="J39" s="33">
        <v>-0.71479999999999999</v>
      </c>
      <c r="K39" s="33">
        <v>-0.71479999999999999</v>
      </c>
      <c r="L39" s="33">
        <v>-0.71479999999999999</v>
      </c>
      <c r="M39" s="33">
        <v>-0.71479999999999999</v>
      </c>
      <c r="N39" s="33">
        <v>-0.71479999999999999</v>
      </c>
      <c r="O39" s="33">
        <v>-0.71479999999999999</v>
      </c>
      <c r="P39" s="33">
        <v>-0.71479999999999999</v>
      </c>
      <c r="Q39" s="33">
        <v>-0.71479999999999999</v>
      </c>
      <c r="R39" s="33">
        <v>-0.71479999999999999</v>
      </c>
      <c r="S39" s="33">
        <v>-0.71479999999999999</v>
      </c>
      <c r="T39" s="33">
        <v>-0.71479999999999999</v>
      </c>
      <c r="U39" s="33">
        <v>-0.71479999999999999</v>
      </c>
      <c r="V39" s="33">
        <v>-0.71479999999999999</v>
      </c>
      <c r="W39" s="33">
        <v>-0.71479999999999999</v>
      </c>
      <c r="X39" s="33">
        <v>-0.71479999999999999</v>
      </c>
      <c r="Y39" s="33">
        <v>-0.71479999999999999</v>
      </c>
      <c r="Z39" s="33">
        <v>-0.71479999999999999</v>
      </c>
    </row>
    <row r="40" spans="2:26" ht="20.25">
      <c r="B40" s="1" t="s">
        <v>56</v>
      </c>
      <c r="C40" s="33">
        <v>0.1096</v>
      </c>
      <c r="D40" s="33">
        <v>0.1096</v>
      </c>
      <c r="E40" s="33">
        <v>0.1096</v>
      </c>
      <c r="F40" s="33">
        <v>0.1096</v>
      </c>
      <c r="G40" s="33">
        <v>0.1096</v>
      </c>
      <c r="H40" s="33">
        <v>0.1096</v>
      </c>
      <c r="I40" s="33">
        <v>0.1096</v>
      </c>
      <c r="J40" s="33">
        <v>0.1096</v>
      </c>
      <c r="K40" s="33">
        <v>0.1096</v>
      </c>
      <c r="L40" s="33">
        <v>0.1096</v>
      </c>
      <c r="M40" s="33">
        <v>0.1096</v>
      </c>
      <c r="N40" s="33">
        <v>0.1096</v>
      </c>
      <c r="O40" s="33">
        <v>0.1096</v>
      </c>
      <c r="P40" s="33">
        <v>0.1096</v>
      </c>
      <c r="Q40" s="33">
        <v>0.1096</v>
      </c>
      <c r="R40" s="33">
        <v>0.1096</v>
      </c>
      <c r="S40" s="33">
        <v>0.1096</v>
      </c>
      <c r="T40" s="33">
        <v>0.1096</v>
      </c>
      <c r="U40" s="33">
        <v>0.1096</v>
      </c>
      <c r="V40" s="33">
        <v>0.1096</v>
      </c>
      <c r="W40" s="33">
        <v>0.1096</v>
      </c>
      <c r="X40" s="33">
        <v>0.1096</v>
      </c>
      <c r="Y40" s="33">
        <v>0.1096</v>
      </c>
      <c r="Z40" s="33">
        <v>0.1096</v>
      </c>
    </row>
    <row r="41" spans="2:26" ht="20.25">
      <c r="B41" s="1" t="s">
        <v>57</v>
      </c>
      <c r="C41" s="33">
        <f>C40^2</f>
        <v>1.2012160000000001E-2</v>
      </c>
      <c r="D41" s="33">
        <f t="shared" ref="D41:Z41" si="70">D40^2</f>
        <v>1.2012160000000001E-2</v>
      </c>
      <c r="E41" s="33">
        <f t="shared" si="70"/>
        <v>1.2012160000000001E-2</v>
      </c>
      <c r="F41" s="33">
        <f t="shared" si="70"/>
        <v>1.2012160000000001E-2</v>
      </c>
      <c r="G41" s="33">
        <f t="shared" si="70"/>
        <v>1.2012160000000001E-2</v>
      </c>
      <c r="H41" s="55">
        <f t="shared" si="70"/>
        <v>1.2012160000000001E-2</v>
      </c>
      <c r="I41" s="55">
        <f t="shared" si="70"/>
        <v>1.2012160000000001E-2</v>
      </c>
      <c r="J41" s="55">
        <f t="shared" si="70"/>
        <v>1.2012160000000001E-2</v>
      </c>
      <c r="K41" s="33">
        <f t="shared" si="70"/>
        <v>1.2012160000000001E-2</v>
      </c>
      <c r="L41" s="33">
        <f t="shared" si="70"/>
        <v>1.2012160000000001E-2</v>
      </c>
      <c r="M41" s="33">
        <f t="shared" si="70"/>
        <v>1.2012160000000001E-2</v>
      </c>
      <c r="N41" s="33">
        <f t="shared" si="70"/>
        <v>1.2012160000000001E-2</v>
      </c>
      <c r="O41" s="33">
        <f t="shared" si="70"/>
        <v>1.2012160000000001E-2</v>
      </c>
      <c r="P41" s="33">
        <f t="shared" si="70"/>
        <v>1.2012160000000001E-2</v>
      </c>
      <c r="Q41" s="55">
        <f t="shared" si="70"/>
        <v>1.2012160000000001E-2</v>
      </c>
      <c r="R41" s="33">
        <f t="shared" si="70"/>
        <v>1.2012160000000001E-2</v>
      </c>
      <c r="S41" s="33">
        <f t="shared" si="70"/>
        <v>1.2012160000000001E-2</v>
      </c>
      <c r="T41" s="33">
        <f t="shared" si="70"/>
        <v>1.2012160000000001E-2</v>
      </c>
      <c r="U41" s="33">
        <f t="shared" si="70"/>
        <v>1.2012160000000001E-2</v>
      </c>
      <c r="V41" s="33">
        <f t="shared" si="70"/>
        <v>1.2012160000000001E-2</v>
      </c>
      <c r="W41" s="55">
        <f t="shared" si="70"/>
        <v>1.2012160000000001E-2</v>
      </c>
      <c r="X41" s="55">
        <f t="shared" si="70"/>
        <v>1.2012160000000001E-2</v>
      </c>
      <c r="Y41" s="55">
        <f t="shared" si="70"/>
        <v>1.2012160000000001E-2</v>
      </c>
      <c r="Z41" s="33">
        <f t="shared" si="70"/>
        <v>1.2012160000000001E-2</v>
      </c>
    </row>
    <row r="42" spans="2:26" ht="15.75">
      <c r="B42" s="40" t="s">
        <v>36</v>
      </c>
      <c r="C42" s="47">
        <f>(5573.8+587.9*0.5-61*0.25)/(5.3-0.633*C37-3.97*C38+0.06*C39+24.7*C41+0.081*C23+0.156*0.5)</f>
        <v>1252.8207489582635</v>
      </c>
      <c r="D42" s="47">
        <f t="shared" ref="D42:K42" si="71">(5573.8+587.9*0.5-61*0.25)/(5.3-0.633*D37-3.97*D38+0.06*D39+24.7*D41+0.081*D23+0.156*0.5)</f>
        <v>1254.5610096353776</v>
      </c>
      <c r="E42" s="47"/>
      <c r="F42" s="47">
        <f t="shared" si="71"/>
        <v>1193.6281226404863</v>
      </c>
      <c r="G42" s="47">
        <f t="shared" si="71"/>
        <v>1172.5147576951715</v>
      </c>
      <c r="H42" s="47">
        <f t="shared" si="71"/>
        <v>1117.5636067332046</v>
      </c>
      <c r="I42" s="47">
        <f t="shared" si="71"/>
        <v>1282.3944588124129</v>
      </c>
      <c r="J42" s="47">
        <f t="shared" si="71"/>
        <v>1282.3944588124129</v>
      </c>
      <c r="K42" s="47">
        <f t="shared" si="71"/>
        <v>1229.3725902410351</v>
      </c>
      <c r="L42" s="47">
        <f>(5573.8+587.9*0.6-61*0.36)/(5.3-0.633*L37-3.97*L38+0.06*L39+24.7*L41+0.081*L23+0.156*0.6)</f>
        <v>1286.4405602843231</v>
      </c>
      <c r="M42" s="47">
        <f t="shared" ref="M42:Z42" si="72">(5573.8+587.9*0.6-61*0.36)/(5.3-0.633*M37-3.97*M38+0.06*M39+24.7*M41+0.081*M23+0.156*0.6)</f>
        <v>1236.2613457846135</v>
      </c>
      <c r="N42" s="47">
        <f t="shared" si="72"/>
        <v>1280.564846185126</v>
      </c>
      <c r="O42" s="47">
        <f t="shared" si="72"/>
        <v>1247.047320746904</v>
      </c>
      <c r="P42" s="47">
        <f t="shared" si="72"/>
        <v>1280.564846185126</v>
      </c>
      <c r="Q42" s="47">
        <f t="shared" si="72"/>
        <v>1274.074164807967</v>
      </c>
      <c r="R42" s="47">
        <f t="shared" si="72"/>
        <v>1290.5400492698016</v>
      </c>
      <c r="S42" s="47">
        <f t="shared" si="72"/>
        <v>1287.5766924174281</v>
      </c>
      <c r="T42" s="47">
        <f t="shared" si="72"/>
        <v>1286.4405602843231</v>
      </c>
      <c r="U42" s="47">
        <f t="shared" si="72"/>
        <v>1290.5400492698016</v>
      </c>
      <c r="V42" s="47">
        <f t="shared" si="72"/>
        <v>1277.6470709143007</v>
      </c>
      <c r="W42" s="47">
        <f t="shared" si="72"/>
        <v>1281.0149179476575</v>
      </c>
      <c r="X42" s="47">
        <f t="shared" si="72"/>
        <v>1282.5926635795897</v>
      </c>
      <c r="Y42" s="47">
        <f t="shared" si="72"/>
        <v>1306.499793623509</v>
      </c>
      <c r="Z42" s="47">
        <f t="shared" si="72"/>
        <v>1304.3957379179642</v>
      </c>
    </row>
    <row r="43" spans="2:26" ht="15.75">
      <c r="B43" s="70" t="s">
        <v>63</v>
      </c>
      <c r="C43" s="70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</row>
    <row r="44" spans="2:26" ht="15.75">
      <c r="B44" s="1" t="s">
        <v>61</v>
      </c>
      <c r="C44" s="56">
        <f>LN(C42)</f>
        <v>7.1331528871669683</v>
      </c>
      <c r="D44" s="56">
        <f>LN(D42)</f>
        <v>7.1345409972547804</v>
      </c>
      <c r="E44" s="56"/>
      <c r="F44" s="56">
        <f t="shared" ref="F44:Z44" si="73">LN(F42)</f>
        <v>7.0847527903653731</v>
      </c>
      <c r="G44" s="56">
        <f t="shared" si="73"/>
        <v>7.0669060867616267</v>
      </c>
      <c r="H44" s="56">
        <f t="shared" si="73"/>
        <v>7.0189062436448282</v>
      </c>
      <c r="I44" s="56">
        <f t="shared" si="73"/>
        <v>7.1564842803349888</v>
      </c>
      <c r="J44" s="56">
        <f t="shared" si="73"/>
        <v>7.1564842803349888</v>
      </c>
      <c r="K44" s="56">
        <f t="shared" si="73"/>
        <v>7.1142592289917612</v>
      </c>
      <c r="L44" s="56">
        <f t="shared" si="73"/>
        <v>7.159634427999408</v>
      </c>
      <c r="M44" s="56">
        <f t="shared" si="73"/>
        <v>7.119847060475891</v>
      </c>
      <c r="N44" s="56">
        <f t="shared" si="73"/>
        <v>7.1550565456577244</v>
      </c>
      <c r="O44" s="56">
        <f t="shared" si="73"/>
        <v>7.1285338926319772</v>
      </c>
      <c r="P44" s="56">
        <f t="shared" si="73"/>
        <v>7.1550565456577244</v>
      </c>
      <c r="Q44" s="56">
        <f t="shared" si="73"/>
        <v>7.1499750485727134</v>
      </c>
      <c r="R44" s="56">
        <f t="shared" si="73"/>
        <v>7.1628160525940592</v>
      </c>
      <c r="S44" s="56">
        <f t="shared" si="73"/>
        <v>7.1605171976900097</v>
      </c>
      <c r="T44" s="56">
        <f t="shared" si="73"/>
        <v>7.159634427999408</v>
      </c>
      <c r="U44" s="56">
        <f t="shared" si="73"/>
        <v>7.1628160525940592</v>
      </c>
      <c r="V44" s="56">
        <f t="shared" si="73"/>
        <v>7.1527754394549667</v>
      </c>
      <c r="W44" s="56">
        <f t="shared" si="73"/>
        <v>7.1554079473774479</v>
      </c>
      <c r="X44" s="56">
        <f t="shared" si="73"/>
        <v>7.1566388267386261</v>
      </c>
      <c r="Y44" s="56">
        <f t="shared" si="73"/>
        <v>7.1751069269993142</v>
      </c>
      <c r="Z44" s="56">
        <f t="shared" si="73"/>
        <v>7.1734951764442973</v>
      </c>
    </row>
    <row r="45" spans="2:26" ht="20.25">
      <c r="B45" s="1" t="s">
        <v>58</v>
      </c>
      <c r="C45" s="44">
        <v>6.3E-2</v>
      </c>
      <c r="D45" s="44">
        <v>6.6000000000000003E-2</v>
      </c>
      <c r="E45" s="44">
        <v>7.4999999999999997E-2</v>
      </c>
      <c r="F45" s="44">
        <v>7.9000000000000001E-2</v>
      </c>
      <c r="G45" s="44">
        <v>7.3999999999999996E-2</v>
      </c>
      <c r="H45" s="44">
        <v>7.6999999999999999E-2</v>
      </c>
      <c r="I45" s="44"/>
      <c r="J45" s="44">
        <v>7.1999999999999995E-2</v>
      </c>
      <c r="K45" s="44"/>
      <c r="L45" s="44">
        <v>7.8E-2</v>
      </c>
      <c r="M45" s="44">
        <v>7.3999999999999996E-2</v>
      </c>
      <c r="N45" s="44"/>
      <c r="O45" s="44">
        <v>7.5999999999999998E-2</v>
      </c>
      <c r="P45" s="44">
        <v>7.1999999999999995E-2</v>
      </c>
      <c r="Q45" s="44">
        <v>6.7000000000000004E-2</v>
      </c>
      <c r="R45" s="44"/>
      <c r="S45" s="44">
        <v>7.0999999999999994E-2</v>
      </c>
      <c r="T45" s="44">
        <v>7.3999999999999996E-2</v>
      </c>
      <c r="U45" s="44">
        <v>7.1999999999999995E-2</v>
      </c>
      <c r="V45" s="44">
        <v>6.8000000000000005E-2</v>
      </c>
      <c r="W45" s="44">
        <v>7.3999999999999996E-2</v>
      </c>
      <c r="X45" s="44">
        <v>7.3999999999999996E-2</v>
      </c>
      <c r="Y45" s="44">
        <v>7.8E-2</v>
      </c>
      <c r="Z45" s="44">
        <v>7.1999999999999995E-2</v>
      </c>
    </row>
    <row r="46" spans="2:26" ht="20.25">
      <c r="B46" s="1" t="s">
        <v>60</v>
      </c>
      <c r="C46" s="44">
        <v>7.0999999999999994E-2</v>
      </c>
      <c r="D46" s="44">
        <v>7.1999999999999995E-2</v>
      </c>
      <c r="E46" s="44">
        <v>7.0999999999999994E-2</v>
      </c>
      <c r="F46" s="44">
        <v>6.9000000000000006E-2</v>
      </c>
      <c r="G46" s="44">
        <v>7.5999999999999998E-2</v>
      </c>
      <c r="H46" s="44">
        <v>7.0999999999999994E-2</v>
      </c>
      <c r="I46" s="44"/>
      <c r="J46" s="44">
        <v>7.5999999999999998E-2</v>
      </c>
      <c r="K46" s="44"/>
      <c r="L46" s="44">
        <v>6.6000000000000003E-2</v>
      </c>
      <c r="M46" s="44">
        <v>6.4000000000000001E-2</v>
      </c>
      <c r="N46" s="44"/>
      <c r="O46" s="44">
        <v>7.4999999999999997E-2</v>
      </c>
      <c r="P46" s="44">
        <v>0.06</v>
      </c>
      <c r="Q46" s="44">
        <v>7.0999999999999994E-2</v>
      </c>
      <c r="R46" s="44"/>
      <c r="S46" s="44">
        <v>7.0999999999999994E-2</v>
      </c>
      <c r="T46" s="44">
        <v>6.8000000000000005E-2</v>
      </c>
      <c r="U46" s="44">
        <v>7.8E-2</v>
      </c>
      <c r="V46" s="44">
        <v>7.0000000000000007E-2</v>
      </c>
      <c r="W46" s="44">
        <v>6.8000000000000005E-2</v>
      </c>
      <c r="X46" s="44">
        <v>7.0000000000000007E-2</v>
      </c>
      <c r="Y46" s="44">
        <v>5.3999999999999999E-2</v>
      </c>
      <c r="Z46" s="44">
        <v>0.05</v>
      </c>
    </row>
    <row r="47" spans="2:26" ht="20.25">
      <c r="B47" s="1" t="s">
        <v>59</v>
      </c>
      <c r="C47" s="44">
        <v>1.9E-2</v>
      </c>
      <c r="D47" s="44">
        <v>1.7000000000000001E-2</v>
      </c>
      <c r="E47" s="44">
        <v>1.9E-2</v>
      </c>
      <c r="F47" s="44">
        <v>1.9E-2</v>
      </c>
      <c r="G47" s="44">
        <v>1.7000000000000001E-2</v>
      </c>
      <c r="H47" s="44">
        <v>1.6E-2</v>
      </c>
      <c r="I47" s="44"/>
      <c r="J47" s="44">
        <v>1.9E-2</v>
      </c>
      <c r="K47" s="44"/>
      <c r="L47" s="44">
        <v>2.3E-2</v>
      </c>
      <c r="M47" s="44">
        <v>0.02</v>
      </c>
      <c r="N47" s="44"/>
      <c r="O47" s="44">
        <v>1.7000000000000001E-2</v>
      </c>
      <c r="P47" s="44">
        <v>0.02</v>
      </c>
      <c r="Q47" s="44">
        <v>1.7000000000000001E-2</v>
      </c>
      <c r="R47" s="44"/>
      <c r="S47" s="44">
        <v>1.7000000000000001E-2</v>
      </c>
      <c r="T47" s="44">
        <v>0.02</v>
      </c>
      <c r="U47" s="44">
        <v>0.02</v>
      </c>
      <c r="V47" s="44">
        <v>1.6E-2</v>
      </c>
      <c r="W47" s="44">
        <v>1.7000000000000001E-2</v>
      </c>
      <c r="X47" s="44">
        <v>1.7999999999999999E-2</v>
      </c>
      <c r="Y47" s="44">
        <v>1.6E-2</v>
      </c>
      <c r="Z47" s="44">
        <v>1.4E-2</v>
      </c>
    </row>
    <row r="48" spans="2:26" ht="20.25">
      <c r="B48" s="1" t="s">
        <v>62</v>
      </c>
      <c r="C48" s="56">
        <f>LN(C47)</f>
        <v>-3.9633162998156966</v>
      </c>
      <c r="D48" s="56">
        <f t="shared" ref="D48:Z48" si="74">LN(D47)</f>
        <v>-4.0745419349259206</v>
      </c>
      <c r="E48" s="56">
        <f t="shared" si="74"/>
        <v>-3.9633162998156966</v>
      </c>
      <c r="F48" s="56">
        <f t="shared" si="74"/>
        <v>-3.9633162998156966</v>
      </c>
      <c r="G48" s="56">
        <f t="shared" si="74"/>
        <v>-4.0745419349259206</v>
      </c>
      <c r="H48" s="56">
        <f t="shared" si="74"/>
        <v>-4.1351665567423561</v>
      </c>
      <c r="I48" s="56" t="e">
        <f t="shared" si="74"/>
        <v>#NUM!</v>
      </c>
      <c r="J48" s="56">
        <f t="shared" si="74"/>
        <v>-3.9633162998156966</v>
      </c>
      <c r="K48" s="56" t="e">
        <f t="shared" si="74"/>
        <v>#NUM!</v>
      </c>
      <c r="L48" s="56">
        <f t="shared" si="74"/>
        <v>-3.7722610630529876</v>
      </c>
      <c r="M48" s="56">
        <f t="shared" si="74"/>
        <v>-3.912023005428146</v>
      </c>
      <c r="N48" s="56" t="e">
        <f t="shared" si="74"/>
        <v>#NUM!</v>
      </c>
      <c r="O48" s="56">
        <f t="shared" si="74"/>
        <v>-4.0745419349259206</v>
      </c>
      <c r="P48" s="56">
        <f t="shared" si="74"/>
        <v>-3.912023005428146</v>
      </c>
      <c r="Q48" s="56">
        <f t="shared" si="74"/>
        <v>-4.0745419349259206</v>
      </c>
      <c r="R48" s="56" t="e">
        <f t="shared" si="74"/>
        <v>#NUM!</v>
      </c>
      <c r="S48" s="56">
        <f t="shared" si="74"/>
        <v>-4.0745419349259206</v>
      </c>
      <c r="T48" s="56">
        <f t="shared" si="74"/>
        <v>-3.912023005428146</v>
      </c>
      <c r="U48" s="56">
        <f t="shared" si="74"/>
        <v>-3.912023005428146</v>
      </c>
      <c r="V48" s="56">
        <f t="shared" si="74"/>
        <v>-4.1351665567423561</v>
      </c>
      <c r="W48" s="56">
        <f t="shared" si="74"/>
        <v>-4.0745419349259206</v>
      </c>
      <c r="X48" s="56">
        <f t="shared" si="74"/>
        <v>-4.0173835210859723</v>
      </c>
      <c r="Y48" s="56">
        <f t="shared" si="74"/>
        <v>-4.1351665567423561</v>
      </c>
      <c r="Z48" s="56">
        <f t="shared" si="74"/>
        <v>-4.2686979493668789</v>
      </c>
    </row>
    <row r="49" spans="2:26" ht="15.75">
      <c r="B49" s="39" t="s">
        <v>64</v>
      </c>
      <c r="C49" s="45">
        <f>2064+0.321*C42-343.4*C44+31.52*C45-12.28*C46-290*C47+1.54*C48-177.2*(C45-0.1715)*(C45-0.1715)-372*(C45-0.1715)*(C46-0.0736)</f>
        <v>3.9401479607495582</v>
      </c>
      <c r="D49" s="45">
        <f t="shared" ref="D49:Z49" si="75">2064+0.321*D42-343.4*D44+31.52*D45-12.28*D46-290*D47+1.54*D48-177.2*(D45-0.1715)*(D45-0.1715)-372*(D45-0.1715)*(D46-0.0736)</f>
        <v>4.6689971558784871</v>
      </c>
      <c r="E49" s="45"/>
      <c r="F49" s="45">
        <f t="shared" si="75"/>
        <v>2.6053185544110375</v>
      </c>
      <c r="G49" s="45">
        <f t="shared" si="75"/>
        <v>2.1986329464219376</v>
      </c>
      <c r="H49" s="45">
        <f t="shared" si="75"/>
        <v>1.3186764963417046</v>
      </c>
      <c r="I49" s="45" t="e">
        <f t="shared" si="75"/>
        <v>#NUM!</v>
      </c>
      <c r="J49" s="45">
        <f t="shared" si="75"/>
        <v>6.1690816100333947</v>
      </c>
      <c r="K49" s="45" t="e">
        <f t="shared" si="75"/>
        <v>#NUM!</v>
      </c>
      <c r="L49" s="45">
        <f t="shared" si="75"/>
        <v>5.6842853391694108</v>
      </c>
      <c r="M49" s="45">
        <f t="shared" si="75"/>
        <v>3.5737565010808598</v>
      </c>
      <c r="N49" s="45" t="e">
        <f t="shared" si="75"/>
        <v>#NUM!</v>
      </c>
      <c r="O49" s="45">
        <f t="shared" si="75"/>
        <v>5.0670047501494686</v>
      </c>
      <c r="P49" s="45">
        <f t="shared" si="75"/>
        <v>5.4653077182037997</v>
      </c>
      <c r="Q49" s="45">
        <f t="shared" si="75"/>
        <v>5.6753999437019482</v>
      </c>
      <c r="R49" s="45" t="e">
        <f t="shared" si="75"/>
        <v>#NUM!</v>
      </c>
      <c r="S49" s="45">
        <f t="shared" si="75"/>
        <v>6.664790099459375</v>
      </c>
      <c r="T49" s="45">
        <f t="shared" si="75"/>
        <v>6.1142623479116684</v>
      </c>
      <c r="U49" s="45">
        <f t="shared" si="75"/>
        <v>6.4479452264471577</v>
      </c>
      <c r="V49" s="45">
        <f t="shared" si="75"/>
        <v>6.1004094572719074</v>
      </c>
      <c r="W49" s="45">
        <f t="shared" si="75"/>
        <v>6.4437254519967224</v>
      </c>
      <c r="X49" s="45">
        <f t="shared" si="75"/>
        <v>6.3735017845317854</v>
      </c>
      <c r="Y49" s="45">
        <f t="shared" si="75"/>
        <v>8.0111446241989306</v>
      </c>
      <c r="Z49" s="45">
        <f t="shared" si="75"/>
        <v>7.7265787386697884</v>
      </c>
    </row>
    <row r="51" spans="2:26">
      <c r="C51" s="60"/>
      <c r="D51" s="60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S51" s="61"/>
    </row>
  </sheetData>
  <mergeCells count="20">
    <mergeCell ref="C22:H22"/>
    <mergeCell ref="J22:P22"/>
    <mergeCell ref="Q22:Z22"/>
    <mergeCell ref="B43:C43"/>
    <mergeCell ref="B20:D20"/>
    <mergeCell ref="M20:N20"/>
    <mergeCell ref="Q20:R20"/>
    <mergeCell ref="M9:N9"/>
    <mergeCell ref="Q9:R9"/>
    <mergeCell ref="Q7:R7"/>
    <mergeCell ref="M8:N8"/>
    <mergeCell ref="Q8:R8"/>
    <mergeCell ref="M2:N2"/>
    <mergeCell ref="Q2:R2"/>
    <mergeCell ref="B4:C4"/>
    <mergeCell ref="M6:N6"/>
    <mergeCell ref="M7:N7"/>
    <mergeCell ref="L3:S3"/>
    <mergeCell ref="D3:H3"/>
    <mergeCell ref="Q6:R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Ol</vt:lpstr>
      <vt:lpstr>Opx</vt:lpstr>
      <vt:lpstr>Ol!Область_печати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chashchin</dc:creator>
  <cp:lastModifiedBy>chashchin</cp:lastModifiedBy>
  <cp:lastPrinted>2024-03-27T13:56:26Z</cp:lastPrinted>
  <dcterms:created xsi:type="dcterms:W3CDTF">2023-07-16T09:33:32Z</dcterms:created>
  <dcterms:modified xsi:type="dcterms:W3CDTF">2024-07-02T14:04:55Z</dcterms:modified>
</cp:coreProperties>
</file>