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lqc\Desktop\新建文件夹 (4)\新建文件夹 (2)\新建文件夹\"/>
    </mc:Choice>
  </mc:AlternateContent>
  <xr:revisionPtr revIDLastSave="0" documentId="8_{7C582C06-6CB9-4502-AD3F-0DCC0C8D3C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2" sheetId="2" r:id="rId1"/>
    <sheet name="2013" sheetId="3" r:id="rId2"/>
    <sheet name="2014" sheetId="4" r:id="rId3"/>
    <sheet name="2015" sheetId="5" r:id="rId4"/>
    <sheet name="2016" sheetId="6" r:id="rId5"/>
    <sheet name="2017" sheetId="7" r:id="rId6"/>
    <sheet name="2018" sheetId="8" r:id="rId7"/>
    <sheet name="2019" sheetId="9" r:id="rId8"/>
    <sheet name="2020" sheetId="10" r:id="rId9"/>
    <sheet name="2021" sheetId="11" r:id="rId10"/>
    <sheet name="2022" sheetId="12" r:id="rId11"/>
    <sheet name="Leve gradient of inbound touris" sheetId="13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10" l="1"/>
  <c r="P3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" i="8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3" i="12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" i="12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" i="6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" i="4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O26" i="11"/>
  <c r="N26" i="11"/>
  <c r="M26" i="11"/>
  <c r="L26" i="11"/>
  <c r="O23" i="11"/>
  <c r="N23" i="11"/>
  <c r="M23" i="11"/>
  <c r="L23" i="11"/>
  <c r="O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N3" i="1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M3" i="1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L3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O2" i="11"/>
  <c r="N2" i="11"/>
  <c r="M2" i="11"/>
  <c r="L2" i="11"/>
  <c r="C23" i="11"/>
  <c r="D23" i="11"/>
  <c r="O26" i="10"/>
  <c r="N26" i="10"/>
  <c r="M26" i="10"/>
  <c r="L26" i="10"/>
  <c r="O23" i="10"/>
  <c r="N23" i="10"/>
  <c r="M23" i="10"/>
  <c r="L23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N3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M3" i="10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L3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O2" i="10"/>
  <c r="N2" i="10"/>
  <c r="M2" i="10"/>
  <c r="L2" i="10"/>
  <c r="D23" i="10"/>
  <c r="C23" i="10"/>
  <c r="O26" i="9"/>
  <c r="N26" i="9"/>
  <c r="M26" i="9"/>
  <c r="L26" i="9"/>
  <c r="C23" i="9"/>
  <c r="D23" i="9"/>
  <c r="O23" i="9"/>
  <c r="N23" i="9"/>
  <c r="M23" i="9"/>
  <c r="L23" i="9"/>
  <c r="O3" i="9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N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M3" i="9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O2" i="9"/>
  <c r="N2" i="9"/>
  <c r="M2" i="9"/>
  <c r="L2" i="9"/>
  <c r="O26" i="8"/>
  <c r="N26" i="8"/>
  <c r="M26" i="8"/>
  <c r="L26" i="8"/>
  <c r="O23" i="8"/>
  <c r="N23" i="8"/>
  <c r="M23" i="8"/>
  <c r="L23" i="8"/>
  <c r="D23" i="8"/>
  <c r="C23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O2" i="8"/>
  <c r="N2" i="8"/>
  <c r="M2" i="8"/>
  <c r="L2" i="8"/>
  <c r="O26" i="7"/>
  <c r="N26" i="7"/>
  <c r="M26" i="7"/>
  <c r="L26" i="7"/>
  <c r="O23" i="7"/>
  <c r="N23" i="7"/>
  <c r="M23" i="7"/>
  <c r="L23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O2" i="7"/>
  <c r="N2" i="7"/>
  <c r="M2" i="7"/>
  <c r="L2" i="7"/>
  <c r="D23" i="7"/>
  <c r="C23" i="7"/>
  <c r="O26" i="6"/>
  <c r="N26" i="6"/>
  <c r="M26" i="6"/>
  <c r="L26" i="6"/>
  <c r="O23" i="6"/>
  <c r="N23" i="6"/>
  <c r="M23" i="6"/>
  <c r="L23" i="6"/>
  <c r="O22" i="6"/>
  <c r="N22" i="6"/>
  <c r="M22" i="6"/>
  <c r="L22" i="6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O2" i="6"/>
  <c r="N2" i="6"/>
  <c r="M2" i="6"/>
  <c r="L2" i="6"/>
  <c r="D23" i="6"/>
  <c r="C23" i="6"/>
  <c r="O25" i="5"/>
  <c r="N25" i="5"/>
  <c r="M25" i="5"/>
  <c r="L25" i="5"/>
  <c r="D23" i="5"/>
  <c r="C23" i="5"/>
  <c r="O23" i="5"/>
  <c r="N23" i="5"/>
  <c r="M23" i="5"/>
  <c r="L23" i="5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O2" i="5"/>
  <c r="N2" i="5"/>
  <c r="M2" i="5"/>
  <c r="L2" i="5"/>
  <c r="O27" i="4"/>
  <c r="N23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" i="4"/>
  <c r="M27" i="4"/>
  <c r="L27" i="4"/>
  <c r="N27" i="4"/>
  <c r="O23" i="4"/>
  <c r="M23" i="4"/>
  <c r="L23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O2" i="4"/>
  <c r="M2" i="4"/>
  <c r="L2" i="4"/>
  <c r="D23" i="4"/>
  <c r="C23" i="4"/>
  <c r="D23" i="3"/>
  <c r="C23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O2" i="3"/>
  <c r="O23" i="3" s="1"/>
  <c r="O26" i="3" s="1"/>
  <c r="N2" i="3"/>
  <c r="N23" i="3" s="1"/>
  <c r="N26" i="3" s="1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M2" i="3"/>
  <c r="M23" i="3" s="1"/>
  <c r="M26" i="3" s="1"/>
  <c r="L2" i="3"/>
  <c r="L23" i="3" s="1"/>
  <c r="L26" i="3" s="1"/>
  <c r="D23" i="2"/>
  <c r="C23" i="2"/>
  <c r="M23" i="2"/>
  <c r="M26" i="2" s="1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O2" i="2"/>
  <c r="O23" i="2" s="1"/>
  <c r="O26" i="2" s="1"/>
  <c r="N2" i="2"/>
  <c r="N23" i="2" s="1"/>
  <c r="M2" i="2"/>
  <c r="L2" i="2"/>
  <c r="L23" i="2" s="1"/>
  <c r="L26" i="2" s="1"/>
  <c r="O26" i="12"/>
  <c r="N26" i="12"/>
  <c r="M26" i="12"/>
  <c r="L26" i="12"/>
  <c r="O23" i="12"/>
  <c r="N23" i="12"/>
  <c r="M23" i="12"/>
  <c r="L23" i="12"/>
  <c r="O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N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M3" i="12"/>
  <c r="M4" i="12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L3" i="12"/>
  <c r="L4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O2" i="12"/>
  <c r="N2" i="12"/>
  <c r="M2" i="12"/>
  <c r="L2" i="12"/>
  <c r="D23" i="12"/>
  <c r="C23" i="12"/>
  <c r="H23" i="12"/>
  <c r="H23" i="11"/>
  <c r="H23" i="10"/>
  <c r="H23" i="9"/>
  <c r="H23" i="8"/>
  <c r="H23" i="7"/>
  <c r="H23" i="6"/>
  <c r="F25" i="5"/>
  <c r="D25" i="5"/>
  <c r="B25" i="5"/>
  <c r="I23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" i="5"/>
  <c r="H23" i="5"/>
  <c r="G23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" i="5"/>
  <c r="E23" i="5"/>
  <c r="N26" i="2" l="1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" i="12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" i="11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" i="10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" i="9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" i="8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" i="7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" i="6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" i="5"/>
  <c r="F25" i="4"/>
  <c r="D25" i="4"/>
  <c r="I23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" i="4"/>
  <c r="H23" i="4"/>
  <c r="G23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" i="4"/>
  <c r="E23" i="4" s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H23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E2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" i="3"/>
  <c r="I2" i="3" s="1"/>
  <c r="I23" i="3" s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H23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E23" i="3" l="1"/>
  <c r="F25" i="3" s="1"/>
  <c r="B25" i="3"/>
  <c r="G2" i="3"/>
  <c r="G23" i="3" s="1"/>
  <c r="D25" i="3" s="1"/>
  <c r="I10" i="12"/>
  <c r="G10" i="12"/>
  <c r="I17" i="12"/>
  <c r="G17" i="12"/>
  <c r="I9" i="12"/>
  <c r="G9" i="12"/>
  <c r="I16" i="12"/>
  <c r="G16" i="12"/>
  <c r="G8" i="12"/>
  <c r="I8" i="12"/>
  <c r="G18" i="12"/>
  <c r="I18" i="12"/>
  <c r="I2" i="12"/>
  <c r="G2" i="12"/>
  <c r="B25" i="12"/>
  <c r="E23" i="12"/>
  <c r="I15" i="12"/>
  <c r="G15" i="12"/>
  <c r="I7" i="12"/>
  <c r="G7" i="12"/>
  <c r="I22" i="12"/>
  <c r="G22" i="12"/>
  <c r="I14" i="12"/>
  <c r="G14" i="12"/>
  <c r="G6" i="12"/>
  <c r="I6" i="12"/>
  <c r="I21" i="12"/>
  <c r="G21" i="12"/>
  <c r="I13" i="12"/>
  <c r="G13" i="12"/>
  <c r="I5" i="12"/>
  <c r="G5" i="12"/>
  <c r="I20" i="12"/>
  <c r="G20" i="12"/>
  <c r="G12" i="12"/>
  <c r="I12" i="12"/>
  <c r="I4" i="12"/>
  <c r="G4" i="12"/>
  <c r="G19" i="12"/>
  <c r="I19" i="12"/>
  <c r="I11" i="12"/>
  <c r="G11" i="12"/>
  <c r="I3" i="12"/>
  <c r="G3" i="12"/>
  <c r="G20" i="11"/>
  <c r="I20" i="11"/>
  <c r="G12" i="11"/>
  <c r="I12" i="11"/>
  <c r="G4" i="11"/>
  <c r="I4" i="11"/>
  <c r="I19" i="11"/>
  <c r="G19" i="11"/>
  <c r="G11" i="11"/>
  <c r="I11" i="11"/>
  <c r="I3" i="11"/>
  <c r="G3" i="11"/>
  <c r="I21" i="11"/>
  <c r="G21" i="11"/>
  <c r="I18" i="11"/>
  <c r="G18" i="11"/>
  <c r="I10" i="11"/>
  <c r="G10" i="11"/>
  <c r="I5" i="11"/>
  <c r="G5" i="11"/>
  <c r="G17" i="11"/>
  <c r="I17" i="11"/>
  <c r="I9" i="11"/>
  <c r="G9" i="11"/>
  <c r="I13" i="11"/>
  <c r="G13" i="11"/>
  <c r="I16" i="11"/>
  <c r="G16" i="11"/>
  <c r="G8" i="11"/>
  <c r="I8" i="11"/>
  <c r="I2" i="11"/>
  <c r="G2" i="11"/>
  <c r="G23" i="11" s="1"/>
  <c r="D25" i="11" s="1"/>
  <c r="E23" i="11"/>
  <c r="B25" i="11"/>
  <c r="I15" i="11"/>
  <c r="G15" i="11"/>
  <c r="G7" i="11"/>
  <c r="I7" i="11"/>
  <c r="I22" i="11"/>
  <c r="G22" i="11"/>
  <c r="G14" i="11"/>
  <c r="I14" i="11"/>
  <c r="I6" i="11"/>
  <c r="G6" i="11"/>
  <c r="G2" i="10"/>
  <c r="I2" i="10"/>
  <c r="B25" i="10"/>
  <c r="E23" i="10"/>
  <c r="I15" i="10"/>
  <c r="G15" i="10"/>
  <c r="G7" i="10"/>
  <c r="I7" i="10"/>
  <c r="G22" i="10"/>
  <c r="I22" i="10"/>
  <c r="G14" i="10"/>
  <c r="I14" i="10"/>
  <c r="G6" i="10"/>
  <c r="I6" i="10"/>
  <c r="G21" i="10"/>
  <c r="I21" i="10"/>
  <c r="G13" i="10"/>
  <c r="I13" i="10"/>
  <c r="G5" i="10"/>
  <c r="I5" i="10"/>
  <c r="G20" i="10"/>
  <c r="I20" i="10"/>
  <c r="G12" i="10"/>
  <c r="I12" i="10"/>
  <c r="G4" i="10"/>
  <c r="I4" i="10"/>
  <c r="G19" i="10"/>
  <c r="I19" i="10"/>
  <c r="I11" i="10"/>
  <c r="G11" i="10"/>
  <c r="I3" i="10"/>
  <c r="G3" i="10"/>
  <c r="I8" i="10"/>
  <c r="G8" i="10"/>
  <c r="I18" i="10"/>
  <c r="G18" i="10"/>
  <c r="G10" i="10"/>
  <c r="I10" i="10"/>
  <c r="G16" i="10"/>
  <c r="I16" i="10"/>
  <c r="G17" i="10"/>
  <c r="I17" i="10"/>
  <c r="G9" i="10"/>
  <c r="I9" i="10"/>
  <c r="I11" i="9"/>
  <c r="G11" i="9"/>
  <c r="I18" i="9"/>
  <c r="G18" i="9"/>
  <c r="I10" i="9"/>
  <c r="G10" i="9"/>
  <c r="G3" i="9"/>
  <c r="I3" i="9"/>
  <c r="G17" i="9"/>
  <c r="I17" i="9"/>
  <c r="I9" i="9"/>
  <c r="G9" i="9"/>
  <c r="I16" i="9"/>
  <c r="G16" i="9"/>
  <c r="G8" i="9"/>
  <c r="I8" i="9"/>
  <c r="I2" i="9"/>
  <c r="G2" i="9"/>
  <c r="E23" i="9"/>
  <c r="B25" i="9"/>
  <c r="I15" i="9"/>
  <c r="G15" i="9"/>
  <c r="I7" i="9"/>
  <c r="G7" i="9"/>
  <c r="I22" i="9"/>
  <c r="G22" i="9"/>
  <c r="I14" i="9"/>
  <c r="G14" i="9"/>
  <c r="I6" i="9"/>
  <c r="G6" i="9"/>
  <c r="I21" i="9"/>
  <c r="G21" i="9"/>
  <c r="I13" i="9"/>
  <c r="G13" i="9"/>
  <c r="I5" i="9"/>
  <c r="G5" i="9"/>
  <c r="I19" i="9"/>
  <c r="G19" i="9"/>
  <c r="I20" i="9"/>
  <c r="G20" i="9"/>
  <c r="I12" i="9"/>
  <c r="G12" i="9"/>
  <c r="G4" i="9"/>
  <c r="I4" i="9"/>
  <c r="I22" i="8"/>
  <c r="G22" i="8"/>
  <c r="I13" i="8"/>
  <c r="G13" i="8"/>
  <c r="I20" i="8"/>
  <c r="G20" i="8"/>
  <c r="I12" i="8"/>
  <c r="G12" i="8"/>
  <c r="I4" i="8"/>
  <c r="G4" i="8"/>
  <c r="I6" i="8"/>
  <c r="G6" i="8"/>
  <c r="G5" i="8"/>
  <c r="I5" i="8"/>
  <c r="I19" i="8"/>
  <c r="G19" i="8"/>
  <c r="I11" i="8"/>
  <c r="G11" i="8"/>
  <c r="I3" i="8"/>
  <c r="G3" i="8"/>
  <c r="I18" i="8"/>
  <c r="G18" i="8"/>
  <c r="I10" i="8"/>
  <c r="G10" i="8"/>
  <c r="I14" i="8"/>
  <c r="G14" i="8"/>
  <c r="I17" i="8"/>
  <c r="G17" i="8"/>
  <c r="I9" i="8"/>
  <c r="G9" i="8"/>
  <c r="I16" i="8"/>
  <c r="G16" i="8"/>
  <c r="I8" i="8"/>
  <c r="G8" i="8"/>
  <c r="I21" i="8"/>
  <c r="G21" i="8"/>
  <c r="B25" i="8"/>
  <c r="E23" i="8"/>
  <c r="I2" i="8"/>
  <c r="I23" i="8" s="1"/>
  <c r="F25" i="8" s="1"/>
  <c r="G2" i="8"/>
  <c r="G23" i="8" s="1"/>
  <c r="D25" i="8" s="1"/>
  <c r="G15" i="8"/>
  <c r="I15" i="8"/>
  <c r="I7" i="8"/>
  <c r="G7" i="8"/>
  <c r="I9" i="7"/>
  <c r="G9" i="7"/>
  <c r="G16" i="7"/>
  <c r="I16" i="7"/>
  <c r="G8" i="7"/>
  <c r="I8" i="7"/>
  <c r="B25" i="7"/>
  <c r="G2" i="7"/>
  <c r="G23" i="7" s="1"/>
  <c r="I2" i="7"/>
  <c r="G15" i="7"/>
  <c r="I15" i="7"/>
  <c r="I7" i="7"/>
  <c r="G7" i="7"/>
  <c r="G22" i="7"/>
  <c r="I22" i="7"/>
  <c r="G14" i="7"/>
  <c r="I14" i="7"/>
  <c r="G6" i="7"/>
  <c r="I6" i="7"/>
  <c r="G17" i="7"/>
  <c r="I17" i="7"/>
  <c r="G21" i="7"/>
  <c r="I21" i="7"/>
  <c r="I13" i="7"/>
  <c r="G13" i="7"/>
  <c r="G5" i="7"/>
  <c r="I5" i="7"/>
  <c r="G20" i="7"/>
  <c r="I20" i="7"/>
  <c r="G12" i="7"/>
  <c r="I12" i="7"/>
  <c r="G4" i="7"/>
  <c r="I4" i="7"/>
  <c r="G19" i="7"/>
  <c r="I19" i="7"/>
  <c r="G11" i="7"/>
  <c r="I11" i="7"/>
  <c r="G3" i="7"/>
  <c r="I3" i="7"/>
  <c r="G18" i="7"/>
  <c r="I18" i="7"/>
  <c r="G10" i="7"/>
  <c r="I10" i="7"/>
  <c r="I12" i="6"/>
  <c r="G12" i="6"/>
  <c r="I18" i="6"/>
  <c r="G18" i="6"/>
  <c r="G10" i="6"/>
  <c r="I10" i="6"/>
  <c r="G17" i="6"/>
  <c r="I17" i="6"/>
  <c r="G9" i="6"/>
  <c r="I9" i="6"/>
  <c r="G20" i="6"/>
  <c r="I20" i="6"/>
  <c r="G16" i="6"/>
  <c r="I16" i="6"/>
  <c r="G8" i="6"/>
  <c r="I8" i="6"/>
  <c r="G19" i="6"/>
  <c r="I19" i="6"/>
  <c r="E23" i="6"/>
  <c r="B25" i="6"/>
  <c r="G2" i="6"/>
  <c r="I2" i="6"/>
  <c r="G15" i="6"/>
  <c r="I15" i="6"/>
  <c r="I7" i="6"/>
  <c r="G7" i="6"/>
  <c r="G4" i="6"/>
  <c r="I4" i="6"/>
  <c r="I11" i="6"/>
  <c r="G11" i="6"/>
  <c r="G22" i="6"/>
  <c r="I22" i="6"/>
  <c r="I14" i="6"/>
  <c r="G14" i="6"/>
  <c r="G6" i="6"/>
  <c r="I6" i="6"/>
  <c r="G3" i="6"/>
  <c r="I3" i="6"/>
  <c r="G21" i="6"/>
  <c r="I21" i="6"/>
  <c r="G13" i="6"/>
  <c r="I13" i="6"/>
  <c r="G5" i="6"/>
  <c r="I5" i="6"/>
  <c r="E23" i="7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" i="2"/>
  <c r="B26" i="2" l="1"/>
  <c r="P2" i="2"/>
  <c r="E23" i="2"/>
  <c r="G2" i="2"/>
  <c r="G23" i="2" s="1"/>
  <c r="I2" i="2"/>
  <c r="I23" i="2" s="1"/>
  <c r="F26" i="2" s="1"/>
  <c r="G23" i="12"/>
  <c r="D25" i="12" s="1"/>
  <c r="I23" i="12"/>
  <c r="F25" i="12" s="1"/>
  <c r="I23" i="11"/>
  <c r="F25" i="11" s="1"/>
  <c r="I23" i="10"/>
  <c r="F25" i="10" s="1"/>
  <c r="G23" i="10"/>
  <c r="D25" i="10" s="1"/>
  <c r="G23" i="9"/>
  <c r="D25" i="9" s="1"/>
  <c r="I23" i="9"/>
  <c r="F25" i="9" s="1"/>
  <c r="D25" i="7"/>
  <c r="I23" i="7"/>
  <c r="F25" i="7" s="1"/>
  <c r="I23" i="6"/>
  <c r="F25" i="6" s="1"/>
  <c r="G23" i="6"/>
  <c r="D25" i="6" s="1"/>
  <c r="D26" i="2" l="1"/>
</calcChain>
</file>

<file path=xl/sharedStrings.xml><?xml version="1.0" encoding="utf-8"?>
<sst xmlns="http://schemas.openxmlformats.org/spreadsheetml/2006/main" count="586" uniqueCount="77">
  <si>
    <t>熵权法</t>
  </si>
  <si>
    <t>项</t>
  </si>
  <si>
    <t>信息熵值e</t>
  </si>
  <si>
    <t>信息效用值d</t>
  </si>
  <si>
    <t>权重(%)</t>
  </si>
  <si>
    <t>入境旅游人次（万人）_正向项指标处理</t>
  </si>
  <si>
    <t>入境旅游收入（万美元）_正向项指标处理</t>
  </si>
  <si>
    <t>入境旅游人次（万人）_正向项指标处理</t>
    <phoneticPr fontId="1" type="noConversion"/>
  </si>
  <si>
    <t>极差</t>
    <phoneticPr fontId="1" type="noConversion"/>
  </si>
  <si>
    <t>求和</t>
    <phoneticPr fontId="1" type="noConversion"/>
  </si>
  <si>
    <t>基尼系数</t>
    <phoneticPr fontId="1" type="noConversion"/>
  </si>
  <si>
    <t>求和上面</t>
    <phoneticPr fontId="1" type="noConversion"/>
  </si>
  <si>
    <t>加权变异系数</t>
    <phoneticPr fontId="1" type="noConversion"/>
  </si>
  <si>
    <t>求和右</t>
    <phoneticPr fontId="1" type="noConversion"/>
  </si>
  <si>
    <t>平均数上面</t>
    <phoneticPr fontId="1" type="noConversion"/>
  </si>
  <si>
    <t>坐标</t>
    <phoneticPr fontId="1" type="noConversion"/>
  </si>
  <si>
    <t>Year</t>
    <phoneticPr fontId="1" type="noConversion"/>
  </si>
  <si>
    <t>Region</t>
  </si>
  <si>
    <t>Inbound tourist arrivals (10,000)</t>
  </si>
  <si>
    <t>synthesis score</t>
  </si>
  <si>
    <t>synthesis score</t>
    <phoneticPr fontId="1" type="noConversion"/>
  </si>
  <si>
    <t>seating arrangement</t>
  </si>
  <si>
    <t>Gini coefficient molecule</t>
  </si>
  <si>
    <t>Gini coefficient molecule</t>
    <phoneticPr fontId="1" type="noConversion"/>
  </si>
  <si>
    <t>Population (10,000)</t>
    <phoneticPr fontId="1" type="noConversion"/>
  </si>
  <si>
    <t>sqrt（square root calculations</t>
  </si>
  <si>
    <t>longitude</t>
  </si>
  <si>
    <t>longitude</t>
    <phoneticPr fontId="1" type="noConversion"/>
  </si>
  <si>
    <t>dimensionality</t>
  </si>
  <si>
    <t>inbound tourism revenue</t>
  </si>
  <si>
    <t>Inbound tourist arrivals</t>
  </si>
  <si>
    <t>gradient</t>
  </si>
  <si>
    <t>Chengdu</t>
  </si>
  <si>
    <t>Zigong</t>
    <phoneticPr fontId="4" type="noConversion"/>
  </si>
  <si>
    <t>Panzhihua</t>
    <phoneticPr fontId="4" type="noConversion"/>
  </si>
  <si>
    <t>Luzhou</t>
    <phoneticPr fontId="4" type="noConversion"/>
  </si>
  <si>
    <t>Deyabf</t>
    <phoneticPr fontId="4" type="noConversion"/>
  </si>
  <si>
    <t>Mianyang</t>
    <phoneticPr fontId="4" type="noConversion"/>
  </si>
  <si>
    <t>Guangyuan</t>
    <phoneticPr fontId="4" type="noConversion"/>
  </si>
  <si>
    <t>Suining</t>
    <phoneticPr fontId="4" type="noConversion"/>
  </si>
  <si>
    <t>Neijing</t>
    <phoneticPr fontId="4" type="noConversion"/>
  </si>
  <si>
    <t>Leshan</t>
    <phoneticPr fontId="4" type="noConversion"/>
  </si>
  <si>
    <t>Nanchong</t>
    <phoneticPr fontId="4" type="noConversion"/>
  </si>
  <si>
    <t>Meishan</t>
    <phoneticPr fontId="4" type="noConversion"/>
  </si>
  <si>
    <t>Yibin</t>
    <phoneticPr fontId="4" type="noConversion"/>
  </si>
  <si>
    <t>Guangan</t>
    <phoneticPr fontId="4" type="noConversion"/>
  </si>
  <si>
    <t>Dazhou</t>
    <phoneticPr fontId="4" type="noConversion"/>
  </si>
  <si>
    <t>Yaan</t>
    <phoneticPr fontId="4" type="noConversion"/>
  </si>
  <si>
    <t>Bazhong</t>
    <phoneticPr fontId="4" type="noConversion"/>
  </si>
  <si>
    <t>Ziyang</t>
    <phoneticPr fontId="4" type="noConversion"/>
  </si>
  <si>
    <t>Aba Tibetan and Qiang Autonomous Prefecture</t>
  </si>
  <si>
    <t>Kandze Tibetan Autonomous Prefecture</t>
  </si>
  <si>
    <t>Liangshan Yi Autonomous Prefecture</t>
  </si>
  <si>
    <t>Year</t>
    <phoneticPr fontId="4" type="noConversion"/>
  </si>
  <si>
    <t>Region</t>
    <phoneticPr fontId="4" type="noConversion"/>
  </si>
  <si>
    <t>city</t>
    <phoneticPr fontId="1" type="noConversion"/>
  </si>
  <si>
    <t>Inbound tourism revenue (US $10,000)</t>
  </si>
  <si>
    <t>precedence</t>
  </si>
  <si>
    <t>population</t>
  </si>
  <si>
    <t>sqrt（square root calculations）</t>
  </si>
  <si>
    <t>range</t>
  </si>
  <si>
    <t>Sum right</t>
    <phoneticPr fontId="1" type="noConversion"/>
  </si>
  <si>
    <t xml:space="preserve">Sum </t>
    <phoneticPr fontId="1" type="noConversion"/>
  </si>
  <si>
    <t>Sum</t>
  </si>
  <si>
    <t>dimensionality</t>
    <phoneticPr fontId="1" type="noConversion"/>
  </si>
  <si>
    <t xml:space="preserve">mean value
</t>
  </si>
  <si>
    <t>inbound tourism revenue (US $10,000)</t>
    <phoneticPr fontId="1" type="noConversion"/>
  </si>
  <si>
    <t>Inbound tourist arrivals</t>
    <phoneticPr fontId="1" type="noConversion"/>
  </si>
  <si>
    <t xml:space="preserve">Inbound tourist arrivals）_min-maxs tandardization
</t>
  </si>
  <si>
    <t xml:space="preserve">inbound tourism revenue (US $10,000)_min-max standardization
</t>
    <phoneticPr fontId="1" type="noConversion"/>
  </si>
  <si>
    <t xml:space="preserve">Gini coefficient
</t>
  </si>
  <si>
    <t>Weighted coefficient of variation</t>
  </si>
  <si>
    <t>entropy weight method</t>
  </si>
  <si>
    <t>project</t>
  </si>
  <si>
    <t>Information entropy value e</t>
  </si>
  <si>
    <t xml:space="preserve">Information utility value d </t>
    <phoneticPr fontId="1" type="noConversion"/>
  </si>
  <si>
    <t>Weight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</si>
</sst>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/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2">
    <cellStyle name="常规" xfId="0" builtinId="0"/>
    <cellStyle name="常规 3" xfId="1" xr:uid="{70C643FA-C721-4FB8-A7CB-CDD376870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07F4-57D3-4A07-9673-18A0CDC34EBB}">
  <dimension ref="A1:P34"/>
  <sheetViews>
    <sheetView tabSelected="1" topLeftCell="A7" workbookViewId="0">
      <selection sqref="A1:XFD1"/>
    </sheetView>
  </sheetViews>
  <sheetFormatPr defaultRowHeight="14" x14ac:dyDescent="0.3"/>
  <cols>
    <col min="2" max="2" width="17.58203125" customWidth="1"/>
    <col min="3" max="3" width="11.83203125" customWidth="1"/>
    <col min="4" max="4" width="12.33203125" customWidth="1"/>
    <col min="5" max="5" width="8.83203125" customWidth="1"/>
    <col min="9" max="9" width="12.7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2012</v>
      </c>
      <c r="B2" s="4" t="s">
        <v>32</v>
      </c>
      <c r="C2">
        <v>63000</v>
      </c>
      <c r="D2">
        <v>158.19999999999999</v>
      </c>
      <c r="E2">
        <f t="shared" ref="E2:E22" si="0">C2*0.49527+D2*0.50473</f>
        <v>31281.858285999999</v>
      </c>
      <c r="F2">
        <v>1</v>
      </c>
      <c r="G2">
        <f>E2*F2</f>
        <v>31281.858285999999</v>
      </c>
      <c r="H2">
        <v>2126.8000000000002</v>
      </c>
      <c r="I2">
        <f>(E2-1249.802)*(E2-1249.802)*H2/8374</f>
        <v>229067688.56642058</v>
      </c>
      <c r="J2">
        <v>104.07274200000001</v>
      </c>
      <c r="K2">
        <v>30.578983999999998</v>
      </c>
      <c r="L2">
        <f>C2*J2</f>
        <v>6556582.7460000003</v>
      </c>
      <c r="M2">
        <f>C2*K2</f>
        <v>1926475.9919999999</v>
      </c>
      <c r="N2">
        <f>D2*J2</f>
        <v>16464.3077844</v>
      </c>
      <c r="O2">
        <f>D2*K2</f>
        <v>4837.5952687999998</v>
      </c>
      <c r="P2">
        <f>E2/1249.802</f>
        <v>25.029451293884954</v>
      </c>
    </row>
    <row r="3" spans="1:16" x14ac:dyDescent="0.3">
      <c r="A3">
        <v>2012</v>
      </c>
      <c r="B3" s="4" t="s">
        <v>33</v>
      </c>
      <c r="C3">
        <v>97.50838095238214</v>
      </c>
      <c r="D3">
        <v>0.12</v>
      </c>
      <c r="E3">
        <f t="shared" si="0"/>
        <v>48.353543434286301</v>
      </c>
      <c r="F3">
        <v>11</v>
      </c>
      <c r="G3">
        <f t="shared" ref="G3:G22" si="1">E3*F3</f>
        <v>531.88897777714931</v>
      </c>
      <c r="H3">
        <v>245.2</v>
      </c>
      <c r="I3">
        <f t="shared" ref="I3:I22" si="2">(E3-1249.802)*(E3-1249.802)*H3/8374</f>
        <v>42266.647021240737</v>
      </c>
      <c r="J3">
        <v>104.785532</v>
      </c>
      <c r="K3">
        <v>29.345369999999999</v>
      </c>
      <c r="L3">
        <f t="shared" ref="L3:L22" si="3">C3*J3</f>
        <v>10217.467572554029</v>
      </c>
      <c r="M3">
        <f t="shared" ref="M3:M22" si="4">C3*K3</f>
        <v>2861.4195171486062</v>
      </c>
      <c r="N3">
        <f t="shared" ref="N3:N22" si="5">D3*J3</f>
        <v>12.57426384</v>
      </c>
      <c r="O3">
        <f t="shared" ref="O3:O22" si="6">D3*K3</f>
        <v>3.5214443999999996</v>
      </c>
      <c r="P3">
        <f t="shared" ref="P3:P22" si="7">E3/1249.802</f>
        <v>3.8688963079180787E-2</v>
      </c>
    </row>
    <row r="4" spans="1:16" x14ac:dyDescent="0.3">
      <c r="A4">
        <v>2012</v>
      </c>
      <c r="B4" s="4" t="s">
        <v>34</v>
      </c>
      <c r="C4">
        <v>2.9924761904730985</v>
      </c>
      <c r="D4">
        <v>0.1</v>
      </c>
      <c r="E4">
        <f t="shared" si="0"/>
        <v>1.5325566828556114</v>
      </c>
      <c r="F4">
        <v>21</v>
      </c>
      <c r="G4">
        <f t="shared" si="1"/>
        <v>32.183690339967839</v>
      </c>
      <c r="H4">
        <v>121.6</v>
      </c>
      <c r="I4">
        <f t="shared" si="2"/>
        <v>22626.495693731322</v>
      </c>
      <c r="J4">
        <v>101.72505</v>
      </c>
      <c r="K4">
        <v>26.588200000000001</v>
      </c>
      <c r="L4">
        <f t="shared" si="3"/>
        <v>304.40979009968544</v>
      </c>
      <c r="M4">
        <f t="shared" si="4"/>
        <v>79.564555447536847</v>
      </c>
      <c r="N4">
        <f t="shared" si="5"/>
        <v>10.172505000000001</v>
      </c>
      <c r="O4">
        <f t="shared" si="6"/>
        <v>2.6588200000000004</v>
      </c>
      <c r="P4">
        <f t="shared" si="7"/>
        <v>1.2262395826343785E-3</v>
      </c>
    </row>
    <row r="5" spans="1:16" x14ac:dyDescent="0.3">
      <c r="A5">
        <v>2012</v>
      </c>
      <c r="B5" s="4" t="s">
        <v>35</v>
      </c>
      <c r="C5">
        <v>33.261619047618296</v>
      </c>
      <c r="D5">
        <v>0.17</v>
      </c>
      <c r="E5">
        <f t="shared" si="0"/>
        <v>16.559286165713914</v>
      </c>
      <c r="F5">
        <v>15</v>
      </c>
      <c r="G5">
        <f t="shared" si="1"/>
        <v>248.38929248570872</v>
      </c>
      <c r="H5">
        <v>426.3</v>
      </c>
      <c r="I5">
        <f t="shared" si="2"/>
        <v>77424.693114326321</v>
      </c>
      <c r="J5">
        <v>105.448463</v>
      </c>
      <c r="K5">
        <v>28.876978000000001</v>
      </c>
      <c r="L5">
        <f t="shared" si="3"/>
        <v>3507.3866054628734</v>
      </c>
      <c r="M5">
        <f t="shared" si="4"/>
        <v>960.49504148245455</v>
      </c>
      <c r="N5">
        <f t="shared" si="5"/>
        <v>17.926238710000003</v>
      </c>
      <c r="O5">
        <f t="shared" si="6"/>
        <v>4.9090862600000005</v>
      </c>
      <c r="P5">
        <f t="shared" si="7"/>
        <v>1.3249527657752121E-2</v>
      </c>
    </row>
    <row r="6" spans="1:16" x14ac:dyDescent="0.3">
      <c r="A6">
        <v>2012</v>
      </c>
      <c r="B6" s="4" t="s">
        <v>36</v>
      </c>
      <c r="C6">
        <v>269.10190476190564</v>
      </c>
      <c r="D6">
        <v>0.31</v>
      </c>
      <c r="E6">
        <f t="shared" si="0"/>
        <v>133.434566671429</v>
      </c>
      <c r="F6">
        <v>6</v>
      </c>
      <c r="G6">
        <f t="shared" si="1"/>
        <v>800.60740002857392</v>
      </c>
      <c r="H6">
        <v>346.1</v>
      </c>
      <c r="I6">
        <f t="shared" si="2"/>
        <v>51508.981228642304</v>
      </c>
      <c r="J6">
        <v>104.40422700000001</v>
      </c>
      <c r="K6">
        <v>31.133751</v>
      </c>
      <c r="L6">
        <f t="shared" si="3"/>
        <v>28095.376350894381</v>
      </c>
      <c r="M6">
        <f t="shared" si="4"/>
        <v>8378.1516964828843</v>
      </c>
      <c r="N6">
        <f t="shared" si="5"/>
        <v>32.365310370000003</v>
      </c>
      <c r="O6">
        <f t="shared" si="6"/>
        <v>9.6514628099999999</v>
      </c>
      <c r="P6">
        <f t="shared" si="7"/>
        <v>0.10676456484421452</v>
      </c>
    </row>
    <row r="7" spans="1:16" x14ac:dyDescent="0.3">
      <c r="A7">
        <v>2012</v>
      </c>
      <c r="B7" s="4" t="s">
        <v>37</v>
      </c>
      <c r="C7">
        <v>109.39352380951459</v>
      </c>
      <c r="D7">
        <v>0.64</v>
      </c>
      <c r="E7">
        <f t="shared" si="0"/>
        <v>54.50235773713829</v>
      </c>
      <c r="F7">
        <v>10</v>
      </c>
      <c r="G7">
        <f t="shared" si="1"/>
        <v>545.02357737138288</v>
      </c>
      <c r="H7">
        <v>489.8</v>
      </c>
      <c r="I7">
        <f t="shared" si="2"/>
        <v>83567.883544538636</v>
      </c>
      <c r="J7">
        <v>104.685653</v>
      </c>
      <c r="K7">
        <v>31.473462000000001</v>
      </c>
      <c r="L7">
        <f t="shared" si="3"/>
        <v>11451.932473970082</v>
      </c>
      <c r="M7">
        <f t="shared" si="4"/>
        <v>3442.9929146648528</v>
      </c>
      <c r="N7">
        <f t="shared" si="5"/>
        <v>66.998817920000008</v>
      </c>
      <c r="O7">
        <f t="shared" si="6"/>
        <v>20.143015680000001</v>
      </c>
      <c r="P7">
        <f t="shared" si="7"/>
        <v>4.3608793822652141E-2</v>
      </c>
    </row>
    <row r="8" spans="1:16" x14ac:dyDescent="0.3">
      <c r="A8">
        <v>2012</v>
      </c>
      <c r="B8" s="4" t="s">
        <v>38</v>
      </c>
      <c r="C8">
        <v>53.319238095238688</v>
      </c>
      <c r="D8">
        <v>0.16</v>
      </c>
      <c r="E8">
        <f t="shared" si="0"/>
        <v>26.488175851428863</v>
      </c>
      <c r="F8">
        <v>12</v>
      </c>
      <c r="G8">
        <f t="shared" si="1"/>
        <v>317.85811021714636</v>
      </c>
      <c r="H8">
        <v>227.1</v>
      </c>
      <c r="I8">
        <f t="shared" si="2"/>
        <v>40584.476161376464</v>
      </c>
      <c r="J8">
        <v>105.850532</v>
      </c>
      <c r="K8">
        <v>32.442338999999997</v>
      </c>
      <c r="L8">
        <f t="shared" si="3"/>
        <v>5643.869718215682</v>
      </c>
      <c r="M8">
        <f t="shared" si="4"/>
        <v>1729.8007975074477</v>
      </c>
      <c r="N8">
        <f t="shared" si="5"/>
        <v>16.936085120000001</v>
      </c>
      <c r="O8">
        <f t="shared" si="6"/>
        <v>5.1907742399999997</v>
      </c>
      <c r="P8">
        <f t="shared" si="7"/>
        <v>2.1193897794553749E-2</v>
      </c>
    </row>
    <row r="9" spans="1:16" x14ac:dyDescent="0.3">
      <c r="A9">
        <v>2012</v>
      </c>
      <c r="B9" s="4" t="s">
        <v>39</v>
      </c>
      <c r="C9">
        <v>134.69619047619199</v>
      </c>
      <c r="D9">
        <v>0.04</v>
      </c>
      <c r="E9">
        <f t="shared" si="0"/>
        <v>66.731171457143603</v>
      </c>
      <c r="F9">
        <v>8</v>
      </c>
      <c r="G9">
        <f t="shared" si="1"/>
        <v>533.84937165714882</v>
      </c>
      <c r="H9">
        <v>277.2</v>
      </c>
      <c r="I9">
        <f t="shared" si="2"/>
        <v>46332.076123568804</v>
      </c>
      <c r="J9">
        <v>105.599143</v>
      </c>
      <c r="K9">
        <v>30.539141000000001</v>
      </c>
      <c r="L9">
        <f t="shared" si="3"/>
        <v>14223.802279650636</v>
      </c>
      <c r="M9">
        <f t="shared" si="4"/>
        <v>4113.5059531152847</v>
      </c>
      <c r="N9">
        <f t="shared" si="5"/>
        <v>4.2239657199999998</v>
      </c>
      <c r="O9">
        <f t="shared" si="6"/>
        <v>1.2215656400000001</v>
      </c>
      <c r="P9">
        <f t="shared" si="7"/>
        <v>5.3393394679432112E-2</v>
      </c>
    </row>
    <row r="10" spans="1:16" x14ac:dyDescent="0.3">
      <c r="A10">
        <v>2012</v>
      </c>
      <c r="B10" s="4" t="s">
        <v>40</v>
      </c>
      <c r="C10">
        <v>35.800761904762112</v>
      </c>
      <c r="D10">
        <v>7.0000000000000007E-2</v>
      </c>
      <c r="E10">
        <f t="shared" si="0"/>
        <v>17.766374448571533</v>
      </c>
      <c r="F10">
        <v>13</v>
      </c>
      <c r="G10">
        <f t="shared" si="1"/>
        <v>230.96286783142992</v>
      </c>
      <c r="H10">
        <v>308.8</v>
      </c>
      <c r="I10">
        <f t="shared" si="2"/>
        <v>55974.583051766829</v>
      </c>
      <c r="J10">
        <v>105.064564</v>
      </c>
      <c r="K10">
        <v>29.585822</v>
      </c>
      <c r="L10">
        <f t="shared" si="3"/>
        <v>3761.391440391641</v>
      </c>
      <c r="M10">
        <f t="shared" si="4"/>
        <v>1059.1949691786729</v>
      </c>
      <c r="N10">
        <f t="shared" si="5"/>
        <v>7.3545194800000013</v>
      </c>
      <c r="O10">
        <f t="shared" si="6"/>
        <v>2.0710075400000001</v>
      </c>
      <c r="P10">
        <f t="shared" si="7"/>
        <v>1.4215351270498474E-2</v>
      </c>
    </row>
    <row r="11" spans="1:16" x14ac:dyDescent="0.3">
      <c r="A11">
        <v>2012</v>
      </c>
      <c r="B11" s="4" t="s">
        <v>41</v>
      </c>
      <c r="C11">
        <v>3713.2879047619062</v>
      </c>
      <c r="D11">
        <v>10.78</v>
      </c>
      <c r="E11">
        <f t="shared" si="0"/>
        <v>1844.5210899914293</v>
      </c>
      <c r="F11">
        <v>2</v>
      </c>
      <c r="G11">
        <f t="shared" si="1"/>
        <v>3689.0421799828587</v>
      </c>
      <c r="H11">
        <v>315.3</v>
      </c>
      <c r="I11">
        <f t="shared" si="2"/>
        <v>13317.25674455144</v>
      </c>
      <c r="J11">
        <v>103.772521</v>
      </c>
      <c r="K11">
        <v>29.558285000000001</v>
      </c>
      <c r="L11">
        <f t="shared" si="3"/>
        <v>385337.2470759509</v>
      </c>
      <c r="M11">
        <f t="shared" si="4"/>
        <v>109758.42217600529</v>
      </c>
      <c r="N11">
        <f t="shared" si="5"/>
        <v>1118.6677763799999</v>
      </c>
      <c r="O11">
        <f t="shared" si="6"/>
        <v>318.6383123</v>
      </c>
      <c r="P11">
        <f t="shared" si="7"/>
        <v>1.4758506467355865</v>
      </c>
    </row>
    <row r="12" spans="1:16" x14ac:dyDescent="0.3">
      <c r="A12">
        <v>2012</v>
      </c>
      <c r="B12" s="4" t="s">
        <v>42</v>
      </c>
      <c r="C12">
        <v>35.103142857151397</v>
      </c>
      <c r="D12">
        <v>0.27</v>
      </c>
      <c r="E12">
        <f t="shared" si="0"/>
        <v>17.521810662861373</v>
      </c>
      <c r="F12">
        <v>14</v>
      </c>
      <c r="G12">
        <f t="shared" si="1"/>
        <v>245.30534928005923</v>
      </c>
      <c r="H12">
        <v>554.9</v>
      </c>
      <c r="I12">
        <f t="shared" si="2"/>
        <v>100623.79706791097</v>
      </c>
      <c r="J12">
        <v>106.11712300000001</v>
      </c>
      <c r="K12">
        <v>30.843219999999999</v>
      </c>
      <c r="L12">
        <f t="shared" si="3"/>
        <v>3725.0445282589067</v>
      </c>
      <c r="M12">
        <f t="shared" si="4"/>
        <v>1082.6939578345491</v>
      </c>
      <c r="N12">
        <f t="shared" si="5"/>
        <v>28.651623210000004</v>
      </c>
      <c r="O12">
        <f t="shared" si="6"/>
        <v>8.3276693999999996</v>
      </c>
      <c r="P12">
        <f t="shared" si="7"/>
        <v>1.401966924589765E-2</v>
      </c>
    </row>
    <row r="13" spans="1:16" x14ac:dyDescent="0.3">
      <c r="A13">
        <v>2012</v>
      </c>
      <c r="B13" s="4" t="s">
        <v>43</v>
      </c>
      <c r="C13">
        <v>18.46</v>
      </c>
      <c r="D13">
        <v>0.08</v>
      </c>
      <c r="E13">
        <f t="shared" si="0"/>
        <v>9.1830625999999995</v>
      </c>
      <c r="F13">
        <v>19</v>
      </c>
      <c r="G13">
        <f t="shared" si="1"/>
        <v>174.47818939999999</v>
      </c>
      <c r="H13">
        <v>296.10000000000002</v>
      </c>
      <c r="I13">
        <f t="shared" si="2"/>
        <v>54422.973070706117</v>
      </c>
      <c r="J13">
        <v>103.854991</v>
      </c>
      <c r="K13">
        <v>30.082841999999999</v>
      </c>
      <c r="L13">
        <f t="shared" si="3"/>
        <v>1917.16313386</v>
      </c>
      <c r="M13">
        <f t="shared" si="4"/>
        <v>555.32926332</v>
      </c>
      <c r="N13">
        <f t="shared" si="5"/>
        <v>8.3083992799999997</v>
      </c>
      <c r="O13">
        <f t="shared" si="6"/>
        <v>2.4066273599999999</v>
      </c>
      <c r="P13">
        <f t="shared" si="7"/>
        <v>7.3476139420484204E-3</v>
      </c>
    </row>
    <row r="14" spans="1:16" x14ac:dyDescent="0.3">
      <c r="A14">
        <v>2012</v>
      </c>
      <c r="B14" s="4" t="s">
        <v>44</v>
      </c>
      <c r="C14">
        <v>24.13</v>
      </c>
      <c r="D14">
        <v>7.0000000000000007E-2</v>
      </c>
      <c r="E14">
        <f t="shared" si="0"/>
        <v>11.9861962</v>
      </c>
      <c r="F14">
        <v>16</v>
      </c>
      <c r="G14">
        <f t="shared" si="1"/>
        <v>191.7791392</v>
      </c>
      <c r="H14">
        <v>461.8</v>
      </c>
      <c r="I14">
        <f t="shared" si="2"/>
        <v>84495.390713934205</v>
      </c>
      <c r="J14">
        <v>104.649316</v>
      </c>
      <c r="K14">
        <v>28.758631000000001</v>
      </c>
      <c r="L14">
        <f t="shared" si="3"/>
        <v>2525.1879950799998</v>
      </c>
      <c r="M14">
        <f t="shared" si="4"/>
        <v>693.94576602999996</v>
      </c>
      <c r="N14">
        <f t="shared" si="5"/>
        <v>7.3254521200000005</v>
      </c>
      <c r="O14">
        <f t="shared" si="6"/>
        <v>2.0131041700000001</v>
      </c>
      <c r="P14">
        <f t="shared" si="7"/>
        <v>9.5904760914128813E-3</v>
      </c>
    </row>
    <row r="15" spans="1:16" x14ac:dyDescent="0.3">
      <c r="A15">
        <v>2012</v>
      </c>
      <c r="B15" s="4" t="s">
        <v>45</v>
      </c>
      <c r="C15">
        <v>138.27838095238076</v>
      </c>
      <c r="D15">
        <v>0.24</v>
      </c>
      <c r="E15">
        <f t="shared" si="0"/>
        <v>68.606268934285609</v>
      </c>
      <c r="F15">
        <v>7</v>
      </c>
      <c r="G15">
        <f t="shared" si="1"/>
        <v>480.24388253999928</v>
      </c>
      <c r="H15">
        <v>323.8</v>
      </c>
      <c r="I15">
        <f t="shared" si="2"/>
        <v>53949.525003278162</v>
      </c>
      <c r="J15">
        <v>106.639184</v>
      </c>
      <c r="K15">
        <v>30.462142</v>
      </c>
      <c r="L15">
        <f t="shared" si="3"/>
        <v>14745.893709603028</v>
      </c>
      <c r="M15">
        <f t="shared" si="4"/>
        <v>4212.2556761015176</v>
      </c>
      <c r="N15">
        <f t="shared" si="5"/>
        <v>25.593404159999999</v>
      </c>
      <c r="O15">
        <f t="shared" si="6"/>
        <v>7.3109140799999999</v>
      </c>
      <c r="P15">
        <f t="shared" si="7"/>
        <v>5.4893710311141777E-2</v>
      </c>
    </row>
    <row r="16" spans="1:16" x14ac:dyDescent="0.3">
      <c r="A16">
        <v>2012</v>
      </c>
      <c r="B16" s="4" t="s">
        <v>46</v>
      </c>
      <c r="C16">
        <v>20.309999999999999</v>
      </c>
      <c r="D16">
        <v>7.0000000000000007E-2</v>
      </c>
      <c r="E16">
        <f t="shared" si="0"/>
        <v>10.094264799999999</v>
      </c>
      <c r="F16">
        <v>17</v>
      </c>
      <c r="G16">
        <f t="shared" si="1"/>
        <v>171.60250159999998</v>
      </c>
      <c r="H16">
        <v>535.5</v>
      </c>
      <c r="I16">
        <f t="shared" si="2"/>
        <v>98279.998375534837</v>
      </c>
      <c r="J16">
        <v>107.474424</v>
      </c>
      <c r="K16">
        <v>31.214942000000001</v>
      </c>
      <c r="L16">
        <f t="shared" si="3"/>
        <v>2182.8055514399998</v>
      </c>
      <c r="M16">
        <f t="shared" si="4"/>
        <v>633.97547201999998</v>
      </c>
      <c r="N16">
        <f t="shared" si="5"/>
        <v>7.5232096800000008</v>
      </c>
      <c r="O16">
        <f t="shared" si="6"/>
        <v>2.1850459400000002</v>
      </c>
      <c r="P16">
        <f t="shared" si="7"/>
        <v>8.0766911878841618E-3</v>
      </c>
    </row>
    <row r="17" spans="1:16" x14ac:dyDescent="0.3">
      <c r="A17">
        <v>2012</v>
      </c>
      <c r="B17" s="4" t="s">
        <v>47</v>
      </c>
      <c r="C17">
        <v>124.07752380952388</v>
      </c>
      <c r="D17">
        <v>0.28999999999999998</v>
      </c>
      <c r="E17">
        <f t="shared" si="0"/>
        <v>61.598246917142895</v>
      </c>
      <c r="F17">
        <v>9</v>
      </c>
      <c r="G17">
        <f t="shared" si="1"/>
        <v>554.3842222542861</v>
      </c>
      <c r="H17">
        <v>143.30000000000001</v>
      </c>
      <c r="I17">
        <f t="shared" si="2"/>
        <v>24159.89672340564</v>
      </c>
      <c r="J17">
        <v>103.048153</v>
      </c>
      <c r="K17">
        <v>30.015991</v>
      </c>
      <c r="L17">
        <f t="shared" si="3"/>
        <v>12785.959657384959</v>
      </c>
      <c r="M17">
        <f t="shared" si="4"/>
        <v>3724.3098379689545</v>
      </c>
      <c r="N17">
        <f t="shared" si="5"/>
        <v>29.883964369999998</v>
      </c>
      <c r="O17">
        <f t="shared" si="6"/>
        <v>8.7046373899999985</v>
      </c>
      <c r="P17">
        <f t="shared" si="7"/>
        <v>4.9286404500187148E-2</v>
      </c>
    </row>
    <row r="18" spans="1:16" x14ac:dyDescent="0.3">
      <c r="A18">
        <v>2012</v>
      </c>
      <c r="B18" s="4" t="s">
        <v>48</v>
      </c>
      <c r="C18">
        <v>3.15</v>
      </c>
      <c r="D18">
        <v>0.01</v>
      </c>
      <c r="E18">
        <f t="shared" si="0"/>
        <v>1.5651477999999999</v>
      </c>
      <c r="F18">
        <v>20</v>
      </c>
      <c r="G18">
        <f t="shared" si="1"/>
        <v>31.302955999999998</v>
      </c>
      <c r="H18">
        <v>265.8</v>
      </c>
      <c r="I18">
        <f t="shared" si="2"/>
        <v>49455.662118073291</v>
      </c>
      <c r="J18">
        <v>106.754109</v>
      </c>
      <c r="K18">
        <v>31.873559</v>
      </c>
      <c r="L18">
        <f t="shared" si="3"/>
        <v>336.27544334999999</v>
      </c>
      <c r="M18">
        <f t="shared" si="4"/>
        <v>100.40171085</v>
      </c>
      <c r="N18">
        <f t="shared" si="5"/>
        <v>1.06754109</v>
      </c>
      <c r="O18">
        <f t="shared" si="6"/>
        <v>0.31873559000000001</v>
      </c>
      <c r="P18">
        <f t="shared" si="7"/>
        <v>1.2523166069505409E-3</v>
      </c>
    </row>
    <row r="19" spans="1:16" x14ac:dyDescent="0.3">
      <c r="A19">
        <v>2012</v>
      </c>
      <c r="B19" s="4" t="s">
        <v>49</v>
      </c>
      <c r="C19">
        <v>641.28</v>
      </c>
      <c r="D19">
        <v>2.2599999999999998</v>
      </c>
      <c r="E19">
        <f t="shared" si="0"/>
        <v>318.74743539999997</v>
      </c>
      <c r="F19">
        <v>5</v>
      </c>
      <c r="G19">
        <f t="shared" si="1"/>
        <v>1593.737177</v>
      </c>
      <c r="H19">
        <v>226.9</v>
      </c>
      <c r="I19">
        <f t="shared" si="2"/>
        <v>23488.311971979965</v>
      </c>
      <c r="J19">
        <v>104.633825</v>
      </c>
      <c r="K19">
        <v>30.135162999999999</v>
      </c>
      <c r="L19">
        <f t="shared" si="3"/>
        <v>67099.579295999996</v>
      </c>
      <c r="M19">
        <f t="shared" si="4"/>
        <v>19325.07732864</v>
      </c>
      <c r="N19">
        <f t="shared" si="5"/>
        <v>236.47244449999999</v>
      </c>
      <c r="O19">
        <f t="shared" si="6"/>
        <v>68.105468379999991</v>
      </c>
      <c r="P19">
        <f t="shared" si="7"/>
        <v>0.2550383463940688</v>
      </c>
    </row>
    <row r="20" spans="1:16" x14ac:dyDescent="0.3">
      <c r="A20">
        <v>2012</v>
      </c>
      <c r="B20" s="4" t="s">
        <v>50</v>
      </c>
      <c r="C20">
        <v>1954.62</v>
      </c>
      <c r="D20">
        <v>12.34</v>
      </c>
      <c r="E20">
        <f t="shared" si="0"/>
        <v>974.29301559999988</v>
      </c>
      <c r="F20">
        <v>3</v>
      </c>
      <c r="G20">
        <f t="shared" si="1"/>
        <v>2922.8790467999997</v>
      </c>
      <c r="H20">
        <v>82.3</v>
      </c>
      <c r="I20">
        <f t="shared" si="2"/>
        <v>745.99928348762023</v>
      </c>
      <c r="J20">
        <v>102.23090999999999</v>
      </c>
      <c r="K20">
        <v>31.905656</v>
      </c>
      <c r="L20">
        <f t="shared" si="3"/>
        <v>199822.58130419996</v>
      </c>
      <c r="M20">
        <f t="shared" si="4"/>
        <v>62363.43333072</v>
      </c>
      <c r="N20">
        <f t="shared" si="5"/>
        <v>1261.5294294</v>
      </c>
      <c r="O20">
        <f t="shared" si="6"/>
        <v>393.71579503999999</v>
      </c>
      <c r="P20">
        <f t="shared" si="7"/>
        <v>0.77955789445048096</v>
      </c>
    </row>
    <row r="21" spans="1:16" x14ac:dyDescent="0.3">
      <c r="A21">
        <v>2012</v>
      </c>
      <c r="B21" s="4" t="s">
        <v>51</v>
      </c>
      <c r="C21">
        <v>1289.1400000000001</v>
      </c>
      <c r="D21">
        <v>3.25</v>
      </c>
      <c r="E21">
        <f t="shared" si="0"/>
        <v>640.11274030000004</v>
      </c>
      <c r="F21">
        <v>4</v>
      </c>
      <c r="G21">
        <f t="shared" si="1"/>
        <v>2560.4509612000002</v>
      </c>
      <c r="H21">
        <v>110.3</v>
      </c>
      <c r="I21">
        <f t="shared" si="2"/>
        <v>4896.2055853005477</v>
      </c>
      <c r="J21">
        <v>101.968649</v>
      </c>
      <c r="K21">
        <v>30.055425</v>
      </c>
      <c r="L21">
        <f t="shared" si="3"/>
        <v>131451.86417186001</v>
      </c>
      <c r="M21">
        <f t="shared" si="4"/>
        <v>38745.650584499999</v>
      </c>
      <c r="N21">
        <f t="shared" si="5"/>
        <v>331.39810925</v>
      </c>
      <c r="O21">
        <f t="shared" si="6"/>
        <v>97.680131250000002</v>
      </c>
      <c r="P21">
        <f t="shared" si="7"/>
        <v>0.51217132017711609</v>
      </c>
    </row>
    <row r="22" spans="1:16" x14ac:dyDescent="0.3">
      <c r="A22">
        <v>2012</v>
      </c>
      <c r="B22" s="4" t="s">
        <v>52</v>
      </c>
      <c r="C22">
        <v>18.75</v>
      </c>
      <c r="D22">
        <v>0.04</v>
      </c>
      <c r="E22">
        <f t="shared" si="0"/>
        <v>9.3065017000000001</v>
      </c>
      <c r="F22">
        <v>18</v>
      </c>
      <c r="G22">
        <f t="shared" si="1"/>
        <v>167.5170306</v>
      </c>
      <c r="H22">
        <v>489.1</v>
      </c>
      <c r="I22">
        <f t="shared" si="2"/>
        <v>89878.350091364307</v>
      </c>
      <c r="J22">
        <v>102.27418900000001</v>
      </c>
      <c r="K22">
        <v>27.887442</v>
      </c>
      <c r="L22">
        <f t="shared" si="3"/>
        <v>1917.6410437500001</v>
      </c>
      <c r="M22">
        <f t="shared" si="4"/>
        <v>522.88953749999996</v>
      </c>
      <c r="N22">
        <f t="shared" si="5"/>
        <v>4.0909675600000002</v>
      </c>
      <c r="O22">
        <f t="shared" si="6"/>
        <v>1.11549768</v>
      </c>
      <c r="P22">
        <f t="shared" si="7"/>
        <v>7.4463808667292906E-3</v>
      </c>
    </row>
    <row r="23" spans="1:16" x14ac:dyDescent="0.3">
      <c r="B23" s="1" t="s">
        <v>13</v>
      </c>
      <c r="C23">
        <f>SUM(C2:C22)</f>
        <v>71716.66104761904</v>
      </c>
      <c r="D23">
        <f>SUM(D2:D22)</f>
        <v>189.50999999999993</v>
      </c>
      <c r="E23">
        <f>AVERAGE(E2:E22)</f>
        <v>1695.9410523502038</v>
      </c>
      <c r="F23" t="s">
        <v>9</v>
      </c>
      <c r="G23">
        <f>SUM(G2:G22)</f>
        <v>47305.344209565716</v>
      </c>
      <c r="H23">
        <f>SUM(H2:H22)</f>
        <v>8374.0000000000018</v>
      </c>
      <c r="I23">
        <f>SUM(I2:I22)</f>
        <v>230085687.7691094</v>
      </c>
      <c r="L23">
        <f>SUM(L2:L22)</f>
        <v>7457635.6251419755</v>
      </c>
      <c r="M23">
        <f>SUM(M2:M22)</f>
        <v>2190819.5020865174</v>
      </c>
      <c r="N23">
        <f>SUM(N2:N22)</f>
        <v>19693.371811560002</v>
      </c>
      <c r="O23">
        <f>SUM(O2:O22)</f>
        <v>5797.484383949999</v>
      </c>
    </row>
    <row r="24" spans="1:16" x14ac:dyDescent="0.3">
      <c r="E24" t="s">
        <v>14</v>
      </c>
      <c r="H24" t="s">
        <v>11</v>
      </c>
      <c r="I24" t="s">
        <v>11</v>
      </c>
    </row>
    <row r="26" spans="1:16" x14ac:dyDescent="0.3">
      <c r="A26" t="s">
        <v>8</v>
      </c>
      <c r="B26">
        <f>E2-E22</f>
        <v>31272.551784299998</v>
      </c>
      <c r="C26" t="s">
        <v>10</v>
      </c>
      <c r="D26">
        <f>1+1/21-G23/(21*21*E23)</f>
        <v>0.98436899888176888</v>
      </c>
      <c r="E26" t="s">
        <v>12</v>
      </c>
      <c r="F26">
        <f>SQRT(I23)/E23</f>
        <v>8.9440465198354016</v>
      </c>
      <c r="K26" t="s">
        <v>15</v>
      </c>
      <c r="L26">
        <f>L23/C23</f>
        <v>103.98749071976721</v>
      </c>
      <c r="M26">
        <f>M23/C23</f>
        <v>30.548264100469464</v>
      </c>
      <c r="N26">
        <f>N23/D23</f>
        <v>103.91732262972936</v>
      </c>
      <c r="O26">
        <f>O23/D23</f>
        <v>30.59197078755739</v>
      </c>
    </row>
    <row r="30" spans="1:16" ht="14.5" thickBot="1" x14ac:dyDescent="0.35"/>
    <row r="31" spans="1:16" ht="14.5" thickBot="1" x14ac:dyDescent="0.35">
      <c r="A31" s="5" t="s">
        <v>0</v>
      </c>
      <c r="B31" s="6"/>
      <c r="C31" s="6"/>
      <c r="D31" s="7"/>
    </row>
    <row r="32" spans="1:16" ht="14.5" thickBot="1" x14ac:dyDescent="0.35">
      <c r="A32" s="2" t="s">
        <v>1</v>
      </c>
      <c r="B32" s="2" t="s">
        <v>2</v>
      </c>
      <c r="C32" s="2" t="s">
        <v>3</v>
      </c>
      <c r="D32" s="2" t="s">
        <v>4</v>
      </c>
    </row>
    <row r="33" spans="1:4" ht="32.25" customHeight="1" thickBot="1" x14ac:dyDescent="0.35">
      <c r="A33" s="2" t="s">
        <v>5</v>
      </c>
      <c r="B33" s="2">
        <v>0.22800000000000001</v>
      </c>
      <c r="C33" s="2">
        <v>0.77200000000000002</v>
      </c>
      <c r="D33" s="2">
        <v>50.472999999999999</v>
      </c>
    </row>
    <row r="34" spans="1:4" ht="24.75" customHeight="1" thickBot="1" x14ac:dyDescent="0.35">
      <c r="A34" s="2" t="s">
        <v>6</v>
      </c>
      <c r="B34" s="2">
        <v>0.24199999999999999</v>
      </c>
      <c r="C34" s="2">
        <v>0.75800000000000001</v>
      </c>
      <c r="D34" s="2">
        <v>49.527000000000001</v>
      </c>
    </row>
  </sheetData>
  <sortState xmlns:xlrd2="http://schemas.microsoft.com/office/spreadsheetml/2017/richdata2" ref="A2:F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3">
    <mergeCell ref="A31:D31"/>
    <mergeCell ref="L1:M1"/>
    <mergeCell ref="N1:O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28D8-E312-4E76-8ECA-61FA7BC630E4}">
  <dimension ref="A1:P31"/>
  <sheetViews>
    <sheetView workbookViewId="0">
      <selection sqref="A1:XFD1"/>
    </sheetView>
  </sheetViews>
  <sheetFormatPr defaultRowHeight="14" x14ac:dyDescent="0.3"/>
  <cols>
    <col min="3" max="3" width="13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2021</v>
      </c>
      <c r="B2" s="4" t="s">
        <v>32</v>
      </c>
      <c r="C2" s="3">
        <v>3946.21</v>
      </c>
      <c r="D2">
        <v>17.989999999999998</v>
      </c>
      <c r="E2">
        <f t="shared" ref="E2:E22" si="0">C2*0.50742+D2*0.49258</f>
        <v>2011.2473924000001</v>
      </c>
      <c r="F2">
        <v>1</v>
      </c>
      <c r="G2">
        <f t="shared" ref="G2:G22" si="1">E2*F2</f>
        <v>2011.2473924000001</v>
      </c>
      <c r="H2">
        <v>2119.1999999999998</v>
      </c>
      <c r="I2">
        <f t="shared" ref="I2:I22" si="2">(E2-100.8898)*(E2-100.8898)*H2/8372</f>
        <v>923787.46111763211</v>
      </c>
      <c r="J2" s="1">
        <v>104.07274200000001</v>
      </c>
      <c r="K2" s="1">
        <v>30.578983999999998</v>
      </c>
      <c r="L2">
        <f>C2*J2</f>
        <v>410692.89520782005</v>
      </c>
      <c r="M2">
        <f>C2*K2</f>
        <v>120671.09245063999</v>
      </c>
      <c r="N2">
        <f>D2*J2</f>
        <v>1872.26862858</v>
      </c>
      <c r="O2">
        <f>D2*K2</f>
        <v>550.11592215999997</v>
      </c>
    </row>
    <row r="3" spans="1:16" x14ac:dyDescent="0.3">
      <c r="A3">
        <v>2021</v>
      </c>
      <c r="B3" s="4" t="s">
        <v>33</v>
      </c>
      <c r="C3" s="3">
        <v>2.93</v>
      </c>
      <c r="D3">
        <v>0.01</v>
      </c>
      <c r="E3">
        <f t="shared" si="0"/>
        <v>1.4916664000000002</v>
      </c>
      <c r="F3">
        <v>11</v>
      </c>
      <c r="G3">
        <f t="shared" si="1"/>
        <v>16.408330400000001</v>
      </c>
      <c r="H3">
        <v>246.7</v>
      </c>
      <c r="I3">
        <f t="shared" si="2"/>
        <v>291.13632073726978</v>
      </c>
      <c r="J3" s="1">
        <v>104.785532</v>
      </c>
      <c r="K3" s="1">
        <v>29.345369999999999</v>
      </c>
      <c r="L3">
        <f t="shared" ref="L3:L22" si="3">C3*J3</f>
        <v>307.02160876000005</v>
      </c>
      <c r="M3">
        <f t="shared" ref="M3:M22" si="4">C3*K3</f>
        <v>85.981934100000004</v>
      </c>
      <c r="N3">
        <f t="shared" ref="N3:N22" si="5">D3*J3</f>
        <v>1.04785532</v>
      </c>
      <c r="O3">
        <f t="shared" ref="O3:O22" si="6">D3*K3</f>
        <v>0.29345369999999998</v>
      </c>
    </row>
    <row r="4" spans="1:16" x14ac:dyDescent="0.3">
      <c r="A4">
        <v>2021</v>
      </c>
      <c r="B4" s="4" t="s">
        <v>34</v>
      </c>
      <c r="C4" s="3">
        <v>0.82</v>
      </c>
      <c r="D4">
        <v>0.03</v>
      </c>
      <c r="E4">
        <f t="shared" si="0"/>
        <v>0.43086179999999996</v>
      </c>
      <c r="F4">
        <v>20</v>
      </c>
      <c r="G4">
        <f t="shared" si="1"/>
        <v>8.6172359999999983</v>
      </c>
      <c r="H4">
        <v>121.4</v>
      </c>
      <c r="I4">
        <f t="shared" si="2"/>
        <v>146.34120751105473</v>
      </c>
      <c r="J4" s="1">
        <v>101.72505</v>
      </c>
      <c r="K4" s="1">
        <v>26.588200000000001</v>
      </c>
      <c r="L4">
        <f t="shared" si="3"/>
        <v>83.414540999999986</v>
      </c>
      <c r="M4">
        <f t="shared" si="4"/>
        <v>21.802323999999999</v>
      </c>
      <c r="N4">
        <f t="shared" si="5"/>
        <v>3.0517515</v>
      </c>
      <c r="O4">
        <f t="shared" si="6"/>
        <v>0.79764599999999997</v>
      </c>
    </row>
    <row r="5" spans="1:16" x14ac:dyDescent="0.3">
      <c r="A5">
        <v>2021</v>
      </c>
      <c r="B5" s="4" t="s">
        <v>35</v>
      </c>
      <c r="C5" s="3">
        <v>4.5199999999999996</v>
      </c>
      <c r="D5">
        <v>0.03</v>
      </c>
      <c r="E5">
        <f t="shared" si="0"/>
        <v>2.3083157999999995</v>
      </c>
      <c r="F5">
        <v>8</v>
      </c>
      <c r="G5">
        <f t="shared" si="1"/>
        <v>18.466526399999996</v>
      </c>
      <c r="H5">
        <v>425.9</v>
      </c>
      <c r="I5">
        <f t="shared" si="2"/>
        <v>494.3893710739581</v>
      </c>
      <c r="J5" s="1">
        <v>105.448463</v>
      </c>
      <c r="K5" s="1">
        <v>28.876978000000001</v>
      </c>
      <c r="L5">
        <f t="shared" si="3"/>
        <v>476.62705275999997</v>
      </c>
      <c r="M5">
        <f t="shared" si="4"/>
        <v>130.52394056</v>
      </c>
      <c r="N5">
        <f t="shared" si="5"/>
        <v>3.16345389</v>
      </c>
      <c r="O5">
        <f t="shared" si="6"/>
        <v>0.86630934000000004</v>
      </c>
    </row>
    <row r="6" spans="1:16" x14ac:dyDescent="0.3">
      <c r="A6">
        <v>2021</v>
      </c>
      <c r="B6" s="4" t="s">
        <v>36</v>
      </c>
      <c r="C6" s="3">
        <v>11.32</v>
      </c>
      <c r="D6">
        <v>0.02</v>
      </c>
      <c r="E6">
        <f t="shared" si="0"/>
        <v>5.7538460000000002</v>
      </c>
      <c r="F6">
        <v>4</v>
      </c>
      <c r="G6">
        <f t="shared" si="1"/>
        <v>23.015384000000001</v>
      </c>
      <c r="H6">
        <v>345.9</v>
      </c>
      <c r="I6">
        <f t="shared" si="2"/>
        <v>373.94755449990816</v>
      </c>
      <c r="J6" s="1">
        <v>104.40422700000001</v>
      </c>
      <c r="K6" s="1">
        <v>31.133751</v>
      </c>
      <c r="L6">
        <f t="shared" si="3"/>
        <v>1181.8558496400001</v>
      </c>
      <c r="M6">
        <f t="shared" si="4"/>
        <v>352.43406132000001</v>
      </c>
      <c r="N6">
        <f t="shared" si="5"/>
        <v>2.0880845400000001</v>
      </c>
      <c r="O6">
        <f t="shared" si="6"/>
        <v>0.62267501999999997</v>
      </c>
    </row>
    <row r="7" spans="1:16" x14ac:dyDescent="0.3">
      <c r="A7">
        <v>2021</v>
      </c>
      <c r="B7" s="4" t="s">
        <v>37</v>
      </c>
      <c r="C7" s="3">
        <v>95.41</v>
      </c>
      <c r="D7">
        <v>0.46</v>
      </c>
      <c r="E7">
        <f t="shared" si="0"/>
        <v>48.639528999999996</v>
      </c>
      <c r="F7">
        <v>2</v>
      </c>
      <c r="G7">
        <f t="shared" si="1"/>
        <v>97.279057999999992</v>
      </c>
      <c r="H7">
        <v>488.3</v>
      </c>
      <c r="I7">
        <f t="shared" si="2"/>
        <v>159.23355795481501</v>
      </c>
      <c r="J7" s="1">
        <v>104.685653</v>
      </c>
      <c r="K7" s="1">
        <v>31.473462000000001</v>
      </c>
      <c r="L7">
        <f t="shared" si="3"/>
        <v>9988.0581527300001</v>
      </c>
      <c r="M7">
        <f t="shared" si="4"/>
        <v>3002.8830094200002</v>
      </c>
      <c r="N7">
        <f t="shared" si="5"/>
        <v>48.155400380000003</v>
      </c>
      <c r="O7">
        <f t="shared" si="6"/>
        <v>14.477792520000001</v>
      </c>
    </row>
    <row r="8" spans="1:16" x14ac:dyDescent="0.3">
      <c r="A8">
        <v>2021</v>
      </c>
      <c r="B8" s="4" t="s">
        <v>38</v>
      </c>
      <c r="C8" s="3">
        <v>3.76</v>
      </c>
      <c r="D8">
        <v>0.09</v>
      </c>
      <c r="E8">
        <f t="shared" si="0"/>
        <v>1.9522313999999998</v>
      </c>
      <c r="F8">
        <v>10</v>
      </c>
      <c r="G8">
        <f t="shared" si="1"/>
        <v>19.522313999999998</v>
      </c>
      <c r="H8">
        <v>228.3</v>
      </c>
      <c r="I8">
        <f t="shared" si="2"/>
        <v>266.93108914160496</v>
      </c>
      <c r="J8" s="1">
        <v>105.850532</v>
      </c>
      <c r="K8" s="1">
        <v>32.442338999999997</v>
      </c>
      <c r="L8">
        <f t="shared" si="3"/>
        <v>397.99800031999996</v>
      </c>
      <c r="M8">
        <f t="shared" si="4"/>
        <v>121.98319463999998</v>
      </c>
      <c r="N8">
        <f t="shared" si="5"/>
        <v>9.526547879999999</v>
      </c>
      <c r="O8">
        <f t="shared" si="6"/>
        <v>2.9198105099999996</v>
      </c>
    </row>
    <row r="9" spans="1:16" x14ac:dyDescent="0.3">
      <c r="A9">
        <v>2021</v>
      </c>
      <c r="B9" s="4" t="s">
        <v>39</v>
      </c>
      <c r="C9" s="3">
        <v>2.68</v>
      </c>
      <c r="D9">
        <v>0.01</v>
      </c>
      <c r="E9">
        <f t="shared" si="0"/>
        <v>1.3648114000000002</v>
      </c>
      <c r="F9">
        <v>12</v>
      </c>
      <c r="G9">
        <f t="shared" si="1"/>
        <v>16.377736800000001</v>
      </c>
      <c r="H9">
        <v>278.2</v>
      </c>
      <c r="I9">
        <f t="shared" si="2"/>
        <v>329.14872642044219</v>
      </c>
      <c r="J9" s="1">
        <v>105.599143</v>
      </c>
      <c r="K9" s="1">
        <v>30.539141000000001</v>
      </c>
      <c r="L9">
        <f t="shared" si="3"/>
        <v>283.00570324</v>
      </c>
      <c r="M9">
        <f t="shared" si="4"/>
        <v>81.844897880000005</v>
      </c>
      <c r="N9">
        <f t="shared" si="5"/>
        <v>1.05599143</v>
      </c>
      <c r="O9">
        <f t="shared" si="6"/>
        <v>0.30539141000000003</v>
      </c>
    </row>
    <row r="10" spans="1:16" x14ac:dyDescent="0.3">
      <c r="A10">
        <v>2021</v>
      </c>
      <c r="B10" s="4" t="s">
        <v>40</v>
      </c>
      <c r="C10" s="3">
        <v>0.93</v>
      </c>
      <c r="D10">
        <v>0.03</v>
      </c>
      <c r="E10">
        <f t="shared" si="0"/>
        <v>0.486678</v>
      </c>
      <c r="F10">
        <v>19</v>
      </c>
      <c r="G10">
        <f t="shared" si="1"/>
        <v>9.2468819999999994</v>
      </c>
      <c r="H10">
        <v>310.39999999999998</v>
      </c>
      <c r="I10">
        <f t="shared" si="2"/>
        <v>373.75492785958818</v>
      </c>
      <c r="J10" s="1">
        <v>105.064564</v>
      </c>
      <c r="K10" s="1">
        <v>29.585822</v>
      </c>
      <c r="L10">
        <f t="shared" si="3"/>
        <v>97.710044520000011</v>
      </c>
      <c r="M10">
        <f t="shared" si="4"/>
        <v>27.51481446</v>
      </c>
      <c r="N10">
        <f t="shared" si="5"/>
        <v>3.1519369199999998</v>
      </c>
      <c r="O10">
        <f t="shared" si="6"/>
        <v>0.88757465999999996</v>
      </c>
    </row>
    <row r="11" spans="1:16" x14ac:dyDescent="0.3">
      <c r="A11">
        <v>2021</v>
      </c>
      <c r="B11" s="4" t="s">
        <v>41</v>
      </c>
      <c r="C11" s="3">
        <v>52.79</v>
      </c>
      <c r="D11">
        <v>0.32</v>
      </c>
      <c r="E11">
        <f t="shared" si="0"/>
        <v>26.944327399999999</v>
      </c>
      <c r="F11">
        <v>3</v>
      </c>
      <c r="G11">
        <f t="shared" si="1"/>
        <v>80.832982200000004</v>
      </c>
      <c r="H11">
        <v>315.10000000000002</v>
      </c>
      <c r="I11">
        <f t="shared" si="2"/>
        <v>205.79857411294418</v>
      </c>
      <c r="J11" s="1">
        <v>103.772521</v>
      </c>
      <c r="K11" s="1">
        <v>29.558285000000001</v>
      </c>
      <c r="L11">
        <f t="shared" si="3"/>
        <v>5478.1513835899996</v>
      </c>
      <c r="M11">
        <f t="shared" si="4"/>
        <v>1560.3818651500001</v>
      </c>
      <c r="N11">
        <f t="shared" si="5"/>
        <v>33.207206720000002</v>
      </c>
      <c r="O11">
        <f t="shared" si="6"/>
        <v>9.4586512000000003</v>
      </c>
    </row>
    <row r="12" spans="1:16" x14ac:dyDescent="0.3">
      <c r="A12">
        <v>2021</v>
      </c>
      <c r="B12" s="4" t="s">
        <v>42</v>
      </c>
      <c r="C12" s="3">
        <v>4.45</v>
      </c>
      <c r="D12">
        <v>0.02</v>
      </c>
      <c r="E12">
        <f t="shared" si="0"/>
        <v>2.2678706000000002</v>
      </c>
      <c r="F12">
        <v>9</v>
      </c>
      <c r="G12">
        <f t="shared" si="1"/>
        <v>20.410835400000003</v>
      </c>
      <c r="H12">
        <v>556.20000000000005</v>
      </c>
      <c r="I12">
        <f t="shared" si="2"/>
        <v>646.17292092228968</v>
      </c>
      <c r="J12" s="1">
        <v>106.11712300000001</v>
      </c>
      <c r="K12" s="1">
        <v>30.843219999999999</v>
      </c>
      <c r="L12">
        <f t="shared" si="3"/>
        <v>472.22119735000007</v>
      </c>
      <c r="M12">
        <f t="shared" si="4"/>
        <v>137.252329</v>
      </c>
      <c r="N12">
        <f t="shared" si="5"/>
        <v>2.12234246</v>
      </c>
      <c r="O12">
        <f t="shared" si="6"/>
        <v>0.61686439999999998</v>
      </c>
    </row>
    <row r="13" spans="1:16" x14ac:dyDescent="0.3">
      <c r="A13">
        <v>2021</v>
      </c>
      <c r="B13" s="4" t="s">
        <v>43</v>
      </c>
      <c r="C13" s="3">
        <v>0.97</v>
      </c>
      <c r="D13">
        <v>0.01</v>
      </c>
      <c r="E13">
        <f t="shared" si="0"/>
        <v>0.49712319999999993</v>
      </c>
      <c r="F13">
        <v>18</v>
      </c>
      <c r="G13">
        <f t="shared" si="1"/>
        <v>8.9482175999999995</v>
      </c>
      <c r="H13">
        <v>295.89999999999998</v>
      </c>
      <c r="I13">
        <f t="shared" si="2"/>
        <v>356.22124215778706</v>
      </c>
      <c r="J13" s="1">
        <v>103.854991</v>
      </c>
      <c r="K13" s="1">
        <v>30.082841999999999</v>
      </c>
      <c r="L13">
        <f t="shared" si="3"/>
        <v>100.73934127</v>
      </c>
      <c r="M13">
        <f t="shared" si="4"/>
        <v>29.180356739999997</v>
      </c>
      <c r="N13">
        <f t="shared" si="5"/>
        <v>1.03854991</v>
      </c>
      <c r="O13">
        <f t="shared" si="6"/>
        <v>0.30082841999999999</v>
      </c>
    </row>
    <row r="14" spans="1:16" x14ac:dyDescent="0.3">
      <c r="A14">
        <v>2021</v>
      </c>
      <c r="B14" s="4" t="s">
        <v>44</v>
      </c>
      <c r="C14" s="3">
        <v>1.02</v>
      </c>
      <c r="D14">
        <v>0.01</v>
      </c>
      <c r="E14">
        <f t="shared" si="0"/>
        <v>0.52249420000000002</v>
      </c>
      <c r="F14">
        <v>17</v>
      </c>
      <c r="G14">
        <f t="shared" si="1"/>
        <v>8.8824014000000009</v>
      </c>
      <c r="H14">
        <v>460.5</v>
      </c>
      <c r="I14">
        <f t="shared" si="2"/>
        <v>554.09591398352882</v>
      </c>
      <c r="J14" s="1">
        <v>104.649316</v>
      </c>
      <c r="K14" s="1">
        <v>28.758631000000001</v>
      </c>
      <c r="L14">
        <f t="shared" si="3"/>
        <v>106.74230232000001</v>
      </c>
      <c r="M14">
        <f t="shared" si="4"/>
        <v>29.333803620000001</v>
      </c>
      <c r="N14">
        <f t="shared" si="5"/>
        <v>1.04649316</v>
      </c>
      <c r="O14">
        <f t="shared" si="6"/>
        <v>0.28758631000000001</v>
      </c>
    </row>
    <row r="15" spans="1:16" x14ac:dyDescent="0.3">
      <c r="A15">
        <v>2021</v>
      </c>
      <c r="B15" s="4" t="s">
        <v>45</v>
      </c>
      <c r="C15" s="3">
        <v>0.42</v>
      </c>
      <c r="D15">
        <v>0.35</v>
      </c>
      <c r="E15">
        <f t="shared" si="0"/>
        <v>0.38551939999999996</v>
      </c>
      <c r="F15">
        <v>21</v>
      </c>
      <c r="G15">
        <f t="shared" si="1"/>
        <v>8.0959073999999998</v>
      </c>
      <c r="H15">
        <v>324.8</v>
      </c>
      <c r="I15">
        <f t="shared" si="2"/>
        <v>391.88254468064548</v>
      </c>
      <c r="J15" s="1">
        <v>106.639184</v>
      </c>
      <c r="K15" s="1">
        <v>30.462142</v>
      </c>
      <c r="L15">
        <f t="shared" si="3"/>
        <v>44.788457279999996</v>
      </c>
      <c r="M15">
        <f t="shared" si="4"/>
        <v>12.794099639999999</v>
      </c>
      <c r="N15">
        <f t="shared" si="5"/>
        <v>37.3237144</v>
      </c>
      <c r="O15">
        <f t="shared" si="6"/>
        <v>10.6617497</v>
      </c>
    </row>
    <row r="16" spans="1:16" x14ac:dyDescent="0.3">
      <c r="A16">
        <v>2021</v>
      </c>
      <c r="B16" s="4" t="s">
        <v>46</v>
      </c>
      <c r="C16" s="3">
        <v>1.1200000000000001</v>
      </c>
      <c r="D16">
        <v>0.01</v>
      </c>
      <c r="E16">
        <f t="shared" si="0"/>
        <v>0.57323619999999997</v>
      </c>
      <c r="F16">
        <v>16</v>
      </c>
      <c r="G16">
        <f t="shared" si="1"/>
        <v>9.1717791999999996</v>
      </c>
      <c r="H16">
        <v>537</v>
      </c>
      <c r="I16">
        <f t="shared" si="2"/>
        <v>645.49125254507828</v>
      </c>
      <c r="J16" s="1">
        <v>107.474424</v>
      </c>
      <c r="K16" s="1">
        <v>31.214942000000001</v>
      </c>
      <c r="L16">
        <f t="shared" si="3"/>
        <v>120.37135488000001</v>
      </c>
      <c r="M16">
        <f t="shared" si="4"/>
        <v>34.960735040000003</v>
      </c>
      <c r="N16">
        <f t="shared" si="5"/>
        <v>1.07474424</v>
      </c>
      <c r="O16">
        <f t="shared" si="6"/>
        <v>0.31214942000000001</v>
      </c>
    </row>
    <row r="17" spans="1:15" x14ac:dyDescent="0.3">
      <c r="A17">
        <v>2021</v>
      </c>
      <c r="B17" s="4" t="s">
        <v>47</v>
      </c>
      <c r="C17" s="3">
        <v>5.6</v>
      </c>
      <c r="D17">
        <v>0.02</v>
      </c>
      <c r="E17">
        <f t="shared" si="0"/>
        <v>2.8514035999999998</v>
      </c>
      <c r="F17">
        <v>7</v>
      </c>
      <c r="G17">
        <f t="shared" si="1"/>
        <v>19.959825199999997</v>
      </c>
      <c r="H17">
        <v>143.1</v>
      </c>
      <c r="I17">
        <f t="shared" si="2"/>
        <v>164.28685354020706</v>
      </c>
      <c r="J17" s="1">
        <v>103.048153</v>
      </c>
      <c r="K17" s="1">
        <v>30.015991</v>
      </c>
      <c r="L17">
        <f t="shared" si="3"/>
        <v>577.06965679999996</v>
      </c>
      <c r="M17">
        <f t="shared" si="4"/>
        <v>168.0895496</v>
      </c>
      <c r="N17">
        <f t="shared" si="5"/>
        <v>2.0609630600000002</v>
      </c>
      <c r="O17">
        <f t="shared" si="6"/>
        <v>0.60031982000000006</v>
      </c>
    </row>
    <row r="18" spans="1:15" x14ac:dyDescent="0.3">
      <c r="A18">
        <v>2021</v>
      </c>
      <c r="B18" s="4" t="s">
        <v>48</v>
      </c>
      <c r="C18" s="3">
        <v>1.34</v>
      </c>
      <c r="D18">
        <v>0.01</v>
      </c>
      <c r="E18">
        <f t="shared" si="0"/>
        <v>0.68486860000000005</v>
      </c>
      <c r="F18">
        <v>13</v>
      </c>
      <c r="G18">
        <f t="shared" si="1"/>
        <v>8.9032917999999999</v>
      </c>
      <c r="H18">
        <v>267.60000000000002</v>
      </c>
      <c r="I18">
        <f t="shared" si="2"/>
        <v>320.94829991552092</v>
      </c>
      <c r="J18" s="1">
        <v>106.754109</v>
      </c>
      <c r="K18" s="1">
        <v>31.873559</v>
      </c>
      <c r="L18">
        <f t="shared" si="3"/>
        <v>143.05050606</v>
      </c>
      <c r="M18">
        <f t="shared" si="4"/>
        <v>42.710569060000005</v>
      </c>
      <c r="N18">
        <f t="shared" si="5"/>
        <v>1.06754109</v>
      </c>
      <c r="O18">
        <f t="shared" si="6"/>
        <v>0.31873559000000001</v>
      </c>
    </row>
    <row r="19" spans="1:15" x14ac:dyDescent="0.3">
      <c r="A19">
        <v>2021</v>
      </c>
      <c r="B19" s="4" t="s">
        <v>49</v>
      </c>
      <c r="C19" s="3">
        <v>1.31</v>
      </c>
      <c r="D19">
        <v>0.01</v>
      </c>
      <c r="E19">
        <f t="shared" si="0"/>
        <v>0.66964599999999996</v>
      </c>
      <c r="F19">
        <v>14</v>
      </c>
      <c r="G19">
        <f t="shared" si="1"/>
        <v>9.375043999999999</v>
      </c>
      <c r="H19">
        <v>228.4</v>
      </c>
      <c r="I19">
        <f t="shared" si="2"/>
        <v>274.0166871430722</v>
      </c>
      <c r="J19" s="1">
        <v>104.633825</v>
      </c>
      <c r="K19" s="1">
        <v>30.135162999999999</v>
      </c>
      <c r="L19">
        <f t="shared" si="3"/>
        <v>137.07031075</v>
      </c>
      <c r="M19">
        <f t="shared" si="4"/>
        <v>39.477063530000002</v>
      </c>
      <c r="N19">
        <f t="shared" si="5"/>
        <v>1.04633825</v>
      </c>
      <c r="O19">
        <f t="shared" si="6"/>
        <v>0.30135162999999998</v>
      </c>
    </row>
    <row r="20" spans="1:15" x14ac:dyDescent="0.3">
      <c r="A20">
        <v>2021</v>
      </c>
      <c r="B20" s="4" t="s">
        <v>50</v>
      </c>
      <c r="C20" s="3">
        <v>1.1299999999999999</v>
      </c>
      <c r="D20">
        <v>0.01</v>
      </c>
      <c r="E20">
        <f t="shared" si="0"/>
        <v>0.57831039999999989</v>
      </c>
      <c r="F20">
        <v>15</v>
      </c>
      <c r="G20">
        <f t="shared" si="1"/>
        <v>8.6746559999999988</v>
      </c>
      <c r="H20">
        <v>81.5</v>
      </c>
      <c r="I20">
        <f t="shared" si="2"/>
        <v>97.9557080841291</v>
      </c>
      <c r="J20" s="1">
        <v>102.23090999999999</v>
      </c>
      <c r="K20" s="1">
        <v>31.905656</v>
      </c>
      <c r="L20">
        <f t="shared" si="3"/>
        <v>115.52092829999998</v>
      </c>
      <c r="M20">
        <f t="shared" si="4"/>
        <v>36.05339128</v>
      </c>
      <c r="N20">
        <f t="shared" si="5"/>
        <v>1.0223091</v>
      </c>
      <c r="O20">
        <f t="shared" si="6"/>
        <v>0.31905655999999999</v>
      </c>
    </row>
    <row r="21" spans="1:15" x14ac:dyDescent="0.3">
      <c r="A21">
        <v>2021</v>
      </c>
      <c r="B21" s="4" t="s">
        <v>51</v>
      </c>
      <c r="C21" s="3">
        <v>7.31</v>
      </c>
      <c r="D21">
        <v>0.02</v>
      </c>
      <c r="E21">
        <f t="shared" si="0"/>
        <v>3.7190917999999997</v>
      </c>
      <c r="F21">
        <v>6</v>
      </c>
      <c r="G21">
        <f t="shared" si="1"/>
        <v>22.314550799999999</v>
      </c>
      <c r="H21">
        <v>110.2</v>
      </c>
      <c r="I21">
        <f t="shared" si="2"/>
        <v>124.28625750552651</v>
      </c>
      <c r="J21" s="1">
        <v>101.968649</v>
      </c>
      <c r="K21" s="1">
        <v>30.055425</v>
      </c>
      <c r="L21">
        <f t="shared" si="3"/>
        <v>745.39082418999999</v>
      </c>
      <c r="M21">
        <f t="shared" si="4"/>
        <v>219.70515674999999</v>
      </c>
      <c r="N21">
        <f t="shared" si="5"/>
        <v>2.03937298</v>
      </c>
      <c r="O21">
        <f t="shared" si="6"/>
        <v>0.60110850000000005</v>
      </c>
    </row>
    <row r="22" spans="1:15" x14ac:dyDescent="0.3">
      <c r="A22">
        <v>2021</v>
      </c>
      <c r="B22" s="4" t="s">
        <v>52</v>
      </c>
      <c r="C22" s="3">
        <v>10.45</v>
      </c>
      <c r="D22">
        <v>0.03</v>
      </c>
      <c r="E22">
        <f t="shared" si="0"/>
        <v>5.3173163999999993</v>
      </c>
      <c r="F22">
        <v>5</v>
      </c>
      <c r="G22">
        <f t="shared" si="1"/>
        <v>26.586581999999996</v>
      </c>
      <c r="H22">
        <v>487.4</v>
      </c>
      <c r="I22">
        <f t="shared" si="2"/>
        <v>531.76781599445576</v>
      </c>
      <c r="J22" s="1">
        <v>102.27418900000001</v>
      </c>
      <c r="K22" s="1">
        <v>27.887442</v>
      </c>
      <c r="L22">
        <f t="shared" si="3"/>
        <v>1068.7652750499999</v>
      </c>
      <c r="M22">
        <f t="shared" si="4"/>
        <v>291.42376889999997</v>
      </c>
      <c r="N22">
        <f t="shared" si="5"/>
        <v>3.0682256699999999</v>
      </c>
      <c r="O22">
        <f t="shared" si="6"/>
        <v>0.83662325999999998</v>
      </c>
    </row>
    <row r="23" spans="1:15" x14ac:dyDescent="0.3">
      <c r="B23" t="s">
        <v>13</v>
      </c>
      <c r="C23">
        <f>SUM(C2:C22)</f>
        <v>4156.4900000000016</v>
      </c>
      <c r="D23">
        <f>SUM(D2:D22)</f>
        <v>19.490000000000016</v>
      </c>
      <c r="E23">
        <f>AVERAGE(E2:E22)</f>
        <v>100.88983523809523</v>
      </c>
      <c r="F23" t="s">
        <v>9</v>
      </c>
      <c r="G23">
        <f>SUM(G2:G22)</f>
        <v>2452.336933</v>
      </c>
      <c r="H23">
        <f>SUM(H2:H22)</f>
        <v>8372</v>
      </c>
      <c r="I23">
        <f>SUM(I2:I22)</f>
        <v>930535.26794341602</v>
      </c>
      <c r="L23">
        <f>SUM(L2:L22)</f>
        <v>432618.46769863</v>
      </c>
      <c r="M23">
        <f>SUM(M2:M22)</f>
        <v>127097.42331532999</v>
      </c>
      <c r="N23">
        <f>SUM(N2:N22)</f>
        <v>2029.6274514799998</v>
      </c>
      <c r="O23">
        <f>SUM(O2:O22)</f>
        <v>595.90160013000002</v>
      </c>
    </row>
    <row r="24" spans="1:15" x14ac:dyDescent="0.3">
      <c r="E24" t="s">
        <v>14</v>
      </c>
      <c r="H24" t="s">
        <v>11</v>
      </c>
      <c r="I24" t="s">
        <v>11</v>
      </c>
    </row>
    <row r="25" spans="1:15" x14ac:dyDescent="0.3">
      <c r="A25" t="s">
        <v>8</v>
      </c>
      <c r="B25">
        <f>E2-E22</f>
        <v>2005.9300760000001</v>
      </c>
      <c r="C25" t="s">
        <v>10</v>
      </c>
      <c r="D25">
        <f>1+1/21-G23/(21*21*E23)</f>
        <v>0.99250096054682024</v>
      </c>
      <c r="E25" t="s">
        <v>12</v>
      </c>
      <c r="F25">
        <f>SQRT(I23)/E23</f>
        <v>9.5613453763915768</v>
      </c>
    </row>
    <row r="26" spans="1:15" x14ac:dyDescent="0.3">
      <c r="K26" t="s">
        <v>15</v>
      </c>
      <c r="L26">
        <f>L23/C23</f>
        <v>104.08264369663583</v>
      </c>
      <c r="M26">
        <f>M23/C23</f>
        <v>30.578065462765444</v>
      </c>
      <c r="N26">
        <f>N23/D23</f>
        <v>104.13686256952273</v>
      </c>
      <c r="O26">
        <f>O23/D23</f>
        <v>30.574735768599258</v>
      </c>
    </row>
    <row r="28" spans="1:15" x14ac:dyDescent="0.3">
      <c r="A28" t="s">
        <v>0</v>
      </c>
    </row>
    <row r="29" spans="1:15" x14ac:dyDescent="0.3">
      <c r="A29" t="s">
        <v>1</v>
      </c>
      <c r="B29" t="s">
        <v>2</v>
      </c>
      <c r="C29" t="s">
        <v>3</v>
      </c>
      <c r="D29" t="s">
        <v>4</v>
      </c>
    </row>
    <row r="30" spans="1:15" x14ac:dyDescent="0.3">
      <c r="A30" t="s">
        <v>6</v>
      </c>
      <c r="B30">
        <v>9.5000000000000001E-2</v>
      </c>
      <c r="C30">
        <v>0.90500000000000003</v>
      </c>
      <c r="D30">
        <v>50.741999999999997</v>
      </c>
    </row>
    <row r="31" spans="1:15" x14ac:dyDescent="0.3">
      <c r="A31" t="s">
        <v>5</v>
      </c>
      <c r="B31">
        <v>0.122</v>
      </c>
      <c r="C31">
        <v>0.878</v>
      </c>
      <c r="D31">
        <v>49.258000000000003</v>
      </c>
    </row>
  </sheetData>
  <sortState xmlns:xlrd2="http://schemas.microsoft.com/office/spreadsheetml/2017/richdata2" ref="A2:I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A370-F446-4272-9C14-55BA84F2DFF9}">
  <dimension ref="A1:P31"/>
  <sheetViews>
    <sheetView topLeftCell="A34" workbookViewId="0">
      <selection activeCell="F30" sqref="F30"/>
    </sheetView>
  </sheetViews>
  <sheetFormatPr defaultRowHeight="14" x14ac:dyDescent="0.3"/>
  <cols>
    <col min="5" max="5" width="12.25" customWidth="1"/>
  </cols>
  <sheetData>
    <row r="1" spans="1:16" x14ac:dyDescent="0.3">
      <c r="A1" t="s">
        <v>16</v>
      </c>
      <c r="B1" t="s">
        <v>17</v>
      </c>
      <c r="C1" t="s">
        <v>66</v>
      </c>
      <c r="D1" t="s">
        <v>18</v>
      </c>
      <c r="E1" t="s">
        <v>20</v>
      </c>
      <c r="F1" t="s">
        <v>21</v>
      </c>
      <c r="G1" t="s">
        <v>23</v>
      </c>
      <c r="H1" t="s">
        <v>24</v>
      </c>
      <c r="I1" t="s">
        <v>25</v>
      </c>
      <c r="J1" s="1" t="s">
        <v>27</v>
      </c>
      <c r="K1" s="1" t="s">
        <v>64</v>
      </c>
      <c r="L1" s="8" t="s">
        <v>29</v>
      </c>
      <c r="M1" s="8"/>
      <c r="N1" s="8" t="s">
        <v>67</v>
      </c>
      <c r="O1" s="8"/>
      <c r="P1" t="s">
        <v>31</v>
      </c>
    </row>
    <row r="2" spans="1:16" x14ac:dyDescent="0.3">
      <c r="A2">
        <v>2022</v>
      </c>
      <c r="B2" s="4" t="s">
        <v>32</v>
      </c>
      <c r="C2">
        <v>2706.49</v>
      </c>
      <c r="D2">
        <v>13.53</v>
      </c>
      <c r="E2">
        <f t="shared" ref="E2:E22" si="0">D2*0.44456+C2*0.55454</f>
        <v>1506.8718613999999</v>
      </c>
      <c r="F2">
        <v>1</v>
      </c>
      <c r="G2">
        <f t="shared" ref="G2:G22" si="1">E2*F2</f>
        <v>1506.8718613999999</v>
      </c>
      <c r="H2">
        <v>2126.8000000000002</v>
      </c>
      <c r="I2">
        <f t="shared" ref="I2:I22" si="2">(E2-76.24154)*(E2-76.24154)*H2/8374</f>
        <v>519814.6869108532</v>
      </c>
      <c r="J2" s="1">
        <v>104.07274200000001</v>
      </c>
      <c r="K2" s="1">
        <v>30.578983999999998</v>
      </c>
      <c r="L2">
        <f>C2*J2</f>
        <v>281671.83549557999</v>
      </c>
      <c r="M2">
        <f>C2*K2</f>
        <v>82761.714406159983</v>
      </c>
      <c r="N2">
        <f>D2*J2</f>
        <v>1408.1041992600001</v>
      </c>
      <c r="O2">
        <f>D2*K2</f>
        <v>413.73365351999996</v>
      </c>
      <c r="P2">
        <f>E2/76.24154</f>
        <v>19.764446801573001</v>
      </c>
    </row>
    <row r="3" spans="1:16" x14ac:dyDescent="0.3">
      <c r="A3">
        <v>2022</v>
      </c>
      <c r="B3" s="4" t="s">
        <v>33</v>
      </c>
      <c r="C3">
        <v>3.52</v>
      </c>
      <c r="D3">
        <v>0.36</v>
      </c>
      <c r="E3">
        <f t="shared" si="0"/>
        <v>2.1120223999999999</v>
      </c>
      <c r="F3">
        <v>11</v>
      </c>
      <c r="G3">
        <f t="shared" si="1"/>
        <v>23.232246399999998</v>
      </c>
      <c r="H3">
        <v>245.2</v>
      </c>
      <c r="I3">
        <f t="shared" si="2"/>
        <v>160.90511763554522</v>
      </c>
      <c r="J3" s="1">
        <v>104.785532</v>
      </c>
      <c r="K3" s="1">
        <v>29.345369999999999</v>
      </c>
      <c r="L3">
        <f t="shared" ref="L3:L22" si="3">C3*J3</f>
        <v>368.84507264000001</v>
      </c>
      <c r="M3">
        <f t="shared" ref="M3:M22" si="4">C3*K3</f>
        <v>103.2957024</v>
      </c>
      <c r="N3">
        <f t="shared" ref="N3:N22" si="5">D3*J3</f>
        <v>37.722791520000001</v>
      </c>
      <c r="O3">
        <f t="shared" ref="O3:O22" si="6">D3*K3</f>
        <v>10.5643332</v>
      </c>
      <c r="P3">
        <f t="shared" ref="P3:P22" si="7">E3/76.24154</f>
        <v>2.7701727955652521E-2</v>
      </c>
    </row>
    <row r="4" spans="1:16" x14ac:dyDescent="0.3">
      <c r="A4">
        <v>2022</v>
      </c>
      <c r="B4" s="4" t="s">
        <v>34</v>
      </c>
      <c r="C4">
        <v>1.72</v>
      </c>
      <c r="D4">
        <v>7.0000000000000007E-2</v>
      </c>
      <c r="E4">
        <f t="shared" si="0"/>
        <v>0.98492800000000003</v>
      </c>
      <c r="F4">
        <v>20</v>
      </c>
      <c r="G4">
        <f t="shared" si="1"/>
        <v>19.698560000000001</v>
      </c>
      <c r="H4">
        <v>121.6</v>
      </c>
      <c r="I4">
        <f t="shared" si="2"/>
        <v>82.241295701668861</v>
      </c>
      <c r="J4" s="1">
        <v>101.72505</v>
      </c>
      <c r="K4" s="1">
        <v>26.588200000000001</v>
      </c>
      <c r="L4">
        <f t="shared" si="3"/>
        <v>174.96708599999999</v>
      </c>
      <c r="M4">
        <f t="shared" si="4"/>
        <v>45.731704000000001</v>
      </c>
      <c r="N4">
        <f t="shared" si="5"/>
        <v>7.1207535000000002</v>
      </c>
      <c r="O4">
        <f t="shared" si="6"/>
        <v>1.8611740000000001</v>
      </c>
      <c r="P4">
        <f t="shared" si="7"/>
        <v>1.291852184517784E-2</v>
      </c>
    </row>
    <row r="5" spans="1:16" x14ac:dyDescent="0.3">
      <c r="A5">
        <v>2022</v>
      </c>
      <c r="B5" s="4" t="s">
        <v>35</v>
      </c>
      <c r="C5">
        <v>5.98</v>
      </c>
      <c r="D5">
        <v>0.15</v>
      </c>
      <c r="E5">
        <f t="shared" si="0"/>
        <v>3.3828332000000003</v>
      </c>
      <c r="F5">
        <v>8</v>
      </c>
      <c r="G5">
        <f t="shared" si="1"/>
        <v>27.062665600000003</v>
      </c>
      <c r="H5">
        <v>426.3</v>
      </c>
      <c r="I5">
        <f t="shared" si="2"/>
        <v>270.23729998150162</v>
      </c>
      <c r="J5" s="1">
        <v>105.448463</v>
      </c>
      <c r="K5" s="1">
        <v>28.876978000000001</v>
      </c>
      <c r="L5">
        <f t="shared" si="3"/>
        <v>630.58180874000004</v>
      </c>
      <c r="M5">
        <f t="shared" si="4"/>
        <v>172.68432844000003</v>
      </c>
      <c r="N5">
        <f t="shared" si="5"/>
        <v>15.81726945</v>
      </c>
      <c r="O5">
        <f t="shared" si="6"/>
        <v>4.3315466999999996</v>
      </c>
      <c r="P5">
        <f t="shared" si="7"/>
        <v>4.4369948455920488E-2</v>
      </c>
    </row>
    <row r="6" spans="1:16" x14ac:dyDescent="0.3">
      <c r="A6">
        <v>2022</v>
      </c>
      <c r="B6" s="4" t="s">
        <v>36</v>
      </c>
      <c r="C6">
        <v>16.84</v>
      </c>
      <c r="D6">
        <v>0.15</v>
      </c>
      <c r="E6">
        <f t="shared" si="0"/>
        <v>9.4051376000000015</v>
      </c>
      <c r="F6">
        <v>4</v>
      </c>
      <c r="G6">
        <f t="shared" si="1"/>
        <v>37.620550400000006</v>
      </c>
      <c r="H6">
        <v>346.1</v>
      </c>
      <c r="I6">
        <f t="shared" si="2"/>
        <v>184.6268129623397</v>
      </c>
      <c r="J6" s="1">
        <v>104.40422700000001</v>
      </c>
      <c r="K6" s="1">
        <v>31.133751</v>
      </c>
      <c r="L6">
        <f t="shared" si="3"/>
        <v>1758.16718268</v>
      </c>
      <c r="M6">
        <f t="shared" si="4"/>
        <v>524.29236684</v>
      </c>
      <c r="N6">
        <f t="shared" si="5"/>
        <v>15.660634050000001</v>
      </c>
      <c r="O6">
        <f t="shared" si="6"/>
        <v>4.6700626500000002</v>
      </c>
      <c r="P6">
        <f t="shared" si="7"/>
        <v>0.12335975375103915</v>
      </c>
    </row>
    <row r="7" spans="1:16" x14ac:dyDescent="0.3">
      <c r="A7">
        <v>2022</v>
      </c>
      <c r="B7" s="4" t="s">
        <v>37</v>
      </c>
      <c r="C7">
        <v>19.670000000000002</v>
      </c>
      <c r="D7">
        <v>0.45</v>
      </c>
      <c r="E7">
        <f t="shared" si="0"/>
        <v>11.107853800000001</v>
      </c>
      <c r="F7">
        <v>3</v>
      </c>
      <c r="G7">
        <f t="shared" si="1"/>
        <v>33.323561400000003</v>
      </c>
      <c r="H7">
        <v>489.8</v>
      </c>
      <c r="I7">
        <f t="shared" si="2"/>
        <v>248.14020644906068</v>
      </c>
      <c r="J7" s="1">
        <v>104.685653</v>
      </c>
      <c r="K7" s="1">
        <v>31.473462000000001</v>
      </c>
      <c r="L7">
        <f t="shared" si="3"/>
        <v>2059.1667945100003</v>
      </c>
      <c r="M7">
        <f t="shared" si="4"/>
        <v>619.08299754000006</v>
      </c>
      <c r="N7">
        <f t="shared" si="5"/>
        <v>47.108543850000004</v>
      </c>
      <c r="O7">
        <f t="shared" si="6"/>
        <v>14.1630579</v>
      </c>
      <c r="P7">
        <f t="shared" si="7"/>
        <v>0.14569293589819934</v>
      </c>
    </row>
    <row r="8" spans="1:16" x14ac:dyDescent="0.3">
      <c r="A8">
        <v>2022</v>
      </c>
      <c r="B8" s="4" t="s">
        <v>38</v>
      </c>
      <c r="C8">
        <v>5.84</v>
      </c>
      <c r="D8">
        <v>0.11</v>
      </c>
      <c r="E8">
        <f t="shared" si="0"/>
        <v>3.2874152000000003</v>
      </c>
      <c r="F8">
        <v>9</v>
      </c>
      <c r="G8">
        <f t="shared" si="1"/>
        <v>29.586736800000004</v>
      </c>
      <c r="H8">
        <v>227.1</v>
      </c>
      <c r="I8">
        <f t="shared" si="2"/>
        <v>144.33906284730662</v>
      </c>
      <c r="J8" s="1">
        <v>105.850532</v>
      </c>
      <c r="K8" s="1">
        <v>32.442338999999997</v>
      </c>
      <c r="L8">
        <f t="shared" si="3"/>
        <v>618.16710688000001</v>
      </c>
      <c r="M8">
        <f t="shared" si="4"/>
        <v>189.46325975999997</v>
      </c>
      <c r="N8">
        <f t="shared" si="5"/>
        <v>11.643558520000001</v>
      </c>
      <c r="O8">
        <f t="shared" si="6"/>
        <v>3.5686572899999995</v>
      </c>
      <c r="P8">
        <f t="shared" si="7"/>
        <v>4.3118425991919895E-2</v>
      </c>
    </row>
    <row r="9" spans="1:16" x14ac:dyDescent="0.3">
      <c r="A9">
        <v>2022</v>
      </c>
      <c r="B9" s="4" t="s">
        <v>39</v>
      </c>
      <c r="C9">
        <v>3.15</v>
      </c>
      <c r="D9">
        <v>0.04</v>
      </c>
      <c r="E9">
        <f t="shared" si="0"/>
        <v>1.7645834</v>
      </c>
      <c r="F9">
        <v>15</v>
      </c>
      <c r="G9">
        <f t="shared" si="1"/>
        <v>26.468751000000001</v>
      </c>
      <c r="H9">
        <v>277.2</v>
      </c>
      <c r="I9">
        <f t="shared" si="2"/>
        <v>183.61328997506615</v>
      </c>
      <c r="J9" s="1">
        <v>105.599143</v>
      </c>
      <c r="K9" s="1">
        <v>30.539141000000001</v>
      </c>
      <c r="L9">
        <f t="shared" si="3"/>
        <v>332.63730045</v>
      </c>
      <c r="M9">
        <f t="shared" si="4"/>
        <v>96.198294149999995</v>
      </c>
      <c r="N9">
        <f t="shared" si="5"/>
        <v>4.2239657199999998</v>
      </c>
      <c r="O9">
        <f t="shared" si="6"/>
        <v>1.2215656400000001</v>
      </c>
      <c r="P9">
        <f t="shared" si="7"/>
        <v>2.3144645294415615E-2</v>
      </c>
    </row>
    <row r="10" spans="1:16" x14ac:dyDescent="0.3">
      <c r="A10">
        <v>2022</v>
      </c>
      <c r="B10" s="4" t="s">
        <v>40</v>
      </c>
      <c r="C10">
        <v>2.2599999999999998</v>
      </c>
      <c r="D10">
        <v>0.06</v>
      </c>
      <c r="E10">
        <f t="shared" si="0"/>
        <v>1.2799340000000001</v>
      </c>
      <c r="F10">
        <v>18</v>
      </c>
      <c r="G10">
        <f t="shared" si="1"/>
        <v>23.038812000000004</v>
      </c>
      <c r="H10">
        <v>308.8</v>
      </c>
      <c r="I10">
        <f t="shared" si="2"/>
        <v>207.21543409623169</v>
      </c>
      <c r="J10" s="1">
        <v>105.064564</v>
      </c>
      <c r="K10" s="1">
        <v>29.585822</v>
      </c>
      <c r="L10">
        <f t="shared" si="3"/>
        <v>237.44591463999998</v>
      </c>
      <c r="M10">
        <f t="shared" si="4"/>
        <v>66.863957719999988</v>
      </c>
      <c r="N10">
        <f t="shared" si="5"/>
        <v>6.3038738399999996</v>
      </c>
      <c r="O10">
        <f t="shared" si="6"/>
        <v>1.7751493199999999</v>
      </c>
      <c r="P10">
        <f t="shared" si="7"/>
        <v>1.6787882301433053E-2</v>
      </c>
    </row>
    <row r="11" spans="1:16" x14ac:dyDescent="0.3">
      <c r="A11">
        <v>2022</v>
      </c>
      <c r="B11" s="4" t="s">
        <v>41</v>
      </c>
      <c r="C11">
        <v>58.62</v>
      </c>
      <c r="D11">
        <v>0.52</v>
      </c>
      <c r="E11">
        <f t="shared" si="0"/>
        <v>32.738306000000001</v>
      </c>
      <c r="F11">
        <v>2</v>
      </c>
      <c r="G11">
        <f t="shared" si="1"/>
        <v>65.476612000000003</v>
      </c>
      <c r="H11">
        <v>315.3</v>
      </c>
      <c r="I11">
        <f t="shared" si="2"/>
        <v>71.258077439102678</v>
      </c>
      <c r="J11" s="1">
        <v>103.772521</v>
      </c>
      <c r="K11" s="1">
        <v>29.558285000000001</v>
      </c>
      <c r="L11">
        <f t="shared" si="3"/>
        <v>6083.1451810199997</v>
      </c>
      <c r="M11">
        <f t="shared" si="4"/>
        <v>1732.7066666999999</v>
      </c>
      <c r="N11">
        <f t="shared" si="5"/>
        <v>53.961710920000002</v>
      </c>
      <c r="O11">
        <f t="shared" si="6"/>
        <v>15.370308200000002</v>
      </c>
      <c r="P11">
        <f t="shared" si="7"/>
        <v>0.42940247534349385</v>
      </c>
    </row>
    <row r="12" spans="1:16" x14ac:dyDescent="0.3">
      <c r="A12">
        <v>2022</v>
      </c>
      <c r="B12" s="4" t="s">
        <v>42</v>
      </c>
      <c r="C12">
        <v>7.21</v>
      </c>
      <c r="D12">
        <v>0.05</v>
      </c>
      <c r="E12">
        <f t="shared" si="0"/>
        <v>4.0204614000000003</v>
      </c>
      <c r="F12">
        <v>7</v>
      </c>
      <c r="G12">
        <f t="shared" si="1"/>
        <v>28.1432298</v>
      </c>
      <c r="H12">
        <v>554.9</v>
      </c>
      <c r="I12">
        <f t="shared" si="2"/>
        <v>345.62862901031525</v>
      </c>
      <c r="J12" s="1">
        <v>106.11712300000001</v>
      </c>
      <c r="K12" s="1">
        <v>30.843219999999999</v>
      </c>
      <c r="L12">
        <f t="shared" si="3"/>
        <v>765.10445683</v>
      </c>
      <c r="M12">
        <f t="shared" si="4"/>
        <v>222.37961619999999</v>
      </c>
      <c r="N12">
        <f t="shared" si="5"/>
        <v>5.3058561500000003</v>
      </c>
      <c r="O12">
        <f t="shared" si="6"/>
        <v>1.5421610000000001</v>
      </c>
      <c r="P12">
        <f t="shared" si="7"/>
        <v>5.2733213416203295E-2</v>
      </c>
    </row>
    <row r="13" spans="1:16" x14ac:dyDescent="0.3">
      <c r="A13">
        <v>2022</v>
      </c>
      <c r="B13" s="4" t="s">
        <v>43</v>
      </c>
      <c r="C13">
        <v>3.12</v>
      </c>
      <c r="D13">
        <v>0.03</v>
      </c>
      <c r="E13">
        <f t="shared" si="0"/>
        <v>1.7435016000000001</v>
      </c>
      <c r="F13">
        <v>16</v>
      </c>
      <c r="G13">
        <f t="shared" si="1"/>
        <v>27.896025600000002</v>
      </c>
      <c r="H13">
        <v>296.10000000000002</v>
      </c>
      <c r="I13">
        <f t="shared" si="2"/>
        <v>196.24342996239739</v>
      </c>
      <c r="J13" s="1">
        <v>103.854991</v>
      </c>
      <c r="K13" s="1">
        <v>30.082841999999999</v>
      </c>
      <c r="L13">
        <f t="shared" si="3"/>
        <v>324.02757192000001</v>
      </c>
      <c r="M13">
        <f t="shared" si="4"/>
        <v>93.858467040000008</v>
      </c>
      <c r="N13">
        <f t="shared" si="5"/>
        <v>3.1156497299999999</v>
      </c>
      <c r="O13">
        <f t="shared" si="6"/>
        <v>0.90248525999999996</v>
      </c>
      <c r="P13">
        <f t="shared" si="7"/>
        <v>2.2868131992087256E-2</v>
      </c>
    </row>
    <row r="14" spans="1:16" x14ac:dyDescent="0.3">
      <c r="A14">
        <v>2022</v>
      </c>
      <c r="B14" s="4" t="s">
        <v>44</v>
      </c>
      <c r="C14">
        <v>2.0299999999999998</v>
      </c>
      <c r="D14">
        <v>0.02</v>
      </c>
      <c r="E14">
        <f t="shared" si="0"/>
        <v>1.1346074000000002</v>
      </c>
      <c r="F14">
        <v>19</v>
      </c>
      <c r="G14">
        <f t="shared" si="1"/>
        <v>21.557540600000003</v>
      </c>
      <c r="H14">
        <v>461.8</v>
      </c>
      <c r="I14">
        <f t="shared" si="2"/>
        <v>311.08639857791724</v>
      </c>
      <c r="J14" s="1">
        <v>104.649316</v>
      </c>
      <c r="K14" s="1">
        <v>28.758631000000001</v>
      </c>
      <c r="L14">
        <f t="shared" si="3"/>
        <v>212.43811147999998</v>
      </c>
      <c r="M14">
        <f t="shared" si="4"/>
        <v>58.380020929999993</v>
      </c>
      <c r="N14">
        <f t="shared" si="5"/>
        <v>2.0929863200000001</v>
      </c>
      <c r="O14">
        <f t="shared" si="6"/>
        <v>0.57517262000000002</v>
      </c>
      <c r="P14">
        <f t="shared" si="7"/>
        <v>1.4881748191340314E-2</v>
      </c>
    </row>
    <row r="15" spans="1:16" x14ac:dyDescent="0.3">
      <c r="A15">
        <v>2022</v>
      </c>
      <c r="B15" s="4" t="s">
        <v>45</v>
      </c>
      <c r="C15">
        <v>0.88</v>
      </c>
      <c r="D15">
        <v>0.51</v>
      </c>
      <c r="E15">
        <f t="shared" si="0"/>
        <v>0.71472080000000004</v>
      </c>
      <c r="F15">
        <v>21</v>
      </c>
      <c r="G15">
        <f t="shared" si="1"/>
        <v>15.0091368</v>
      </c>
      <c r="H15">
        <v>323.8</v>
      </c>
      <c r="I15">
        <f t="shared" si="2"/>
        <v>220.56991587060193</v>
      </c>
      <c r="J15" s="1">
        <v>106.639184</v>
      </c>
      <c r="K15" s="1">
        <v>30.462142</v>
      </c>
      <c r="L15">
        <f t="shared" si="3"/>
        <v>93.842481919999997</v>
      </c>
      <c r="M15">
        <f t="shared" si="4"/>
        <v>26.806684960000002</v>
      </c>
      <c r="N15">
        <f t="shared" si="5"/>
        <v>54.385983840000002</v>
      </c>
      <c r="O15">
        <f t="shared" si="6"/>
        <v>15.53569242</v>
      </c>
      <c r="P15">
        <f t="shared" si="7"/>
        <v>9.3744276414143794E-3</v>
      </c>
    </row>
    <row r="16" spans="1:16" x14ac:dyDescent="0.3">
      <c r="A16">
        <v>2022</v>
      </c>
      <c r="B16" s="4" t="s">
        <v>46</v>
      </c>
      <c r="C16">
        <v>3.14</v>
      </c>
      <c r="D16">
        <v>0.08</v>
      </c>
      <c r="E16">
        <f t="shared" si="0"/>
        <v>1.7768204000000001</v>
      </c>
      <c r="F16">
        <v>14</v>
      </c>
      <c r="G16">
        <f t="shared" si="1"/>
        <v>24.875485600000001</v>
      </c>
      <c r="H16">
        <v>535.5</v>
      </c>
      <c r="I16">
        <f t="shared" si="2"/>
        <v>354.59094053792654</v>
      </c>
      <c r="J16" s="1">
        <v>107.474424</v>
      </c>
      <c r="K16" s="1">
        <v>31.214942000000001</v>
      </c>
      <c r="L16">
        <f t="shared" si="3"/>
        <v>337.46969136000001</v>
      </c>
      <c r="M16">
        <f t="shared" si="4"/>
        <v>98.014917880000013</v>
      </c>
      <c r="N16">
        <f t="shared" si="5"/>
        <v>8.5979539200000001</v>
      </c>
      <c r="O16">
        <f t="shared" si="6"/>
        <v>2.4971953600000001</v>
      </c>
      <c r="P16">
        <f t="shared" si="7"/>
        <v>2.3305148348262642E-2</v>
      </c>
    </row>
    <row r="17" spans="1:16" x14ac:dyDescent="0.3">
      <c r="A17">
        <v>2022</v>
      </c>
      <c r="B17" s="4" t="s">
        <v>47</v>
      </c>
      <c r="C17">
        <v>4.5</v>
      </c>
      <c r="D17">
        <v>0.04</v>
      </c>
      <c r="E17">
        <f t="shared" si="0"/>
        <v>2.5132124000000005</v>
      </c>
      <c r="F17">
        <v>10</v>
      </c>
      <c r="G17">
        <f t="shared" si="1"/>
        <v>25.132124000000005</v>
      </c>
      <c r="H17">
        <v>143.30000000000001</v>
      </c>
      <c r="I17">
        <f t="shared" si="2"/>
        <v>93.021213214269849</v>
      </c>
      <c r="J17" s="1">
        <v>103.048153</v>
      </c>
      <c r="K17" s="1">
        <v>30.015991</v>
      </c>
      <c r="L17">
        <f t="shared" si="3"/>
        <v>463.71668849999998</v>
      </c>
      <c r="M17">
        <f t="shared" si="4"/>
        <v>135.07195949999999</v>
      </c>
      <c r="N17">
        <f t="shared" si="5"/>
        <v>4.1219261200000004</v>
      </c>
      <c r="O17">
        <f t="shared" si="6"/>
        <v>1.2006396400000001</v>
      </c>
      <c r="P17">
        <f t="shared" si="7"/>
        <v>3.2963819985797775E-2</v>
      </c>
    </row>
    <row r="18" spans="1:16" x14ac:dyDescent="0.3">
      <c r="A18">
        <v>2022</v>
      </c>
      <c r="B18" s="4" t="s">
        <v>48</v>
      </c>
      <c r="C18">
        <v>3.65</v>
      </c>
      <c r="D18">
        <v>0.03</v>
      </c>
      <c r="E18">
        <f t="shared" si="0"/>
        <v>2.0374078</v>
      </c>
      <c r="F18">
        <v>12</v>
      </c>
      <c r="G18">
        <f t="shared" si="1"/>
        <v>24.448893599999998</v>
      </c>
      <c r="H18">
        <v>265.8</v>
      </c>
      <c r="I18">
        <f t="shared" si="2"/>
        <v>174.7745533807666</v>
      </c>
      <c r="J18" s="1">
        <v>106.754109</v>
      </c>
      <c r="K18" s="1">
        <v>31.873559</v>
      </c>
      <c r="L18">
        <f t="shared" si="3"/>
        <v>389.65249784999997</v>
      </c>
      <c r="M18">
        <f t="shared" si="4"/>
        <v>116.33849035</v>
      </c>
      <c r="N18">
        <f t="shared" si="5"/>
        <v>3.2026232699999997</v>
      </c>
      <c r="O18">
        <f t="shared" si="6"/>
        <v>0.95620676999999998</v>
      </c>
      <c r="P18">
        <f t="shared" si="7"/>
        <v>2.6723067241296541E-2</v>
      </c>
    </row>
    <row r="19" spans="1:16" x14ac:dyDescent="0.3">
      <c r="A19">
        <v>2022</v>
      </c>
      <c r="B19" s="4" t="s">
        <v>49</v>
      </c>
      <c r="C19">
        <v>2.65</v>
      </c>
      <c r="D19">
        <v>0.31</v>
      </c>
      <c r="E19">
        <f t="shared" si="0"/>
        <v>1.6073446000000002</v>
      </c>
      <c r="F19">
        <v>17</v>
      </c>
      <c r="G19">
        <f t="shared" si="1"/>
        <v>27.324858200000005</v>
      </c>
      <c r="H19">
        <v>226.9</v>
      </c>
      <c r="I19">
        <f t="shared" si="2"/>
        <v>150.93058306781955</v>
      </c>
      <c r="J19" s="1">
        <v>104.633825</v>
      </c>
      <c r="K19" s="1">
        <v>30.135162999999999</v>
      </c>
      <c r="L19">
        <f t="shared" si="3"/>
        <v>277.27963625000001</v>
      </c>
      <c r="M19">
        <f t="shared" si="4"/>
        <v>79.858181949999988</v>
      </c>
      <c r="N19">
        <f t="shared" si="5"/>
        <v>32.436485750000003</v>
      </c>
      <c r="O19">
        <f t="shared" si="6"/>
        <v>9.3419005300000002</v>
      </c>
      <c r="P19">
        <f t="shared" si="7"/>
        <v>2.1082268275273562E-2</v>
      </c>
    </row>
    <row r="20" spans="1:16" x14ac:dyDescent="0.3">
      <c r="A20">
        <v>2022</v>
      </c>
      <c r="B20" s="4" t="s">
        <v>50</v>
      </c>
      <c r="C20">
        <v>3.21</v>
      </c>
      <c r="D20">
        <v>0.06</v>
      </c>
      <c r="E20">
        <f t="shared" si="0"/>
        <v>1.8067470000000001</v>
      </c>
      <c r="F20">
        <v>13</v>
      </c>
      <c r="G20">
        <f t="shared" si="1"/>
        <v>23.487711000000001</v>
      </c>
      <c r="H20">
        <v>82.3</v>
      </c>
      <c r="I20">
        <f t="shared" si="2"/>
        <v>54.452628499739603</v>
      </c>
      <c r="J20" s="1">
        <v>102.23090999999999</v>
      </c>
      <c r="K20" s="1">
        <v>31.905656</v>
      </c>
      <c r="L20">
        <f t="shared" si="3"/>
        <v>328.16122109999998</v>
      </c>
      <c r="M20">
        <f t="shared" si="4"/>
        <v>102.41715576</v>
      </c>
      <c r="N20">
        <f t="shared" si="5"/>
        <v>6.1338545999999994</v>
      </c>
      <c r="O20">
        <f t="shared" si="6"/>
        <v>1.91433936</v>
      </c>
      <c r="P20">
        <f t="shared" si="7"/>
        <v>2.3697671899072344E-2</v>
      </c>
    </row>
    <row r="21" spans="1:16" x14ac:dyDescent="0.3">
      <c r="A21">
        <v>2022</v>
      </c>
      <c r="B21" s="4" t="s">
        <v>51</v>
      </c>
      <c r="C21">
        <v>8.1199999999999992</v>
      </c>
      <c r="D21">
        <v>0.05</v>
      </c>
      <c r="E21">
        <f t="shared" si="0"/>
        <v>4.5250928000000004</v>
      </c>
      <c r="F21">
        <v>6</v>
      </c>
      <c r="G21">
        <f t="shared" si="1"/>
        <v>27.150556800000004</v>
      </c>
      <c r="H21">
        <v>110.3</v>
      </c>
      <c r="I21">
        <f t="shared" si="2"/>
        <v>67.745443339937879</v>
      </c>
      <c r="J21" s="1">
        <v>101.968649</v>
      </c>
      <c r="K21" s="1">
        <v>30.055425</v>
      </c>
      <c r="L21">
        <f t="shared" si="3"/>
        <v>827.98542987999997</v>
      </c>
      <c r="M21">
        <f t="shared" si="4"/>
        <v>244.05005099999997</v>
      </c>
      <c r="N21">
        <f t="shared" si="5"/>
        <v>5.0984324500000007</v>
      </c>
      <c r="O21">
        <f t="shared" si="6"/>
        <v>1.5027712500000001</v>
      </c>
      <c r="P21">
        <f t="shared" si="7"/>
        <v>5.9352064504468303E-2</v>
      </c>
    </row>
    <row r="22" spans="1:16" x14ac:dyDescent="0.3">
      <c r="A22">
        <v>2022</v>
      </c>
      <c r="B22" s="4" t="s">
        <v>52</v>
      </c>
      <c r="C22">
        <v>11.22</v>
      </c>
      <c r="D22">
        <v>0.08</v>
      </c>
      <c r="E22">
        <f t="shared" si="0"/>
        <v>6.2575036000000015</v>
      </c>
      <c r="F22">
        <v>5</v>
      </c>
      <c r="G22">
        <f t="shared" si="1"/>
        <v>31.287518000000006</v>
      </c>
      <c r="H22">
        <v>489.1</v>
      </c>
      <c r="I22">
        <f t="shared" si="2"/>
        <v>286.06365334298351</v>
      </c>
      <c r="J22" s="1">
        <v>102.27418900000001</v>
      </c>
      <c r="K22" s="1">
        <v>27.887442</v>
      </c>
      <c r="L22">
        <f t="shared" si="3"/>
        <v>1147.5164005800002</v>
      </c>
      <c r="M22">
        <f t="shared" si="4"/>
        <v>312.89709924000005</v>
      </c>
      <c r="N22">
        <f t="shared" si="5"/>
        <v>8.1819351200000003</v>
      </c>
      <c r="O22">
        <f t="shared" si="6"/>
        <v>2.2309953600000001</v>
      </c>
      <c r="P22">
        <f t="shared" si="7"/>
        <v>8.2074727241868428E-2</v>
      </c>
    </row>
    <row r="23" spans="1:16" x14ac:dyDescent="0.3">
      <c r="B23" t="s">
        <v>61</v>
      </c>
      <c r="C23">
        <f>SUM(C2:C22)</f>
        <v>2873.82</v>
      </c>
      <c r="D23">
        <f>SUM(D2:D22)</f>
        <v>16.699999999999992</v>
      </c>
      <c r="E23">
        <f>AVERAGE(E2:E22)</f>
        <v>76.241537847619028</v>
      </c>
      <c r="F23" t="s">
        <v>62</v>
      </c>
      <c r="G23">
        <f>SUM(G2:G22)</f>
        <v>2068.6934369999999</v>
      </c>
      <c r="H23">
        <f>SUM(H2:H22)</f>
        <v>8374.0000000000018</v>
      </c>
      <c r="I23">
        <f>SUM(I2:I22)</f>
        <v>523622.37089674565</v>
      </c>
      <c r="L23">
        <f>SUM(L2:L22)</f>
        <v>299102.15313080995</v>
      </c>
      <c r="M23">
        <f>SUM(M2:M22)</f>
        <v>87802.106328519993</v>
      </c>
      <c r="N23">
        <f>SUM(N2:N22)</f>
        <v>1740.3409879000001</v>
      </c>
      <c r="O23">
        <f>SUM(O2:O22)</f>
        <v>509.45906798999994</v>
      </c>
    </row>
    <row r="24" spans="1:16" ht="42" x14ac:dyDescent="0.3">
      <c r="E24" s="9" t="s">
        <v>65</v>
      </c>
      <c r="H24" t="s">
        <v>62</v>
      </c>
      <c r="I24" t="s">
        <v>63</v>
      </c>
    </row>
    <row r="25" spans="1:16" ht="42" x14ac:dyDescent="0.3">
      <c r="A25" t="s">
        <v>60</v>
      </c>
      <c r="B25">
        <f>E2-E22</f>
        <v>1500.6143577999999</v>
      </c>
      <c r="C25" s="9" t="s">
        <v>70</v>
      </c>
      <c r="D25">
        <f>1+1/21-G23/(21*21*E23)</f>
        <v>0.98609202500698023</v>
      </c>
      <c r="E25" t="s">
        <v>71</v>
      </c>
      <c r="F25">
        <f>SQRT(I23)/E23</f>
        <v>9.491119655744539</v>
      </c>
      <c r="L25" t="s">
        <v>26</v>
      </c>
      <c r="M25" t="s">
        <v>28</v>
      </c>
      <c r="N25" t="s">
        <v>26</v>
      </c>
      <c r="O25" t="s">
        <v>28</v>
      </c>
    </row>
    <row r="26" spans="1:16" x14ac:dyDescent="0.3">
      <c r="L26">
        <f>L23/C23</f>
        <v>104.07824885720397</v>
      </c>
      <c r="M26">
        <f>M23/C23</f>
        <v>30.552402839607208</v>
      </c>
      <c r="N26">
        <f>N23/D23</f>
        <v>104.21203520359286</v>
      </c>
      <c r="O26">
        <f>O23/D23</f>
        <v>30.50653101736528</v>
      </c>
    </row>
    <row r="28" spans="1:16" x14ac:dyDescent="0.3">
      <c r="A28" t="s">
        <v>72</v>
      </c>
    </row>
    <row r="29" spans="1:16" x14ac:dyDescent="0.3">
      <c r="A29" t="s">
        <v>73</v>
      </c>
      <c r="B29" t="s">
        <v>74</v>
      </c>
      <c r="C29" t="s">
        <v>75</v>
      </c>
      <c r="D29" t="s">
        <v>76</v>
      </c>
    </row>
    <row r="30" spans="1:16" ht="112" x14ac:dyDescent="0.3">
      <c r="A30" s="9" t="s">
        <v>68</v>
      </c>
      <c r="B30">
        <v>0.28499999999999998</v>
      </c>
      <c r="C30">
        <v>0.71499999999999997</v>
      </c>
      <c r="D30">
        <v>44.545999999999999</v>
      </c>
    </row>
    <row r="31" spans="1:16" ht="126" x14ac:dyDescent="0.3">
      <c r="A31" s="9" t="s">
        <v>69</v>
      </c>
      <c r="B31">
        <v>0.11</v>
      </c>
      <c r="C31">
        <v>0.89</v>
      </c>
      <c r="D31">
        <v>55.454000000000001</v>
      </c>
    </row>
  </sheetData>
  <sortState xmlns:xlrd2="http://schemas.microsoft.com/office/spreadsheetml/2017/richdata2" ref="A2:I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6837-E866-4218-AFE1-834D62EC61A9}">
  <dimension ref="A1:G22"/>
  <sheetViews>
    <sheetView topLeftCell="A19" workbookViewId="0">
      <selection activeCell="L10" sqref="L10"/>
    </sheetView>
  </sheetViews>
  <sheetFormatPr defaultRowHeight="14" x14ac:dyDescent="0.3"/>
  <sheetData>
    <row r="1" spans="1:7" x14ac:dyDescent="0.3">
      <c r="A1" t="s">
        <v>55</v>
      </c>
      <c r="B1">
        <v>2012</v>
      </c>
      <c r="C1">
        <v>2014</v>
      </c>
      <c r="D1">
        <v>2016</v>
      </c>
      <c r="E1">
        <v>2018</v>
      </c>
      <c r="F1">
        <v>2020</v>
      </c>
      <c r="G1">
        <v>2022</v>
      </c>
    </row>
    <row r="2" spans="1:7" x14ac:dyDescent="0.3">
      <c r="A2" s="4" t="s">
        <v>32</v>
      </c>
      <c r="B2">
        <v>17.533120023737073</v>
      </c>
      <c r="C2">
        <v>18.124166252916726</v>
      </c>
      <c r="D2">
        <v>19.852271943316261</v>
      </c>
      <c r="E2">
        <v>20.094707650529891</v>
      </c>
      <c r="F2">
        <v>19.863450943491113</v>
      </c>
      <c r="G2">
        <v>19.764446801573001</v>
      </c>
    </row>
    <row r="3" spans="1:7" x14ac:dyDescent="0.3">
      <c r="A3" s="4" t="s">
        <v>33</v>
      </c>
      <c r="B3">
        <v>3.8688963079180787E-2</v>
      </c>
      <c r="C3">
        <v>1.2857434636210564E-2</v>
      </c>
      <c r="D3">
        <v>8.9472050635217987E-3</v>
      </c>
      <c r="E3">
        <v>5.5791895064810255E-3</v>
      </c>
      <c r="F3">
        <v>2.1963432054258131E-2</v>
      </c>
      <c r="G3">
        <v>2.7701727955652521E-2</v>
      </c>
    </row>
    <row r="4" spans="1:7" x14ac:dyDescent="0.3">
      <c r="A4" s="4" t="s">
        <v>34</v>
      </c>
      <c r="B4">
        <v>1.2262395826343785E-3</v>
      </c>
      <c r="C4">
        <v>6.7214980211235502E-3</v>
      </c>
      <c r="D4">
        <v>7.9942575297562192E-3</v>
      </c>
      <c r="E4">
        <v>4.633778726097687E-3</v>
      </c>
      <c r="F4">
        <v>4.7760008187775335E-3</v>
      </c>
      <c r="G4">
        <v>1.291852184517784E-2</v>
      </c>
    </row>
    <row r="5" spans="1:7" x14ac:dyDescent="0.3">
      <c r="A5" s="4" t="s">
        <v>35</v>
      </c>
      <c r="B5">
        <v>1.3249527657752121E-2</v>
      </c>
      <c r="C5">
        <v>1.4045908887516221E-2</v>
      </c>
      <c r="D5">
        <v>1.5855053466938385E-2</v>
      </c>
      <c r="E5">
        <v>1.0385008476031044E-2</v>
      </c>
      <c r="F5">
        <v>2.941709833359361E-2</v>
      </c>
      <c r="G5">
        <v>4.4369948455920488E-2</v>
      </c>
    </row>
    <row r="6" spans="1:7" x14ac:dyDescent="0.3">
      <c r="A6" s="4" t="s">
        <v>36</v>
      </c>
      <c r="B6">
        <v>0.10676456484421452</v>
      </c>
      <c r="C6">
        <v>6.2971853781406323E-2</v>
      </c>
      <c r="D6">
        <v>3.8748446027046697E-2</v>
      </c>
      <c r="E6">
        <v>2.8095702132933345E-2</v>
      </c>
      <c r="F6">
        <v>6.6117765443176574E-2</v>
      </c>
      <c r="G6">
        <v>0.12335975375103915</v>
      </c>
    </row>
    <row r="7" spans="1:7" x14ac:dyDescent="0.3">
      <c r="A7" s="4" t="s">
        <v>37</v>
      </c>
      <c r="B7">
        <v>4.3608793822652141E-2</v>
      </c>
      <c r="C7">
        <v>5.2002317399133892E-2</v>
      </c>
      <c r="D7">
        <v>1.863727828656124E-2</v>
      </c>
      <c r="E7">
        <v>5.2168302382915928E-2</v>
      </c>
      <c r="F7">
        <v>0.47965472910198276</v>
      </c>
      <c r="G7">
        <v>0.14569293589819934</v>
      </c>
    </row>
    <row r="8" spans="1:7" x14ac:dyDescent="0.3">
      <c r="A8" s="4" t="s">
        <v>38</v>
      </c>
      <c r="B8">
        <v>2.1193897794553749E-2</v>
      </c>
      <c r="C8">
        <v>1.0044009945976175E-2</v>
      </c>
      <c r="D8">
        <v>4.9830099292686525E-3</v>
      </c>
      <c r="E8">
        <v>3.5683290408539E-3</v>
      </c>
      <c r="F8">
        <v>2.2408825857135672E-2</v>
      </c>
      <c r="G8">
        <v>4.3118425991919895E-2</v>
      </c>
    </row>
    <row r="9" spans="1:7" x14ac:dyDescent="0.3">
      <c r="A9" s="4" t="s">
        <v>39</v>
      </c>
      <c r="B9">
        <v>5.3393394679432112E-2</v>
      </c>
      <c r="C9">
        <v>3.6539923564916331E-2</v>
      </c>
      <c r="D9">
        <v>3.1060189977708159E-3</v>
      </c>
      <c r="E9">
        <v>7.3311740313175187E-4</v>
      </c>
      <c r="F9">
        <v>1.6339168005562042E-2</v>
      </c>
      <c r="G9">
        <v>2.3144645294415615E-2</v>
      </c>
    </row>
    <row r="10" spans="1:7" x14ac:dyDescent="0.3">
      <c r="A10" s="4" t="s">
        <v>40</v>
      </c>
      <c r="B10">
        <v>1.4215351270498474E-2</v>
      </c>
      <c r="C10">
        <v>7.8274598530357932E-3</v>
      </c>
      <c r="D10">
        <v>1.5915124397117388E-3</v>
      </c>
      <c r="E10">
        <v>1.2597254693410662E-3</v>
      </c>
      <c r="F10">
        <v>8.6601535031414403E-3</v>
      </c>
      <c r="G10">
        <v>1.6787882301433053E-2</v>
      </c>
    </row>
    <row r="11" spans="1:7" x14ac:dyDescent="0.3">
      <c r="A11" s="4" t="s">
        <v>41</v>
      </c>
      <c r="B11">
        <v>1.4758506467355865</v>
      </c>
      <c r="C11">
        <v>1.1395196432078389</v>
      </c>
      <c r="D11">
        <v>0.54852319048384879</v>
      </c>
      <c r="E11">
        <v>0.65927617357978685</v>
      </c>
      <c r="F11">
        <v>0.27144645786074961</v>
      </c>
      <c r="G11">
        <v>0.42940247534349385</v>
      </c>
    </row>
    <row r="12" spans="1:7" x14ac:dyDescent="0.3">
      <c r="A12" s="4" t="s">
        <v>42</v>
      </c>
      <c r="B12">
        <v>1.401966924589765E-2</v>
      </c>
      <c r="C12">
        <v>1.7413020403136338E-2</v>
      </c>
      <c r="D12">
        <v>1.5939489625876147E-2</v>
      </c>
      <c r="E12">
        <v>1.8623816901458109E-3</v>
      </c>
      <c r="F12">
        <v>2.7275178070878956E-2</v>
      </c>
      <c r="G12">
        <v>5.2733213416203295E-2</v>
      </c>
    </row>
    <row r="13" spans="1:7" x14ac:dyDescent="0.3">
      <c r="A13" s="4" t="s">
        <v>43</v>
      </c>
      <c r="B13">
        <v>7.3476139420484204E-3</v>
      </c>
      <c r="C13">
        <v>4.1018915709801563E-3</v>
      </c>
      <c r="D13">
        <v>2.8580392192394904E-3</v>
      </c>
      <c r="E13">
        <v>3.3870073061190954E-3</v>
      </c>
      <c r="F13">
        <v>9.0619624015239146E-3</v>
      </c>
      <c r="G13">
        <v>2.2868131992087256E-2</v>
      </c>
    </row>
    <row r="14" spans="1:7" x14ac:dyDescent="0.3">
      <c r="A14" s="4" t="s">
        <v>44</v>
      </c>
      <c r="B14">
        <v>9.5904760914128813E-3</v>
      </c>
      <c r="C14">
        <v>1.5475114184238322E-2</v>
      </c>
      <c r="D14">
        <v>4.0013057475291342E-3</v>
      </c>
      <c r="E14">
        <v>4.1157866790039856E-3</v>
      </c>
      <c r="F14">
        <v>6.1600092465393854E-3</v>
      </c>
      <c r="G14">
        <v>1.4881748191340314E-2</v>
      </c>
    </row>
    <row r="15" spans="1:7" x14ac:dyDescent="0.3">
      <c r="A15" s="4" t="s">
        <v>45</v>
      </c>
      <c r="B15">
        <v>5.4893710311141777E-2</v>
      </c>
      <c r="C15">
        <v>2.7570134301111625E-2</v>
      </c>
      <c r="D15">
        <v>2.5704439969465438E-2</v>
      </c>
      <c r="E15">
        <v>2.5621758029991941E-2</v>
      </c>
      <c r="F15">
        <v>6.1803657500416895E-3</v>
      </c>
      <c r="G15">
        <v>9.3744276414143794E-3</v>
      </c>
    </row>
    <row r="16" spans="1:7" x14ac:dyDescent="0.3">
      <c r="A16" s="4" t="s">
        <v>46</v>
      </c>
      <c r="B16">
        <v>8.0766911878841618E-3</v>
      </c>
      <c r="C16">
        <v>2.4313555981304462E-2</v>
      </c>
      <c r="D16">
        <v>1.5626083036784176E-4</v>
      </c>
      <c r="E16">
        <v>5.404077118729792E-4</v>
      </c>
      <c r="F16">
        <v>1.0490616262439375E-2</v>
      </c>
      <c r="G16">
        <v>2.3305148348262642E-2</v>
      </c>
    </row>
    <row r="17" spans="1:7" x14ac:dyDescent="0.3">
      <c r="A17" s="4" t="s">
        <v>47</v>
      </c>
      <c r="B17">
        <v>4.9286404500187148E-2</v>
      </c>
      <c r="C17">
        <v>2.5218502387823648E-2</v>
      </c>
      <c r="D17">
        <v>1.9390079993395756E-2</v>
      </c>
      <c r="E17">
        <v>1.0584047597029606E-2</v>
      </c>
      <c r="F17">
        <v>3.0979688493969898E-2</v>
      </c>
      <c r="G17">
        <v>3.2963819985797775E-2</v>
      </c>
    </row>
    <row r="18" spans="1:7" x14ac:dyDescent="0.3">
      <c r="A18" s="4" t="s">
        <v>48</v>
      </c>
      <c r="B18">
        <v>1.2523166069505409E-3</v>
      </c>
      <c r="C18">
        <v>7.7886456287111386E-4</v>
      </c>
      <c r="D18">
        <v>2.4962107397985957E-3</v>
      </c>
      <c r="E18">
        <v>2.9045301409616443E-5</v>
      </c>
      <c r="F18">
        <v>9.954871064596079E-3</v>
      </c>
      <c r="G18">
        <v>2.6723067241296541E-2</v>
      </c>
    </row>
    <row r="19" spans="1:7" x14ac:dyDescent="0.3">
      <c r="A19" s="4" t="s">
        <v>49</v>
      </c>
      <c r="B19">
        <v>0.2550383463940688</v>
      </c>
      <c r="C19">
        <v>0.26856586175397451</v>
      </c>
      <c r="D19">
        <v>8.8192939550282221E-2</v>
      </c>
      <c r="E19">
        <v>3.7998163368413516E-2</v>
      </c>
      <c r="F19">
        <v>8.3476354710661851E-3</v>
      </c>
      <c r="G19">
        <v>2.1082268275273562E-2</v>
      </c>
    </row>
    <row r="20" spans="1:7" x14ac:dyDescent="0.3">
      <c r="A20" s="4" t="s">
        <v>50</v>
      </c>
      <c r="B20">
        <v>0.77955789445048096</v>
      </c>
      <c r="C20">
        <v>0.70022363220240424</v>
      </c>
      <c r="D20">
        <v>0.24725194207293208</v>
      </c>
      <c r="E20">
        <v>6.7607003146070589E-3</v>
      </c>
      <c r="F20">
        <v>1.1159237231084959E-2</v>
      </c>
      <c r="G20">
        <v>2.3697671899072344E-2</v>
      </c>
    </row>
    <row r="21" spans="1:7" x14ac:dyDescent="0.3">
      <c r="A21" s="4" t="s">
        <v>51</v>
      </c>
      <c r="B21">
        <v>0.51217132017711609</v>
      </c>
      <c r="C21">
        <v>0.44082974510701822</v>
      </c>
      <c r="D21">
        <v>9.2782137232857206E-2</v>
      </c>
      <c r="E21">
        <v>4.5913375613600378E-2</v>
      </c>
      <c r="F21">
        <v>4.2186752744184076E-2</v>
      </c>
      <c r="G21">
        <v>5.9352064504468303E-2</v>
      </c>
    </row>
    <row r="22" spans="1:7" x14ac:dyDescent="0.3">
      <c r="A22" s="4" t="s">
        <v>52</v>
      </c>
      <c r="B22">
        <v>7.4463808667292906E-3</v>
      </c>
      <c r="C22">
        <v>8.8167214703458608E-3</v>
      </c>
      <c r="D22">
        <v>5.6845371354043584E-4</v>
      </c>
      <c r="E22">
        <v>2.7799530136893803E-3</v>
      </c>
      <c r="F22">
        <v>5.3974207625395162E-2</v>
      </c>
      <c r="G22">
        <v>8.2074727241868428E-2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0FC1-1C8F-4C45-B57A-49CC0D1F5C3C}">
  <dimension ref="A1:P33"/>
  <sheetViews>
    <sheetView topLeftCell="B19" workbookViewId="0">
      <selection activeCell="B20" sqref="B20"/>
    </sheetView>
  </sheetViews>
  <sheetFormatPr defaultRowHeight="14" x14ac:dyDescent="0.3"/>
  <cols>
    <col min="1" max="1" width="5.5" bestFit="1" customWidth="1"/>
    <col min="2" max="2" width="19.25" bestFit="1" customWidth="1"/>
    <col min="3" max="4" width="13" bestFit="1" customWidth="1"/>
    <col min="9" max="9" width="12.7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2013</v>
      </c>
      <c r="B2" s="4" t="s">
        <v>32</v>
      </c>
      <c r="C2">
        <v>73000</v>
      </c>
      <c r="D2">
        <v>176.4</v>
      </c>
      <c r="E2">
        <f t="shared" ref="E2:E22" si="0">D2*0.48803+C2*0.51197</f>
        <v>37459.898492000008</v>
      </c>
      <c r="F2">
        <v>1</v>
      </c>
      <c r="G2">
        <f>E2*F2</f>
        <v>37459.898492000008</v>
      </c>
      <c r="H2">
        <v>1429.76</v>
      </c>
      <c r="I2">
        <f>(E2-1809.916)*(E2-1809.916)*H2/8107</f>
        <v>224141158.11050501</v>
      </c>
      <c r="J2">
        <v>104.07274200000001</v>
      </c>
      <c r="K2">
        <v>30.578983999999998</v>
      </c>
      <c r="L2">
        <f>C2*J2</f>
        <v>7597310.1660000002</v>
      </c>
      <c r="M2">
        <f>C2*K2</f>
        <v>2232265.8319999999</v>
      </c>
      <c r="N2">
        <f>D2*J2</f>
        <v>18358.431688800003</v>
      </c>
      <c r="O2">
        <f>D2*K2</f>
        <v>5394.1327775999998</v>
      </c>
    </row>
    <row r="3" spans="1:16" x14ac:dyDescent="0.3">
      <c r="A3">
        <v>2013</v>
      </c>
      <c r="B3" s="4" t="s">
        <v>33</v>
      </c>
      <c r="C3">
        <v>88.254666666667617</v>
      </c>
      <c r="D3">
        <v>0.14000000000000001</v>
      </c>
      <c r="E3">
        <f t="shared" si="0"/>
        <v>45.252065893333821</v>
      </c>
      <c r="F3">
        <v>11</v>
      </c>
      <c r="G3">
        <f t="shared" ref="G3:G22" si="1">E3*F3</f>
        <v>497.77272482667206</v>
      </c>
      <c r="H3">
        <v>273.83</v>
      </c>
      <c r="I3">
        <f t="shared" ref="I3:I22" si="2">(E3-1809.916)*(E3-1809.916)*H3/8107</f>
        <v>105182.83516667453</v>
      </c>
      <c r="J3">
        <v>104.785532</v>
      </c>
      <c r="K3">
        <v>29.345369999999999</v>
      </c>
      <c r="L3">
        <f t="shared" ref="L3:L22" si="3">C3*J3</f>
        <v>9247.8121981494332</v>
      </c>
      <c r="M3">
        <f t="shared" ref="M3:M22" si="4">C3*K3</f>
        <v>2589.8658475600278</v>
      </c>
      <c r="N3">
        <f t="shared" ref="N3:N22" si="5">D3*J3</f>
        <v>14.669974480000002</v>
      </c>
      <c r="O3">
        <f t="shared" ref="O3:O22" si="6">D3*K3</f>
        <v>4.1083518000000003</v>
      </c>
    </row>
    <row r="4" spans="1:16" x14ac:dyDescent="0.3">
      <c r="A4">
        <v>2013</v>
      </c>
      <c r="B4" s="4" t="s">
        <v>34</v>
      </c>
      <c r="C4">
        <v>16.79933333333247</v>
      </c>
      <c r="D4">
        <v>0.08</v>
      </c>
      <c r="E4">
        <f t="shared" si="0"/>
        <v>8.6397970866662241</v>
      </c>
      <c r="F4">
        <v>19</v>
      </c>
      <c r="G4">
        <f t="shared" si="1"/>
        <v>164.15614464665825</v>
      </c>
      <c r="H4">
        <v>123.33</v>
      </c>
      <c r="I4">
        <f t="shared" si="2"/>
        <v>49359.321530270252</v>
      </c>
      <c r="J4">
        <v>101.72505</v>
      </c>
      <c r="K4">
        <v>26.588200000000001</v>
      </c>
      <c r="L4">
        <f t="shared" si="3"/>
        <v>1708.9130232999121</v>
      </c>
      <c r="M4">
        <f t="shared" si="4"/>
        <v>446.66403453331037</v>
      </c>
      <c r="N4">
        <f t="shared" si="5"/>
        <v>8.1380040000000005</v>
      </c>
      <c r="O4">
        <f t="shared" si="6"/>
        <v>2.1270560000000001</v>
      </c>
    </row>
    <row r="5" spans="1:16" x14ac:dyDescent="0.3">
      <c r="A5">
        <v>2013</v>
      </c>
      <c r="B5" s="4" t="s">
        <v>35</v>
      </c>
      <c r="C5">
        <v>47.585333333332528</v>
      </c>
      <c r="D5">
        <v>0.2</v>
      </c>
      <c r="E5">
        <f t="shared" si="0"/>
        <v>24.459869106666254</v>
      </c>
      <c r="F5">
        <v>15</v>
      </c>
      <c r="G5">
        <f t="shared" si="1"/>
        <v>366.89803659999382</v>
      </c>
      <c r="H5">
        <v>424.58</v>
      </c>
      <c r="I5">
        <f t="shared" si="2"/>
        <v>166954.34556696774</v>
      </c>
      <c r="J5">
        <v>105.448463</v>
      </c>
      <c r="K5">
        <v>28.876978000000001</v>
      </c>
      <c r="L5">
        <f t="shared" si="3"/>
        <v>5017.8002613425815</v>
      </c>
      <c r="M5">
        <f t="shared" si="4"/>
        <v>1374.1206237893102</v>
      </c>
      <c r="N5">
        <f t="shared" si="5"/>
        <v>21.089692600000003</v>
      </c>
      <c r="O5">
        <f t="shared" si="6"/>
        <v>5.7753956000000004</v>
      </c>
    </row>
    <row r="6" spans="1:16" x14ac:dyDescent="0.3">
      <c r="A6">
        <v>2013</v>
      </c>
      <c r="B6" s="4" t="s">
        <v>36</v>
      </c>
      <c r="C6">
        <v>265.48333333333449</v>
      </c>
      <c r="D6">
        <v>0.34</v>
      </c>
      <c r="E6">
        <f t="shared" si="0"/>
        <v>136.08543236666725</v>
      </c>
      <c r="F6">
        <v>6</v>
      </c>
      <c r="G6">
        <f t="shared" si="1"/>
        <v>816.51259420000349</v>
      </c>
      <c r="H6">
        <v>352.37</v>
      </c>
      <c r="I6">
        <f t="shared" si="2"/>
        <v>121776.01072939119</v>
      </c>
      <c r="J6">
        <v>104.40422700000001</v>
      </c>
      <c r="K6">
        <v>31.133751</v>
      </c>
      <c r="L6">
        <f t="shared" si="3"/>
        <v>27717.58219805012</v>
      </c>
      <c r="M6">
        <f t="shared" si="4"/>
        <v>8265.4919946500358</v>
      </c>
      <c r="N6">
        <f t="shared" si="5"/>
        <v>35.497437180000006</v>
      </c>
      <c r="O6">
        <f t="shared" si="6"/>
        <v>10.58547534</v>
      </c>
    </row>
    <row r="7" spans="1:16" x14ac:dyDescent="0.3">
      <c r="A7">
        <v>2013</v>
      </c>
      <c r="B7" s="4" t="s">
        <v>37</v>
      </c>
      <c r="C7">
        <v>133.89866666666057</v>
      </c>
      <c r="D7">
        <v>0.71</v>
      </c>
      <c r="E7">
        <f t="shared" si="0"/>
        <v>68.898601673330219</v>
      </c>
      <c r="F7">
        <v>8</v>
      </c>
      <c r="G7">
        <f t="shared" si="1"/>
        <v>551.18881338664175</v>
      </c>
      <c r="H7">
        <v>467.64</v>
      </c>
      <c r="I7">
        <f t="shared" si="2"/>
        <v>174846.80511508399</v>
      </c>
      <c r="J7">
        <v>104.685653</v>
      </c>
      <c r="K7">
        <v>31.473462000000001</v>
      </c>
      <c r="L7">
        <f t="shared" si="3"/>
        <v>14017.269355828696</v>
      </c>
      <c r="M7">
        <f t="shared" si="4"/>
        <v>4214.2545971838081</v>
      </c>
      <c r="N7">
        <f t="shared" si="5"/>
        <v>74.326813630000004</v>
      </c>
      <c r="O7">
        <f t="shared" si="6"/>
        <v>22.346158020000001</v>
      </c>
    </row>
    <row r="8" spans="1:16" x14ac:dyDescent="0.3">
      <c r="A8">
        <v>2013</v>
      </c>
      <c r="B8" s="4" t="s">
        <v>38</v>
      </c>
      <c r="C8">
        <v>49.378666666667414</v>
      </c>
      <c r="D8">
        <v>0.15</v>
      </c>
      <c r="E8">
        <f t="shared" si="0"/>
        <v>25.353600473333717</v>
      </c>
      <c r="F8">
        <v>14</v>
      </c>
      <c r="G8">
        <f t="shared" si="1"/>
        <v>354.95040662667202</v>
      </c>
      <c r="H8">
        <v>254.5</v>
      </c>
      <c r="I8">
        <f t="shared" si="2"/>
        <v>99974.925713730452</v>
      </c>
      <c r="J8">
        <v>105.850532</v>
      </c>
      <c r="K8">
        <v>32.442338999999997</v>
      </c>
      <c r="L8">
        <f t="shared" si="3"/>
        <v>5226.7581361174125</v>
      </c>
      <c r="M8">
        <f t="shared" si="4"/>
        <v>1601.959443368024</v>
      </c>
      <c r="N8">
        <f t="shared" si="5"/>
        <v>15.877579799999999</v>
      </c>
      <c r="O8">
        <f t="shared" si="6"/>
        <v>4.866350849999999</v>
      </c>
    </row>
    <row r="9" spans="1:16" x14ac:dyDescent="0.3">
      <c r="A9">
        <v>2013</v>
      </c>
      <c r="B9" s="4" t="s">
        <v>39</v>
      </c>
      <c r="C9">
        <v>113.54333333332761</v>
      </c>
      <c r="D9">
        <v>0.6</v>
      </c>
      <c r="E9">
        <f t="shared" si="0"/>
        <v>58.42359836666374</v>
      </c>
      <c r="F9">
        <v>10</v>
      </c>
      <c r="G9">
        <f t="shared" si="1"/>
        <v>584.23598366663737</v>
      </c>
      <c r="H9">
        <v>327.5</v>
      </c>
      <c r="I9">
        <f t="shared" si="2"/>
        <v>123927.48794877568</v>
      </c>
      <c r="J9">
        <v>105.599143</v>
      </c>
      <c r="K9">
        <v>30.539141000000001</v>
      </c>
      <c r="L9">
        <f t="shared" si="3"/>
        <v>11990.078693362728</v>
      </c>
      <c r="M9">
        <f t="shared" si="4"/>
        <v>3467.515866276492</v>
      </c>
      <c r="N9">
        <f t="shared" si="5"/>
        <v>63.359485799999995</v>
      </c>
      <c r="O9">
        <f t="shared" si="6"/>
        <v>18.3234846</v>
      </c>
    </row>
    <row r="10" spans="1:16" x14ac:dyDescent="0.3">
      <c r="A10">
        <v>2013</v>
      </c>
      <c r="B10" s="4" t="s">
        <v>40</v>
      </c>
      <c r="C10">
        <v>31.551333333332877</v>
      </c>
      <c r="D10">
        <v>0.1</v>
      </c>
      <c r="E10">
        <f t="shared" si="0"/>
        <v>16.202139126666435</v>
      </c>
      <c r="F10">
        <v>17</v>
      </c>
      <c r="G10">
        <f t="shared" si="1"/>
        <v>275.4363651533294</v>
      </c>
      <c r="H10">
        <v>372.46</v>
      </c>
      <c r="I10">
        <f t="shared" si="2"/>
        <v>147817.48002900081</v>
      </c>
      <c r="J10">
        <v>105.064564</v>
      </c>
      <c r="K10">
        <v>29.585822</v>
      </c>
      <c r="L10">
        <f t="shared" si="3"/>
        <v>3314.9270802852857</v>
      </c>
      <c r="M10">
        <f t="shared" si="4"/>
        <v>933.47213186265321</v>
      </c>
      <c r="N10">
        <f t="shared" si="5"/>
        <v>10.506456400000001</v>
      </c>
      <c r="O10">
        <f t="shared" si="6"/>
        <v>2.9585822000000004</v>
      </c>
    </row>
    <row r="11" spans="1:16" x14ac:dyDescent="0.3">
      <c r="A11">
        <v>2013</v>
      </c>
      <c r="B11" s="4" t="s">
        <v>41</v>
      </c>
      <c r="C11">
        <v>3935.7413333333097</v>
      </c>
      <c r="D11">
        <v>11.51</v>
      </c>
      <c r="E11">
        <f t="shared" si="0"/>
        <v>2020.5987157266547</v>
      </c>
      <c r="F11">
        <v>2</v>
      </c>
      <c r="G11">
        <f t="shared" si="1"/>
        <v>4041.1974314533095</v>
      </c>
      <c r="H11">
        <v>325.56</v>
      </c>
      <c r="I11">
        <f t="shared" si="2"/>
        <v>1782.4964863934661</v>
      </c>
      <c r="J11">
        <v>103.772521</v>
      </c>
      <c r="K11">
        <v>29.558285000000001</v>
      </c>
      <c r="L11">
        <f t="shared" si="3"/>
        <v>408421.80016389885</v>
      </c>
      <c r="M11">
        <f t="shared" si="4"/>
        <v>116333.76401694598</v>
      </c>
      <c r="N11">
        <f t="shared" si="5"/>
        <v>1194.4217167100001</v>
      </c>
      <c r="O11">
        <f t="shared" si="6"/>
        <v>340.21586035000001</v>
      </c>
    </row>
    <row r="12" spans="1:16" x14ac:dyDescent="0.3">
      <c r="A12">
        <v>2013</v>
      </c>
      <c r="B12" s="4" t="s">
        <v>42</v>
      </c>
      <c r="C12">
        <v>51.518000000003667</v>
      </c>
      <c r="D12">
        <v>0.31</v>
      </c>
      <c r="E12">
        <f t="shared" si="0"/>
        <v>26.526959760001876</v>
      </c>
      <c r="F12">
        <v>13</v>
      </c>
      <c r="G12">
        <f t="shared" si="1"/>
        <v>344.85047688002442</v>
      </c>
      <c r="H12">
        <v>631.70000000000005</v>
      </c>
      <c r="I12">
        <f t="shared" si="2"/>
        <v>247823.73077234134</v>
      </c>
      <c r="J12">
        <v>106.11712300000001</v>
      </c>
      <c r="K12">
        <v>30.843219999999999</v>
      </c>
      <c r="L12">
        <f t="shared" si="3"/>
        <v>5466.9419427143894</v>
      </c>
      <c r="M12">
        <f t="shared" si="4"/>
        <v>1588.9810079601129</v>
      </c>
      <c r="N12">
        <f t="shared" si="5"/>
        <v>32.896308130000001</v>
      </c>
      <c r="O12">
        <f t="shared" si="6"/>
        <v>9.5613981999999993</v>
      </c>
    </row>
    <row r="13" spans="1:16" x14ac:dyDescent="0.3">
      <c r="A13">
        <v>2013</v>
      </c>
      <c r="B13" s="4" t="s">
        <v>43</v>
      </c>
      <c r="C13">
        <v>12.65</v>
      </c>
      <c r="D13">
        <v>0.12</v>
      </c>
      <c r="E13">
        <f t="shared" si="0"/>
        <v>6.5349841000000009</v>
      </c>
      <c r="F13">
        <v>20</v>
      </c>
      <c r="G13">
        <f t="shared" si="1"/>
        <v>130.69968200000002</v>
      </c>
      <c r="H13">
        <v>297.83999999999997</v>
      </c>
      <c r="I13">
        <f t="shared" si="2"/>
        <v>119480.72173200645</v>
      </c>
      <c r="J13">
        <v>103.854991</v>
      </c>
      <c r="K13">
        <v>30.082841999999999</v>
      </c>
      <c r="L13">
        <f t="shared" si="3"/>
        <v>1313.7656361500001</v>
      </c>
      <c r="M13">
        <f t="shared" si="4"/>
        <v>380.54795130000002</v>
      </c>
      <c r="N13">
        <f t="shared" si="5"/>
        <v>12.46259892</v>
      </c>
      <c r="O13">
        <f t="shared" si="6"/>
        <v>3.6099410399999998</v>
      </c>
    </row>
    <row r="14" spans="1:16" x14ac:dyDescent="0.3">
      <c r="A14">
        <v>2013</v>
      </c>
      <c r="B14" s="4" t="s">
        <v>44</v>
      </c>
      <c r="C14">
        <v>36.450000000000003</v>
      </c>
      <c r="D14">
        <v>0.12</v>
      </c>
      <c r="E14">
        <f t="shared" si="0"/>
        <v>18.719870100000001</v>
      </c>
      <c r="F14">
        <v>16</v>
      </c>
      <c r="G14">
        <f t="shared" si="1"/>
        <v>299.51792160000002</v>
      </c>
      <c r="H14">
        <v>446.5</v>
      </c>
      <c r="I14">
        <f t="shared" si="2"/>
        <v>176704.48582468749</v>
      </c>
      <c r="J14">
        <v>104.649316</v>
      </c>
      <c r="K14">
        <v>28.758631000000001</v>
      </c>
      <c r="L14">
        <f t="shared" si="3"/>
        <v>3814.4675682000002</v>
      </c>
      <c r="M14">
        <f t="shared" si="4"/>
        <v>1048.2520999500002</v>
      </c>
      <c r="N14">
        <f t="shared" si="5"/>
        <v>12.55791792</v>
      </c>
      <c r="O14">
        <f t="shared" si="6"/>
        <v>3.4510357200000001</v>
      </c>
    </row>
    <row r="15" spans="1:16" x14ac:dyDescent="0.3">
      <c r="A15">
        <v>2013</v>
      </c>
      <c r="B15" s="4" t="s">
        <v>45</v>
      </c>
      <c r="C15">
        <v>144.71466666666674</v>
      </c>
      <c r="D15">
        <v>0.31</v>
      </c>
      <c r="E15">
        <f t="shared" si="0"/>
        <v>74.240857193333383</v>
      </c>
      <c r="F15">
        <v>7</v>
      </c>
      <c r="G15">
        <f t="shared" si="1"/>
        <v>519.68600035333372</v>
      </c>
      <c r="H15">
        <v>322.43</v>
      </c>
      <c r="I15">
        <f t="shared" si="2"/>
        <v>119815.26645658306</v>
      </c>
      <c r="J15">
        <v>106.639184</v>
      </c>
      <c r="K15">
        <v>30.462142</v>
      </c>
      <c r="L15">
        <f t="shared" si="3"/>
        <v>15432.253966165341</v>
      </c>
      <c r="M15">
        <f t="shared" si="4"/>
        <v>4408.3187254826689</v>
      </c>
      <c r="N15">
        <f t="shared" si="5"/>
        <v>33.058147040000001</v>
      </c>
      <c r="O15">
        <f t="shared" si="6"/>
        <v>9.4432640199999991</v>
      </c>
    </row>
    <row r="16" spans="1:16" x14ac:dyDescent="0.3">
      <c r="A16">
        <v>2013</v>
      </c>
      <c r="B16" s="4" t="s">
        <v>46</v>
      </c>
      <c r="C16">
        <v>52.812666666666701</v>
      </c>
      <c r="D16">
        <v>0.16</v>
      </c>
      <c r="E16">
        <f t="shared" si="0"/>
        <v>27.11658575333335</v>
      </c>
      <c r="F16">
        <v>12</v>
      </c>
      <c r="G16">
        <f t="shared" si="1"/>
        <v>325.39902904000019</v>
      </c>
      <c r="H16">
        <v>551.28</v>
      </c>
      <c r="I16">
        <f t="shared" si="2"/>
        <v>216130.98330984119</v>
      </c>
      <c r="J16">
        <v>107.474424</v>
      </c>
      <c r="K16">
        <v>31.214942000000001</v>
      </c>
      <c r="L16">
        <f t="shared" si="3"/>
        <v>5676.0109299040032</v>
      </c>
      <c r="M16">
        <f t="shared" si="4"/>
        <v>1648.5443268653344</v>
      </c>
      <c r="N16">
        <f t="shared" si="5"/>
        <v>17.19590784</v>
      </c>
      <c r="O16">
        <f t="shared" si="6"/>
        <v>4.9943907200000002</v>
      </c>
    </row>
    <row r="17" spans="1:15" x14ac:dyDescent="0.3">
      <c r="A17">
        <v>2013</v>
      </c>
      <c r="B17" s="4" t="s">
        <v>47</v>
      </c>
      <c r="C17">
        <v>125.46066666666684</v>
      </c>
      <c r="D17">
        <v>0.39</v>
      </c>
      <c r="E17">
        <f t="shared" si="0"/>
        <v>64.42242921333343</v>
      </c>
      <c r="F17">
        <v>9</v>
      </c>
      <c r="G17">
        <f t="shared" si="1"/>
        <v>579.80186292000087</v>
      </c>
      <c r="H17">
        <v>153.37</v>
      </c>
      <c r="I17">
        <f t="shared" si="2"/>
        <v>57639.04168665404</v>
      </c>
      <c r="J17">
        <v>103.048153</v>
      </c>
      <c r="K17">
        <v>30.015991</v>
      </c>
      <c r="L17">
        <f t="shared" si="3"/>
        <v>12928.489974148684</v>
      </c>
      <c r="M17">
        <f t="shared" si="4"/>
        <v>3765.8262415206718</v>
      </c>
      <c r="N17">
        <f t="shared" si="5"/>
        <v>40.188779670000002</v>
      </c>
      <c r="O17">
        <f t="shared" si="6"/>
        <v>11.70623649</v>
      </c>
    </row>
    <row r="18" spans="1:15" x14ac:dyDescent="0.3">
      <c r="A18">
        <v>2013</v>
      </c>
      <c r="B18" s="4" t="s">
        <v>48</v>
      </c>
      <c r="C18">
        <v>5.46</v>
      </c>
      <c r="D18">
        <v>0.01</v>
      </c>
      <c r="E18">
        <f t="shared" si="0"/>
        <v>2.8002365</v>
      </c>
      <c r="F18">
        <v>21</v>
      </c>
      <c r="G18">
        <f t="shared" si="1"/>
        <v>58.804966499999999</v>
      </c>
      <c r="H18">
        <v>331.72</v>
      </c>
      <c r="I18">
        <f t="shared" si="2"/>
        <v>133623.68128604777</v>
      </c>
      <c r="J18">
        <v>106.754109</v>
      </c>
      <c r="K18">
        <v>31.873559</v>
      </c>
      <c r="L18">
        <f t="shared" si="3"/>
        <v>582.87743513999999</v>
      </c>
      <c r="M18">
        <f t="shared" si="4"/>
        <v>174.02963213999999</v>
      </c>
      <c r="N18">
        <f t="shared" si="5"/>
        <v>1.06754109</v>
      </c>
      <c r="O18">
        <f t="shared" si="6"/>
        <v>0.31873559000000001</v>
      </c>
    </row>
    <row r="19" spans="1:15" x14ac:dyDescent="0.3">
      <c r="A19">
        <v>2013</v>
      </c>
      <c r="B19" s="4" t="s">
        <v>49</v>
      </c>
      <c r="C19">
        <v>825.31</v>
      </c>
      <c r="D19">
        <v>3.1</v>
      </c>
      <c r="E19">
        <f t="shared" si="0"/>
        <v>424.04685370000004</v>
      </c>
      <c r="F19">
        <v>5</v>
      </c>
      <c r="G19">
        <f t="shared" si="1"/>
        <v>2120.2342685000003</v>
      </c>
      <c r="H19">
        <v>357.12</v>
      </c>
      <c r="I19">
        <f t="shared" si="2"/>
        <v>84605.471908566149</v>
      </c>
      <c r="J19">
        <v>104.633825</v>
      </c>
      <c r="K19">
        <v>30.135162999999999</v>
      </c>
      <c r="L19">
        <f t="shared" si="3"/>
        <v>86355.342110749989</v>
      </c>
      <c r="M19">
        <f t="shared" si="4"/>
        <v>24870.851375529997</v>
      </c>
      <c r="N19">
        <f t="shared" si="5"/>
        <v>324.36485750000003</v>
      </c>
      <c r="O19">
        <f t="shared" si="6"/>
        <v>93.419005299999995</v>
      </c>
    </row>
    <row r="20" spans="1:15" x14ac:dyDescent="0.3">
      <c r="A20">
        <v>2013</v>
      </c>
      <c r="B20" s="4" t="s">
        <v>50</v>
      </c>
      <c r="C20">
        <v>2452.84</v>
      </c>
      <c r="D20">
        <v>14.12</v>
      </c>
      <c r="E20">
        <f t="shared" si="0"/>
        <v>1262.6714784000003</v>
      </c>
      <c r="F20">
        <v>3</v>
      </c>
      <c r="G20">
        <f t="shared" si="1"/>
        <v>3788.0144352000007</v>
      </c>
      <c r="H20">
        <v>91.23</v>
      </c>
      <c r="I20">
        <f t="shared" si="2"/>
        <v>3370.0810601464432</v>
      </c>
      <c r="J20">
        <v>102.23090999999999</v>
      </c>
      <c r="K20">
        <v>31.905656</v>
      </c>
      <c r="L20">
        <f t="shared" si="3"/>
        <v>250756.06528440001</v>
      </c>
      <c r="M20">
        <f t="shared" si="4"/>
        <v>78259.46926304001</v>
      </c>
      <c r="N20">
        <f t="shared" si="5"/>
        <v>1443.5004491999998</v>
      </c>
      <c r="O20">
        <f t="shared" si="6"/>
        <v>450.50786271999999</v>
      </c>
    </row>
    <row r="21" spans="1:15" x14ac:dyDescent="0.3">
      <c r="A21">
        <v>2013</v>
      </c>
      <c r="B21" s="4" t="s">
        <v>51</v>
      </c>
      <c r="C21">
        <v>1468.22</v>
      </c>
      <c r="D21">
        <v>4.4800000000000004</v>
      </c>
      <c r="E21">
        <f t="shared" si="0"/>
        <v>753.87096780000002</v>
      </c>
      <c r="F21">
        <v>4</v>
      </c>
      <c r="G21">
        <f t="shared" si="1"/>
        <v>3015.4838712000001</v>
      </c>
      <c r="H21">
        <v>113.78</v>
      </c>
      <c r="I21">
        <f t="shared" si="2"/>
        <v>15652.028580202606</v>
      </c>
      <c r="J21">
        <v>101.968649</v>
      </c>
      <c r="K21">
        <v>30.055425</v>
      </c>
      <c r="L21">
        <f t="shared" si="3"/>
        <v>149712.40983478</v>
      </c>
      <c r="M21">
        <f t="shared" si="4"/>
        <v>44127.976093500001</v>
      </c>
      <c r="N21">
        <f t="shared" si="5"/>
        <v>456.81954752000001</v>
      </c>
      <c r="O21">
        <f t="shared" si="6"/>
        <v>134.64830400000002</v>
      </c>
    </row>
    <row r="22" spans="1:15" x14ac:dyDescent="0.3">
      <c r="A22">
        <v>2013</v>
      </c>
      <c r="B22" s="4" t="s">
        <v>52</v>
      </c>
      <c r="C22">
        <v>24.62</v>
      </c>
      <c r="D22">
        <v>0.05</v>
      </c>
      <c r="E22">
        <f t="shared" si="0"/>
        <v>12.629102900000001</v>
      </c>
      <c r="F22">
        <v>18</v>
      </c>
      <c r="G22">
        <f t="shared" si="1"/>
        <v>227.32385220000003</v>
      </c>
      <c r="H22">
        <v>458.5</v>
      </c>
      <c r="I22">
        <f t="shared" si="2"/>
        <v>182689.66662618087</v>
      </c>
      <c r="J22">
        <v>102.27418900000001</v>
      </c>
      <c r="K22">
        <v>27.887442</v>
      </c>
      <c r="L22">
        <f t="shared" si="3"/>
        <v>2517.9905331800001</v>
      </c>
      <c r="M22">
        <f t="shared" si="4"/>
        <v>686.58882204000008</v>
      </c>
      <c r="N22">
        <f t="shared" si="5"/>
        <v>5.1137094500000009</v>
      </c>
      <c r="O22">
        <f t="shared" si="6"/>
        <v>1.3943721</v>
      </c>
    </row>
    <row r="23" spans="1:15" x14ac:dyDescent="0.3">
      <c r="B23" t="s">
        <v>13</v>
      </c>
      <c r="C23">
        <f>SUM(C2:C22)</f>
        <v>82882.291999999972</v>
      </c>
      <c r="D23">
        <f>SUM(D2:D22)</f>
        <v>213.39999999999998</v>
      </c>
      <c r="E23">
        <f>AVERAGE(E2:E22)</f>
        <v>2025.5901255828571</v>
      </c>
      <c r="F23" t="s">
        <v>9</v>
      </c>
      <c r="G23">
        <f>SUM(G2:G22)</f>
        <v>56522.063358953295</v>
      </c>
      <c r="H23">
        <f>SUM(H2:H22)</f>
        <v>8106.9999999999991</v>
      </c>
      <c r="I23">
        <f>SUM(I2:I22)</f>
        <v>226490314.9780345</v>
      </c>
      <c r="L23">
        <f>SUM(L2:L22)</f>
        <v>8618529.7223258689</v>
      </c>
      <c r="M23">
        <f>SUM(M2:M22)</f>
        <v>2532452.3260954977</v>
      </c>
      <c r="N23">
        <f>SUM(N2:N22)</f>
        <v>22175.544613679998</v>
      </c>
      <c r="O23">
        <f>SUM(O2:O22)</f>
        <v>6528.4940382600007</v>
      </c>
    </row>
    <row r="24" spans="1:15" x14ac:dyDescent="0.3">
      <c r="E24" t="s">
        <v>14</v>
      </c>
      <c r="H24" t="s">
        <v>11</v>
      </c>
      <c r="I24" t="s">
        <v>11</v>
      </c>
    </row>
    <row r="25" spans="1:15" x14ac:dyDescent="0.3">
      <c r="A25" t="s">
        <v>8</v>
      </c>
      <c r="B25">
        <f>E2-E18</f>
        <v>37457.098255500008</v>
      </c>
      <c r="C25" t="s">
        <v>10</v>
      </c>
      <c r="D25">
        <f>1+1/21-G23/(21*21*E23)</f>
        <v>0.98434467512588064</v>
      </c>
      <c r="E25" t="s">
        <v>12</v>
      </c>
      <c r="F25">
        <f>SQRT(I23)/E23</f>
        <v>7.4297336793244106</v>
      </c>
    </row>
    <row r="26" spans="1:15" x14ac:dyDescent="0.3">
      <c r="K26" t="s">
        <v>15</v>
      </c>
      <c r="L26">
        <f>L23/C23</f>
        <v>103.98517601716264</v>
      </c>
      <c r="M26">
        <f>M23/C23</f>
        <v>30.554805676651636</v>
      </c>
      <c r="N26">
        <f>N23/D23</f>
        <v>103.91539181668229</v>
      </c>
      <c r="O26">
        <f>O23/D23</f>
        <v>30.592755568228686</v>
      </c>
    </row>
    <row r="30" spans="1:15" x14ac:dyDescent="0.3">
      <c r="A30" t="s">
        <v>0</v>
      </c>
    </row>
    <row r="31" spans="1:15" x14ac:dyDescent="0.3">
      <c r="A31" t="s">
        <v>1</v>
      </c>
      <c r="B31" t="s">
        <v>2</v>
      </c>
      <c r="C31" t="s">
        <v>3</v>
      </c>
      <c r="D31" t="s">
        <v>4</v>
      </c>
    </row>
    <row r="32" spans="1:15" x14ac:dyDescent="0.3">
      <c r="A32" t="s">
        <v>5</v>
      </c>
      <c r="B32">
        <v>0.24399999999999999</v>
      </c>
      <c r="C32">
        <v>0.75600000000000001</v>
      </c>
      <c r="D32">
        <v>48.802999999999997</v>
      </c>
    </row>
    <row r="33" spans="1:4" x14ac:dyDescent="0.3">
      <c r="A33" t="s">
        <v>6</v>
      </c>
      <c r="B33">
        <v>0.20599999999999999</v>
      </c>
      <c r="C33">
        <v>0.79400000000000004</v>
      </c>
      <c r="D33">
        <v>51.197000000000003</v>
      </c>
    </row>
  </sheetData>
  <sortState xmlns:xlrd2="http://schemas.microsoft.com/office/spreadsheetml/2017/richdata2" ref="A2:F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BB61-7BEC-4531-BF28-44764042DD7B}">
  <dimension ref="A1:P31"/>
  <sheetViews>
    <sheetView topLeftCell="A16" workbookViewId="0">
      <selection sqref="A1:XFD1"/>
    </sheetView>
  </sheetViews>
  <sheetFormatPr defaultRowHeight="14" x14ac:dyDescent="0.3"/>
  <cols>
    <col min="9" max="9" width="12.7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2014</v>
      </c>
      <c r="B2" s="4" t="s">
        <v>32</v>
      </c>
      <c r="C2">
        <v>74031.61</v>
      </c>
      <c r="D2">
        <v>197.8</v>
      </c>
      <c r="E2">
        <f t="shared" ref="E2:E22" si="0">D2*0.48646+C2*0.51354</f>
        <v>38114.414787400005</v>
      </c>
      <c r="F2">
        <v>1</v>
      </c>
      <c r="G2">
        <f>E2*F2</f>
        <v>38114.414787400005</v>
      </c>
      <c r="H2">
        <v>1442.75</v>
      </c>
      <c r="I2">
        <f>(E2-2102.961)*(E2-2102.961)*H2/8140.2</f>
        <v>229846193.68084592</v>
      </c>
      <c r="J2" s="1">
        <v>104.07274200000001</v>
      </c>
      <c r="K2" s="1">
        <v>30.578983999999998</v>
      </c>
      <c r="L2">
        <f>C2*J2</f>
        <v>7704672.6473746207</v>
      </c>
      <c r="M2">
        <f>C2*K2</f>
        <v>2263811.4176842398</v>
      </c>
      <c r="N2">
        <f>D2*J2</f>
        <v>20585.588367600001</v>
      </c>
      <c r="O2">
        <f>D2*K2</f>
        <v>6048.5230351999999</v>
      </c>
      <c r="P2">
        <f>E2/2102.961</f>
        <v>18.124166252916726</v>
      </c>
    </row>
    <row r="3" spans="1:16" x14ac:dyDescent="0.3">
      <c r="A3">
        <v>2014</v>
      </c>
      <c r="B3" s="4" t="s">
        <v>33</v>
      </c>
      <c r="C3">
        <v>52.5</v>
      </c>
      <c r="D3">
        <v>0.16</v>
      </c>
      <c r="E3">
        <f t="shared" si="0"/>
        <v>27.038683600000002</v>
      </c>
      <c r="F3">
        <v>15</v>
      </c>
      <c r="G3">
        <f t="shared" ref="G3:G22" si="1">E3*F3</f>
        <v>405.58025400000002</v>
      </c>
      <c r="H3">
        <v>274.58</v>
      </c>
      <c r="I3">
        <f t="shared" ref="I3:I22" si="2">(E3-2102.961)*(E3-2102.961)*H3/8140.2</f>
        <v>145363.71736201915</v>
      </c>
      <c r="J3" s="1">
        <v>104.785532</v>
      </c>
      <c r="K3" s="1">
        <v>29.345369999999999</v>
      </c>
      <c r="L3">
        <f t="shared" ref="L3:L22" si="3">C3*J3</f>
        <v>5501.2404299999998</v>
      </c>
      <c r="M3">
        <f t="shared" ref="M3:M22" si="4">C3*K3</f>
        <v>1540.6319249999999</v>
      </c>
      <c r="N3">
        <f t="shared" ref="N3:N22" si="5">D3*J3</f>
        <v>16.765685120000001</v>
      </c>
      <c r="O3">
        <f t="shared" ref="O3:O22" si="6">D3*K3</f>
        <v>4.6952591999999997</v>
      </c>
      <c r="P3">
        <f t="shared" ref="P3:P22" si="7">E3/2102.961</f>
        <v>1.2857434636210564E-2</v>
      </c>
    </row>
    <row r="4" spans="1:16" x14ac:dyDescent="0.3">
      <c r="A4">
        <v>2014</v>
      </c>
      <c r="B4" s="4" t="s">
        <v>34</v>
      </c>
      <c r="C4">
        <v>27.43</v>
      </c>
      <c r="D4">
        <v>0.1</v>
      </c>
      <c r="E4">
        <f t="shared" si="0"/>
        <v>14.1350482</v>
      </c>
      <c r="F4">
        <v>19</v>
      </c>
      <c r="G4">
        <f t="shared" si="1"/>
        <v>268.56591579999997</v>
      </c>
      <c r="H4">
        <v>123.2</v>
      </c>
      <c r="I4">
        <f t="shared" si="2"/>
        <v>66035.906141335989</v>
      </c>
      <c r="J4" s="1">
        <v>101.72505</v>
      </c>
      <c r="K4" s="1">
        <v>26.588200000000001</v>
      </c>
      <c r="L4">
        <f t="shared" si="3"/>
        <v>2790.3181215</v>
      </c>
      <c r="M4">
        <f t="shared" si="4"/>
        <v>729.31432600000005</v>
      </c>
      <c r="N4">
        <f t="shared" si="5"/>
        <v>10.172505000000001</v>
      </c>
      <c r="O4">
        <f t="shared" si="6"/>
        <v>2.6588200000000004</v>
      </c>
      <c r="P4">
        <f t="shared" si="7"/>
        <v>6.7214980211235502E-3</v>
      </c>
    </row>
    <row r="5" spans="1:16" x14ac:dyDescent="0.3">
      <c r="A5">
        <v>2014</v>
      </c>
      <c r="B5" s="4" t="s">
        <v>35</v>
      </c>
      <c r="C5">
        <v>57.31</v>
      </c>
      <c r="D5">
        <v>0.22</v>
      </c>
      <c r="E5">
        <f t="shared" si="0"/>
        <v>29.537998599999998</v>
      </c>
      <c r="F5">
        <v>14</v>
      </c>
      <c r="G5">
        <f t="shared" si="1"/>
        <v>413.53198039999995</v>
      </c>
      <c r="H5">
        <v>425</v>
      </c>
      <c r="I5">
        <f t="shared" si="2"/>
        <v>224455.20388469551</v>
      </c>
      <c r="J5" s="1">
        <v>105.448463</v>
      </c>
      <c r="K5" s="1">
        <v>28.876978000000001</v>
      </c>
      <c r="L5">
        <f t="shared" si="3"/>
        <v>6043.2514145300001</v>
      </c>
      <c r="M5">
        <f t="shared" si="4"/>
        <v>1654.9396091800002</v>
      </c>
      <c r="N5">
        <f t="shared" si="5"/>
        <v>23.198661860000001</v>
      </c>
      <c r="O5">
        <f t="shared" si="6"/>
        <v>6.3529351600000004</v>
      </c>
      <c r="P5">
        <f t="shared" si="7"/>
        <v>1.4045908887516221E-2</v>
      </c>
    </row>
    <row r="6" spans="1:16" x14ac:dyDescent="0.3">
      <c r="A6">
        <v>2014</v>
      </c>
      <c r="B6" s="4" t="s">
        <v>36</v>
      </c>
      <c r="C6">
        <v>257.54000000000002</v>
      </c>
      <c r="D6">
        <v>0.35</v>
      </c>
      <c r="E6">
        <f t="shared" si="0"/>
        <v>132.42735260000001</v>
      </c>
      <c r="F6">
        <v>6</v>
      </c>
      <c r="G6">
        <f t="shared" si="1"/>
        <v>794.56411560000004</v>
      </c>
      <c r="H6">
        <v>351.09</v>
      </c>
      <c r="I6">
        <f t="shared" si="2"/>
        <v>167475.42720694517</v>
      </c>
      <c r="J6" s="1">
        <v>104.40422700000001</v>
      </c>
      <c r="K6" s="1">
        <v>31.133751</v>
      </c>
      <c r="L6">
        <f t="shared" si="3"/>
        <v>26888.264621580005</v>
      </c>
      <c r="M6">
        <f t="shared" si="4"/>
        <v>8018.1862325400007</v>
      </c>
      <c r="N6">
        <f t="shared" si="5"/>
        <v>36.541479449999997</v>
      </c>
      <c r="O6">
        <f t="shared" si="6"/>
        <v>10.89681285</v>
      </c>
      <c r="P6">
        <f t="shared" si="7"/>
        <v>6.2971853781406323E-2</v>
      </c>
    </row>
    <row r="7" spans="1:16" x14ac:dyDescent="0.3">
      <c r="A7">
        <v>2014</v>
      </c>
      <c r="B7" s="4" t="s">
        <v>37</v>
      </c>
      <c r="C7">
        <v>212.25</v>
      </c>
      <c r="D7">
        <v>0.74</v>
      </c>
      <c r="E7">
        <f t="shared" si="0"/>
        <v>109.35884539999999</v>
      </c>
      <c r="F7">
        <v>7</v>
      </c>
      <c r="G7">
        <f t="shared" si="1"/>
        <v>765.51191779999999</v>
      </c>
      <c r="H7">
        <v>473.94</v>
      </c>
      <c r="I7">
        <f t="shared" si="2"/>
        <v>231401.02455939181</v>
      </c>
      <c r="J7" s="1">
        <v>104.685653</v>
      </c>
      <c r="K7" s="1">
        <v>31.473462000000001</v>
      </c>
      <c r="L7">
        <f t="shared" si="3"/>
        <v>22219.529849250001</v>
      </c>
      <c r="M7">
        <f t="shared" si="4"/>
        <v>6680.2423095000004</v>
      </c>
      <c r="N7">
        <f t="shared" si="5"/>
        <v>77.467383220000002</v>
      </c>
      <c r="O7">
        <f t="shared" si="6"/>
        <v>23.290361880000003</v>
      </c>
      <c r="P7">
        <f t="shared" si="7"/>
        <v>5.2002317399133892E-2</v>
      </c>
    </row>
    <row r="8" spans="1:16" x14ac:dyDescent="0.3">
      <c r="A8">
        <v>2014</v>
      </c>
      <c r="B8" s="4" t="s">
        <v>38</v>
      </c>
      <c r="C8">
        <v>40.96</v>
      </c>
      <c r="D8">
        <v>0.18</v>
      </c>
      <c r="E8">
        <f t="shared" si="0"/>
        <v>21.122161200000001</v>
      </c>
      <c r="F8">
        <v>16</v>
      </c>
      <c r="G8">
        <f t="shared" si="1"/>
        <v>337.95457920000001</v>
      </c>
      <c r="H8">
        <v>257.5</v>
      </c>
      <c r="I8">
        <f t="shared" si="2"/>
        <v>137099.65784803248</v>
      </c>
      <c r="J8" s="1">
        <v>105.850532</v>
      </c>
      <c r="K8" s="1">
        <v>32.442338999999997</v>
      </c>
      <c r="L8">
        <f t="shared" si="3"/>
        <v>4335.6377907200003</v>
      </c>
      <c r="M8">
        <f t="shared" si="4"/>
        <v>1328.8382054399999</v>
      </c>
      <c r="N8">
        <f t="shared" si="5"/>
        <v>19.053095759999998</v>
      </c>
      <c r="O8">
        <f t="shared" si="6"/>
        <v>5.8396210199999992</v>
      </c>
      <c r="P8">
        <f t="shared" si="7"/>
        <v>1.0044009945976175E-2</v>
      </c>
    </row>
    <row r="9" spans="1:16" x14ac:dyDescent="0.3">
      <c r="A9">
        <v>2014</v>
      </c>
      <c r="B9" s="4" t="s">
        <v>39</v>
      </c>
      <c r="C9">
        <v>148.94999999999999</v>
      </c>
      <c r="D9">
        <v>0.72</v>
      </c>
      <c r="E9">
        <f t="shared" si="0"/>
        <v>76.842034200000001</v>
      </c>
      <c r="F9">
        <v>8</v>
      </c>
      <c r="G9">
        <f t="shared" si="1"/>
        <v>614.7362736</v>
      </c>
      <c r="H9">
        <v>328.25</v>
      </c>
      <c r="I9">
        <f t="shared" si="2"/>
        <v>165538.70105996373</v>
      </c>
      <c r="J9" s="1">
        <v>105.599143</v>
      </c>
      <c r="K9" s="1">
        <v>30.539141000000001</v>
      </c>
      <c r="L9">
        <f t="shared" si="3"/>
        <v>15728.992349849999</v>
      </c>
      <c r="M9">
        <f t="shared" si="4"/>
        <v>4548.8050519499993</v>
      </c>
      <c r="N9">
        <f t="shared" si="5"/>
        <v>76.031382960000002</v>
      </c>
      <c r="O9">
        <f t="shared" si="6"/>
        <v>21.988181520000001</v>
      </c>
      <c r="P9">
        <f t="shared" si="7"/>
        <v>3.6539923564916331E-2</v>
      </c>
    </row>
    <row r="10" spans="1:16" x14ac:dyDescent="0.3">
      <c r="A10">
        <v>2014</v>
      </c>
      <c r="B10" s="4" t="s">
        <v>40</v>
      </c>
      <c r="C10">
        <v>31.94</v>
      </c>
      <c r="D10">
        <v>0.12</v>
      </c>
      <c r="E10">
        <f t="shared" si="0"/>
        <v>16.460842800000002</v>
      </c>
      <c r="F10">
        <v>18</v>
      </c>
      <c r="G10">
        <f t="shared" si="1"/>
        <v>296.29517040000002</v>
      </c>
      <c r="H10">
        <v>373.26</v>
      </c>
      <c r="I10">
        <f t="shared" si="2"/>
        <v>199624.21433035136</v>
      </c>
      <c r="J10" s="1">
        <v>105.064564</v>
      </c>
      <c r="K10" s="1">
        <v>29.585822</v>
      </c>
      <c r="L10">
        <f t="shared" si="3"/>
        <v>3355.7621741600001</v>
      </c>
      <c r="M10">
        <f t="shared" si="4"/>
        <v>944.97115468000004</v>
      </c>
      <c r="N10">
        <f t="shared" si="5"/>
        <v>12.607747679999999</v>
      </c>
      <c r="O10">
        <f t="shared" si="6"/>
        <v>3.5502986399999998</v>
      </c>
      <c r="P10">
        <f t="shared" si="7"/>
        <v>7.8274598530357932E-3</v>
      </c>
    </row>
    <row r="11" spans="1:16" x14ac:dyDescent="0.3">
      <c r="A11">
        <v>2014</v>
      </c>
      <c r="B11" s="4" t="s">
        <v>41</v>
      </c>
      <c r="C11">
        <v>4654.25</v>
      </c>
      <c r="D11">
        <v>12.79</v>
      </c>
      <c r="E11">
        <f t="shared" si="0"/>
        <v>2396.3653684000001</v>
      </c>
      <c r="F11">
        <v>2</v>
      </c>
      <c r="G11">
        <f t="shared" si="1"/>
        <v>4792.7307368000002</v>
      </c>
      <c r="H11">
        <v>325</v>
      </c>
      <c r="I11">
        <f t="shared" si="2"/>
        <v>3437.0150738023644</v>
      </c>
      <c r="J11" s="1">
        <v>103.772521</v>
      </c>
      <c r="K11" s="1">
        <v>29.558285000000001</v>
      </c>
      <c r="L11">
        <f t="shared" si="3"/>
        <v>482983.25586425001</v>
      </c>
      <c r="M11">
        <f t="shared" si="4"/>
        <v>137571.64796125001</v>
      </c>
      <c r="N11">
        <f t="shared" si="5"/>
        <v>1327.2505435899998</v>
      </c>
      <c r="O11">
        <f t="shared" si="6"/>
        <v>378.05046514999998</v>
      </c>
      <c r="P11">
        <f t="shared" si="7"/>
        <v>1.1395196432078389</v>
      </c>
    </row>
    <row r="12" spans="1:16" x14ac:dyDescent="0.3">
      <c r="A12">
        <v>2014</v>
      </c>
      <c r="B12" s="4" t="s">
        <v>42</v>
      </c>
      <c r="C12">
        <v>71.069999999999993</v>
      </c>
      <c r="D12">
        <v>0.25</v>
      </c>
      <c r="E12">
        <f t="shared" si="0"/>
        <v>36.618902799999994</v>
      </c>
      <c r="F12">
        <v>12</v>
      </c>
      <c r="G12">
        <f t="shared" si="1"/>
        <v>439.4268335999999</v>
      </c>
      <c r="H12">
        <v>633.38</v>
      </c>
      <c r="I12">
        <f t="shared" si="2"/>
        <v>332226.07662418089</v>
      </c>
      <c r="J12" s="1">
        <v>106.11712300000001</v>
      </c>
      <c r="K12" s="1">
        <v>30.843219999999999</v>
      </c>
      <c r="L12">
        <f t="shared" si="3"/>
        <v>7541.7439316099999</v>
      </c>
      <c r="M12">
        <f t="shared" si="4"/>
        <v>2192.0276453999995</v>
      </c>
      <c r="N12">
        <f t="shared" si="5"/>
        <v>26.529280750000002</v>
      </c>
      <c r="O12">
        <f t="shared" si="6"/>
        <v>7.7108049999999997</v>
      </c>
      <c r="P12">
        <f t="shared" si="7"/>
        <v>1.7413020403136338E-2</v>
      </c>
    </row>
    <row r="13" spans="1:16" x14ac:dyDescent="0.3">
      <c r="A13">
        <v>2014</v>
      </c>
      <c r="B13" s="4" t="s">
        <v>43</v>
      </c>
      <c r="C13">
        <v>16.75</v>
      </c>
      <c r="D13">
        <v>0.05</v>
      </c>
      <c r="E13">
        <f t="shared" si="0"/>
        <v>8.626118</v>
      </c>
      <c r="F13">
        <v>20</v>
      </c>
      <c r="G13">
        <f t="shared" si="1"/>
        <v>172.52235999999999</v>
      </c>
      <c r="H13">
        <v>298.97000000000003</v>
      </c>
      <c r="I13">
        <f t="shared" si="2"/>
        <v>161096.01160078196</v>
      </c>
      <c r="J13" s="1">
        <v>103.854991</v>
      </c>
      <c r="K13" s="1">
        <v>30.082841999999999</v>
      </c>
      <c r="L13">
        <f t="shared" si="3"/>
        <v>1739.5710992499999</v>
      </c>
      <c r="M13">
        <f t="shared" si="4"/>
        <v>503.88760350000001</v>
      </c>
      <c r="N13">
        <f t="shared" si="5"/>
        <v>5.1927495500000003</v>
      </c>
      <c r="O13">
        <f t="shared" si="6"/>
        <v>1.5041421000000001</v>
      </c>
      <c r="P13">
        <f t="shared" si="7"/>
        <v>4.1018915709801563E-3</v>
      </c>
    </row>
    <row r="14" spans="1:16" x14ac:dyDescent="0.3">
      <c r="A14">
        <v>2014</v>
      </c>
      <c r="B14" s="4" t="s">
        <v>44</v>
      </c>
      <c r="C14">
        <v>63.21</v>
      </c>
      <c r="D14">
        <v>0.17</v>
      </c>
      <c r="E14">
        <f t="shared" si="0"/>
        <v>32.543561600000004</v>
      </c>
      <c r="F14">
        <v>13</v>
      </c>
      <c r="G14">
        <f t="shared" si="1"/>
        <v>423.06630080000002</v>
      </c>
      <c r="H14">
        <v>447</v>
      </c>
      <c r="I14">
        <f t="shared" si="2"/>
        <v>235390.1477907392</v>
      </c>
      <c r="J14" s="1">
        <v>104.649316</v>
      </c>
      <c r="K14" s="1">
        <v>28.758631000000001</v>
      </c>
      <c r="L14">
        <f t="shared" si="3"/>
        <v>6614.8832643599999</v>
      </c>
      <c r="M14">
        <f t="shared" si="4"/>
        <v>1817.8330655100001</v>
      </c>
      <c r="N14">
        <f t="shared" si="5"/>
        <v>17.790383720000001</v>
      </c>
      <c r="O14">
        <f t="shared" si="6"/>
        <v>4.8889672700000002</v>
      </c>
      <c r="P14">
        <f t="shared" si="7"/>
        <v>1.5475114184238322E-2</v>
      </c>
    </row>
    <row r="15" spans="1:16" x14ac:dyDescent="0.3">
      <c r="A15">
        <v>2014</v>
      </c>
      <c r="B15" s="4" t="s">
        <v>45</v>
      </c>
      <c r="C15">
        <v>112.55</v>
      </c>
      <c r="D15">
        <v>0.37</v>
      </c>
      <c r="E15">
        <f t="shared" si="0"/>
        <v>57.978917199999998</v>
      </c>
      <c r="F15">
        <v>9</v>
      </c>
      <c r="G15">
        <f t="shared" si="1"/>
        <v>521.81025479999994</v>
      </c>
      <c r="H15">
        <v>323.16000000000003</v>
      </c>
      <c r="I15">
        <f t="shared" si="2"/>
        <v>166020.43162370985</v>
      </c>
      <c r="J15" s="1">
        <v>106.639184</v>
      </c>
      <c r="K15" s="1">
        <v>30.462142</v>
      </c>
      <c r="L15">
        <f t="shared" si="3"/>
        <v>12002.240159200001</v>
      </c>
      <c r="M15">
        <f t="shared" si="4"/>
        <v>3428.5140821</v>
      </c>
      <c r="N15">
        <f t="shared" si="5"/>
        <v>39.456498080000003</v>
      </c>
      <c r="O15">
        <f t="shared" si="6"/>
        <v>11.27099254</v>
      </c>
      <c r="P15">
        <f t="shared" si="7"/>
        <v>2.7570134301111625E-2</v>
      </c>
    </row>
    <row r="16" spans="1:16" x14ac:dyDescent="0.3">
      <c r="A16">
        <v>2014</v>
      </c>
      <c r="B16" s="4" t="s">
        <v>46</v>
      </c>
      <c r="C16">
        <v>99.29</v>
      </c>
      <c r="D16">
        <v>0.28999999999999998</v>
      </c>
      <c r="E16">
        <f t="shared" si="0"/>
        <v>51.130460000000006</v>
      </c>
      <c r="F16">
        <v>11</v>
      </c>
      <c r="G16">
        <f t="shared" si="1"/>
        <v>562.43506000000002</v>
      </c>
      <c r="H16">
        <v>553</v>
      </c>
      <c r="I16">
        <f t="shared" si="2"/>
        <v>286004.61123520439</v>
      </c>
      <c r="J16" s="1">
        <v>107.474424</v>
      </c>
      <c r="K16" s="1">
        <v>31.214942000000001</v>
      </c>
      <c r="L16">
        <f t="shared" si="3"/>
        <v>10671.135558960001</v>
      </c>
      <c r="M16">
        <f t="shared" si="4"/>
        <v>3099.33159118</v>
      </c>
      <c r="N16">
        <f t="shared" si="5"/>
        <v>31.167582959999997</v>
      </c>
      <c r="O16">
        <f t="shared" si="6"/>
        <v>9.0523331799999998</v>
      </c>
      <c r="P16">
        <f t="shared" si="7"/>
        <v>2.4313555981304462E-2</v>
      </c>
    </row>
    <row r="17" spans="1:16" x14ac:dyDescent="0.3">
      <c r="A17">
        <v>2014</v>
      </c>
      <c r="B17" s="4" t="s">
        <v>47</v>
      </c>
      <c r="C17">
        <v>102.92</v>
      </c>
      <c r="D17">
        <v>0.37</v>
      </c>
      <c r="E17">
        <f t="shared" si="0"/>
        <v>53.033526999999999</v>
      </c>
      <c r="F17">
        <v>10</v>
      </c>
      <c r="G17">
        <f t="shared" si="1"/>
        <v>530.33527000000004</v>
      </c>
      <c r="H17">
        <v>154.37</v>
      </c>
      <c r="I17">
        <f t="shared" si="2"/>
        <v>79690.182334678844</v>
      </c>
      <c r="J17" s="1">
        <v>103.048153</v>
      </c>
      <c r="K17" s="1">
        <v>30.015991</v>
      </c>
      <c r="L17">
        <f t="shared" si="3"/>
        <v>10605.715906760001</v>
      </c>
      <c r="M17">
        <f t="shared" si="4"/>
        <v>3089.2457937200002</v>
      </c>
      <c r="N17">
        <f t="shared" si="5"/>
        <v>38.127816609999996</v>
      </c>
      <c r="O17">
        <f t="shared" si="6"/>
        <v>11.105916669999999</v>
      </c>
      <c r="P17">
        <f t="shared" si="7"/>
        <v>2.5218502387823648E-2</v>
      </c>
    </row>
    <row r="18" spans="1:16" x14ac:dyDescent="0.3">
      <c r="A18">
        <v>2014</v>
      </c>
      <c r="B18" s="4" t="s">
        <v>48</v>
      </c>
      <c r="C18">
        <v>3.18</v>
      </c>
      <c r="D18">
        <v>0.01</v>
      </c>
      <c r="E18">
        <f t="shared" si="0"/>
        <v>1.6379218000000002</v>
      </c>
      <c r="F18">
        <v>21</v>
      </c>
      <c r="G18">
        <f t="shared" si="1"/>
        <v>34.396357800000004</v>
      </c>
      <c r="H18">
        <v>332.21</v>
      </c>
      <c r="I18">
        <f t="shared" si="2"/>
        <v>180203.52678590096</v>
      </c>
      <c r="J18" s="1">
        <v>106.754109</v>
      </c>
      <c r="K18" s="1">
        <v>31.873559</v>
      </c>
      <c r="L18">
        <f t="shared" si="3"/>
        <v>339.47806661999999</v>
      </c>
      <c r="M18">
        <f t="shared" si="4"/>
        <v>101.35791762000001</v>
      </c>
      <c r="N18">
        <f t="shared" si="5"/>
        <v>1.06754109</v>
      </c>
      <c r="O18">
        <f t="shared" si="6"/>
        <v>0.31873559000000001</v>
      </c>
      <c r="P18">
        <f t="shared" si="7"/>
        <v>7.7886456287111386E-4</v>
      </c>
    </row>
    <row r="19" spans="1:16" x14ac:dyDescent="0.3">
      <c r="A19">
        <v>2014</v>
      </c>
      <c r="B19" s="4" t="s">
        <v>49</v>
      </c>
      <c r="C19">
        <v>1096.28</v>
      </c>
      <c r="D19">
        <v>3.7</v>
      </c>
      <c r="E19">
        <f t="shared" si="0"/>
        <v>564.78353319999997</v>
      </c>
      <c r="F19">
        <v>5</v>
      </c>
      <c r="G19">
        <f t="shared" si="1"/>
        <v>2823.9176659999998</v>
      </c>
      <c r="H19">
        <v>354.72</v>
      </c>
      <c r="I19">
        <f t="shared" si="2"/>
        <v>103101.14545089495</v>
      </c>
      <c r="J19" s="1">
        <v>104.633825</v>
      </c>
      <c r="K19" s="1">
        <v>30.135162999999999</v>
      </c>
      <c r="L19">
        <f t="shared" si="3"/>
        <v>114707.969671</v>
      </c>
      <c r="M19">
        <f t="shared" si="4"/>
        <v>33036.576493640001</v>
      </c>
      <c r="N19">
        <f t="shared" si="5"/>
        <v>387.14515250000005</v>
      </c>
      <c r="O19">
        <f t="shared" si="6"/>
        <v>111.5001031</v>
      </c>
      <c r="P19">
        <f t="shared" si="7"/>
        <v>0.26856586175397451</v>
      </c>
    </row>
    <row r="20" spans="1:16" x14ac:dyDescent="0.3">
      <c r="A20">
        <v>2014</v>
      </c>
      <c r="B20" s="4" t="s">
        <v>50</v>
      </c>
      <c r="C20">
        <v>2852.81</v>
      </c>
      <c r="D20">
        <v>15.44</v>
      </c>
      <c r="E20">
        <f t="shared" si="0"/>
        <v>1472.5429898</v>
      </c>
      <c r="F20">
        <v>3</v>
      </c>
      <c r="G20">
        <f t="shared" si="1"/>
        <v>4417.6289693999997</v>
      </c>
      <c r="H20">
        <v>92.03</v>
      </c>
      <c r="I20">
        <f t="shared" si="2"/>
        <v>4493.1567558295901</v>
      </c>
      <c r="J20" s="1">
        <v>102.23090999999999</v>
      </c>
      <c r="K20" s="1">
        <v>31.905656</v>
      </c>
      <c r="L20">
        <f t="shared" si="3"/>
        <v>291645.36235710001</v>
      </c>
      <c r="M20">
        <f t="shared" si="4"/>
        <v>91020.774493360004</v>
      </c>
      <c r="N20">
        <f t="shared" si="5"/>
        <v>1578.4452503999998</v>
      </c>
      <c r="O20">
        <f t="shared" si="6"/>
        <v>492.62332864000001</v>
      </c>
      <c r="P20">
        <f t="shared" si="7"/>
        <v>0.70022363220240424</v>
      </c>
    </row>
    <row r="21" spans="1:16" x14ac:dyDescent="0.3">
      <c r="A21">
        <v>2014</v>
      </c>
      <c r="B21" s="4" t="s">
        <v>51</v>
      </c>
      <c r="C21">
        <v>1799.29</v>
      </c>
      <c r="D21">
        <v>6.25</v>
      </c>
      <c r="E21">
        <f t="shared" si="0"/>
        <v>927.04776160000006</v>
      </c>
      <c r="F21">
        <v>4</v>
      </c>
      <c r="G21">
        <f t="shared" si="1"/>
        <v>3708.1910464000002</v>
      </c>
      <c r="H21">
        <v>114.79</v>
      </c>
      <c r="I21">
        <f t="shared" si="2"/>
        <v>19499.32329424483</v>
      </c>
      <c r="J21" s="1">
        <v>101.968649</v>
      </c>
      <c r="K21" s="1">
        <v>30.055425</v>
      </c>
      <c r="L21">
        <f t="shared" si="3"/>
        <v>183471.17045921</v>
      </c>
      <c r="M21">
        <f t="shared" si="4"/>
        <v>54078.425648249999</v>
      </c>
      <c r="N21">
        <f t="shared" si="5"/>
        <v>637.30405625000003</v>
      </c>
      <c r="O21">
        <f t="shared" si="6"/>
        <v>187.84640625</v>
      </c>
      <c r="P21">
        <f t="shared" si="7"/>
        <v>0.44082974510701822</v>
      </c>
    </row>
    <row r="22" spans="1:16" x14ac:dyDescent="0.3">
      <c r="A22">
        <v>2014</v>
      </c>
      <c r="B22" s="4" t="s">
        <v>52</v>
      </c>
      <c r="C22">
        <v>36.01</v>
      </c>
      <c r="D22">
        <v>0.1</v>
      </c>
      <c r="E22">
        <f t="shared" si="0"/>
        <v>18.541221400000001</v>
      </c>
      <c r="F22">
        <v>17</v>
      </c>
      <c r="G22">
        <f t="shared" si="1"/>
        <v>315.2007638</v>
      </c>
      <c r="H22">
        <v>462</v>
      </c>
      <c r="I22">
        <f t="shared" si="2"/>
        <v>246591.02795994192</v>
      </c>
      <c r="J22" s="1">
        <v>102.27418900000001</v>
      </c>
      <c r="K22" s="1">
        <v>27.887442</v>
      </c>
      <c r="L22">
        <f t="shared" si="3"/>
        <v>3682.89354589</v>
      </c>
      <c r="M22">
        <f t="shared" si="4"/>
        <v>1004.2267864199999</v>
      </c>
      <c r="N22">
        <f t="shared" si="5"/>
        <v>10.227418900000002</v>
      </c>
      <c r="O22">
        <f t="shared" si="6"/>
        <v>2.7887442</v>
      </c>
      <c r="P22">
        <f t="shared" si="7"/>
        <v>8.8167214703458608E-3</v>
      </c>
    </row>
    <row r="23" spans="1:16" x14ac:dyDescent="0.3">
      <c r="B23" t="s">
        <v>13</v>
      </c>
      <c r="C23">
        <f>SUM(C2:C22)</f>
        <v>85768.099999999977</v>
      </c>
      <c r="D23">
        <f>SUM(D2:D22)</f>
        <v>240.17999999999998</v>
      </c>
      <c r="E23">
        <f>AVERAGE(E2:E22)</f>
        <v>2102.9613350857153</v>
      </c>
      <c r="F23" t="s">
        <v>9</v>
      </c>
      <c r="G23">
        <f>SUM(G2:G22)</f>
        <v>60752.816613600015</v>
      </c>
      <c r="H23">
        <f>SUM(H2:H22)</f>
        <v>8140.2</v>
      </c>
      <c r="I23">
        <f>SUM(I2:I22)</f>
        <v>233000940.18976855</v>
      </c>
      <c r="L23">
        <f>SUM(L2:L22)</f>
        <v>8917541.0640104227</v>
      </c>
      <c r="M23">
        <f>SUM(M2:M22)</f>
        <v>2620201.1955804788</v>
      </c>
      <c r="N23">
        <f>SUM(N2:N22)</f>
        <v>24957.130583049991</v>
      </c>
      <c r="O23">
        <f>SUM(O2:O22)</f>
        <v>7346.4562651599972</v>
      </c>
    </row>
    <row r="24" spans="1:16" x14ac:dyDescent="0.3">
      <c r="E24" t="s">
        <v>14</v>
      </c>
      <c r="H24" t="s">
        <v>11</v>
      </c>
      <c r="I24" t="s">
        <v>11</v>
      </c>
    </row>
    <row r="25" spans="1:16" x14ac:dyDescent="0.3">
      <c r="A25" t="s">
        <v>8</v>
      </c>
      <c r="C25" t="s">
        <v>10</v>
      </c>
      <c r="D25">
        <f>1+1/21-G23/(21*21*E23)</f>
        <v>0.98211071581031617</v>
      </c>
      <c r="E25" t="s">
        <v>12</v>
      </c>
      <c r="F25">
        <f>SQRT(I23)/E23</f>
        <v>7.2585111598166163</v>
      </c>
    </row>
    <row r="27" spans="1:16" x14ac:dyDescent="0.3">
      <c r="K27" t="s">
        <v>15</v>
      </c>
      <c r="L27">
        <f>L23/C23</f>
        <v>103.97270155233035</v>
      </c>
      <c r="M27">
        <f>M23/C23</f>
        <v>30.549833744486346</v>
      </c>
      <c r="N27">
        <f>N23/D23</f>
        <v>103.91011151240734</v>
      </c>
      <c r="O27">
        <f>O23/D23</f>
        <v>30.58729396769089</v>
      </c>
    </row>
    <row r="28" spans="1:16" x14ac:dyDescent="0.3">
      <c r="A28" t="s">
        <v>0</v>
      </c>
    </row>
    <row r="29" spans="1:16" x14ac:dyDescent="0.3">
      <c r="A29" t="s">
        <v>1</v>
      </c>
      <c r="B29" t="s">
        <v>2</v>
      </c>
      <c r="C29" t="s">
        <v>3</v>
      </c>
      <c r="D29" t="s">
        <v>4</v>
      </c>
    </row>
    <row r="30" spans="1:16" x14ac:dyDescent="0.3">
      <c r="A30" t="s">
        <v>7</v>
      </c>
      <c r="B30">
        <v>0.253</v>
      </c>
      <c r="C30">
        <v>0.747</v>
      </c>
      <c r="D30">
        <v>48.646000000000001</v>
      </c>
    </row>
    <row r="31" spans="1:16" x14ac:dyDescent="0.3">
      <c r="A31" t="s">
        <v>6</v>
      </c>
      <c r="B31">
        <v>0.21199999999999999</v>
      </c>
      <c r="C31">
        <v>0.78800000000000003</v>
      </c>
      <c r="D31">
        <v>51.353999999999999</v>
      </c>
    </row>
  </sheetData>
  <sortState xmlns:xlrd2="http://schemas.microsoft.com/office/spreadsheetml/2017/richdata2" ref="A2:F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397F-A42F-4F7F-8698-FDDDBAEE6667}">
  <dimension ref="A1:P31"/>
  <sheetViews>
    <sheetView workbookViewId="0">
      <selection sqref="A1:XFD1"/>
    </sheetView>
  </sheetViews>
  <sheetFormatPr defaultRowHeight="14" x14ac:dyDescent="0.3"/>
  <cols>
    <col min="9" max="9" width="12.75" bestFit="1" customWidth="1"/>
    <col min="12" max="12" width="11.5820312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2015</v>
      </c>
      <c r="B2" s="4" t="s">
        <v>32</v>
      </c>
      <c r="C2">
        <v>107070.01</v>
      </c>
      <c r="D2">
        <v>230.54</v>
      </c>
      <c r="E2">
        <f t="shared" ref="E2:E22" si="0">D2*0.47846+C2*0.52154</f>
        <v>55951.597183799997</v>
      </c>
      <c r="F2">
        <v>1</v>
      </c>
      <c r="G2">
        <f>E2*F2</f>
        <v>55951.597183799997</v>
      </c>
      <c r="H2">
        <v>1465.75</v>
      </c>
      <c r="I2">
        <f>(E2-2938.945)*(E2-2938.945)*H2/8203.996</f>
        <v>502103822.10143489</v>
      </c>
      <c r="J2" s="1">
        <v>104.07274200000001</v>
      </c>
      <c r="K2" s="1">
        <v>30.578983999999998</v>
      </c>
      <c r="L2">
        <f>C2*J2</f>
        <v>11143069.52666742</v>
      </c>
      <c r="M2">
        <f>C2*K2</f>
        <v>3274092.1226698398</v>
      </c>
      <c r="N2">
        <f>D2*J2</f>
        <v>23992.929940680002</v>
      </c>
      <c r="O2">
        <f>D2*K2</f>
        <v>7049.6789713599992</v>
      </c>
    </row>
    <row r="3" spans="1:16" x14ac:dyDescent="0.3">
      <c r="A3">
        <v>2015</v>
      </c>
      <c r="B3" s="4" t="s">
        <v>33</v>
      </c>
      <c r="C3">
        <v>99.68</v>
      </c>
      <c r="D3">
        <v>0.34</v>
      </c>
      <c r="E3">
        <f t="shared" si="0"/>
        <v>52.149783600000006</v>
      </c>
      <c r="F3">
        <v>12</v>
      </c>
      <c r="G3">
        <f t="shared" ref="G3:G22" si="1">E3*F3</f>
        <v>625.79740320000008</v>
      </c>
      <c r="H3">
        <v>277.02</v>
      </c>
      <c r="I3">
        <f t="shared" ref="I3:I22" si="2">(E3-2938.945)*(E3-2938.945)*H3/8203.996</f>
        <v>281395.81807067164</v>
      </c>
      <c r="J3" s="1">
        <v>104.785532</v>
      </c>
      <c r="K3" s="1">
        <v>29.345369999999999</v>
      </c>
      <c r="L3">
        <f t="shared" ref="L3:L22" si="3">C3*J3</f>
        <v>10445.02182976</v>
      </c>
      <c r="M3">
        <f t="shared" ref="M3:M22" si="4">C3*K3</f>
        <v>2925.1464816000002</v>
      </c>
      <c r="N3">
        <f t="shared" ref="N3:N22" si="5">D3*J3</f>
        <v>35.627080880000001</v>
      </c>
      <c r="O3">
        <f t="shared" ref="O3:O22" si="6">D3*K3</f>
        <v>9.9774258000000007</v>
      </c>
    </row>
    <row r="4" spans="1:16" x14ac:dyDescent="0.3">
      <c r="A4">
        <v>2015</v>
      </c>
      <c r="B4" s="4" t="s">
        <v>34</v>
      </c>
      <c r="C4">
        <v>66.209999999999994</v>
      </c>
      <c r="D4">
        <v>0.18</v>
      </c>
      <c r="E4">
        <f t="shared" si="0"/>
        <v>34.617286199999995</v>
      </c>
      <c r="F4">
        <v>14</v>
      </c>
      <c r="G4">
        <f t="shared" si="1"/>
        <v>484.64200679999993</v>
      </c>
      <c r="H4">
        <v>123.25</v>
      </c>
      <c r="I4">
        <f t="shared" si="2"/>
        <v>126722.20641896161</v>
      </c>
      <c r="J4" s="1">
        <v>101.72505</v>
      </c>
      <c r="K4" s="1">
        <v>26.588200000000001</v>
      </c>
      <c r="L4">
        <f t="shared" si="3"/>
        <v>6735.2155604999989</v>
      </c>
      <c r="M4">
        <f t="shared" si="4"/>
        <v>1760.4047219999998</v>
      </c>
      <c r="N4">
        <f t="shared" si="5"/>
        <v>18.310509</v>
      </c>
      <c r="O4">
        <f t="shared" si="6"/>
        <v>4.785876</v>
      </c>
    </row>
    <row r="5" spans="1:16" x14ac:dyDescent="0.3">
      <c r="A5">
        <v>2015</v>
      </c>
      <c r="B5" s="4" t="s">
        <v>35</v>
      </c>
      <c r="C5">
        <v>82.81</v>
      </c>
      <c r="D5">
        <v>0.3</v>
      </c>
      <c r="E5">
        <f t="shared" si="0"/>
        <v>43.332265400000004</v>
      </c>
      <c r="F5">
        <v>13</v>
      </c>
      <c r="G5">
        <f t="shared" si="1"/>
        <v>563.31945020000001</v>
      </c>
      <c r="H5">
        <v>428.52</v>
      </c>
      <c r="I5">
        <f t="shared" si="2"/>
        <v>437952.09902264905</v>
      </c>
      <c r="J5" s="1">
        <v>105.448463</v>
      </c>
      <c r="K5" s="1">
        <v>28.876978000000001</v>
      </c>
      <c r="L5">
        <f t="shared" si="3"/>
        <v>8732.1872210300007</v>
      </c>
      <c r="M5">
        <f t="shared" si="4"/>
        <v>2391.30254818</v>
      </c>
      <c r="N5">
        <f t="shared" si="5"/>
        <v>31.634538899999999</v>
      </c>
      <c r="O5">
        <f t="shared" si="6"/>
        <v>8.6630933999999993</v>
      </c>
    </row>
    <row r="6" spans="1:16" x14ac:dyDescent="0.3">
      <c r="A6">
        <v>2015</v>
      </c>
      <c r="B6" s="4" t="s">
        <v>36</v>
      </c>
      <c r="C6">
        <v>256.89999999999998</v>
      </c>
      <c r="D6">
        <v>0.52</v>
      </c>
      <c r="E6">
        <f t="shared" si="0"/>
        <v>134.23242519999999</v>
      </c>
      <c r="F6">
        <v>6</v>
      </c>
      <c r="G6">
        <f t="shared" si="1"/>
        <v>805.39455120000002</v>
      </c>
      <c r="H6">
        <v>351.32</v>
      </c>
      <c r="I6">
        <f t="shared" si="2"/>
        <v>336863.65573586279</v>
      </c>
      <c r="J6" s="1">
        <v>104.40422700000001</v>
      </c>
      <c r="K6" s="1">
        <v>31.133751</v>
      </c>
      <c r="L6">
        <f t="shared" si="3"/>
        <v>26821.445916299999</v>
      </c>
      <c r="M6">
        <f t="shared" si="4"/>
        <v>7998.2606318999997</v>
      </c>
      <c r="N6">
        <f t="shared" si="5"/>
        <v>54.290198040000007</v>
      </c>
      <c r="O6">
        <f t="shared" si="6"/>
        <v>16.189550520000001</v>
      </c>
    </row>
    <row r="7" spans="1:16" x14ac:dyDescent="0.3">
      <c r="A7">
        <v>2015</v>
      </c>
      <c r="B7" s="4" t="s">
        <v>37</v>
      </c>
      <c r="C7">
        <v>192.01</v>
      </c>
      <c r="D7">
        <v>0.72</v>
      </c>
      <c r="E7">
        <f t="shared" si="0"/>
        <v>100.48538659999998</v>
      </c>
      <c r="F7">
        <v>7</v>
      </c>
      <c r="G7">
        <f t="shared" si="1"/>
        <v>703.3977061999999</v>
      </c>
      <c r="H7">
        <v>477.19</v>
      </c>
      <c r="I7">
        <f t="shared" si="2"/>
        <v>468631.3440484716</v>
      </c>
      <c r="J7" s="1">
        <v>104.685653</v>
      </c>
      <c r="K7" s="1">
        <v>31.473462000000001</v>
      </c>
      <c r="L7">
        <f t="shared" si="3"/>
        <v>20100.69223253</v>
      </c>
      <c r="M7">
        <f t="shared" si="4"/>
        <v>6043.2194386199999</v>
      </c>
      <c r="N7">
        <f t="shared" si="5"/>
        <v>75.373670160000003</v>
      </c>
      <c r="O7">
        <f t="shared" si="6"/>
        <v>22.66089264</v>
      </c>
    </row>
    <row r="8" spans="1:16" x14ac:dyDescent="0.3">
      <c r="A8">
        <v>2015</v>
      </c>
      <c r="B8" s="4" t="s">
        <v>38</v>
      </c>
      <c r="C8">
        <v>51.46</v>
      </c>
      <c r="D8">
        <v>0.19</v>
      </c>
      <c r="E8">
        <f t="shared" si="0"/>
        <v>26.9293558</v>
      </c>
      <c r="F8">
        <v>15</v>
      </c>
      <c r="G8">
        <f t="shared" si="1"/>
        <v>403.940337</v>
      </c>
      <c r="H8">
        <v>263</v>
      </c>
      <c r="I8">
        <f t="shared" si="2"/>
        <v>271842.72572454176</v>
      </c>
      <c r="J8" s="1">
        <v>105.850532</v>
      </c>
      <c r="K8" s="1">
        <v>32.442338999999997</v>
      </c>
      <c r="L8">
        <f t="shared" si="3"/>
        <v>5447.0683767199998</v>
      </c>
      <c r="M8">
        <f t="shared" si="4"/>
        <v>1669.4827649399999</v>
      </c>
      <c r="N8">
        <f t="shared" si="5"/>
        <v>20.11160108</v>
      </c>
      <c r="O8">
        <f t="shared" si="6"/>
        <v>6.1640444099999998</v>
      </c>
    </row>
    <row r="9" spans="1:16" x14ac:dyDescent="0.3">
      <c r="A9">
        <v>2015</v>
      </c>
      <c r="B9" s="4" t="s">
        <v>39</v>
      </c>
      <c r="C9">
        <v>30.01</v>
      </c>
      <c r="D9">
        <v>0.08</v>
      </c>
      <c r="E9">
        <f t="shared" si="0"/>
        <v>15.689692200000001</v>
      </c>
      <c r="F9">
        <v>17</v>
      </c>
      <c r="G9">
        <f t="shared" si="1"/>
        <v>266.72476740000002</v>
      </c>
      <c r="H9">
        <v>329</v>
      </c>
      <c r="I9">
        <f t="shared" si="2"/>
        <v>342691.98871100228</v>
      </c>
      <c r="J9" s="1">
        <v>105.599143</v>
      </c>
      <c r="K9" s="1">
        <v>30.539141000000001</v>
      </c>
      <c r="L9">
        <f t="shared" si="3"/>
        <v>3169.0302814300003</v>
      </c>
      <c r="M9">
        <f t="shared" si="4"/>
        <v>916.47962141000005</v>
      </c>
      <c r="N9">
        <f t="shared" si="5"/>
        <v>8.4479314399999996</v>
      </c>
      <c r="O9">
        <f t="shared" si="6"/>
        <v>2.4431312800000002</v>
      </c>
    </row>
    <row r="10" spans="1:16" x14ac:dyDescent="0.3">
      <c r="A10">
        <v>2015</v>
      </c>
      <c r="B10" s="4" t="s">
        <v>40</v>
      </c>
      <c r="C10">
        <v>25.81</v>
      </c>
      <c r="D10">
        <v>7.0000000000000007E-2</v>
      </c>
      <c r="E10">
        <f t="shared" si="0"/>
        <v>13.4944396</v>
      </c>
      <c r="F10">
        <v>18</v>
      </c>
      <c r="G10">
        <f t="shared" si="1"/>
        <v>242.89991279999998</v>
      </c>
      <c r="H10">
        <v>373.97</v>
      </c>
      <c r="I10">
        <f t="shared" si="2"/>
        <v>390118.77372849383</v>
      </c>
      <c r="J10" s="1">
        <v>105.064564</v>
      </c>
      <c r="K10" s="1">
        <v>29.585822</v>
      </c>
      <c r="L10">
        <f t="shared" si="3"/>
        <v>2711.71639684</v>
      </c>
      <c r="M10">
        <f t="shared" si="4"/>
        <v>763.61006581999993</v>
      </c>
      <c r="N10">
        <f t="shared" si="5"/>
        <v>7.3545194800000013</v>
      </c>
      <c r="O10">
        <f t="shared" si="6"/>
        <v>2.0710075400000001</v>
      </c>
    </row>
    <row r="11" spans="1:16" x14ac:dyDescent="0.3">
      <c r="A11">
        <v>2015</v>
      </c>
      <c r="B11" s="4" t="s">
        <v>41</v>
      </c>
      <c r="C11">
        <v>4173.9799999999996</v>
      </c>
      <c r="D11">
        <v>17.420000000000002</v>
      </c>
      <c r="E11">
        <f t="shared" si="0"/>
        <v>2185.2323024000002</v>
      </c>
      <c r="F11">
        <v>2</v>
      </c>
      <c r="G11">
        <f t="shared" si="1"/>
        <v>4370.4646048000004</v>
      </c>
      <c r="H11">
        <v>326.05</v>
      </c>
      <c r="I11">
        <f t="shared" si="2"/>
        <v>22577.21808886512</v>
      </c>
      <c r="J11" s="1">
        <v>103.772521</v>
      </c>
      <c r="K11" s="1">
        <v>29.558285000000001</v>
      </c>
      <c r="L11">
        <f t="shared" si="3"/>
        <v>433144.42720357992</v>
      </c>
      <c r="M11">
        <f t="shared" si="4"/>
        <v>123375.69042429999</v>
      </c>
      <c r="N11">
        <f t="shared" si="5"/>
        <v>1807.7173158200001</v>
      </c>
      <c r="O11">
        <f t="shared" si="6"/>
        <v>514.90532470000005</v>
      </c>
    </row>
    <row r="12" spans="1:16" x14ac:dyDescent="0.3">
      <c r="A12">
        <v>2015</v>
      </c>
      <c r="B12" s="4" t="s">
        <v>42</v>
      </c>
      <c r="C12">
        <v>134.52000000000001</v>
      </c>
      <c r="D12">
        <v>0.4</v>
      </c>
      <c r="E12">
        <f t="shared" si="0"/>
        <v>70.348944799999998</v>
      </c>
      <c r="F12">
        <v>11</v>
      </c>
      <c r="G12">
        <f t="shared" si="1"/>
        <v>773.83839279999995</v>
      </c>
      <c r="H12">
        <v>636.4</v>
      </c>
      <c r="I12">
        <f t="shared" si="2"/>
        <v>638327.45577658608</v>
      </c>
      <c r="J12" s="1">
        <v>106.11712300000001</v>
      </c>
      <c r="K12" s="1">
        <v>30.843219999999999</v>
      </c>
      <c r="L12">
        <f t="shared" si="3"/>
        <v>14274.875385960002</v>
      </c>
      <c r="M12">
        <f t="shared" si="4"/>
        <v>4149.0299544</v>
      </c>
      <c r="N12">
        <f t="shared" si="5"/>
        <v>42.446849200000003</v>
      </c>
      <c r="O12">
        <f t="shared" si="6"/>
        <v>12.337288000000001</v>
      </c>
    </row>
    <row r="13" spans="1:16" x14ac:dyDescent="0.3">
      <c r="A13">
        <v>2015</v>
      </c>
      <c r="B13" s="4" t="s">
        <v>43</v>
      </c>
      <c r="C13">
        <v>41.12</v>
      </c>
      <c r="D13">
        <v>0.14000000000000001</v>
      </c>
      <c r="E13">
        <f t="shared" si="0"/>
        <v>21.512709199999996</v>
      </c>
      <c r="F13">
        <v>16</v>
      </c>
      <c r="G13">
        <f t="shared" si="1"/>
        <v>344.20334719999994</v>
      </c>
      <c r="H13">
        <v>300.13</v>
      </c>
      <c r="I13">
        <f t="shared" si="2"/>
        <v>311376.28966092179</v>
      </c>
      <c r="J13" s="1">
        <v>103.854991</v>
      </c>
      <c r="K13" s="1">
        <v>30.082841999999999</v>
      </c>
      <c r="L13">
        <f t="shared" si="3"/>
        <v>4270.5172299199994</v>
      </c>
      <c r="M13">
        <f t="shared" si="4"/>
        <v>1237.00646304</v>
      </c>
      <c r="N13">
        <f t="shared" si="5"/>
        <v>14.53969874</v>
      </c>
      <c r="O13">
        <f t="shared" si="6"/>
        <v>4.2115978800000002</v>
      </c>
    </row>
    <row r="14" spans="1:16" x14ac:dyDescent="0.3">
      <c r="A14">
        <v>2015</v>
      </c>
      <c r="B14" s="4" t="s">
        <v>44</v>
      </c>
      <c r="C14">
        <v>143.84</v>
      </c>
      <c r="D14">
        <v>0.46</v>
      </c>
      <c r="E14">
        <f t="shared" si="0"/>
        <v>75.238405200000003</v>
      </c>
      <c r="F14">
        <v>10</v>
      </c>
      <c r="G14">
        <f t="shared" si="1"/>
        <v>752.384052</v>
      </c>
      <c r="H14">
        <v>449.00299999999999</v>
      </c>
      <c r="I14">
        <f t="shared" si="2"/>
        <v>448828.92976553593</v>
      </c>
      <c r="J14" s="1">
        <v>104.649316</v>
      </c>
      <c r="K14" s="1">
        <v>28.758631000000001</v>
      </c>
      <c r="L14">
        <f t="shared" si="3"/>
        <v>15052.757613440001</v>
      </c>
      <c r="M14">
        <f t="shared" si="4"/>
        <v>4136.6414830399999</v>
      </c>
      <c r="N14">
        <f t="shared" si="5"/>
        <v>48.138685360000004</v>
      </c>
      <c r="O14">
        <f t="shared" si="6"/>
        <v>13.228970260000001</v>
      </c>
    </row>
    <row r="15" spans="1:16" x14ac:dyDescent="0.3">
      <c r="A15">
        <v>2015</v>
      </c>
      <c r="B15" s="4" t="s">
        <v>45</v>
      </c>
      <c r="C15">
        <v>158.46</v>
      </c>
      <c r="D15">
        <v>0.59</v>
      </c>
      <c r="E15">
        <f t="shared" si="0"/>
        <v>82.925519800000004</v>
      </c>
      <c r="F15">
        <v>8</v>
      </c>
      <c r="G15">
        <f t="shared" si="1"/>
        <v>663.40415840000003</v>
      </c>
      <c r="H15">
        <v>324.66000000000003</v>
      </c>
      <c r="I15">
        <f t="shared" si="2"/>
        <v>322794.1645869129</v>
      </c>
      <c r="J15" s="1">
        <v>106.639184</v>
      </c>
      <c r="K15" s="1">
        <v>30.462142</v>
      </c>
      <c r="L15">
        <f t="shared" si="3"/>
        <v>16898.045096640002</v>
      </c>
      <c r="M15">
        <f t="shared" si="4"/>
        <v>4827.03102132</v>
      </c>
      <c r="N15">
        <f t="shared" si="5"/>
        <v>62.917118559999999</v>
      </c>
      <c r="O15">
        <f t="shared" si="6"/>
        <v>17.972663779999998</v>
      </c>
    </row>
    <row r="16" spans="1:16" x14ac:dyDescent="0.3">
      <c r="A16">
        <v>2015</v>
      </c>
      <c r="B16" s="4" t="s">
        <v>46</v>
      </c>
      <c r="C16">
        <v>14.79</v>
      </c>
      <c r="D16">
        <v>0.05</v>
      </c>
      <c r="E16">
        <f t="shared" si="0"/>
        <v>7.7374995999999996</v>
      </c>
      <c r="F16">
        <v>19</v>
      </c>
      <c r="G16">
        <f t="shared" si="1"/>
        <v>147.01249239999999</v>
      </c>
      <c r="H16">
        <v>556.76</v>
      </c>
      <c r="I16">
        <f t="shared" si="2"/>
        <v>583090.16033345007</v>
      </c>
      <c r="J16" s="1">
        <v>107.474424</v>
      </c>
      <c r="K16" s="1">
        <v>31.214942000000001</v>
      </c>
      <c r="L16">
        <f t="shared" si="3"/>
        <v>1589.5467309599999</v>
      </c>
      <c r="M16">
        <f t="shared" si="4"/>
        <v>461.66899217999998</v>
      </c>
      <c r="N16">
        <f t="shared" si="5"/>
        <v>5.3737212000000003</v>
      </c>
      <c r="O16">
        <f t="shared" si="6"/>
        <v>1.5607471000000002</v>
      </c>
    </row>
    <row r="17" spans="1:15" x14ac:dyDescent="0.3">
      <c r="A17">
        <v>2015</v>
      </c>
      <c r="B17" s="4" t="s">
        <v>47</v>
      </c>
      <c r="C17">
        <v>157.25</v>
      </c>
      <c r="D17">
        <v>0.53</v>
      </c>
      <c r="E17">
        <f t="shared" si="0"/>
        <v>82.265748799999997</v>
      </c>
      <c r="F17">
        <v>9</v>
      </c>
      <c r="G17">
        <f t="shared" si="1"/>
        <v>740.39173919999996</v>
      </c>
      <c r="H17">
        <v>154.68274879999998</v>
      </c>
      <c r="I17">
        <f t="shared" si="2"/>
        <v>153864.84440371781</v>
      </c>
      <c r="J17" s="1">
        <v>103.048153</v>
      </c>
      <c r="K17" s="1">
        <v>30.015991</v>
      </c>
      <c r="L17">
        <f t="shared" si="3"/>
        <v>16204.32205925</v>
      </c>
      <c r="M17">
        <f t="shared" si="4"/>
        <v>4720.0145847499998</v>
      </c>
      <c r="N17">
        <f t="shared" si="5"/>
        <v>54.615521090000001</v>
      </c>
      <c r="O17">
        <f t="shared" si="6"/>
        <v>15.908475230000001</v>
      </c>
    </row>
    <row r="18" spans="1:15" x14ac:dyDescent="0.3">
      <c r="A18">
        <v>2015</v>
      </c>
      <c r="B18" s="4" t="s">
        <v>48</v>
      </c>
      <c r="C18">
        <v>10.38</v>
      </c>
      <c r="D18">
        <v>0.04</v>
      </c>
      <c r="E18">
        <f t="shared" si="0"/>
        <v>5.432723600000001</v>
      </c>
      <c r="F18">
        <v>20</v>
      </c>
      <c r="G18">
        <f t="shared" si="1"/>
        <v>108.65447200000003</v>
      </c>
      <c r="H18">
        <v>332.86</v>
      </c>
      <c r="I18">
        <f t="shared" si="2"/>
        <v>349149.95383216877</v>
      </c>
      <c r="J18" s="1">
        <v>106.754109</v>
      </c>
      <c r="K18" s="1">
        <v>31.873559</v>
      </c>
      <c r="L18">
        <f t="shared" si="3"/>
        <v>1108.1076514200001</v>
      </c>
      <c r="M18">
        <f t="shared" si="4"/>
        <v>330.84754242000002</v>
      </c>
      <c r="N18">
        <f t="shared" si="5"/>
        <v>4.2701643599999999</v>
      </c>
      <c r="O18">
        <f t="shared" si="6"/>
        <v>1.2749423600000001</v>
      </c>
    </row>
    <row r="19" spans="1:15" x14ac:dyDescent="0.3">
      <c r="A19">
        <v>2015</v>
      </c>
      <c r="B19" s="4" t="s">
        <v>49</v>
      </c>
      <c r="C19">
        <v>1238.6099999999999</v>
      </c>
      <c r="D19">
        <v>3.96</v>
      </c>
      <c r="E19">
        <f t="shared" si="0"/>
        <v>647.8793609999999</v>
      </c>
      <c r="F19">
        <v>5</v>
      </c>
      <c r="G19">
        <f t="shared" si="1"/>
        <v>3239.3968049999994</v>
      </c>
      <c r="H19">
        <v>356.93</v>
      </c>
      <c r="I19">
        <f t="shared" si="2"/>
        <v>228366.64722707801</v>
      </c>
      <c r="J19" s="1">
        <v>104.633825</v>
      </c>
      <c r="K19" s="1">
        <v>30.135162999999999</v>
      </c>
      <c r="L19">
        <f t="shared" si="3"/>
        <v>129600.50198325</v>
      </c>
      <c r="M19">
        <f t="shared" si="4"/>
        <v>37325.714243429997</v>
      </c>
      <c r="N19">
        <f t="shared" si="5"/>
        <v>414.34994699999999</v>
      </c>
      <c r="O19">
        <f t="shared" si="6"/>
        <v>119.33524548</v>
      </c>
    </row>
    <row r="20" spans="1:15" x14ac:dyDescent="0.3">
      <c r="A20">
        <v>2015</v>
      </c>
      <c r="B20" s="4" t="s">
        <v>50</v>
      </c>
      <c r="C20">
        <v>2554.94</v>
      </c>
      <c r="D20">
        <v>11.11</v>
      </c>
      <c r="E20">
        <f t="shared" si="0"/>
        <v>1337.8190981999999</v>
      </c>
      <c r="F20">
        <v>3</v>
      </c>
      <c r="G20">
        <f t="shared" si="1"/>
        <v>4013.4572945999998</v>
      </c>
      <c r="H20">
        <v>93.01</v>
      </c>
      <c r="I20">
        <f t="shared" si="2"/>
        <v>29063.985685648375</v>
      </c>
      <c r="J20" s="1">
        <v>102.23090999999999</v>
      </c>
      <c r="K20" s="1">
        <v>31.905656</v>
      </c>
      <c r="L20">
        <f t="shared" si="3"/>
        <v>261193.84119539999</v>
      </c>
      <c r="M20">
        <f t="shared" si="4"/>
        <v>81517.036740640004</v>
      </c>
      <c r="N20">
        <f t="shared" si="5"/>
        <v>1135.7854100999998</v>
      </c>
      <c r="O20">
        <f t="shared" si="6"/>
        <v>354.47183816</v>
      </c>
    </row>
    <row r="21" spans="1:15" x14ac:dyDescent="0.3">
      <c r="A21">
        <v>2015</v>
      </c>
      <c r="B21" s="4" t="s">
        <v>51</v>
      </c>
      <c r="C21">
        <v>1583.24</v>
      </c>
      <c r="D21">
        <v>5.54</v>
      </c>
      <c r="E21">
        <f t="shared" si="0"/>
        <v>828.37365799999998</v>
      </c>
      <c r="F21">
        <v>4</v>
      </c>
      <c r="G21">
        <f t="shared" si="1"/>
        <v>3313.4946319999999</v>
      </c>
      <c r="H21">
        <v>116.49</v>
      </c>
      <c r="I21">
        <f t="shared" si="2"/>
        <v>63250.400388158916</v>
      </c>
      <c r="J21" s="1">
        <v>101.968649</v>
      </c>
      <c r="K21" s="1">
        <v>30.055425</v>
      </c>
      <c r="L21">
        <f t="shared" si="3"/>
        <v>161440.84384275999</v>
      </c>
      <c r="M21">
        <f t="shared" si="4"/>
        <v>47584.951076999998</v>
      </c>
      <c r="N21">
        <f t="shared" si="5"/>
        <v>564.90631545999997</v>
      </c>
      <c r="O21">
        <f t="shared" si="6"/>
        <v>166.50705450000001</v>
      </c>
    </row>
    <row r="22" spans="1:15" x14ac:dyDescent="0.3">
      <c r="A22">
        <v>2015</v>
      </c>
      <c r="B22" s="4" t="s">
        <v>52</v>
      </c>
      <c r="C22">
        <v>1.03</v>
      </c>
      <c r="D22">
        <v>0.02</v>
      </c>
      <c r="E22">
        <f t="shared" si="0"/>
        <v>0.54675540000000011</v>
      </c>
      <c r="F22">
        <v>21</v>
      </c>
      <c r="G22">
        <f t="shared" si="1"/>
        <v>11.481863400000002</v>
      </c>
      <c r="H22">
        <v>468</v>
      </c>
      <c r="I22">
        <f t="shared" si="2"/>
        <v>492540.24820714124</v>
      </c>
      <c r="J22" s="1">
        <v>102.27418900000001</v>
      </c>
      <c r="K22" s="1">
        <v>27.887442</v>
      </c>
      <c r="L22">
        <f t="shared" si="3"/>
        <v>105.34241467000001</v>
      </c>
      <c r="M22">
        <f t="shared" si="4"/>
        <v>28.72406526</v>
      </c>
      <c r="N22">
        <f t="shared" si="5"/>
        <v>2.0454837800000001</v>
      </c>
      <c r="O22">
        <f t="shared" si="6"/>
        <v>0.55774884000000002</v>
      </c>
    </row>
    <row r="23" spans="1:15" x14ac:dyDescent="0.3">
      <c r="B23" t="s">
        <v>13</v>
      </c>
      <c r="C23">
        <f>SUM(C2:C22)</f>
        <v>118087.05999999998</v>
      </c>
      <c r="D23">
        <f>SUM(D2:D22)</f>
        <v>273.20000000000005</v>
      </c>
      <c r="E23">
        <f>AVERAGE(E2:E22)</f>
        <v>2938.944787828571</v>
      </c>
      <c r="F23" t="s">
        <v>9</v>
      </c>
      <c r="G23">
        <f>SUM(G2:G22)</f>
        <v>78525.897172399957</v>
      </c>
      <c r="H23">
        <f>SUM(H2:H22)</f>
        <v>8203.9957488</v>
      </c>
      <c r="I23">
        <f>SUM(I2:I22)</f>
        <v>508403271.01085168</v>
      </c>
      <c r="L23">
        <f>SUM(L2:L22)</f>
        <v>12282115.03288978</v>
      </c>
      <c r="M23">
        <f>SUM(M2:M22)</f>
        <v>3608254.3855360891</v>
      </c>
      <c r="N23">
        <f>SUM(N2:N22)</f>
        <v>28401.186220330004</v>
      </c>
      <c r="O23">
        <f>SUM(O2:O22)</f>
        <v>8344.9058892399989</v>
      </c>
    </row>
    <row r="24" spans="1:15" x14ac:dyDescent="0.3">
      <c r="E24" t="s">
        <v>14</v>
      </c>
      <c r="H24" t="s">
        <v>11</v>
      </c>
      <c r="I24" t="s">
        <v>11</v>
      </c>
    </row>
    <row r="25" spans="1:15" x14ac:dyDescent="0.3">
      <c r="A25" t="s">
        <v>8</v>
      </c>
      <c r="B25">
        <f>E2-E22</f>
        <v>55951.050428399998</v>
      </c>
      <c r="C25" t="s">
        <v>10</v>
      </c>
      <c r="D25">
        <f>1+1/21-G23/(21*21*E23)</f>
        <v>0.98703156750313426</v>
      </c>
      <c r="E25" t="s">
        <v>12</v>
      </c>
      <c r="F25">
        <f>SQRT(I23)/E23</f>
        <v>7.6720732511604757</v>
      </c>
      <c r="K25" t="s">
        <v>15</v>
      </c>
      <c r="L25">
        <f>L23/C23</f>
        <v>104.00898314252028</v>
      </c>
      <c r="M25">
        <f>M23/C23</f>
        <v>30.555882969193149</v>
      </c>
      <c r="N25">
        <f>N23/D23</f>
        <v>103.95748982551244</v>
      </c>
      <c r="O25">
        <f>O23/D23</f>
        <v>30.545043518448015</v>
      </c>
    </row>
    <row r="28" spans="1:15" x14ac:dyDescent="0.3">
      <c r="A28" t="s">
        <v>0</v>
      </c>
    </row>
    <row r="29" spans="1:15" x14ac:dyDescent="0.3">
      <c r="A29" t="s">
        <v>1</v>
      </c>
      <c r="B29" t="s">
        <v>2</v>
      </c>
      <c r="C29" t="s">
        <v>3</v>
      </c>
      <c r="D29" t="s">
        <v>4</v>
      </c>
    </row>
    <row r="30" spans="1:15" x14ac:dyDescent="0.3">
      <c r="A30" t="s">
        <v>5</v>
      </c>
      <c r="B30">
        <v>0.23</v>
      </c>
      <c r="C30">
        <v>0.77</v>
      </c>
      <c r="D30">
        <v>47.845999999999997</v>
      </c>
    </row>
    <row r="31" spans="1:15" x14ac:dyDescent="0.3">
      <c r="A31" t="s">
        <v>6</v>
      </c>
      <c r="B31">
        <v>0.161</v>
      </c>
      <c r="C31">
        <v>0.83899999999999997</v>
      </c>
      <c r="D31">
        <v>52.154000000000003</v>
      </c>
    </row>
  </sheetData>
  <sortState xmlns:xlrd2="http://schemas.microsoft.com/office/spreadsheetml/2017/richdata2" ref="A2:F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AA4A-8607-4137-A91F-AD4BB65D6D19}">
  <dimension ref="A1:P32"/>
  <sheetViews>
    <sheetView workbookViewId="0">
      <selection sqref="A1:XFD1"/>
    </sheetView>
  </sheetViews>
  <sheetFormatPr defaultRowHeight="14" x14ac:dyDescent="0.3"/>
  <cols>
    <col min="9" max="9" width="11.58203125" bestFit="1" customWidth="1"/>
    <col min="12" max="12" width="11.5820312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2016</v>
      </c>
      <c r="B2" s="4" t="s">
        <v>32</v>
      </c>
      <c r="C2">
        <v>149544.54</v>
      </c>
      <c r="D2">
        <v>268.17</v>
      </c>
      <c r="E2">
        <f t="shared" ref="E2:E22" si="0">C2*0.5266+D2*0.4734</f>
        <v>78877.106441999989</v>
      </c>
      <c r="F2">
        <v>1</v>
      </c>
      <c r="G2">
        <f t="shared" ref="G2:G22" si="1">E2*F2</f>
        <v>78877.106441999989</v>
      </c>
      <c r="H2">
        <v>1591.76</v>
      </c>
      <c r="I2">
        <f t="shared" ref="I2:I22" si="2">(E2-3973.203)*(E2-3973.203)*H2/8262</f>
        <v>1080939276.2782063</v>
      </c>
      <c r="J2" s="1">
        <v>104.07274200000001</v>
      </c>
      <c r="K2" s="1">
        <v>30.578983999999998</v>
      </c>
      <c r="L2">
        <f>C2*J2</f>
        <v>15563510.328928681</v>
      </c>
      <c r="M2">
        <f>C2*K2</f>
        <v>4572920.0959473597</v>
      </c>
      <c r="N2">
        <f>D2*J2</f>
        <v>27909.187222140004</v>
      </c>
      <c r="O2">
        <f>D2*K2</f>
        <v>8200.3661392800004</v>
      </c>
      <c r="P2">
        <f>E2/3973.203</f>
        <v>19.852271943316261</v>
      </c>
    </row>
    <row r="3" spans="1:16" x14ac:dyDescent="0.3">
      <c r="A3">
        <v>2016</v>
      </c>
      <c r="B3" s="4" t="s">
        <v>33</v>
      </c>
      <c r="C3">
        <v>67.3</v>
      </c>
      <c r="D3">
        <v>0.23</v>
      </c>
      <c r="E3">
        <f t="shared" si="0"/>
        <v>35.549061999999999</v>
      </c>
      <c r="F3">
        <v>12</v>
      </c>
      <c r="G3">
        <f t="shared" si="1"/>
        <v>426.58874400000002</v>
      </c>
      <c r="H3">
        <v>278.08</v>
      </c>
      <c r="I3">
        <f t="shared" si="2"/>
        <v>521866.78314416308</v>
      </c>
      <c r="J3" s="1">
        <v>104.785532</v>
      </c>
      <c r="K3" s="1">
        <v>29.345369999999999</v>
      </c>
      <c r="L3">
        <f t="shared" ref="L3:L22" si="3">C3*J3</f>
        <v>7052.0663035999996</v>
      </c>
      <c r="M3">
        <f t="shared" ref="M3:M22" si="4">C3*K3</f>
        <v>1974.9434009999998</v>
      </c>
      <c r="N3">
        <f t="shared" ref="N3:N22" si="5">D3*J3</f>
        <v>24.100672360000001</v>
      </c>
      <c r="O3">
        <f t="shared" ref="O3:O22" si="6">D3*K3</f>
        <v>6.7494351000000004</v>
      </c>
      <c r="P3">
        <f t="shared" ref="P3:P22" si="7">E3/3973.203</f>
        <v>8.9472050635217987E-3</v>
      </c>
    </row>
    <row r="4" spans="1:16" x14ac:dyDescent="0.3">
      <c r="A4">
        <v>2016</v>
      </c>
      <c r="B4" s="4" t="s">
        <v>34</v>
      </c>
      <c r="C4">
        <v>60.11</v>
      </c>
      <c r="D4">
        <v>0.23</v>
      </c>
      <c r="E4">
        <f t="shared" si="0"/>
        <v>31.762808</v>
      </c>
      <c r="F4">
        <v>13</v>
      </c>
      <c r="G4">
        <f t="shared" si="1"/>
        <v>412.91650399999997</v>
      </c>
      <c r="H4">
        <v>123.56</v>
      </c>
      <c r="I4">
        <f t="shared" si="2"/>
        <v>232328.55473924981</v>
      </c>
      <c r="J4" s="1">
        <v>101.72505</v>
      </c>
      <c r="K4" s="1">
        <v>26.588200000000001</v>
      </c>
      <c r="L4">
        <f t="shared" si="3"/>
        <v>6114.6927554999993</v>
      </c>
      <c r="M4">
        <f t="shared" si="4"/>
        <v>1598.2167019999999</v>
      </c>
      <c r="N4">
        <f t="shared" si="5"/>
        <v>23.3967615</v>
      </c>
      <c r="O4">
        <f t="shared" si="6"/>
        <v>6.1152860000000002</v>
      </c>
      <c r="P4">
        <f t="shared" si="7"/>
        <v>7.9942575297562192E-3</v>
      </c>
    </row>
    <row r="5" spans="1:16" x14ac:dyDescent="0.3">
      <c r="A5">
        <v>2016</v>
      </c>
      <c r="B5" s="4" t="s">
        <v>35</v>
      </c>
      <c r="C5">
        <v>119.24</v>
      </c>
      <c r="D5">
        <v>0.43</v>
      </c>
      <c r="E5">
        <f t="shared" si="0"/>
        <v>62.995345999999991</v>
      </c>
      <c r="F5">
        <v>11</v>
      </c>
      <c r="G5">
        <f t="shared" si="1"/>
        <v>692.94880599999988</v>
      </c>
      <c r="H5">
        <v>430.64</v>
      </c>
      <c r="I5">
        <f t="shared" si="2"/>
        <v>796945.86046676524</v>
      </c>
      <c r="J5" s="1">
        <v>105.448463</v>
      </c>
      <c r="K5" s="1">
        <v>28.876978000000001</v>
      </c>
      <c r="L5">
        <f t="shared" si="3"/>
        <v>12573.674728120001</v>
      </c>
      <c r="M5">
        <f t="shared" si="4"/>
        <v>3443.2908567200002</v>
      </c>
      <c r="N5">
        <f t="shared" si="5"/>
        <v>45.342839089999998</v>
      </c>
      <c r="O5">
        <f t="shared" si="6"/>
        <v>12.41710054</v>
      </c>
      <c r="P5">
        <f t="shared" si="7"/>
        <v>1.5855053466938385E-2</v>
      </c>
    </row>
    <row r="6" spans="1:16" x14ac:dyDescent="0.3">
      <c r="A6">
        <v>2016</v>
      </c>
      <c r="B6" s="4" t="s">
        <v>36</v>
      </c>
      <c r="C6">
        <v>291.89</v>
      </c>
      <c r="D6">
        <v>0.52</v>
      </c>
      <c r="E6">
        <f t="shared" si="0"/>
        <v>153.95544200000001</v>
      </c>
      <c r="F6">
        <v>6</v>
      </c>
      <c r="G6">
        <f t="shared" si="1"/>
        <v>923.73265200000003</v>
      </c>
      <c r="H6">
        <v>351.96999999999997</v>
      </c>
      <c r="I6">
        <f t="shared" si="2"/>
        <v>621406.90783253883</v>
      </c>
      <c r="J6" s="1">
        <v>104.40422700000001</v>
      </c>
      <c r="K6" s="1">
        <v>31.133751</v>
      </c>
      <c r="L6">
        <f t="shared" si="3"/>
        <v>30474.549819029999</v>
      </c>
      <c r="M6">
        <f t="shared" si="4"/>
        <v>9087.6305793899992</v>
      </c>
      <c r="N6">
        <f t="shared" si="5"/>
        <v>54.290198040000007</v>
      </c>
      <c r="O6">
        <f t="shared" si="6"/>
        <v>16.189550520000001</v>
      </c>
      <c r="P6">
        <f t="shared" si="7"/>
        <v>3.8748446027046697E-2</v>
      </c>
    </row>
    <row r="7" spans="1:16" x14ac:dyDescent="0.3">
      <c r="A7">
        <v>2016</v>
      </c>
      <c r="B7" s="4" t="s">
        <v>37</v>
      </c>
      <c r="C7">
        <v>140.16</v>
      </c>
      <c r="D7">
        <v>0.51</v>
      </c>
      <c r="E7">
        <f t="shared" si="0"/>
        <v>74.049689999999984</v>
      </c>
      <c r="F7">
        <v>9</v>
      </c>
      <c r="G7">
        <f t="shared" si="1"/>
        <v>666.44720999999981</v>
      </c>
      <c r="H7">
        <v>481.09</v>
      </c>
      <c r="I7">
        <f t="shared" si="2"/>
        <v>885282.26082877303</v>
      </c>
      <c r="J7" s="1">
        <v>104.685653</v>
      </c>
      <c r="K7" s="1">
        <v>31.473462000000001</v>
      </c>
      <c r="L7">
        <f t="shared" si="3"/>
        <v>14672.741124480001</v>
      </c>
      <c r="M7">
        <f t="shared" si="4"/>
        <v>4411.3204339200001</v>
      </c>
      <c r="N7">
        <f t="shared" si="5"/>
        <v>53.38968303</v>
      </c>
      <c r="O7">
        <f t="shared" si="6"/>
        <v>16.051465620000002</v>
      </c>
      <c r="P7">
        <f t="shared" si="7"/>
        <v>1.863727828656124E-2</v>
      </c>
    </row>
    <row r="8" spans="1:16" x14ac:dyDescent="0.3">
      <c r="A8">
        <v>2016</v>
      </c>
      <c r="B8" s="4" t="s">
        <v>38</v>
      </c>
      <c r="C8">
        <v>37.479999999999997</v>
      </c>
      <c r="D8">
        <v>0.13</v>
      </c>
      <c r="E8">
        <f t="shared" si="0"/>
        <v>19.798509999999997</v>
      </c>
      <c r="F8">
        <v>14</v>
      </c>
      <c r="G8">
        <f t="shared" si="1"/>
        <v>277.17913999999996</v>
      </c>
      <c r="H8">
        <v>263.5</v>
      </c>
      <c r="I8">
        <f t="shared" si="2"/>
        <v>498468.74373263062</v>
      </c>
      <c r="J8" s="1">
        <v>105.850532</v>
      </c>
      <c r="K8" s="1">
        <v>32.442338999999997</v>
      </c>
      <c r="L8">
        <f t="shared" si="3"/>
        <v>3967.2779393599999</v>
      </c>
      <c r="M8">
        <f t="shared" si="4"/>
        <v>1215.9388657199997</v>
      </c>
      <c r="N8">
        <f t="shared" si="5"/>
        <v>13.760569160000001</v>
      </c>
      <c r="O8">
        <f t="shared" si="6"/>
        <v>4.2175040699999995</v>
      </c>
      <c r="P8">
        <f t="shared" si="7"/>
        <v>4.9830099292686525E-3</v>
      </c>
    </row>
    <row r="9" spans="1:16" x14ac:dyDescent="0.3">
      <c r="A9">
        <v>2016</v>
      </c>
      <c r="B9" s="4" t="s">
        <v>39</v>
      </c>
      <c r="C9">
        <v>23.39</v>
      </c>
      <c r="D9">
        <v>0.05</v>
      </c>
      <c r="E9">
        <f t="shared" si="0"/>
        <v>12.340843999999999</v>
      </c>
      <c r="F9">
        <v>16</v>
      </c>
      <c r="G9">
        <f t="shared" si="1"/>
        <v>197.45350399999998</v>
      </c>
      <c r="H9">
        <v>329.8</v>
      </c>
      <c r="I9">
        <f t="shared" si="2"/>
        <v>626245.93202748883</v>
      </c>
      <c r="J9" s="1">
        <v>105.599143</v>
      </c>
      <c r="K9" s="1">
        <v>30.539141000000001</v>
      </c>
      <c r="L9">
        <f t="shared" si="3"/>
        <v>2469.9639547699999</v>
      </c>
      <c r="M9">
        <f t="shared" si="4"/>
        <v>714.31050799000002</v>
      </c>
      <c r="N9">
        <f t="shared" si="5"/>
        <v>5.2799571500000004</v>
      </c>
      <c r="O9">
        <f t="shared" si="6"/>
        <v>1.52695705</v>
      </c>
      <c r="P9">
        <f t="shared" si="7"/>
        <v>3.1060189977708159E-3</v>
      </c>
    </row>
    <row r="10" spans="1:16" x14ac:dyDescent="0.3">
      <c r="A10">
        <v>2016</v>
      </c>
      <c r="B10" s="4" t="s">
        <v>40</v>
      </c>
      <c r="C10">
        <v>11.99</v>
      </c>
      <c r="D10">
        <v>0.02</v>
      </c>
      <c r="E10">
        <f t="shared" si="0"/>
        <v>6.3234019999999997</v>
      </c>
      <c r="F10">
        <v>19</v>
      </c>
      <c r="G10">
        <f t="shared" si="1"/>
        <v>120.144638</v>
      </c>
      <c r="H10">
        <v>374.66</v>
      </c>
      <c r="I10">
        <f t="shared" si="2"/>
        <v>713592.33465413109</v>
      </c>
      <c r="J10" s="1">
        <v>105.064564</v>
      </c>
      <c r="K10" s="1">
        <v>29.585822</v>
      </c>
      <c r="L10">
        <f t="shared" si="3"/>
        <v>1259.7241223600001</v>
      </c>
      <c r="M10">
        <f t="shared" si="4"/>
        <v>354.73400578000002</v>
      </c>
      <c r="N10">
        <f t="shared" si="5"/>
        <v>2.1012912800000003</v>
      </c>
      <c r="O10">
        <f t="shared" si="6"/>
        <v>0.59171644000000001</v>
      </c>
      <c r="P10">
        <f t="shared" si="7"/>
        <v>1.5915124397117388E-3</v>
      </c>
    </row>
    <row r="11" spans="1:16" x14ac:dyDescent="0.3">
      <c r="A11">
        <v>2016</v>
      </c>
      <c r="B11" s="4" t="s">
        <v>41</v>
      </c>
      <c r="C11">
        <v>4119.96</v>
      </c>
      <c r="D11">
        <v>20.75</v>
      </c>
      <c r="E11">
        <f t="shared" si="0"/>
        <v>2179.3939859999996</v>
      </c>
      <c r="F11">
        <v>2</v>
      </c>
      <c r="G11">
        <f t="shared" si="1"/>
        <v>4358.7879719999992</v>
      </c>
      <c r="H11">
        <v>326.5</v>
      </c>
      <c r="I11">
        <f t="shared" si="2"/>
        <v>127159.96480852686</v>
      </c>
      <c r="J11" s="1">
        <v>103.772521</v>
      </c>
      <c r="K11" s="1">
        <v>29.558285000000001</v>
      </c>
      <c r="L11">
        <f t="shared" si="3"/>
        <v>427538.63561916002</v>
      </c>
      <c r="M11">
        <f t="shared" si="4"/>
        <v>121778.95186860001</v>
      </c>
      <c r="N11">
        <f t="shared" si="5"/>
        <v>2153.2798107499998</v>
      </c>
      <c r="O11">
        <f t="shared" si="6"/>
        <v>613.33441375000007</v>
      </c>
      <c r="P11">
        <f t="shared" si="7"/>
        <v>0.54852319048384879</v>
      </c>
    </row>
    <row r="12" spans="1:16" x14ac:dyDescent="0.3">
      <c r="A12">
        <v>2016</v>
      </c>
      <c r="B12" s="4" t="s">
        <v>42</v>
      </c>
      <c r="C12">
        <v>119.94</v>
      </c>
      <c r="D12">
        <v>0.36</v>
      </c>
      <c r="E12">
        <f t="shared" si="0"/>
        <v>63.33082799999999</v>
      </c>
      <c r="F12">
        <v>10</v>
      </c>
      <c r="G12">
        <f t="shared" si="1"/>
        <v>633.30827999999985</v>
      </c>
      <c r="H12">
        <v>640.22</v>
      </c>
      <c r="I12">
        <f t="shared" si="2"/>
        <v>1184593.0064114623</v>
      </c>
      <c r="J12" s="1">
        <v>106.11712300000001</v>
      </c>
      <c r="K12" s="1">
        <v>30.843219999999999</v>
      </c>
      <c r="L12">
        <f t="shared" si="3"/>
        <v>12727.687732620001</v>
      </c>
      <c r="M12">
        <f t="shared" si="4"/>
        <v>3699.3358067999998</v>
      </c>
      <c r="N12">
        <f t="shared" si="5"/>
        <v>38.202164279999998</v>
      </c>
      <c r="O12">
        <f t="shared" si="6"/>
        <v>11.103559199999999</v>
      </c>
      <c r="P12">
        <f t="shared" si="7"/>
        <v>1.5939489625876147E-2</v>
      </c>
    </row>
    <row r="13" spans="1:16" x14ac:dyDescent="0.3">
      <c r="A13">
        <v>2016</v>
      </c>
      <c r="B13" s="4" t="s">
        <v>43</v>
      </c>
      <c r="C13">
        <v>21.51</v>
      </c>
      <c r="D13">
        <v>0.06</v>
      </c>
      <c r="E13">
        <f t="shared" si="0"/>
        <v>11.35557</v>
      </c>
      <c r="F13">
        <v>17</v>
      </c>
      <c r="G13">
        <f t="shared" si="1"/>
        <v>193.04469</v>
      </c>
      <c r="H13">
        <v>300.09000000000003</v>
      </c>
      <c r="I13">
        <f t="shared" si="2"/>
        <v>570114.15864615771</v>
      </c>
      <c r="J13" s="1">
        <v>103.854991</v>
      </c>
      <c r="K13" s="1">
        <v>30.082841999999999</v>
      </c>
      <c r="L13">
        <f t="shared" si="3"/>
        <v>2233.9208564099999</v>
      </c>
      <c r="M13">
        <f t="shared" si="4"/>
        <v>647.08193142000005</v>
      </c>
      <c r="N13">
        <f t="shared" si="5"/>
        <v>6.2312994599999998</v>
      </c>
      <c r="O13">
        <f t="shared" si="6"/>
        <v>1.8049705199999999</v>
      </c>
      <c r="P13">
        <f t="shared" si="7"/>
        <v>2.8580392192394904E-3</v>
      </c>
    </row>
    <row r="14" spans="1:16" x14ac:dyDescent="0.3">
      <c r="A14">
        <v>2016</v>
      </c>
      <c r="B14" s="4" t="s">
        <v>44</v>
      </c>
      <c r="C14">
        <v>30.1</v>
      </c>
      <c r="D14">
        <v>0.1</v>
      </c>
      <c r="E14">
        <f t="shared" si="0"/>
        <v>15.898</v>
      </c>
      <c r="F14">
        <v>15</v>
      </c>
      <c r="G14">
        <f t="shared" si="1"/>
        <v>238.47</v>
      </c>
      <c r="H14">
        <v>451</v>
      </c>
      <c r="I14">
        <f t="shared" si="2"/>
        <v>854850.95028132107</v>
      </c>
      <c r="J14" s="1">
        <v>104.649316</v>
      </c>
      <c r="K14" s="1">
        <v>28.758631000000001</v>
      </c>
      <c r="L14">
        <f t="shared" si="3"/>
        <v>3149.9444116</v>
      </c>
      <c r="M14">
        <f t="shared" si="4"/>
        <v>865.63479310000002</v>
      </c>
      <c r="N14">
        <f t="shared" si="5"/>
        <v>10.4649316</v>
      </c>
      <c r="O14">
        <f t="shared" si="6"/>
        <v>2.8758631000000001</v>
      </c>
      <c r="P14">
        <f t="shared" si="7"/>
        <v>4.0013057475291342E-3</v>
      </c>
    </row>
    <row r="15" spans="1:16" x14ac:dyDescent="0.3">
      <c r="A15">
        <v>2016</v>
      </c>
      <c r="B15" s="4" t="s">
        <v>45</v>
      </c>
      <c r="C15">
        <v>193.32</v>
      </c>
      <c r="D15">
        <v>0.69</v>
      </c>
      <c r="E15">
        <f t="shared" si="0"/>
        <v>102.12895799999998</v>
      </c>
      <c r="F15">
        <v>7</v>
      </c>
      <c r="G15">
        <f t="shared" si="1"/>
        <v>714.90270599999985</v>
      </c>
      <c r="H15">
        <v>326.46999999999997</v>
      </c>
      <c r="I15">
        <f t="shared" si="2"/>
        <v>592135.42634844233</v>
      </c>
      <c r="J15" s="1">
        <v>106.639184</v>
      </c>
      <c r="K15" s="1">
        <v>30.462142</v>
      </c>
      <c r="L15">
        <f t="shared" si="3"/>
        <v>20615.487050879998</v>
      </c>
      <c r="M15">
        <f t="shared" si="4"/>
        <v>5888.94129144</v>
      </c>
      <c r="N15">
        <f t="shared" si="5"/>
        <v>73.581036959999992</v>
      </c>
      <c r="O15">
        <f t="shared" si="6"/>
        <v>21.018877979999999</v>
      </c>
      <c r="P15">
        <f t="shared" si="7"/>
        <v>2.5704439969465438E-2</v>
      </c>
    </row>
    <row r="16" spans="1:16" x14ac:dyDescent="0.3">
      <c r="A16">
        <v>2016</v>
      </c>
      <c r="B16" s="4" t="s">
        <v>46</v>
      </c>
      <c r="C16">
        <v>1.17</v>
      </c>
      <c r="D16">
        <v>0.01</v>
      </c>
      <c r="E16">
        <f t="shared" si="0"/>
        <v>0.62085599999999996</v>
      </c>
      <c r="F16">
        <v>21</v>
      </c>
      <c r="G16">
        <f t="shared" si="1"/>
        <v>13.037975999999999</v>
      </c>
      <c r="H16">
        <v>559.77</v>
      </c>
      <c r="I16">
        <f t="shared" si="2"/>
        <v>1069227.6996875559</v>
      </c>
      <c r="J16" s="1">
        <v>107.474424</v>
      </c>
      <c r="K16" s="1">
        <v>31.214942000000001</v>
      </c>
      <c r="L16">
        <f t="shared" si="3"/>
        <v>125.74507607999999</v>
      </c>
      <c r="M16">
        <f t="shared" si="4"/>
        <v>36.521482139999996</v>
      </c>
      <c r="N16">
        <f t="shared" si="5"/>
        <v>1.07474424</v>
      </c>
      <c r="O16">
        <f t="shared" si="6"/>
        <v>0.31214942000000001</v>
      </c>
      <c r="P16">
        <f t="shared" si="7"/>
        <v>1.5626083036784176E-4</v>
      </c>
    </row>
    <row r="17" spans="1:16" x14ac:dyDescent="0.3">
      <c r="A17">
        <v>2016</v>
      </c>
      <c r="B17" s="4" t="s">
        <v>47</v>
      </c>
      <c r="C17">
        <v>145.75</v>
      </c>
      <c r="D17">
        <v>0.61</v>
      </c>
      <c r="E17">
        <f t="shared" si="0"/>
        <v>77.040723999999997</v>
      </c>
      <c r="F17">
        <v>8</v>
      </c>
      <c r="G17">
        <f t="shared" si="1"/>
        <v>616.32579199999998</v>
      </c>
      <c r="H17">
        <v>153.97</v>
      </c>
      <c r="I17">
        <f t="shared" si="2"/>
        <v>282894.81864537636</v>
      </c>
      <c r="J17" s="1">
        <v>103.048153</v>
      </c>
      <c r="K17" s="1">
        <v>30.015991</v>
      </c>
      <c r="L17">
        <f t="shared" si="3"/>
        <v>15019.26829975</v>
      </c>
      <c r="M17">
        <f t="shared" si="4"/>
        <v>4374.8306882500001</v>
      </c>
      <c r="N17">
        <f t="shared" si="5"/>
        <v>62.859373329999997</v>
      </c>
      <c r="O17">
        <f t="shared" si="6"/>
        <v>18.309754509999998</v>
      </c>
      <c r="P17">
        <f t="shared" si="7"/>
        <v>1.9390079993395756E-2</v>
      </c>
    </row>
    <row r="18" spans="1:16" x14ac:dyDescent="0.3">
      <c r="A18">
        <v>2016</v>
      </c>
      <c r="B18" s="4" t="s">
        <v>48</v>
      </c>
      <c r="C18">
        <v>18.78</v>
      </c>
      <c r="D18">
        <v>0.06</v>
      </c>
      <c r="E18">
        <f t="shared" si="0"/>
        <v>9.9179519999999997</v>
      </c>
      <c r="F18">
        <v>18</v>
      </c>
      <c r="G18">
        <f t="shared" si="1"/>
        <v>178.52313599999999</v>
      </c>
      <c r="H18">
        <v>331.14</v>
      </c>
      <c r="I18">
        <f t="shared" si="2"/>
        <v>629559.91999574658</v>
      </c>
      <c r="J18" s="1">
        <v>106.754109</v>
      </c>
      <c r="K18" s="1">
        <v>31.873559</v>
      </c>
      <c r="L18">
        <f t="shared" si="3"/>
        <v>2004.84216702</v>
      </c>
      <c r="M18">
        <f t="shared" si="4"/>
        <v>598.58543802000008</v>
      </c>
      <c r="N18">
        <f t="shared" si="5"/>
        <v>6.4052465399999994</v>
      </c>
      <c r="O18">
        <f t="shared" si="6"/>
        <v>1.91241354</v>
      </c>
      <c r="P18">
        <f t="shared" si="7"/>
        <v>2.4962107397985957E-3</v>
      </c>
    </row>
    <row r="19" spans="1:16" x14ac:dyDescent="0.3">
      <c r="A19">
        <v>2016</v>
      </c>
      <c r="B19" s="4" t="s">
        <v>49</v>
      </c>
      <c r="C19">
        <v>663.43</v>
      </c>
      <c r="D19">
        <v>2.21</v>
      </c>
      <c r="E19">
        <f t="shared" si="0"/>
        <v>350.40845199999995</v>
      </c>
      <c r="F19">
        <v>5</v>
      </c>
      <c r="G19">
        <f t="shared" si="1"/>
        <v>1752.0422599999997</v>
      </c>
      <c r="H19">
        <v>254.05</v>
      </c>
      <c r="I19">
        <f t="shared" si="2"/>
        <v>403572.36475666374</v>
      </c>
      <c r="J19" s="1">
        <v>104.633825</v>
      </c>
      <c r="K19" s="1">
        <v>30.135162999999999</v>
      </c>
      <c r="L19">
        <f t="shared" si="3"/>
        <v>69417.218519749993</v>
      </c>
      <c r="M19">
        <f t="shared" si="4"/>
        <v>19992.571189089998</v>
      </c>
      <c r="N19">
        <f t="shared" si="5"/>
        <v>231.24075325000001</v>
      </c>
      <c r="O19">
        <f t="shared" si="6"/>
        <v>66.598710229999995</v>
      </c>
      <c r="P19">
        <f t="shared" si="7"/>
        <v>8.8192939550282221E-2</v>
      </c>
    </row>
    <row r="20" spans="1:16" x14ac:dyDescent="0.3">
      <c r="A20">
        <v>2016</v>
      </c>
      <c r="B20" s="4" t="s">
        <v>50</v>
      </c>
      <c r="C20">
        <v>1855.63</v>
      </c>
      <c r="D20">
        <v>11</v>
      </c>
      <c r="E20">
        <f t="shared" si="0"/>
        <v>982.382158</v>
      </c>
      <c r="F20">
        <v>3</v>
      </c>
      <c r="G20">
        <f t="shared" si="1"/>
        <v>2947.1464740000001</v>
      </c>
      <c r="H20">
        <v>93.46</v>
      </c>
      <c r="I20">
        <f t="shared" si="2"/>
        <v>101186.22246595025</v>
      </c>
      <c r="J20" s="1">
        <v>102.23090999999999</v>
      </c>
      <c r="K20" s="1">
        <v>31.905656</v>
      </c>
      <c r="L20">
        <f t="shared" si="3"/>
        <v>189702.74352330001</v>
      </c>
      <c r="M20">
        <f t="shared" si="4"/>
        <v>59205.092443280002</v>
      </c>
      <c r="N20">
        <f t="shared" si="5"/>
        <v>1124.5400099999999</v>
      </c>
      <c r="O20">
        <f t="shared" si="6"/>
        <v>350.96221600000001</v>
      </c>
      <c r="P20">
        <f t="shared" si="7"/>
        <v>0.24725194207293208</v>
      </c>
    </row>
    <row r="21" spans="1:16" x14ac:dyDescent="0.3">
      <c r="A21">
        <v>2016</v>
      </c>
      <c r="B21" s="4" t="s">
        <v>51</v>
      </c>
      <c r="C21">
        <v>697.66</v>
      </c>
      <c r="D21">
        <v>2.65</v>
      </c>
      <c r="E21">
        <f t="shared" si="0"/>
        <v>368.64226599999995</v>
      </c>
      <c r="F21">
        <v>4</v>
      </c>
      <c r="G21">
        <f t="shared" si="1"/>
        <v>1474.5690639999998</v>
      </c>
      <c r="H21">
        <v>118.05</v>
      </c>
      <c r="I21">
        <f t="shared" si="2"/>
        <v>185645.95702558942</v>
      </c>
      <c r="J21" s="1">
        <v>101.968649</v>
      </c>
      <c r="K21" s="1">
        <v>30.055425</v>
      </c>
      <c r="L21">
        <f t="shared" si="3"/>
        <v>71139.447661339989</v>
      </c>
      <c r="M21">
        <f t="shared" si="4"/>
        <v>20968.4678055</v>
      </c>
      <c r="N21">
        <f t="shared" si="5"/>
        <v>270.21691985000001</v>
      </c>
      <c r="O21">
        <f t="shared" si="6"/>
        <v>79.646876249999991</v>
      </c>
      <c r="P21">
        <f t="shared" si="7"/>
        <v>9.2782137232857206E-2</v>
      </c>
    </row>
    <row r="22" spans="1:16" x14ac:dyDescent="0.3">
      <c r="A22">
        <v>2016</v>
      </c>
      <c r="B22" s="4" t="s">
        <v>52</v>
      </c>
      <c r="C22">
        <v>4.28</v>
      </c>
      <c r="D22">
        <v>0.01</v>
      </c>
      <c r="E22">
        <f t="shared" si="0"/>
        <v>2.2585820000000001</v>
      </c>
      <c r="F22">
        <v>20</v>
      </c>
      <c r="G22">
        <f t="shared" si="1"/>
        <v>45.171640000000004</v>
      </c>
      <c r="H22">
        <v>482.22</v>
      </c>
      <c r="I22">
        <f t="shared" si="2"/>
        <v>920338.6154748305</v>
      </c>
      <c r="J22" s="1">
        <v>102.27418900000001</v>
      </c>
      <c r="K22" s="1">
        <v>27.887442</v>
      </c>
      <c r="L22">
        <f t="shared" si="3"/>
        <v>437.73352892000008</v>
      </c>
      <c r="M22">
        <f t="shared" si="4"/>
        <v>119.35825176</v>
      </c>
      <c r="N22">
        <f t="shared" si="5"/>
        <v>1.02274189</v>
      </c>
      <c r="O22">
        <f t="shared" si="6"/>
        <v>0.27887442000000001</v>
      </c>
      <c r="P22">
        <f t="shared" si="7"/>
        <v>5.6845371354043584E-4</v>
      </c>
    </row>
    <row r="23" spans="1:16" x14ac:dyDescent="0.3">
      <c r="B23" t="s">
        <v>13</v>
      </c>
      <c r="C23">
        <f>SUM(C2:C22)</f>
        <v>158167.63000000003</v>
      </c>
      <c r="D23">
        <f>SUM(D2:D22)</f>
        <v>308.8</v>
      </c>
      <c r="E23">
        <f>AVERAGE(E2:E22)</f>
        <v>3973.2028513333325</v>
      </c>
      <c r="F23" t="s">
        <v>9</v>
      </c>
      <c r="G23">
        <f>SUM(G2:G22)</f>
        <v>95759.847629999975</v>
      </c>
      <c r="H23">
        <f>SUM(H2:H22)</f>
        <v>8262.0000000000018</v>
      </c>
      <c r="I23">
        <f>SUM(I2:I22)</f>
        <v>1092756692.76018</v>
      </c>
      <c r="L23">
        <f>SUM(L2:L22)</f>
        <v>16456207.694122728</v>
      </c>
      <c r="M23">
        <f>SUM(M2:M22)</f>
        <v>4833895.8542892803</v>
      </c>
      <c r="N23">
        <f>SUM(N2:N22)</f>
        <v>32109.9682259</v>
      </c>
      <c r="O23">
        <f>SUM(O2:O22)</f>
        <v>9432.3838335400033</v>
      </c>
    </row>
    <row r="24" spans="1:16" x14ac:dyDescent="0.3">
      <c r="E24" t="s">
        <v>14</v>
      </c>
      <c r="H24" t="s">
        <v>11</v>
      </c>
      <c r="I24" t="s">
        <v>11</v>
      </c>
    </row>
    <row r="25" spans="1:16" x14ac:dyDescent="0.3">
      <c r="A25" t="s">
        <v>8</v>
      </c>
      <c r="B25">
        <f>E2-E22</f>
        <v>78874.847859999994</v>
      </c>
      <c r="C25" t="s">
        <v>10</v>
      </c>
      <c r="D25">
        <f>1+1/21-G23/(21*21*E23)</f>
        <v>0.99296729190519484</v>
      </c>
      <c r="E25" t="s">
        <v>12</v>
      </c>
      <c r="F25">
        <f>SQRT(I23)/E23</f>
        <v>8.3199554163698561</v>
      </c>
    </row>
    <row r="26" spans="1:16" x14ac:dyDescent="0.3">
      <c r="K26" t="s">
        <v>15</v>
      </c>
      <c r="L26">
        <f>L23/C23</f>
        <v>104.04282908027847</v>
      </c>
      <c r="M26">
        <f>M23/C23</f>
        <v>30.561852980216489</v>
      </c>
      <c r="N26">
        <f>N23/D23</f>
        <v>103.9830577263601</v>
      </c>
      <c r="O26">
        <f>O23/D23</f>
        <v>30.545284435038869</v>
      </c>
    </row>
    <row r="29" spans="1:16" x14ac:dyDescent="0.3">
      <c r="A29" t="s">
        <v>0</v>
      </c>
    </row>
    <row r="30" spans="1:16" x14ac:dyDescent="0.3">
      <c r="A30" t="s">
        <v>1</v>
      </c>
      <c r="B30" t="s">
        <v>2</v>
      </c>
      <c r="C30" t="s">
        <v>3</v>
      </c>
      <c r="D30" t="s">
        <v>4</v>
      </c>
    </row>
    <row r="31" spans="1:16" x14ac:dyDescent="0.3">
      <c r="A31" t="s">
        <v>6</v>
      </c>
      <c r="B31">
        <v>0.104</v>
      </c>
      <c r="C31">
        <v>0.89600000000000002</v>
      </c>
      <c r="D31">
        <v>52.66</v>
      </c>
    </row>
    <row r="32" spans="1:16" x14ac:dyDescent="0.3">
      <c r="A32" t="s">
        <v>5</v>
      </c>
      <c r="B32">
        <v>0.19500000000000001</v>
      </c>
      <c r="C32">
        <v>0.80500000000000005</v>
      </c>
      <c r="D32">
        <v>47.34</v>
      </c>
    </row>
  </sheetData>
  <sortState xmlns:xlrd2="http://schemas.microsoft.com/office/spreadsheetml/2017/richdata2" ref="A2:I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8725-B99E-412A-AE3B-545D41D395E6}">
  <dimension ref="A1:P31"/>
  <sheetViews>
    <sheetView workbookViewId="0">
      <selection sqref="A1:XFD1"/>
    </sheetView>
  </sheetViews>
  <sheetFormatPr defaultRowHeight="14" x14ac:dyDescent="0.3"/>
  <cols>
    <col min="9" max="9" width="12.75" bestFit="1" customWidth="1"/>
    <col min="12" max="12" width="11.5820312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2017</v>
      </c>
      <c r="B2" s="4" t="s">
        <v>32</v>
      </c>
      <c r="C2">
        <v>136498.79999999999</v>
      </c>
      <c r="D2">
        <v>301.33999999999997</v>
      </c>
      <c r="E2">
        <f t="shared" ref="E2:E22" si="0">D2*0.48346+C2*0.51654</f>
        <v>70652.775988399997</v>
      </c>
      <c r="F2">
        <v>1</v>
      </c>
      <c r="G2">
        <f t="shared" ref="G2:G22" si="1">E2*F2</f>
        <v>70652.775988399997</v>
      </c>
      <c r="H2">
        <v>1604.47</v>
      </c>
      <c r="I2">
        <f t="shared" ref="I2:I22" si="2">(E2-3565.805)*(E2-3565.805)*H2/8302</f>
        <v>869811688.7413851</v>
      </c>
      <c r="J2" s="1">
        <v>104.07274200000001</v>
      </c>
      <c r="K2" s="1">
        <v>30.578983999999998</v>
      </c>
      <c r="L2">
        <f>C2*J2</f>
        <v>14205804.3957096</v>
      </c>
      <c r="M2">
        <f>C2*K2</f>
        <v>4173994.6212191996</v>
      </c>
      <c r="N2">
        <f>D2*J2</f>
        <v>31361.280074279999</v>
      </c>
      <c r="O2">
        <f>D2*K2</f>
        <v>9214.6710385599981</v>
      </c>
    </row>
    <row r="3" spans="1:16" x14ac:dyDescent="0.3">
      <c r="A3">
        <v>2017</v>
      </c>
      <c r="B3" s="4" t="s">
        <v>33</v>
      </c>
      <c r="C3">
        <v>48.34</v>
      </c>
      <c r="D3">
        <v>0.15</v>
      </c>
      <c r="E3">
        <f t="shared" si="0"/>
        <v>25.042062600000001</v>
      </c>
      <c r="F3">
        <v>12</v>
      </c>
      <c r="G3">
        <f t="shared" si="1"/>
        <v>300.50475119999999</v>
      </c>
      <c r="H3">
        <v>290.14</v>
      </c>
      <c r="I3">
        <f t="shared" si="2"/>
        <v>438145.72538858454</v>
      </c>
      <c r="J3" s="1">
        <v>104.785532</v>
      </c>
      <c r="K3" s="1">
        <v>29.345369999999999</v>
      </c>
      <c r="L3">
        <f t="shared" ref="L3:L22" si="3">C3*J3</f>
        <v>5065.3326168800004</v>
      </c>
      <c r="M3">
        <f t="shared" ref="M3:M22" si="4">C3*K3</f>
        <v>1418.5551858000001</v>
      </c>
      <c r="N3">
        <f t="shared" ref="N3:N22" si="5">D3*J3</f>
        <v>15.717829800000001</v>
      </c>
      <c r="O3">
        <f t="shared" ref="O3:O22" si="6">D3*K3</f>
        <v>4.4018055</v>
      </c>
    </row>
    <row r="4" spans="1:16" x14ac:dyDescent="0.3">
      <c r="A4">
        <v>2017</v>
      </c>
      <c r="B4" s="4" t="s">
        <v>34</v>
      </c>
      <c r="C4">
        <v>59.81</v>
      </c>
      <c r="D4">
        <v>0.24</v>
      </c>
      <c r="E4">
        <f t="shared" si="0"/>
        <v>31.0102878</v>
      </c>
      <c r="F4">
        <v>11</v>
      </c>
      <c r="G4">
        <f t="shared" si="1"/>
        <v>341.11316579999999</v>
      </c>
      <c r="H4">
        <v>123.61</v>
      </c>
      <c r="I4">
        <f t="shared" si="2"/>
        <v>186036.97564332129</v>
      </c>
      <c r="J4" s="1">
        <v>101.72505</v>
      </c>
      <c r="K4" s="1">
        <v>26.588200000000001</v>
      </c>
      <c r="L4">
        <f t="shared" si="3"/>
        <v>6084.1752404999997</v>
      </c>
      <c r="M4">
        <f t="shared" si="4"/>
        <v>1590.2402420000001</v>
      </c>
      <c r="N4">
        <f t="shared" si="5"/>
        <v>24.414012</v>
      </c>
      <c r="O4">
        <f t="shared" si="6"/>
        <v>6.3811679999999997</v>
      </c>
    </row>
    <row r="5" spans="1:16" x14ac:dyDescent="0.3">
      <c r="A5">
        <v>2017</v>
      </c>
      <c r="B5" s="4" t="s">
        <v>35</v>
      </c>
      <c r="C5">
        <v>82.45</v>
      </c>
      <c r="D5">
        <v>0.32</v>
      </c>
      <c r="E5">
        <f t="shared" si="0"/>
        <v>42.743430199999999</v>
      </c>
      <c r="F5">
        <v>10</v>
      </c>
      <c r="G5">
        <f t="shared" si="1"/>
        <v>427.434302</v>
      </c>
      <c r="H5">
        <v>431.72</v>
      </c>
      <c r="I5">
        <f t="shared" si="2"/>
        <v>645445.98779053474</v>
      </c>
      <c r="J5" s="1">
        <v>105.448463</v>
      </c>
      <c r="K5" s="1">
        <v>28.876978000000001</v>
      </c>
      <c r="L5">
        <f t="shared" si="3"/>
        <v>8694.2257743500013</v>
      </c>
      <c r="M5">
        <f t="shared" si="4"/>
        <v>2380.9068361</v>
      </c>
      <c r="N5">
        <f t="shared" si="5"/>
        <v>33.743508160000005</v>
      </c>
      <c r="O5">
        <f t="shared" si="6"/>
        <v>9.240632960000001</v>
      </c>
    </row>
    <row r="6" spans="1:16" x14ac:dyDescent="0.3">
      <c r="A6">
        <v>2017</v>
      </c>
      <c r="B6" s="4" t="s">
        <v>36</v>
      </c>
      <c r="C6">
        <v>231.12</v>
      </c>
      <c r="D6">
        <v>0.44</v>
      </c>
      <c r="E6">
        <f t="shared" si="0"/>
        <v>119.59544720000001</v>
      </c>
      <c r="F6">
        <v>6</v>
      </c>
      <c r="G6">
        <f t="shared" si="1"/>
        <v>717.57268320000003</v>
      </c>
      <c r="H6">
        <v>353.16</v>
      </c>
      <c r="I6">
        <f t="shared" si="2"/>
        <v>505210.23815032659</v>
      </c>
      <c r="J6" s="1">
        <v>104.40422700000001</v>
      </c>
      <c r="K6" s="1">
        <v>31.133751</v>
      </c>
      <c r="L6">
        <f t="shared" si="3"/>
        <v>24129.904944240003</v>
      </c>
      <c r="M6">
        <f t="shared" si="4"/>
        <v>7195.6325311199998</v>
      </c>
      <c r="N6">
        <f t="shared" si="5"/>
        <v>45.937859880000005</v>
      </c>
      <c r="O6">
        <f t="shared" si="6"/>
        <v>13.698850439999999</v>
      </c>
    </row>
    <row r="7" spans="1:16" x14ac:dyDescent="0.3">
      <c r="A7">
        <v>2017</v>
      </c>
      <c r="B7" s="4" t="s">
        <v>37</v>
      </c>
      <c r="C7">
        <v>120.4</v>
      </c>
      <c r="D7">
        <v>0.44</v>
      </c>
      <c r="E7">
        <f t="shared" si="0"/>
        <v>62.404138400000001</v>
      </c>
      <c r="F7">
        <v>9</v>
      </c>
      <c r="G7">
        <f t="shared" si="1"/>
        <v>561.63724560000003</v>
      </c>
      <c r="H7">
        <v>483.56</v>
      </c>
      <c r="I7">
        <f t="shared" si="2"/>
        <v>714903.30489450134</v>
      </c>
      <c r="J7" s="1">
        <v>104.685653</v>
      </c>
      <c r="K7" s="1">
        <v>31.473462000000001</v>
      </c>
      <c r="L7">
        <f t="shared" si="3"/>
        <v>12604.152621200001</v>
      </c>
      <c r="M7">
        <f t="shared" si="4"/>
        <v>3789.4048248000004</v>
      </c>
      <c r="N7">
        <f t="shared" si="5"/>
        <v>46.061687320000004</v>
      </c>
      <c r="O7">
        <f t="shared" si="6"/>
        <v>13.848323280000001</v>
      </c>
    </row>
    <row r="8" spans="1:16" x14ac:dyDescent="0.3">
      <c r="A8">
        <v>2017</v>
      </c>
      <c r="B8" s="4" t="s">
        <v>38</v>
      </c>
      <c r="C8">
        <v>27.01</v>
      </c>
      <c r="D8">
        <v>0.08</v>
      </c>
      <c r="E8">
        <f t="shared" si="0"/>
        <v>13.990422199999999</v>
      </c>
      <c r="F8">
        <v>14</v>
      </c>
      <c r="G8">
        <f t="shared" si="1"/>
        <v>195.86591079999999</v>
      </c>
      <c r="H8">
        <v>266</v>
      </c>
      <c r="I8">
        <f t="shared" si="2"/>
        <v>404202.94958917238</v>
      </c>
      <c r="J8" s="1">
        <v>105.850532</v>
      </c>
      <c r="K8" s="1">
        <v>32.442338999999997</v>
      </c>
      <c r="L8">
        <f t="shared" si="3"/>
        <v>2859.0228693200002</v>
      </c>
      <c r="M8">
        <f t="shared" si="4"/>
        <v>876.26757638999993</v>
      </c>
      <c r="N8">
        <f t="shared" si="5"/>
        <v>8.4680425600000007</v>
      </c>
      <c r="O8">
        <f t="shared" si="6"/>
        <v>2.5953871199999998</v>
      </c>
    </row>
    <row r="9" spans="1:16" x14ac:dyDescent="0.3">
      <c r="A9">
        <v>2017</v>
      </c>
      <c r="B9" s="4" t="s">
        <v>39</v>
      </c>
      <c r="C9">
        <v>11.28</v>
      </c>
      <c r="D9">
        <v>0.04</v>
      </c>
      <c r="E9">
        <f t="shared" si="0"/>
        <v>5.8459095999999997</v>
      </c>
      <c r="F9">
        <v>16</v>
      </c>
      <c r="G9">
        <f t="shared" si="1"/>
        <v>93.534553599999995</v>
      </c>
      <c r="H9">
        <v>323.58999999999997</v>
      </c>
      <c r="I9">
        <f t="shared" si="2"/>
        <v>493972.05136434763</v>
      </c>
      <c r="J9" s="1">
        <v>105.599143</v>
      </c>
      <c r="K9" s="1">
        <v>30.539141000000001</v>
      </c>
      <c r="L9">
        <f t="shared" si="3"/>
        <v>1191.1583330399999</v>
      </c>
      <c r="M9">
        <f t="shared" si="4"/>
        <v>344.48151048</v>
      </c>
      <c r="N9">
        <f t="shared" si="5"/>
        <v>4.2239657199999998</v>
      </c>
      <c r="O9">
        <f t="shared" si="6"/>
        <v>1.2215656400000001</v>
      </c>
    </row>
    <row r="10" spans="1:16" x14ac:dyDescent="0.3">
      <c r="A10">
        <v>2017</v>
      </c>
      <c r="B10" s="4" t="s">
        <v>40</v>
      </c>
      <c r="C10">
        <v>8.2799999999999994</v>
      </c>
      <c r="D10">
        <v>0.02</v>
      </c>
      <c r="E10">
        <f t="shared" si="0"/>
        <v>4.2866204000000003</v>
      </c>
      <c r="F10">
        <v>19</v>
      </c>
      <c r="G10">
        <f t="shared" si="1"/>
        <v>81.445787600000003</v>
      </c>
      <c r="H10">
        <v>375.37</v>
      </c>
      <c r="I10">
        <f t="shared" si="2"/>
        <v>573518.20898072422</v>
      </c>
      <c r="J10" s="1">
        <v>105.064564</v>
      </c>
      <c r="K10" s="1">
        <v>29.585822</v>
      </c>
      <c r="L10">
        <f t="shared" si="3"/>
        <v>869.93458992000001</v>
      </c>
      <c r="M10">
        <f t="shared" si="4"/>
        <v>244.97060615999999</v>
      </c>
      <c r="N10">
        <f t="shared" si="5"/>
        <v>2.1012912800000003</v>
      </c>
      <c r="O10">
        <f t="shared" si="6"/>
        <v>0.59171644000000001</v>
      </c>
    </row>
    <row r="11" spans="1:16" x14ac:dyDescent="0.3">
      <c r="A11">
        <v>2017</v>
      </c>
      <c r="B11" s="4" t="s">
        <v>41</v>
      </c>
      <c r="C11">
        <v>4880.2299999999996</v>
      </c>
      <c r="D11">
        <v>21.24</v>
      </c>
      <c r="E11">
        <f t="shared" si="0"/>
        <v>2531.1026946000002</v>
      </c>
      <c r="F11">
        <v>2</v>
      </c>
      <c r="G11">
        <f t="shared" si="1"/>
        <v>5062.2053892000004</v>
      </c>
      <c r="H11">
        <v>327.20999999999998</v>
      </c>
      <c r="I11">
        <f t="shared" si="2"/>
        <v>42196.329239025807</v>
      </c>
      <c r="J11" s="1">
        <v>103.772521</v>
      </c>
      <c r="K11" s="1">
        <v>29.558285000000001</v>
      </c>
      <c r="L11">
        <f t="shared" si="3"/>
        <v>506433.77015982993</v>
      </c>
      <c r="M11">
        <f t="shared" si="4"/>
        <v>144251.22920554999</v>
      </c>
      <c r="N11">
        <f t="shared" si="5"/>
        <v>2204.12834604</v>
      </c>
      <c r="O11">
        <f t="shared" si="6"/>
        <v>627.81797340000003</v>
      </c>
    </row>
    <row r="12" spans="1:16" x14ac:dyDescent="0.3">
      <c r="A12">
        <v>2017</v>
      </c>
      <c r="B12" s="4" t="s">
        <v>42</v>
      </c>
      <c r="C12">
        <v>40.33</v>
      </c>
      <c r="D12">
        <v>0.15</v>
      </c>
      <c r="E12">
        <f t="shared" si="0"/>
        <v>20.904577199999999</v>
      </c>
      <c r="F12">
        <v>13</v>
      </c>
      <c r="G12">
        <f t="shared" si="1"/>
        <v>271.75950359999996</v>
      </c>
      <c r="H12">
        <v>641.79</v>
      </c>
      <c r="I12">
        <f t="shared" si="2"/>
        <v>971445.17897697201</v>
      </c>
      <c r="J12" s="1">
        <v>106.11712300000001</v>
      </c>
      <c r="K12" s="1">
        <v>30.843219999999999</v>
      </c>
      <c r="L12">
        <f t="shared" si="3"/>
        <v>4279.7035705899998</v>
      </c>
      <c r="M12">
        <f t="shared" si="4"/>
        <v>1243.9070625999998</v>
      </c>
      <c r="N12">
        <f t="shared" si="5"/>
        <v>15.917568450000001</v>
      </c>
      <c r="O12">
        <f t="shared" si="6"/>
        <v>4.6264829999999995</v>
      </c>
    </row>
    <row r="13" spans="1:16" x14ac:dyDescent="0.3">
      <c r="A13">
        <v>2017</v>
      </c>
      <c r="B13" s="4" t="s">
        <v>43</v>
      </c>
      <c r="C13">
        <v>11.12</v>
      </c>
      <c r="D13">
        <v>0.03</v>
      </c>
      <c r="E13">
        <f t="shared" si="0"/>
        <v>5.7584285999999993</v>
      </c>
      <c r="F13">
        <v>17</v>
      </c>
      <c r="G13">
        <f t="shared" si="1"/>
        <v>97.893286199999991</v>
      </c>
      <c r="H13">
        <v>297.48</v>
      </c>
      <c r="I13">
        <f t="shared" si="2"/>
        <v>454136.49356214347</v>
      </c>
      <c r="J13" s="1">
        <v>103.854991</v>
      </c>
      <c r="K13" s="1">
        <v>30.082841999999999</v>
      </c>
      <c r="L13">
        <f t="shared" si="3"/>
        <v>1154.86749992</v>
      </c>
      <c r="M13">
        <f t="shared" si="4"/>
        <v>334.52120303999999</v>
      </c>
      <c r="N13">
        <f t="shared" si="5"/>
        <v>3.1156497299999999</v>
      </c>
      <c r="O13">
        <f t="shared" si="6"/>
        <v>0.90248525999999996</v>
      </c>
    </row>
    <row r="14" spans="1:16" x14ac:dyDescent="0.3">
      <c r="A14">
        <v>2017</v>
      </c>
      <c r="B14" s="4" t="s">
        <v>44</v>
      </c>
      <c r="C14">
        <v>19.93</v>
      </c>
      <c r="D14">
        <v>0.08</v>
      </c>
      <c r="E14">
        <f t="shared" si="0"/>
        <v>10.333318999999999</v>
      </c>
      <c r="F14">
        <v>15</v>
      </c>
      <c r="G14">
        <f t="shared" si="1"/>
        <v>154.999785</v>
      </c>
      <c r="H14">
        <v>453</v>
      </c>
      <c r="I14">
        <f t="shared" si="2"/>
        <v>689778.92436762387</v>
      </c>
      <c r="J14" s="1">
        <v>104.649316</v>
      </c>
      <c r="K14" s="1">
        <v>28.758631000000001</v>
      </c>
      <c r="L14">
        <f t="shared" si="3"/>
        <v>2085.6608678799998</v>
      </c>
      <c r="M14">
        <f t="shared" si="4"/>
        <v>573.15951583000003</v>
      </c>
      <c r="N14">
        <f t="shared" si="5"/>
        <v>8.3719452800000003</v>
      </c>
      <c r="O14">
        <f t="shared" si="6"/>
        <v>2.3006904800000001</v>
      </c>
    </row>
    <row r="15" spans="1:16" x14ac:dyDescent="0.3">
      <c r="A15">
        <v>2017</v>
      </c>
      <c r="B15" s="4" t="s">
        <v>45</v>
      </c>
      <c r="C15">
        <v>217.67</v>
      </c>
      <c r="D15">
        <v>0.92</v>
      </c>
      <c r="E15">
        <f t="shared" si="0"/>
        <v>112.880045</v>
      </c>
      <c r="F15">
        <v>7</v>
      </c>
      <c r="G15">
        <f t="shared" si="1"/>
        <v>790.16031499999997</v>
      </c>
      <c r="H15">
        <v>325.02999999999997</v>
      </c>
      <c r="I15">
        <f t="shared" si="2"/>
        <v>466782.96468349977</v>
      </c>
      <c r="J15" s="1">
        <v>106.639184</v>
      </c>
      <c r="K15" s="1">
        <v>30.462142</v>
      </c>
      <c r="L15">
        <f t="shared" si="3"/>
        <v>23212.151181279998</v>
      </c>
      <c r="M15">
        <f t="shared" si="4"/>
        <v>6630.69444914</v>
      </c>
      <c r="N15">
        <f t="shared" si="5"/>
        <v>98.108049280000003</v>
      </c>
      <c r="O15">
        <f t="shared" si="6"/>
        <v>28.025170640000002</v>
      </c>
    </row>
    <row r="16" spans="1:16" x14ac:dyDescent="0.3">
      <c r="A16">
        <v>2017</v>
      </c>
      <c r="B16" s="4" t="s">
        <v>46</v>
      </c>
      <c r="C16">
        <v>2.89</v>
      </c>
      <c r="D16">
        <v>0.01</v>
      </c>
      <c r="E16">
        <f t="shared" si="0"/>
        <v>1.4976351999999999</v>
      </c>
      <c r="F16">
        <v>21</v>
      </c>
      <c r="G16">
        <f t="shared" si="1"/>
        <v>31.450339199999998</v>
      </c>
      <c r="H16">
        <v>568.95000000000005</v>
      </c>
      <c r="I16">
        <f t="shared" si="2"/>
        <v>870646.11941666843</v>
      </c>
      <c r="J16" s="1">
        <v>107.474424</v>
      </c>
      <c r="K16" s="1">
        <v>31.214942000000001</v>
      </c>
      <c r="L16">
        <f t="shared" si="3"/>
        <v>310.60108536000001</v>
      </c>
      <c r="M16">
        <f t="shared" si="4"/>
        <v>90.211182380000011</v>
      </c>
      <c r="N16">
        <f t="shared" si="5"/>
        <v>1.07474424</v>
      </c>
      <c r="O16">
        <f t="shared" si="6"/>
        <v>0.31214942000000001</v>
      </c>
    </row>
    <row r="17" spans="1:15" x14ac:dyDescent="0.3">
      <c r="A17">
        <v>2017</v>
      </c>
      <c r="B17" s="4" t="s">
        <v>47</v>
      </c>
      <c r="C17">
        <v>136.71</v>
      </c>
      <c r="D17">
        <v>0.56999999999999995</v>
      </c>
      <c r="E17">
        <f t="shared" si="0"/>
        <v>70.891755599999996</v>
      </c>
      <c r="F17">
        <v>8</v>
      </c>
      <c r="G17">
        <f t="shared" si="1"/>
        <v>567.13404479999997</v>
      </c>
      <c r="H17">
        <v>153.78</v>
      </c>
      <c r="I17">
        <f t="shared" si="2"/>
        <v>226250.69743881183</v>
      </c>
      <c r="J17" s="1">
        <v>103.048153</v>
      </c>
      <c r="K17" s="1">
        <v>30.015991</v>
      </c>
      <c r="L17">
        <f t="shared" si="3"/>
        <v>14087.71299663</v>
      </c>
      <c r="M17">
        <f t="shared" si="4"/>
        <v>4103.4861296099998</v>
      </c>
      <c r="N17">
        <f t="shared" si="5"/>
        <v>58.737447209999992</v>
      </c>
      <c r="O17">
        <f t="shared" si="6"/>
        <v>17.109114869999999</v>
      </c>
    </row>
    <row r="18" spans="1:15" x14ac:dyDescent="0.3">
      <c r="A18">
        <v>2017</v>
      </c>
      <c r="B18" s="4" t="s">
        <v>48</v>
      </c>
      <c r="C18">
        <v>8.4499999999999993</v>
      </c>
      <c r="D18">
        <v>0.04</v>
      </c>
      <c r="E18">
        <f t="shared" si="0"/>
        <v>4.3841013999999996</v>
      </c>
      <c r="F18">
        <v>18</v>
      </c>
      <c r="G18">
        <f t="shared" si="1"/>
        <v>78.913825199999991</v>
      </c>
      <c r="H18">
        <v>331.67</v>
      </c>
      <c r="I18">
        <f t="shared" si="2"/>
        <v>506722.35847137542</v>
      </c>
      <c r="J18" s="1">
        <v>106.754109</v>
      </c>
      <c r="K18" s="1">
        <v>31.873559</v>
      </c>
      <c r="L18">
        <f t="shared" si="3"/>
        <v>902.07222104999994</v>
      </c>
      <c r="M18">
        <f t="shared" si="4"/>
        <v>269.33157354999997</v>
      </c>
      <c r="N18">
        <f t="shared" si="5"/>
        <v>4.2701643599999999</v>
      </c>
      <c r="O18">
        <f t="shared" si="6"/>
        <v>1.2749423600000001</v>
      </c>
    </row>
    <row r="19" spans="1:15" x14ac:dyDescent="0.3">
      <c r="A19">
        <v>2017</v>
      </c>
      <c r="B19" s="4" t="s">
        <v>49</v>
      </c>
      <c r="C19">
        <v>413.15</v>
      </c>
      <c r="D19">
        <v>1.64</v>
      </c>
      <c r="E19">
        <f t="shared" si="0"/>
        <v>214.20137539999999</v>
      </c>
      <c r="F19">
        <v>5</v>
      </c>
      <c r="G19">
        <f t="shared" si="1"/>
        <v>1071.006877</v>
      </c>
      <c r="H19">
        <v>255.31</v>
      </c>
      <c r="I19">
        <f t="shared" si="2"/>
        <v>345454.13814931555</v>
      </c>
      <c r="J19" s="1">
        <v>104.633825</v>
      </c>
      <c r="K19" s="1">
        <v>30.135162999999999</v>
      </c>
      <c r="L19">
        <f t="shared" si="3"/>
        <v>43229.464798749999</v>
      </c>
      <c r="M19">
        <f t="shared" si="4"/>
        <v>12450.342593449999</v>
      </c>
      <c r="N19">
        <f t="shared" si="5"/>
        <v>171.59947299999999</v>
      </c>
      <c r="O19">
        <f t="shared" si="6"/>
        <v>49.421667319999997</v>
      </c>
    </row>
    <row r="20" spans="1:15" x14ac:dyDescent="0.3">
      <c r="A20">
        <v>2017</v>
      </c>
      <c r="B20" s="4" t="s">
        <v>50</v>
      </c>
      <c r="C20">
        <v>1033.6400000000001</v>
      </c>
      <c r="D20">
        <v>5.31</v>
      </c>
      <c r="E20">
        <f t="shared" si="0"/>
        <v>536.48357820000012</v>
      </c>
      <c r="F20">
        <v>3</v>
      </c>
      <c r="G20">
        <f t="shared" si="1"/>
        <v>1609.4507346000005</v>
      </c>
      <c r="H20">
        <v>94.01</v>
      </c>
      <c r="I20">
        <f t="shared" si="2"/>
        <v>103915.90771873582</v>
      </c>
      <c r="J20" s="1">
        <v>102.23090999999999</v>
      </c>
      <c r="K20" s="1">
        <v>31.905656</v>
      </c>
      <c r="L20">
        <f t="shared" si="3"/>
        <v>105669.95781240001</v>
      </c>
      <c r="M20">
        <f t="shared" si="4"/>
        <v>32978.962267840005</v>
      </c>
      <c r="N20">
        <f t="shared" si="5"/>
        <v>542.84613209999998</v>
      </c>
      <c r="O20">
        <f t="shared" si="6"/>
        <v>169.41903335999999</v>
      </c>
    </row>
    <row r="21" spans="1:15" x14ac:dyDescent="0.3">
      <c r="A21">
        <v>2017</v>
      </c>
      <c r="B21" s="4" t="s">
        <v>51</v>
      </c>
      <c r="C21">
        <v>798.8</v>
      </c>
      <c r="D21">
        <v>3.1</v>
      </c>
      <c r="E21">
        <f t="shared" si="0"/>
        <v>414.11087799999996</v>
      </c>
      <c r="F21">
        <v>4</v>
      </c>
      <c r="G21">
        <f t="shared" si="1"/>
        <v>1656.4435119999998</v>
      </c>
      <c r="H21">
        <v>118.63</v>
      </c>
      <c r="I21">
        <f t="shared" si="2"/>
        <v>141938.40637665289</v>
      </c>
      <c r="J21" s="1">
        <v>101.968649</v>
      </c>
      <c r="K21" s="1">
        <v>30.055425</v>
      </c>
      <c r="L21">
        <f t="shared" si="3"/>
        <v>81452.556821199993</v>
      </c>
      <c r="M21">
        <f t="shared" si="4"/>
        <v>24008.27349</v>
      </c>
      <c r="N21">
        <f t="shared" si="5"/>
        <v>316.10281190000001</v>
      </c>
      <c r="O21">
        <f t="shared" si="6"/>
        <v>93.171817500000003</v>
      </c>
    </row>
    <row r="22" spans="1:15" x14ac:dyDescent="0.3">
      <c r="A22">
        <v>2017</v>
      </c>
      <c r="B22" s="4" t="s">
        <v>52</v>
      </c>
      <c r="C22">
        <v>3.21</v>
      </c>
      <c r="D22">
        <v>0.01</v>
      </c>
      <c r="E22">
        <f t="shared" si="0"/>
        <v>1.662928</v>
      </c>
      <c r="F22">
        <v>20</v>
      </c>
      <c r="G22">
        <f t="shared" si="1"/>
        <v>33.258560000000003</v>
      </c>
      <c r="H22">
        <v>483.52</v>
      </c>
      <c r="I22">
        <f t="shared" si="2"/>
        <v>739846.67829068971</v>
      </c>
      <c r="J22" s="1">
        <v>102.27418900000001</v>
      </c>
      <c r="K22" s="1">
        <v>27.887442</v>
      </c>
      <c r="L22">
        <f t="shared" si="3"/>
        <v>328.30014669000002</v>
      </c>
      <c r="M22">
        <f t="shared" si="4"/>
        <v>89.518688819999994</v>
      </c>
      <c r="N22">
        <f t="shared" si="5"/>
        <v>1.02274189</v>
      </c>
      <c r="O22">
        <f t="shared" si="6"/>
        <v>0.27887442000000001</v>
      </c>
    </row>
    <row r="23" spans="1:15" x14ac:dyDescent="0.3">
      <c r="B23" t="s">
        <v>13</v>
      </c>
      <c r="C23">
        <f>SUM(C2:C22)</f>
        <v>144653.62</v>
      </c>
      <c r="D23">
        <f>SUM(D2:D22)</f>
        <v>336.1699999999999</v>
      </c>
      <c r="E23">
        <f>AVERAGE(E2:E22)</f>
        <v>3565.8050296666679</v>
      </c>
      <c r="F23" t="s">
        <v>9</v>
      </c>
      <c r="G23">
        <f>SUM(G2:G22)</f>
        <v>84796.560559999984</v>
      </c>
      <c r="H23">
        <f>SUM(H2:H22)</f>
        <v>8302</v>
      </c>
      <c r="I23">
        <f>SUM(I2:I22)</f>
        <v>879332238.37987804</v>
      </c>
      <c r="L23">
        <f>SUM(L2:L22)</f>
        <v>15050449.121860629</v>
      </c>
      <c r="M23">
        <f>SUM(M2:M22)</f>
        <v>4418858.7178938594</v>
      </c>
      <c r="N23">
        <f>SUM(N2:N22)</f>
        <v>34967.243344480012</v>
      </c>
      <c r="O23">
        <f>SUM(O2:O22)</f>
        <v>10261.31088997</v>
      </c>
    </row>
    <row r="24" spans="1:15" x14ac:dyDescent="0.3">
      <c r="E24" t="s">
        <v>14</v>
      </c>
      <c r="H24" t="s">
        <v>11</v>
      </c>
      <c r="I24" t="s">
        <v>11</v>
      </c>
    </row>
    <row r="25" spans="1:15" x14ac:dyDescent="0.3">
      <c r="A25" t="s">
        <v>8</v>
      </c>
      <c r="B25">
        <f>E2-E22</f>
        <v>70651.113060399992</v>
      </c>
      <c r="C25" t="s">
        <v>10</v>
      </c>
      <c r="D25">
        <f>1+1/21-G23/(21*21*E23)</f>
        <v>0.99369505327564189</v>
      </c>
      <c r="E25" t="s">
        <v>12</v>
      </c>
      <c r="F25">
        <f>SQRT(I23)/E23</f>
        <v>8.3160847118386911</v>
      </c>
    </row>
    <row r="26" spans="1:15" x14ac:dyDescent="0.3">
      <c r="K26" t="s">
        <v>15</v>
      </c>
      <c r="L26">
        <f>L23/C23</f>
        <v>104.04474579938359</v>
      </c>
      <c r="M26">
        <f>M23/C23</f>
        <v>30.547861283346101</v>
      </c>
      <c r="N26">
        <f>N23/D23</f>
        <v>104.01654919975019</v>
      </c>
      <c r="O26">
        <f>O23/D23</f>
        <v>30.524171966475304</v>
      </c>
    </row>
    <row r="28" spans="1:15" x14ac:dyDescent="0.3">
      <c r="A28" t="s">
        <v>0</v>
      </c>
    </row>
    <row r="29" spans="1:15" x14ac:dyDescent="0.3">
      <c r="A29" t="s">
        <v>1</v>
      </c>
      <c r="B29" t="s">
        <v>2</v>
      </c>
      <c r="C29" t="s">
        <v>3</v>
      </c>
      <c r="D29" t="s">
        <v>4</v>
      </c>
    </row>
    <row r="30" spans="1:15" x14ac:dyDescent="0.3">
      <c r="A30" t="s">
        <v>5</v>
      </c>
      <c r="B30">
        <v>0.16</v>
      </c>
      <c r="C30">
        <v>0.84</v>
      </c>
      <c r="D30">
        <v>48.345999999999997</v>
      </c>
    </row>
    <row r="31" spans="1:15" x14ac:dyDescent="0.3">
      <c r="A31" t="s">
        <v>6</v>
      </c>
      <c r="B31">
        <v>0.10199999999999999</v>
      </c>
      <c r="C31">
        <v>0.89800000000000002</v>
      </c>
      <c r="D31">
        <v>51.654000000000003</v>
      </c>
    </row>
  </sheetData>
  <sortState xmlns:xlrd2="http://schemas.microsoft.com/office/spreadsheetml/2017/richdata2" ref="A2:I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AEF0-C0EF-4C74-8B2B-20897701B064}">
  <dimension ref="A1:P31"/>
  <sheetViews>
    <sheetView workbookViewId="0">
      <selection sqref="A1:XFD1"/>
    </sheetView>
  </sheetViews>
  <sheetFormatPr defaultRowHeight="14" x14ac:dyDescent="0.3"/>
  <cols>
    <col min="9" max="9" width="12.75" bestFit="1" customWidth="1"/>
    <col min="12" max="12" width="11.5820312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2018</v>
      </c>
      <c r="B2" s="4" t="s">
        <v>32</v>
      </c>
      <c r="C2">
        <v>144660.88</v>
      </c>
      <c r="D2">
        <v>340.61</v>
      </c>
      <c r="E2">
        <f t="shared" ref="E2:E22" si="0">D2*0.48893+C2*0.51107</f>
        <v>74098.370388900003</v>
      </c>
      <c r="F2">
        <v>1</v>
      </c>
      <c r="G2">
        <f t="shared" ref="G2:G22" si="1">E2*F2</f>
        <v>74098.370388900003</v>
      </c>
      <c r="H2">
        <v>1633</v>
      </c>
      <c r="I2">
        <f t="shared" ref="I2:I22" si="2">(E2-3687.457)*(E2-3687.457)*H2/8341</f>
        <v>970617282.18621731</v>
      </c>
      <c r="J2" s="1">
        <v>104.07274200000001</v>
      </c>
      <c r="K2" s="1">
        <v>30.578983999999998</v>
      </c>
      <c r="L2">
        <f>C2*J2</f>
        <v>15055254.441732962</v>
      </c>
      <c r="M2">
        <f>C2*K2</f>
        <v>4423582.7349459203</v>
      </c>
      <c r="N2">
        <f>D2*J2</f>
        <v>35448.216652620002</v>
      </c>
      <c r="O2">
        <f>D2*K2</f>
        <v>10415.50774024</v>
      </c>
      <c r="P2">
        <f>E2/3687.457</f>
        <v>20.094707650529891</v>
      </c>
    </row>
    <row r="3" spans="1:16" x14ac:dyDescent="0.3">
      <c r="A3">
        <v>2018</v>
      </c>
      <c r="B3" s="4" t="s">
        <v>33</v>
      </c>
      <c r="C3">
        <v>40.14</v>
      </c>
      <c r="D3">
        <v>0.12</v>
      </c>
      <c r="E3">
        <f t="shared" si="0"/>
        <v>20.573021400000002</v>
      </c>
      <c r="F3">
        <v>11</v>
      </c>
      <c r="G3">
        <f t="shared" si="1"/>
        <v>226.30323540000001</v>
      </c>
      <c r="H3">
        <v>292</v>
      </c>
      <c r="I3">
        <f t="shared" si="2"/>
        <v>470716.1166351639</v>
      </c>
      <c r="J3" s="1">
        <v>104.785532</v>
      </c>
      <c r="K3" s="1">
        <v>29.345369999999999</v>
      </c>
      <c r="L3">
        <f t="shared" ref="L3:L22" si="3">C3*J3</f>
        <v>4206.0912544800003</v>
      </c>
      <c r="M3">
        <f t="shared" ref="M3:M22" si="4">C3*K3</f>
        <v>1177.9231517999999</v>
      </c>
      <c r="N3">
        <f t="shared" ref="N3:N22" si="5">D3*J3</f>
        <v>12.57426384</v>
      </c>
      <c r="O3">
        <f t="shared" ref="O3:O22" si="6">D3*K3</f>
        <v>3.5214443999999996</v>
      </c>
      <c r="P3">
        <f t="shared" ref="P3:P22" si="7">E3/3687.457</f>
        <v>5.5791895064810255E-3</v>
      </c>
    </row>
    <row r="4" spans="1:16" x14ac:dyDescent="0.3">
      <c r="A4">
        <v>2018</v>
      </c>
      <c r="B4" s="4" t="s">
        <v>34</v>
      </c>
      <c r="C4">
        <v>33.29</v>
      </c>
      <c r="D4">
        <v>0.15</v>
      </c>
      <c r="E4">
        <f t="shared" si="0"/>
        <v>17.086859799999999</v>
      </c>
      <c r="F4">
        <v>12</v>
      </c>
      <c r="G4">
        <f t="shared" si="1"/>
        <v>205.04231759999999</v>
      </c>
      <c r="H4">
        <v>123.6</v>
      </c>
      <c r="I4">
        <f t="shared" si="2"/>
        <v>199627.36566436521</v>
      </c>
      <c r="J4" s="1">
        <v>101.72505</v>
      </c>
      <c r="K4" s="1">
        <v>26.588200000000001</v>
      </c>
      <c r="L4">
        <f t="shared" si="3"/>
        <v>3386.4269144999998</v>
      </c>
      <c r="M4">
        <f t="shared" si="4"/>
        <v>885.12117799999999</v>
      </c>
      <c r="N4">
        <f t="shared" si="5"/>
        <v>15.258757499999998</v>
      </c>
      <c r="O4">
        <f t="shared" si="6"/>
        <v>3.9882299999999997</v>
      </c>
      <c r="P4">
        <f t="shared" si="7"/>
        <v>4.633778726097687E-3</v>
      </c>
    </row>
    <row r="5" spans="1:16" x14ac:dyDescent="0.3">
      <c r="A5">
        <v>2018</v>
      </c>
      <c r="B5" s="4" t="s">
        <v>35</v>
      </c>
      <c r="C5">
        <v>74.7</v>
      </c>
      <c r="D5">
        <v>0.24</v>
      </c>
      <c r="E5">
        <f t="shared" si="0"/>
        <v>38.294272200000002</v>
      </c>
      <c r="F5">
        <v>9</v>
      </c>
      <c r="G5">
        <f t="shared" si="1"/>
        <v>344.64844980000004</v>
      </c>
      <c r="H5">
        <v>432.4</v>
      </c>
      <c r="I5">
        <f t="shared" si="2"/>
        <v>690325.67278244242</v>
      </c>
      <c r="J5" s="1">
        <v>105.448463</v>
      </c>
      <c r="K5" s="1">
        <v>28.876978000000001</v>
      </c>
      <c r="L5">
        <f t="shared" si="3"/>
        <v>7877.000186100001</v>
      </c>
      <c r="M5">
        <f t="shared" si="4"/>
        <v>2157.1102566</v>
      </c>
      <c r="N5">
        <f t="shared" si="5"/>
        <v>25.30763112</v>
      </c>
      <c r="O5">
        <f t="shared" si="6"/>
        <v>6.9304747200000003</v>
      </c>
      <c r="P5">
        <f t="shared" si="7"/>
        <v>1.0385008476031044E-2</v>
      </c>
    </row>
    <row r="6" spans="1:16" x14ac:dyDescent="0.3">
      <c r="A6">
        <v>2018</v>
      </c>
      <c r="B6" s="4" t="s">
        <v>36</v>
      </c>
      <c r="C6">
        <v>202.39</v>
      </c>
      <c r="D6">
        <v>0.34</v>
      </c>
      <c r="E6">
        <f t="shared" si="0"/>
        <v>103.6016935</v>
      </c>
      <c r="F6">
        <v>6</v>
      </c>
      <c r="G6">
        <f t="shared" si="1"/>
        <v>621.61016099999995</v>
      </c>
      <c r="H6">
        <v>354.5</v>
      </c>
      <c r="I6">
        <f t="shared" si="2"/>
        <v>545882.35045384848</v>
      </c>
      <c r="J6" s="1">
        <v>104.40422700000001</v>
      </c>
      <c r="K6" s="1">
        <v>31.133751</v>
      </c>
      <c r="L6">
        <f t="shared" si="3"/>
        <v>21130.371502530001</v>
      </c>
      <c r="M6">
        <f t="shared" si="4"/>
        <v>6301.1598648899999</v>
      </c>
      <c r="N6">
        <f t="shared" si="5"/>
        <v>35.497437180000006</v>
      </c>
      <c r="O6">
        <f t="shared" si="6"/>
        <v>10.58547534</v>
      </c>
      <c r="P6">
        <f t="shared" si="7"/>
        <v>2.8095702132933345E-2</v>
      </c>
    </row>
    <row r="7" spans="1:16" x14ac:dyDescent="0.3">
      <c r="A7">
        <v>2018</v>
      </c>
      <c r="B7" s="4" t="s">
        <v>37</v>
      </c>
      <c r="C7">
        <v>375.59</v>
      </c>
      <c r="D7">
        <v>0.85</v>
      </c>
      <c r="E7">
        <f t="shared" si="0"/>
        <v>192.36837180000001</v>
      </c>
      <c r="F7">
        <v>3</v>
      </c>
      <c r="G7">
        <f t="shared" si="1"/>
        <v>577.10511540000005</v>
      </c>
      <c r="H7">
        <v>485.7</v>
      </c>
      <c r="I7">
        <f t="shared" si="2"/>
        <v>711322.20871180494</v>
      </c>
      <c r="J7" s="1">
        <v>104.685653</v>
      </c>
      <c r="K7" s="1">
        <v>31.473462000000001</v>
      </c>
      <c r="L7">
        <f t="shared" si="3"/>
        <v>39318.884410269995</v>
      </c>
      <c r="M7">
        <f t="shared" si="4"/>
        <v>11821.11759258</v>
      </c>
      <c r="N7">
        <f t="shared" si="5"/>
        <v>88.982805049999996</v>
      </c>
      <c r="O7">
        <f t="shared" si="6"/>
        <v>26.7524427</v>
      </c>
      <c r="P7">
        <f t="shared" si="7"/>
        <v>5.2168302382915928E-2</v>
      </c>
    </row>
    <row r="8" spans="1:16" x14ac:dyDescent="0.3">
      <c r="A8">
        <v>2018</v>
      </c>
      <c r="B8" s="4" t="s">
        <v>38</v>
      </c>
      <c r="C8">
        <v>25.66</v>
      </c>
      <c r="D8">
        <v>0.09</v>
      </c>
      <c r="E8">
        <f t="shared" si="0"/>
        <v>13.1580599</v>
      </c>
      <c r="F8">
        <v>14</v>
      </c>
      <c r="G8">
        <f t="shared" si="1"/>
        <v>184.2128386</v>
      </c>
      <c r="H8">
        <v>266.7</v>
      </c>
      <c r="I8">
        <f t="shared" si="2"/>
        <v>431671.99009895331</v>
      </c>
      <c r="J8" s="1">
        <v>105.850532</v>
      </c>
      <c r="K8" s="1">
        <v>32.442338999999997</v>
      </c>
      <c r="L8">
        <f t="shared" si="3"/>
        <v>2716.1246511200002</v>
      </c>
      <c r="M8">
        <f t="shared" si="4"/>
        <v>832.4704187399999</v>
      </c>
      <c r="N8">
        <f t="shared" si="5"/>
        <v>9.526547879999999</v>
      </c>
      <c r="O8">
        <f t="shared" si="6"/>
        <v>2.9198105099999996</v>
      </c>
      <c r="P8">
        <f t="shared" si="7"/>
        <v>3.5683290408539E-3</v>
      </c>
    </row>
    <row r="9" spans="1:16" x14ac:dyDescent="0.3">
      <c r="A9">
        <v>2018</v>
      </c>
      <c r="B9" s="4" t="s">
        <v>39</v>
      </c>
      <c r="C9">
        <v>5.28</v>
      </c>
      <c r="D9">
        <v>0.01</v>
      </c>
      <c r="E9">
        <f t="shared" si="0"/>
        <v>2.7033389000000003</v>
      </c>
      <c r="F9">
        <v>19</v>
      </c>
      <c r="G9">
        <f t="shared" si="1"/>
        <v>51.363439100000008</v>
      </c>
      <c r="H9">
        <v>320.2</v>
      </c>
      <c r="I9">
        <f t="shared" si="2"/>
        <v>521218.86292595026</v>
      </c>
      <c r="J9" s="1">
        <v>105.599143</v>
      </c>
      <c r="K9" s="1">
        <v>30.539141000000001</v>
      </c>
      <c r="L9">
        <f t="shared" si="3"/>
        <v>557.56347504000007</v>
      </c>
      <c r="M9">
        <f t="shared" si="4"/>
        <v>161.24666448000002</v>
      </c>
      <c r="N9">
        <f t="shared" si="5"/>
        <v>1.05599143</v>
      </c>
      <c r="O9">
        <f t="shared" si="6"/>
        <v>0.30539141000000003</v>
      </c>
      <c r="P9">
        <f t="shared" si="7"/>
        <v>7.3311740313175187E-4</v>
      </c>
    </row>
    <row r="10" spans="1:16" x14ac:dyDescent="0.3">
      <c r="A10">
        <v>2018</v>
      </c>
      <c r="B10" s="4" t="s">
        <v>40</v>
      </c>
      <c r="C10">
        <v>9.07</v>
      </c>
      <c r="D10">
        <v>0.02</v>
      </c>
      <c r="E10">
        <f t="shared" si="0"/>
        <v>4.6451834999999999</v>
      </c>
      <c r="F10">
        <v>18</v>
      </c>
      <c r="G10">
        <f t="shared" si="1"/>
        <v>83.613303000000002</v>
      </c>
      <c r="H10">
        <v>369.9</v>
      </c>
      <c r="I10">
        <f t="shared" si="2"/>
        <v>601485.64365671691</v>
      </c>
      <c r="J10" s="1">
        <v>105.064564</v>
      </c>
      <c r="K10" s="1">
        <v>29.585822</v>
      </c>
      <c r="L10">
        <f t="shared" si="3"/>
        <v>952.93559548000007</v>
      </c>
      <c r="M10">
        <f t="shared" si="4"/>
        <v>268.34340553999999</v>
      </c>
      <c r="N10">
        <f t="shared" si="5"/>
        <v>2.1012912800000003</v>
      </c>
      <c r="O10">
        <f t="shared" si="6"/>
        <v>0.59171644000000001</v>
      </c>
      <c r="P10">
        <f t="shared" si="7"/>
        <v>1.2597254693410662E-3</v>
      </c>
    </row>
    <row r="11" spans="1:16" x14ac:dyDescent="0.3">
      <c r="A11">
        <v>2018</v>
      </c>
      <c r="B11" s="4" t="s">
        <v>41</v>
      </c>
      <c r="C11">
        <v>4734.4799999999996</v>
      </c>
      <c r="D11">
        <v>23.32</v>
      </c>
      <c r="E11">
        <f t="shared" si="0"/>
        <v>2431.0525412000002</v>
      </c>
      <c r="F11">
        <v>2</v>
      </c>
      <c r="G11">
        <f t="shared" si="1"/>
        <v>4862.1050824000004</v>
      </c>
      <c r="H11">
        <v>326.7</v>
      </c>
      <c r="I11">
        <f t="shared" si="2"/>
        <v>61828.676658557291</v>
      </c>
      <c r="J11" s="1">
        <v>103.772521</v>
      </c>
      <c r="K11" s="1">
        <v>29.558285000000001</v>
      </c>
      <c r="L11">
        <f t="shared" si="3"/>
        <v>491308.92522407993</v>
      </c>
      <c r="M11">
        <f t="shared" si="4"/>
        <v>139943.10916679999</v>
      </c>
      <c r="N11">
        <f t="shared" si="5"/>
        <v>2419.9751897199999</v>
      </c>
      <c r="O11">
        <f t="shared" si="6"/>
        <v>689.29920620000007</v>
      </c>
      <c r="P11">
        <f t="shared" si="7"/>
        <v>0.65927617357978685</v>
      </c>
    </row>
    <row r="12" spans="1:16" x14ac:dyDescent="0.3">
      <c r="A12">
        <v>2018</v>
      </c>
      <c r="B12" s="4" t="s">
        <v>42</v>
      </c>
      <c r="C12">
        <v>13.38</v>
      </c>
      <c r="D12">
        <v>0.06</v>
      </c>
      <c r="E12">
        <f t="shared" si="0"/>
        <v>6.8674524000000012</v>
      </c>
      <c r="F12">
        <v>17</v>
      </c>
      <c r="G12">
        <f t="shared" si="1"/>
        <v>116.74669080000002</v>
      </c>
      <c r="H12">
        <v>644</v>
      </c>
      <c r="I12">
        <f t="shared" si="2"/>
        <v>1045929.7668300117</v>
      </c>
      <c r="J12" s="1">
        <v>106.11712300000001</v>
      </c>
      <c r="K12" s="1">
        <v>30.843219999999999</v>
      </c>
      <c r="L12">
        <f t="shared" si="3"/>
        <v>1419.8471057400002</v>
      </c>
      <c r="M12">
        <f t="shared" si="4"/>
        <v>412.68228360000001</v>
      </c>
      <c r="N12">
        <f t="shared" si="5"/>
        <v>6.3670273800000006</v>
      </c>
      <c r="O12">
        <f t="shared" si="6"/>
        <v>1.8505931999999998</v>
      </c>
      <c r="P12">
        <f t="shared" si="7"/>
        <v>1.8623816901458109E-3</v>
      </c>
    </row>
    <row r="13" spans="1:16" x14ac:dyDescent="0.3">
      <c r="A13">
        <v>2018</v>
      </c>
      <c r="B13" s="4" t="s">
        <v>43</v>
      </c>
      <c r="C13">
        <v>24.39</v>
      </c>
      <c r="D13">
        <v>0.05</v>
      </c>
      <c r="E13">
        <f t="shared" si="0"/>
        <v>12.4894438</v>
      </c>
      <c r="F13">
        <v>15</v>
      </c>
      <c r="G13">
        <f t="shared" si="1"/>
        <v>187.341657</v>
      </c>
      <c r="H13">
        <v>298.39999999999998</v>
      </c>
      <c r="I13">
        <f t="shared" si="2"/>
        <v>483156.37732576224</v>
      </c>
      <c r="J13" s="1">
        <v>103.854991</v>
      </c>
      <c r="K13" s="1">
        <v>30.082841999999999</v>
      </c>
      <c r="L13">
        <f t="shared" si="3"/>
        <v>2533.0232304900001</v>
      </c>
      <c r="M13">
        <f t="shared" si="4"/>
        <v>733.72051638000005</v>
      </c>
      <c r="N13">
        <f t="shared" si="5"/>
        <v>5.1927495500000003</v>
      </c>
      <c r="O13">
        <f t="shared" si="6"/>
        <v>1.5041421000000001</v>
      </c>
      <c r="P13">
        <f t="shared" si="7"/>
        <v>3.3870073061190954E-3</v>
      </c>
    </row>
    <row r="14" spans="1:16" x14ac:dyDescent="0.3">
      <c r="A14">
        <v>2018</v>
      </c>
      <c r="B14" s="4" t="s">
        <v>44</v>
      </c>
      <c r="C14">
        <v>29.61</v>
      </c>
      <c r="D14">
        <v>0.09</v>
      </c>
      <c r="E14">
        <f t="shared" si="0"/>
        <v>15.176786399999999</v>
      </c>
      <c r="F14">
        <v>13</v>
      </c>
      <c r="G14">
        <f t="shared" si="1"/>
        <v>197.2982232</v>
      </c>
      <c r="H14">
        <v>455.6</v>
      </c>
      <c r="I14">
        <f t="shared" si="2"/>
        <v>736609.33704057522</v>
      </c>
      <c r="J14" s="1">
        <v>104.649316</v>
      </c>
      <c r="K14" s="1">
        <v>28.758631000000001</v>
      </c>
      <c r="L14">
        <f t="shared" si="3"/>
        <v>3098.6662467599999</v>
      </c>
      <c r="M14">
        <f t="shared" si="4"/>
        <v>851.54306391</v>
      </c>
      <c r="N14">
        <f t="shared" si="5"/>
        <v>9.4184384399999992</v>
      </c>
      <c r="O14">
        <f t="shared" si="6"/>
        <v>2.5882767900000001</v>
      </c>
      <c r="P14">
        <f t="shared" si="7"/>
        <v>4.1157866790039856E-3</v>
      </c>
    </row>
    <row r="15" spans="1:16" x14ac:dyDescent="0.3">
      <c r="A15">
        <v>2018</v>
      </c>
      <c r="B15" s="4" t="s">
        <v>45</v>
      </c>
      <c r="C15">
        <v>184.1</v>
      </c>
      <c r="D15">
        <v>0.8</v>
      </c>
      <c r="E15">
        <f t="shared" si="0"/>
        <v>94.479130999999995</v>
      </c>
      <c r="F15">
        <v>7</v>
      </c>
      <c r="G15">
        <f t="shared" si="1"/>
        <v>661.35391699999991</v>
      </c>
      <c r="H15">
        <v>324.10000000000002</v>
      </c>
      <c r="I15">
        <f t="shared" si="2"/>
        <v>501614.39855470776</v>
      </c>
      <c r="J15" s="1">
        <v>106.639184</v>
      </c>
      <c r="K15" s="1">
        <v>30.462142</v>
      </c>
      <c r="L15">
        <f t="shared" si="3"/>
        <v>19632.273774400001</v>
      </c>
      <c r="M15">
        <f t="shared" si="4"/>
        <v>5608.0803421999999</v>
      </c>
      <c r="N15">
        <f t="shared" si="5"/>
        <v>85.3113472</v>
      </c>
      <c r="O15">
        <f t="shared" si="6"/>
        <v>24.369713600000001</v>
      </c>
      <c r="P15">
        <f t="shared" si="7"/>
        <v>2.5621758029991941E-2</v>
      </c>
    </row>
    <row r="16" spans="1:16" x14ac:dyDescent="0.3">
      <c r="A16">
        <v>2018</v>
      </c>
      <c r="B16" s="4" t="s">
        <v>46</v>
      </c>
      <c r="C16">
        <v>3.88</v>
      </c>
      <c r="D16">
        <v>0.02</v>
      </c>
      <c r="E16">
        <f t="shared" si="0"/>
        <v>1.9927302</v>
      </c>
      <c r="F16">
        <v>20</v>
      </c>
      <c r="G16">
        <f t="shared" si="1"/>
        <v>39.854604000000002</v>
      </c>
      <c r="H16">
        <v>572</v>
      </c>
      <c r="I16">
        <f t="shared" si="2"/>
        <v>931455.94264863187</v>
      </c>
      <c r="J16" s="1">
        <v>107.474424</v>
      </c>
      <c r="K16" s="1">
        <v>31.214942000000001</v>
      </c>
      <c r="L16">
        <f t="shared" si="3"/>
        <v>417.00076511999998</v>
      </c>
      <c r="M16">
        <f t="shared" si="4"/>
        <v>121.11397495999999</v>
      </c>
      <c r="N16">
        <f t="shared" si="5"/>
        <v>2.14948848</v>
      </c>
      <c r="O16">
        <f t="shared" si="6"/>
        <v>0.62429884000000002</v>
      </c>
      <c r="P16">
        <f t="shared" si="7"/>
        <v>5.404077118729792E-4</v>
      </c>
    </row>
    <row r="17" spans="1:16" x14ac:dyDescent="0.3">
      <c r="A17">
        <v>2018</v>
      </c>
      <c r="B17" s="4" t="s">
        <v>47</v>
      </c>
      <c r="C17">
        <v>76.05</v>
      </c>
      <c r="D17">
        <v>0.33</v>
      </c>
      <c r="E17">
        <f t="shared" si="0"/>
        <v>39.028220399999995</v>
      </c>
      <c r="F17">
        <v>8</v>
      </c>
      <c r="G17">
        <f t="shared" si="1"/>
        <v>312.22576319999996</v>
      </c>
      <c r="H17">
        <v>154</v>
      </c>
      <c r="I17">
        <f t="shared" si="2"/>
        <v>245761.78086695669</v>
      </c>
      <c r="J17" s="1">
        <v>103.048153</v>
      </c>
      <c r="K17" s="1">
        <v>30.015991</v>
      </c>
      <c r="L17">
        <f t="shared" si="3"/>
        <v>7836.8120356499994</v>
      </c>
      <c r="M17">
        <f t="shared" si="4"/>
        <v>2282.7161155499998</v>
      </c>
      <c r="N17">
        <f t="shared" si="5"/>
        <v>34.005890489999999</v>
      </c>
      <c r="O17">
        <f t="shared" si="6"/>
        <v>9.9052770300000006</v>
      </c>
      <c r="P17">
        <f t="shared" si="7"/>
        <v>1.0584047597029606E-2</v>
      </c>
    </row>
    <row r="18" spans="1:16" x14ac:dyDescent="0.3">
      <c r="A18">
        <v>2018</v>
      </c>
      <c r="B18" s="4" t="s">
        <v>48</v>
      </c>
      <c r="C18">
        <v>0.2</v>
      </c>
      <c r="D18">
        <v>0.01</v>
      </c>
      <c r="E18">
        <f t="shared" si="0"/>
        <v>0.10710330000000001</v>
      </c>
      <c r="F18">
        <v>21</v>
      </c>
      <c r="G18">
        <f t="shared" si="1"/>
        <v>2.2491693000000001</v>
      </c>
      <c r="H18">
        <v>332.2</v>
      </c>
      <c r="I18">
        <f t="shared" si="2"/>
        <v>541514.64625373227</v>
      </c>
      <c r="J18" s="1">
        <v>106.754109</v>
      </c>
      <c r="K18" s="1">
        <v>31.873559</v>
      </c>
      <c r="L18">
        <f t="shared" si="3"/>
        <v>21.350821800000002</v>
      </c>
      <c r="M18">
        <f t="shared" si="4"/>
        <v>6.3747118</v>
      </c>
      <c r="N18">
        <f t="shared" si="5"/>
        <v>1.06754109</v>
      </c>
      <c r="O18">
        <f t="shared" si="6"/>
        <v>0.31873559000000001</v>
      </c>
      <c r="P18">
        <f t="shared" si="7"/>
        <v>2.9045301409616443E-5</v>
      </c>
    </row>
    <row r="19" spans="1:16" x14ac:dyDescent="0.3">
      <c r="A19">
        <v>2018</v>
      </c>
      <c r="B19" s="4" t="s">
        <v>49</v>
      </c>
      <c r="C19">
        <v>273.13</v>
      </c>
      <c r="D19">
        <v>1.08</v>
      </c>
      <c r="E19">
        <f t="shared" si="0"/>
        <v>140.11659349999999</v>
      </c>
      <c r="F19">
        <v>5</v>
      </c>
      <c r="G19">
        <f t="shared" si="1"/>
        <v>700.5829675</v>
      </c>
      <c r="H19">
        <v>251.2</v>
      </c>
      <c r="I19">
        <f t="shared" si="2"/>
        <v>378972.10630001215</v>
      </c>
      <c r="J19" s="1">
        <v>104.633825</v>
      </c>
      <c r="K19" s="1">
        <v>30.135162999999999</v>
      </c>
      <c r="L19">
        <f t="shared" si="3"/>
        <v>28578.63662225</v>
      </c>
      <c r="M19">
        <f t="shared" si="4"/>
        <v>8230.8170701899999</v>
      </c>
      <c r="N19">
        <f t="shared" si="5"/>
        <v>113.00453100000001</v>
      </c>
      <c r="O19">
        <f t="shared" si="6"/>
        <v>32.545976039999999</v>
      </c>
      <c r="P19">
        <f t="shared" si="7"/>
        <v>3.7998163368413516E-2</v>
      </c>
    </row>
    <row r="20" spans="1:16" x14ac:dyDescent="0.3">
      <c r="A20">
        <v>2018</v>
      </c>
      <c r="B20" s="4" t="s">
        <v>50</v>
      </c>
      <c r="C20">
        <v>48.55</v>
      </c>
      <c r="D20">
        <v>0.24</v>
      </c>
      <c r="E20">
        <f t="shared" si="0"/>
        <v>24.929791699999999</v>
      </c>
      <c r="F20">
        <v>10</v>
      </c>
      <c r="G20">
        <f t="shared" si="1"/>
        <v>249.29791699999998</v>
      </c>
      <c r="H20">
        <v>94.4</v>
      </c>
      <c r="I20">
        <f t="shared" si="2"/>
        <v>151815.31759563214</v>
      </c>
      <c r="J20" s="1">
        <v>102.23090999999999</v>
      </c>
      <c r="K20" s="1">
        <v>31.905656</v>
      </c>
      <c r="L20">
        <f t="shared" si="3"/>
        <v>4963.3106804999998</v>
      </c>
      <c r="M20">
        <f t="shared" si="4"/>
        <v>1549.0195988</v>
      </c>
      <c r="N20">
        <f t="shared" si="5"/>
        <v>24.535418399999998</v>
      </c>
      <c r="O20">
        <f t="shared" si="6"/>
        <v>7.6573574400000002</v>
      </c>
      <c r="P20">
        <f t="shared" si="7"/>
        <v>6.7607003146070589E-3</v>
      </c>
    </row>
    <row r="21" spans="1:16" x14ac:dyDescent="0.3">
      <c r="A21">
        <v>2018</v>
      </c>
      <c r="B21" s="4" t="s">
        <v>51</v>
      </c>
      <c r="C21">
        <v>330.01</v>
      </c>
      <c r="D21">
        <v>1.32</v>
      </c>
      <c r="E21">
        <f t="shared" si="0"/>
        <v>169.3035983</v>
      </c>
      <c r="F21">
        <v>4</v>
      </c>
      <c r="G21">
        <f t="shared" si="1"/>
        <v>677.21439320000002</v>
      </c>
      <c r="H21">
        <v>119.6</v>
      </c>
      <c r="I21">
        <f t="shared" si="2"/>
        <v>177477.21395564516</v>
      </c>
      <c r="J21" s="1">
        <v>101.968649</v>
      </c>
      <c r="K21" s="1">
        <v>30.055425</v>
      </c>
      <c r="L21">
        <f t="shared" si="3"/>
        <v>33650.673856490001</v>
      </c>
      <c r="M21">
        <f t="shared" si="4"/>
        <v>9918.5908042499996</v>
      </c>
      <c r="N21">
        <f t="shared" si="5"/>
        <v>134.59861667999999</v>
      </c>
      <c r="O21">
        <f t="shared" si="6"/>
        <v>39.673161</v>
      </c>
      <c r="P21">
        <f t="shared" si="7"/>
        <v>4.5913375613600378E-2</v>
      </c>
    </row>
    <row r="22" spans="1:16" x14ac:dyDescent="0.3">
      <c r="A22">
        <v>2018</v>
      </c>
      <c r="B22" s="4" t="s">
        <v>52</v>
      </c>
      <c r="C22">
        <v>20.010000000000002</v>
      </c>
      <c r="D22">
        <v>0.05</v>
      </c>
      <c r="E22">
        <f t="shared" si="0"/>
        <v>10.2509572</v>
      </c>
      <c r="F22">
        <v>16</v>
      </c>
      <c r="G22">
        <f t="shared" si="1"/>
        <v>164.0153152</v>
      </c>
      <c r="H22">
        <v>490.8</v>
      </c>
      <c r="I22">
        <f t="shared" si="2"/>
        <v>795650.54228693596</v>
      </c>
      <c r="J22" s="1">
        <v>102.27418900000001</v>
      </c>
      <c r="K22" s="1">
        <v>27.887442</v>
      </c>
      <c r="L22">
        <f t="shared" si="3"/>
        <v>2046.5065218900004</v>
      </c>
      <c r="M22">
        <f t="shared" si="4"/>
        <v>558.02771442000005</v>
      </c>
      <c r="N22">
        <f t="shared" si="5"/>
        <v>5.1137094500000009</v>
      </c>
      <c r="O22">
        <f t="shared" si="6"/>
        <v>1.3943721</v>
      </c>
      <c r="P22">
        <f t="shared" si="7"/>
        <v>2.7799530136893803E-3</v>
      </c>
    </row>
    <row r="23" spans="1:16" x14ac:dyDescent="0.3">
      <c r="B23" t="s">
        <v>13</v>
      </c>
      <c r="C23">
        <f>SUM(C2:C22)</f>
        <v>151164.7900000001</v>
      </c>
      <c r="D23">
        <f>SUM(D2:D22)</f>
        <v>369.7999999999999</v>
      </c>
      <c r="E23">
        <f>AVERAGE(E2:E22)</f>
        <v>3687.4569304428564</v>
      </c>
      <c r="F23" t="s">
        <v>9</v>
      </c>
      <c r="G23">
        <f>SUM(G2:G22)</f>
        <v>84562.554948600024</v>
      </c>
      <c r="H23">
        <f>SUM(H2:H22)</f>
        <v>8340.9999999999982</v>
      </c>
      <c r="I23">
        <f>SUM(I2:I22)</f>
        <v>980841318.50346375</v>
      </c>
      <c r="L23">
        <f>SUM(L2:L22)</f>
        <v>15730906.866607653</v>
      </c>
      <c r="M23">
        <f>SUM(M2:M22)</f>
        <v>4617403.0228414107</v>
      </c>
      <c r="N23">
        <f>SUM(N2:N22)</f>
        <v>38479.261325779989</v>
      </c>
      <c r="O23">
        <f>SUM(O2:O22)</f>
        <v>11282.833835690006</v>
      </c>
    </row>
    <row r="24" spans="1:16" x14ac:dyDescent="0.3">
      <c r="E24" t="s">
        <v>14</v>
      </c>
      <c r="H24" t="s">
        <v>11</v>
      </c>
      <c r="I24" t="s">
        <v>11</v>
      </c>
    </row>
    <row r="25" spans="1:16" x14ac:dyDescent="0.3">
      <c r="A25" t="s">
        <v>8</v>
      </c>
      <c r="B25">
        <f>E2-E22</f>
        <v>74088.119431700004</v>
      </c>
      <c r="C25" t="s">
        <v>10</v>
      </c>
      <c r="D25">
        <f>1+1/21-G23/(21*21*E23)</f>
        <v>0.99561794526115699</v>
      </c>
      <c r="E25" t="s">
        <v>12</v>
      </c>
      <c r="F25">
        <f>SQRT(I23)/E23</f>
        <v>8.4932208999076284</v>
      </c>
    </row>
    <row r="26" spans="1:16" x14ac:dyDescent="0.3">
      <c r="K26" t="s">
        <v>15</v>
      </c>
      <c r="L26">
        <f>L23/C23</f>
        <v>104.06462289669203</v>
      </c>
      <c r="M26">
        <f>M23/C23</f>
        <v>30.545492920946788</v>
      </c>
      <c r="N26">
        <f>N23/D23</f>
        <v>104.05424912325581</v>
      </c>
      <c r="O26">
        <f>O23/D23</f>
        <v>30.510637738480284</v>
      </c>
    </row>
    <row r="28" spans="1:16" x14ac:dyDescent="0.3">
      <c r="A28" t="s">
        <v>0</v>
      </c>
    </row>
    <row r="29" spans="1:16" x14ac:dyDescent="0.3">
      <c r="A29" t="s">
        <v>1</v>
      </c>
      <c r="B29" t="s">
        <v>2</v>
      </c>
      <c r="C29" t="s">
        <v>3</v>
      </c>
      <c r="D29" t="s">
        <v>4</v>
      </c>
    </row>
    <row r="30" spans="1:16" x14ac:dyDescent="0.3">
      <c r="A30" t="s">
        <v>5</v>
      </c>
      <c r="B30">
        <v>0.12</v>
      </c>
      <c r="C30">
        <v>0.88</v>
      </c>
      <c r="D30">
        <v>48.893000000000001</v>
      </c>
    </row>
    <row r="31" spans="1:16" x14ac:dyDescent="0.3">
      <c r="A31" t="s">
        <v>6</v>
      </c>
      <c r="B31">
        <v>0.08</v>
      </c>
      <c r="C31">
        <v>0.92</v>
      </c>
      <c r="D31">
        <v>51.106999999999999</v>
      </c>
    </row>
  </sheetData>
  <sortState xmlns:xlrd2="http://schemas.microsoft.com/office/spreadsheetml/2017/richdata2" ref="A2:I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8FE9-1858-4C3A-AE61-E881ED6F3027}">
  <dimension ref="A1:P32"/>
  <sheetViews>
    <sheetView workbookViewId="0">
      <selection sqref="A1:XFD1"/>
    </sheetView>
  </sheetViews>
  <sheetFormatPr defaultRowHeight="14" x14ac:dyDescent="0.3"/>
  <cols>
    <col min="9" max="9" width="11.58203125" bestFit="1" customWidth="1"/>
    <col min="12" max="12" width="11.58203125" bestFit="1" customWidth="1"/>
  </cols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2019</v>
      </c>
      <c r="B2" s="4" t="s">
        <v>32</v>
      </c>
      <c r="C2">
        <v>194588.75</v>
      </c>
      <c r="D2">
        <v>381.43</v>
      </c>
      <c r="E2">
        <f t="shared" ref="E2:E22" si="0">C2*0.51388+D2*0.48612</f>
        <v>100180.6876016</v>
      </c>
      <c r="F2">
        <v>1</v>
      </c>
      <c r="G2">
        <f t="shared" ref="G2:G22" si="1">E2*F2</f>
        <v>100180.6876016</v>
      </c>
      <c r="H2">
        <v>1658.1</v>
      </c>
      <c r="I2">
        <f t="shared" ref="I2:I22" si="2">(E2-4961.921)*(E2-4961.921)*H2/8375</f>
        <v>1795027088.4920373</v>
      </c>
      <c r="J2" s="1">
        <v>104.07274200000001</v>
      </c>
      <c r="K2" s="1">
        <v>30.578983999999998</v>
      </c>
      <c r="L2">
        <f>C2*J2</f>
        <v>20251384.774852499</v>
      </c>
      <c r="M2">
        <f>C2*K2</f>
        <v>5950326.2728300001</v>
      </c>
      <c r="N2">
        <f>D2*J2</f>
        <v>39696.465981060006</v>
      </c>
      <c r="O2">
        <f>D2*K2</f>
        <v>11663.741867119999</v>
      </c>
    </row>
    <row r="3" spans="1:16" x14ac:dyDescent="0.3">
      <c r="A3">
        <v>2019</v>
      </c>
      <c r="B3" s="4" t="s">
        <v>33</v>
      </c>
      <c r="C3">
        <v>27.24</v>
      </c>
      <c r="D3">
        <v>0.09</v>
      </c>
      <c r="E3">
        <f t="shared" si="0"/>
        <v>14.041841999999999</v>
      </c>
      <c r="F3">
        <v>16</v>
      </c>
      <c r="G3">
        <f t="shared" si="1"/>
        <v>224.66947199999998</v>
      </c>
      <c r="H3">
        <v>292.2</v>
      </c>
      <c r="I3">
        <f t="shared" si="2"/>
        <v>854148.85790881258</v>
      </c>
      <c r="J3" s="1">
        <v>104.785532</v>
      </c>
      <c r="K3" s="1">
        <v>29.345369999999999</v>
      </c>
      <c r="L3">
        <f t="shared" ref="L3:L22" si="3">C3*J3</f>
        <v>2854.3578916799997</v>
      </c>
      <c r="M3">
        <f t="shared" ref="M3:M22" si="4">C3*K3</f>
        <v>799.36787879999997</v>
      </c>
      <c r="N3">
        <f t="shared" ref="N3:N22" si="5">D3*J3</f>
        <v>9.4306978800000003</v>
      </c>
      <c r="O3">
        <f t="shared" ref="O3:O22" si="6">D3*K3</f>
        <v>2.6410833</v>
      </c>
    </row>
    <row r="4" spans="1:16" x14ac:dyDescent="0.3">
      <c r="A4">
        <v>2019</v>
      </c>
      <c r="B4" s="4" t="s">
        <v>34</v>
      </c>
      <c r="C4">
        <v>143.88999999999999</v>
      </c>
      <c r="D4">
        <v>0.71</v>
      </c>
      <c r="E4">
        <f t="shared" si="0"/>
        <v>74.287338399999996</v>
      </c>
      <c r="F4">
        <v>8</v>
      </c>
      <c r="G4">
        <f t="shared" si="1"/>
        <v>594.29870719999997</v>
      </c>
      <c r="H4">
        <v>121.4</v>
      </c>
      <c r="I4">
        <f t="shared" si="2"/>
        <v>346282.99523995921</v>
      </c>
      <c r="J4" s="1">
        <v>101.72505</v>
      </c>
      <c r="K4" s="1">
        <v>26.588200000000001</v>
      </c>
      <c r="L4">
        <f t="shared" si="3"/>
        <v>14637.217444499998</v>
      </c>
      <c r="M4">
        <f t="shared" si="4"/>
        <v>3825.7760979999998</v>
      </c>
      <c r="N4">
        <f t="shared" si="5"/>
        <v>72.224785499999996</v>
      </c>
      <c r="O4">
        <f t="shared" si="6"/>
        <v>18.877621999999999</v>
      </c>
    </row>
    <row r="5" spans="1:16" x14ac:dyDescent="0.3">
      <c r="A5">
        <v>2019</v>
      </c>
      <c r="B5" s="4" t="s">
        <v>35</v>
      </c>
      <c r="C5">
        <v>169.8</v>
      </c>
      <c r="D5">
        <v>0.5</v>
      </c>
      <c r="E5">
        <f t="shared" si="0"/>
        <v>87.499884000000009</v>
      </c>
      <c r="F5">
        <v>6</v>
      </c>
      <c r="G5">
        <f t="shared" si="1"/>
        <v>524.99930400000005</v>
      </c>
      <c r="H5">
        <v>432.9</v>
      </c>
      <c r="I5">
        <f t="shared" si="2"/>
        <v>1228142.7902629953</v>
      </c>
      <c r="J5" s="1">
        <v>105.448463</v>
      </c>
      <c r="K5" s="1">
        <v>28.876978000000001</v>
      </c>
      <c r="L5">
        <f t="shared" si="3"/>
        <v>17905.149017400003</v>
      </c>
      <c r="M5">
        <f t="shared" si="4"/>
        <v>4903.3108644000004</v>
      </c>
      <c r="N5">
        <f t="shared" si="5"/>
        <v>52.724231500000002</v>
      </c>
      <c r="O5">
        <f t="shared" si="6"/>
        <v>14.438489000000001</v>
      </c>
    </row>
    <row r="6" spans="1:16" x14ac:dyDescent="0.3">
      <c r="A6">
        <v>2019</v>
      </c>
      <c r="B6" s="4" t="s">
        <v>36</v>
      </c>
      <c r="C6">
        <v>277.07</v>
      </c>
      <c r="D6">
        <v>0.32</v>
      </c>
      <c r="E6">
        <f t="shared" si="0"/>
        <v>142.53628999999998</v>
      </c>
      <c r="F6">
        <v>4</v>
      </c>
      <c r="G6">
        <f t="shared" si="1"/>
        <v>570.14515999999992</v>
      </c>
      <c r="H6">
        <v>356.1</v>
      </c>
      <c r="I6">
        <f t="shared" si="2"/>
        <v>987575.59460773901</v>
      </c>
      <c r="J6" s="1">
        <v>104.40422700000001</v>
      </c>
      <c r="K6" s="1">
        <v>31.133751</v>
      </c>
      <c r="L6">
        <f t="shared" si="3"/>
        <v>28927.279174890002</v>
      </c>
      <c r="M6">
        <f t="shared" si="4"/>
        <v>8626.2283895700002</v>
      </c>
      <c r="N6">
        <f t="shared" si="5"/>
        <v>33.409352640000002</v>
      </c>
      <c r="O6">
        <f t="shared" si="6"/>
        <v>9.9628003199999995</v>
      </c>
    </row>
    <row r="7" spans="1:16" x14ac:dyDescent="0.3">
      <c r="A7">
        <v>2019</v>
      </c>
      <c r="B7" s="4" t="s">
        <v>37</v>
      </c>
      <c r="C7">
        <v>277.58999999999997</v>
      </c>
      <c r="D7">
        <v>0.71</v>
      </c>
      <c r="E7">
        <f t="shared" si="0"/>
        <v>142.99309439999999</v>
      </c>
      <c r="F7">
        <v>3</v>
      </c>
      <c r="G7">
        <f t="shared" si="1"/>
        <v>428.97928319999994</v>
      </c>
      <c r="H7">
        <v>487.7</v>
      </c>
      <c r="I7">
        <f t="shared" si="2"/>
        <v>1352286.7660805907</v>
      </c>
      <c r="J7" s="1">
        <v>104.685653</v>
      </c>
      <c r="K7" s="1">
        <v>31.473462000000001</v>
      </c>
      <c r="L7">
        <f t="shared" si="3"/>
        <v>29059.690416269998</v>
      </c>
      <c r="M7">
        <f t="shared" si="4"/>
        <v>8736.7183165799997</v>
      </c>
      <c r="N7">
        <f t="shared" si="5"/>
        <v>74.326813630000004</v>
      </c>
      <c r="O7">
        <f t="shared" si="6"/>
        <v>22.346158020000001</v>
      </c>
    </row>
    <row r="8" spans="1:16" x14ac:dyDescent="0.3">
      <c r="A8">
        <v>2019</v>
      </c>
      <c r="B8" s="4" t="s">
        <v>38</v>
      </c>
      <c r="C8">
        <v>30.95</v>
      </c>
      <c r="D8">
        <v>0.15</v>
      </c>
      <c r="E8">
        <f t="shared" si="0"/>
        <v>15.977504</v>
      </c>
      <c r="F8">
        <v>15</v>
      </c>
      <c r="G8">
        <f t="shared" si="1"/>
        <v>239.66255999999998</v>
      </c>
      <c r="H8">
        <v>267.5</v>
      </c>
      <c r="I8">
        <f t="shared" si="2"/>
        <v>781334.98687219189</v>
      </c>
      <c r="J8" s="1">
        <v>105.850532</v>
      </c>
      <c r="K8" s="1">
        <v>32.442338999999997</v>
      </c>
      <c r="L8">
        <f t="shared" si="3"/>
        <v>3276.0739653999999</v>
      </c>
      <c r="M8">
        <f t="shared" si="4"/>
        <v>1004.0903920499999</v>
      </c>
      <c r="N8">
        <f t="shared" si="5"/>
        <v>15.877579799999999</v>
      </c>
      <c r="O8">
        <f t="shared" si="6"/>
        <v>4.866350849999999</v>
      </c>
    </row>
    <row r="9" spans="1:16" x14ac:dyDescent="0.3">
      <c r="A9">
        <v>2019</v>
      </c>
      <c r="B9" s="4" t="s">
        <v>39</v>
      </c>
      <c r="C9">
        <v>18.14</v>
      </c>
      <c r="D9">
        <v>0.05</v>
      </c>
      <c r="E9">
        <f t="shared" si="0"/>
        <v>9.3460891999999998</v>
      </c>
      <c r="F9">
        <v>19</v>
      </c>
      <c r="G9">
        <f t="shared" si="1"/>
        <v>177.57569480000001</v>
      </c>
      <c r="H9">
        <v>318.89999999999998</v>
      </c>
      <c r="I9">
        <f t="shared" si="2"/>
        <v>933967.59892484848</v>
      </c>
      <c r="J9" s="1">
        <v>105.599143</v>
      </c>
      <c r="K9" s="1">
        <v>30.539141000000001</v>
      </c>
      <c r="L9">
        <f t="shared" si="3"/>
        <v>1915.56845402</v>
      </c>
      <c r="M9">
        <f t="shared" si="4"/>
        <v>553.98001773999999</v>
      </c>
      <c r="N9">
        <f t="shared" si="5"/>
        <v>5.2799571500000004</v>
      </c>
      <c r="O9">
        <f t="shared" si="6"/>
        <v>1.52695705</v>
      </c>
    </row>
    <row r="10" spans="1:16" x14ac:dyDescent="0.3">
      <c r="A10">
        <v>2019</v>
      </c>
      <c r="B10" s="4" t="s">
        <v>40</v>
      </c>
      <c r="C10">
        <v>12.98</v>
      </c>
      <c r="D10">
        <v>0.05</v>
      </c>
      <c r="E10">
        <f t="shared" si="0"/>
        <v>6.6944684000000008</v>
      </c>
      <c r="F10">
        <v>20</v>
      </c>
      <c r="G10">
        <f t="shared" si="1"/>
        <v>133.88936800000002</v>
      </c>
      <c r="H10">
        <v>370</v>
      </c>
      <c r="I10">
        <f t="shared" si="2"/>
        <v>1084785.6587946089</v>
      </c>
      <c r="J10" s="1">
        <v>105.064564</v>
      </c>
      <c r="K10" s="1">
        <v>29.585822</v>
      </c>
      <c r="L10">
        <f t="shared" si="3"/>
        <v>1363.7380407200001</v>
      </c>
      <c r="M10">
        <f t="shared" si="4"/>
        <v>384.02396956000001</v>
      </c>
      <c r="N10">
        <f t="shared" si="5"/>
        <v>5.2532282000000006</v>
      </c>
      <c r="O10">
        <f t="shared" si="6"/>
        <v>1.4792911000000002</v>
      </c>
    </row>
    <row r="11" spans="1:16" x14ac:dyDescent="0.3">
      <c r="A11">
        <v>2019</v>
      </c>
      <c r="B11" s="4" t="s">
        <v>41</v>
      </c>
      <c r="C11">
        <v>5723.07</v>
      </c>
      <c r="D11">
        <v>26.29</v>
      </c>
      <c r="E11">
        <f t="shared" si="0"/>
        <v>2953.7513064</v>
      </c>
      <c r="F11">
        <v>2</v>
      </c>
      <c r="G11">
        <f t="shared" si="1"/>
        <v>5907.5026128</v>
      </c>
      <c r="H11">
        <v>327.10000000000002</v>
      </c>
      <c r="I11">
        <f t="shared" si="2"/>
        <v>157505.79809358928</v>
      </c>
      <c r="J11" s="1">
        <v>103.772521</v>
      </c>
      <c r="K11" s="1">
        <v>29.558285000000001</v>
      </c>
      <c r="L11">
        <f t="shared" si="3"/>
        <v>593897.40175947</v>
      </c>
      <c r="M11">
        <f t="shared" si="4"/>
        <v>169164.13413495</v>
      </c>
      <c r="N11">
        <f t="shared" si="5"/>
        <v>2728.1795770899998</v>
      </c>
      <c r="O11">
        <f t="shared" si="6"/>
        <v>777.08731265000006</v>
      </c>
    </row>
    <row r="12" spans="1:16" x14ac:dyDescent="0.3">
      <c r="A12">
        <v>2019</v>
      </c>
      <c r="B12" s="4" t="s">
        <v>42</v>
      </c>
      <c r="C12">
        <v>274.58</v>
      </c>
      <c r="D12">
        <v>0.81</v>
      </c>
      <c r="E12">
        <f t="shared" si="0"/>
        <v>141.49492760000001</v>
      </c>
      <c r="F12">
        <v>5</v>
      </c>
      <c r="G12">
        <f t="shared" si="1"/>
        <v>707.47463800000003</v>
      </c>
      <c r="H12">
        <v>643.5</v>
      </c>
      <c r="I12">
        <f t="shared" si="2"/>
        <v>1785396.1300037401</v>
      </c>
      <c r="J12" s="1">
        <v>106.11712300000001</v>
      </c>
      <c r="K12" s="1">
        <v>30.843219999999999</v>
      </c>
      <c r="L12">
        <f t="shared" si="3"/>
        <v>29137.639633340001</v>
      </c>
      <c r="M12">
        <f t="shared" si="4"/>
        <v>8468.9313475999988</v>
      </c>
      <c r="N12">
        <f t="shared" si="5"/>
        <v>85.954869630000005</v>
      </c>
      <c r="O12">
        <f t="shared" si="6"/>
        <v>24.9830082</v>
      </c>
    </row>
    <row r="13" spans="1:16" x14ac:dyDescent="0.3">
      <c r="A13">
        <v>2019</v>
      </c>
      <c r="B13" s="4" t="s">
        <v>43</v>
      </c>
      <c r="C13">
        <v>137.35</v>
      </c>
      <c r="D13">
        <v>0.57999999999999996</v>
      </c>
      <c r="E13">
        <f t="shared" si="0"/>
        <v>70.863367600000004</v>
      </c>
      <c r="F13">
        <v>10</v>
      </c>
      <c r="G13">
        <f t="shared" si="1"/>
        <v>708.63367600000004</v>
      </c>
      <c r="H13">
        <v>299.5</v>
      </c>
      <c r="I13">
        <f t="shared" si="2"/>
        <v>855495.18885441904</v>
      </c>
      <c r="J13" s="1">
        <v>103.854991</v>
      </c>
      <c r="K13" s="1">
        <v>30.082841999999999</v>
      </c>
      <c r="L13">
        <f t="shared" si="3"/>
        <v>14264.483013849998</v>
      </c>
      <c r="M13">
        <f t="shared" si="4"/>
        <v>4131.8783487000001</v>
      </c>
      <c r="N13">
        <f t="shared" si="5"/>
        <v>60.235894779999995</v>
      </c>
      <c r="O13">
        <f t="shared" si="6"/>
        <v>17.448048359999998</v>
      </c>
    </row>
    <row r="14" spans="1:16" x14ac:dyDescent="0.3">
      <c r="A14">
        <v>2019</v>
      </c>
      <c r="B14" s="4" t="s">
        <v>44</v>
      </c>
      <c r="C14">
        <v>19.46</v>
      </c>
      <c r="D14">
        <v>0.06</v>
      </c>
      <c r="E14">
        <f t="shared" si="0"/>
        <v>10.029272000000001</v>
      </c>
      <c r="F14">
        <v>18</v>
      </c>
      <c r="G14">
        <f t="shared" si="1"/>
        <v>180.52689600000002</v>
      </c>
      <c r="H14">
        <v>457.3</v>
      </c>
      <c r="I14">
        <f t="shared" si="2"/>
        <v>1338932.4477531069</v>
      </c>
      <c r="J14" s="1">
        <v>104.649316</v>
      </c>
      <c r="K14" s="1">
        <v>28.758631000000001</v>
      </c>
      <c r="L14">
        <f t="shared" si="3"/>
        <v>2036.4756893600002</v>
      </c>
      <c r="M14">
        <f t="shared" si="4"/>
        <v>559.64295926</v>
      </c>
      <c r="N14">
        <f t="shared" si="5"/>
        <v>6.2789589599999998</v>
      </c>
      <c r="O14">
        <f t="shared" si="6"/>
        <v>1.7255178600000001</v>
      </c>
    </row>
    <row r="15" spans="1:16" x14ac:dyDescent="0.3">
      <c r="A15">
        <v>2019</v>
      </c>
      <c r="B15" s="4" t="s">
        <v>45</v>
      </c>
      <c r="C15">
        <v>137.35</v>
      </c>
      <c r="D15">
        <v>0.61</v>
      </c>
      <c r="E15">
        <f t="shared" si="0"/>
        <v>70.877951199999998</v>
      </c>
      <c r="F15">
        <v>9</v>
      </c>
      <c r="G15">
        <f t="shared" si="1"/>
        <v>637.90156079999997</v>
      </c>
      <c r="H15">
        <v>325.10000000000002</v>
      </c>
      <c r="I15">
        <f t="shared" si="2"/>
        <v>928613.78082451737</v>
      </c>
      <c r="J15" s="1">
        <v>106.639184</v>
      </c>
      <c r="K15" s="1">
        <v>30.462142</v>
      </c>
      <c r="L15">
        <f t="shared" si="3"/>
        <v>14646.8919224</v>
      </c>
      <c r="M15">
        <f t="shared" si="4"/>
        <v>4183.9752036999998</v>
      </c>
      <c r="N15">
        <f t="shared" si="5"/>
        <v>65.049902239999994</v>
      </c>
      <c r="O15">
        <f t="shared" si="6"/>
        <v>18.581906619999998</v>
      </c>
    </row>
    <row r="16" spans="1:16" x14ac:dyDescent="0.3">
      <c r="A16">
        <v>2019</v>
      </c>
      <c r="B16" s="4" t="s">
        <v>46</v>
      </c>
      <c r="C16">
        <v>60.81</v>
      </c>
      <c r="D16">
        <v>0.24</v>
      </c>
      <c r="E16">
        <f t="shared" si="0"/>
        <v>31.365711600000001</v>
      </c>
      <c r="F16">
        <v>13</v>
      </c>
      <c r="G16">
        <f t="shared" si="1"/>
        <v>407.75425080000002</v>
      </c>
      <c r="H16">
        <v>574.1</v>
      </c>
      <c r="I16">
        <f t="shared" si="2"/>
        <v>1666458.0951612561</v>
      </c>
      <c r="J16" s="1">
        <v>107.474424</v>
      </c>
      <c r="K16" s="1">
        <v>31.214942000000001</v>
      </c>
      <c r="L16">
        <f t="shared" si="3"/>
        <v>6535.5197234400002</v>
      </c>
      <c r="M16">
        <f t="shared" si="4"/>
        <v>1898.1806230200002</v>
      </c>
      <c r="N16">
        <f t="shared" si="5"/>
        <v>25.793861759999999</v>
      </c>
      <c r="O16">
        <f t="shared" si="6"/>
        <v>7.4915860800000003</v>
      </c>
    </row>
    <row r="17" spans="1:15" x14ac:dyDescent="0.3">
      <c r="A17">
        <v>2019</v>
      </c>
      <c r="B17" s="4" t="s">
        <v>47</v>
      </c>
      <c r="C17">
        <v>163.13</v>
      </c>
      <c r="D17">
        <v>0.74</v>
      </c>
      <c r="E17">
        <f t="shared" si="0"/>
        <v>84.188973199999992</v>
      </c>
      <c r="F17">
        <v>7</v>
      </c>
      <c r="G17">
        <f t="shared" si="1"/>
        <v>589.32281239999998</v>
      </c>
      <c r="H17">
        <v>154.1</v>
      </c>
      <c r="I17">
        <f t="shared" si="2"/>
        <v>437777.76294497604</v>
      </c>
      <c r="J17" s="1">
        <v>103.048153</v>
      </c>
      <c r="K17" s="1">
        <v>30.015991</v>
      </c>
      <c r="L17">
        <f t="shared" si="3"/>
        <v>16810.245198889999</v>
      </c>
      <c r="M17">
        <f t="shared" si="4"/>
        <v>4896.5086118299996</v>
      </c>
      <c r="N17">
        <f t="shared" si="5"/>
        <v>76.255633219999993</v>
      </c>
      <c r="O17">
        <f t="shared" si="6"/>
        <v>22.211833339999998</v>
      </c>
    </row>
    <row r="18" spans="1:15" x14ac:dyDescent="0.3">
      <c r="A18">
        <v>2019</v>
      </c>
      <c r="B18" s="4" t="s">
        <v>48</v>
      </c>
      <c r="C18">
        <v>27.08</v>
      </c>
      <c r="D18">
        <v>0.12</v>
      </c>
      <c r="E18">
        <f t="shared" si="0"/>
        <v>13.974204799999999</v>
      </c>
      <c r="F18">
        <v>17</v>
      </c>
      <c r="G18">
        <f t="shared" si="1"/>
        <v>237.56148159999998</v>
      </c>
      <c r="H18">
        <v>331.9</v>
      </c>
      <c r="I18">
        <f t="shared" si="2"/>
        <v>970225.03979824856</v>
      </c>
      <c r="J18" s="1">
        <v>106.754109</v>
      </c>
      <c r="K18" s="1">
        <v>31.873559</v>
      </c>
      <c r="L18">
        <f t="shared" si="3"/>
        <v>2890.9012717199998</v>
      </c>
      <c r="M18">
        <f t="shared" si="4"/>
        <v>863.13597771999991</v>
      </c>
      <c r="N18">
        <f t="shared" si="5"/>
        <v>12.810493079999999</v>
      </c>
      <c r="O18">
        <f t="shared" si="6"/>
        <v>3.8248270799999999</v>
      </c>
    </row>
    <row r="19" spans="1:15" x14ac:dyDescent="0.3">
      <c r="A19">
        <v>2019</v>
      </c>
      <c r="B19" s="4" t="s">
        <v>49</v>
      </c>
      <c r="C19">
        <v>102.86</v>
      </c>
      <c r="D19">
        <v>0.43</v>
      </c>
      <c r="E19">
        <f t="shared" si="0"/>
        <v>53.066728400000002</v>
      </c>
      <c r="F19">
        <v>12</v>
      </c>
      <c r="G19">
        <f t="shared" si="1"/>
        <v>636.80074080000009</v>
      </c>
      <c r="H19">
        <v>250.3</v>
      </c>
      <c r="I19">
        <f t="shared" si="2"/>
        <v>720172.13373484591</v>
      </c>
      <c r="J19" s="1">
        <v>104.633825</v>
      </c>
      <c r="K19" s="1">
        <v>30.135162999999999</v>
      </c>
      <c r="L19">
        <f t="shared" si="3"/>
        <v>10762.635239499999</v>
      </c>
      <c r="M19">
        <f t="shared" si="4"/>
        <v>3099.70286618</v>
      </c>
      <c r="N19">
        <f t="shared" si="5"/>
        <v>44.99254475</v>
      </c>
      <c r="O19">
        <f t="shared" si="6"/>
        <v>12.95812009</v>
      </c>
    </row>
    <row r="20" spans="1:15" x14ac:dyDescent="0.3">
      <c r="A20">
        <v>2019</v>
      </c>
      <c r="B20" s="4" t="s">
        <v>50</v>
      </c>
      <c r="C20">
        <v>124.11</v>
      </c>
      <c r="D20">
        <v>0.75</v>
      </c>
      <c r="E20">
        <f t="shared" si="0"/>
        <v>64.142236800000006</v>
      </c>
      <c r="F20">
        <v>11</v>
      </c>
      <c r="G20">
        <f t="shared" si="1"/>
        <v>705.5646048000001</v>
      </c>
      <c r="H20">
        <v>94.6</v>
      </c>
      <c r="I20">
        <f t="shared" si="2"/>
        <v>270959.66597417626</v>
      </c>
      <c r="J20" s="1">
        <v>102.23090999999999</v>
      </c>
      <c r="K20" s="1">
        <v>31.905656</v>
      </c>
      <c r="L20">
        <f t="shared" si="3"/>
        <v>12687.878240099999</v>
      </c>
      <c r="M20">
        <f t="shared" si="4"/>
        <v>3959.8109661600001</v>
      </c>
      <c r="N20">
        <f t="shared" si="5"/>
        <v>76.673182499999996</v>
      </c>
      <c r="O20">
        <f t="shared" si="6"/>
        <v>23.929242000000002</v>
      </c>
    </row>
    <row r="21" spans="1:15" x14ac:dyDescent="0.3">
      <c r="A21">
        <v>2019</v>
      </c>
      <c r="B21" s="4" t="s">
        <v>51</v>
      </c>
      <c r="C21">
        <v>54.04</v>
      </c>
      <c r="D21">
        <v>0.14000000000000001</v>
      </c>
      <c r="E21">
        <f t="shared" si="0"/>
        <v>27.838132000000002</v>
      </c>
      <c r="F21">
        <v>14</v>
      </c>
      <c r="G21">
        <f t="shared" si="1"/>
        <v>389.73384800000002</v>
      </c>
      <c r="H21">
        <v>119.9</v>
      </c>
      <c r="I21">
        <f t="shared" si="2"/>
        <v>348535.68148299749</v>
      </c>
      <c r="J21" s="1">
        <v>101.968649</v>
      </c>
      <c r="K21" s="1">
        <v>30.055425</v>
      </c>
      <c r="L21">
        <f t="shared" si="3"/>
        <v>5510.3857919599996</v>
      </c>
      <c r="M21">
        <f t="shared" si="4"/>
        <v>1624.1951669999999</v>
      </c>
      <c r="N21">
        <f t="shared" si="5"/>
        <v>14.27561086</v>
      </c>
      <c r="O21">
        <f t="shared" si="6"/>
        <v>4.2077595000000008</v>
      </c>
    </row>
    <row r="22" spans="1:15" x14ac:dyDescent="0.3">
      <c r="A22">
        <v>2019</v>
      </c>
      <c r="B22" s="4" t="s">
        <v>52</v>
      </c>
      <c r="C22">
        <v>9.1</v>
      </c>
      <c r="D22">
        <v>0.02</v>
      </c>
      <c r="E22">
        <f t="shared" si="0"/>
        <v>4.6860303999999999</v>
      </c>
      <c r="F22">
        <v>21</v>
      </c>
      <c r="G22">
        <f t="shared" si="1"/>
        <v>98.406638399999991</v>
      </c>
      <c r="H22">
        <v>492.8</v>
      </c>
      <c r="I22">
        <f t="shared" si="2"/>
        <v>1445988.6789727781</v>
      </c>
      <c r="J22" s="1">
        <v>102.27418900000001</v>
      </c>
      <c r="K22" s="1">
        <v>27.887442</v>
      </c>
      <c r="L22">
        <f t="shared" si="3"/>
        <v>930.69511990000001</v>
      </c>
      <c r="M22">
        <f t="shared" si="4"/>
        <v>253.77572219999999</v>
      </c>
      <c r="N22">
        <f t="shared" si="5"/>
        <v>2.0454837800000001</v>
      </c>
      <c r="O22">
        <f t="shared" si="6"/>
        <v>0.55774884000000002</v>
      </c>
    </row>
    <row r="23" spans="1:15" x14ac:dyDescent="0.3">
      <c r="B23" t="s">
        <v>13</v>
      </c>
      <c r="C23">
        <f>SUM(C2:C22)</f>
        <v>202379.35</v>
      </c>
      <c r="D23">
        <f>SUM(D2:D22)</f>
        <v>414.79999999999995</v>
      </c>
      <c r="E23">
        <f>AVERAGE(E2:E22)</f>
        <v>4961.9210930476193</v>
      </c>
      <c r="F23" t="s">
        <v>9</v>
      </c>
      <c r="G23">
        <f>SUM(G2:G22)</f>
        <v>114282.09091120001</v>
      </c>
      <c r="H23">
        <f>SUM(H2:H22)</f>
        <v>8375</v>
      </c>
      <c r="I23">
        <f>SUM(I2:I22)</f>
        <v>1813521674.1443276</v>
      </c>
      <c r="L23">
        <f>SUM(L2:L22)</f>
        <v>21061435.001861311</v>
      </c>
      <c r="M23">
        <f>SUM(M2:M22)</f>
        <v>6182263.6406850219</v>
      </c>
      <c r="N23">
        <f>SUM(N2:N22)</f>
        <v>43163.538640010011</v>
      </c>
      <c r="O23">
        <f>SUM(O2:O22)</f>
        <v>12654.887529379997</v>
      </c>
    </row>
    <row r="24" spans="1:15" x14ac:dyDescent="0.3">
      <c r="E24" t="s">
        <v>14</v>
      </c>
      <c r="H24" t="s">
        <v>11</v>
      </c>
      <c r="I24" t="s">
        <v>11</v>
      </c>
    </row>
    <row r="25" spans="1:15" x14ac:dyDescent="0.3">
      <c r="A25" t="s">
        <v>8</v>
      </c>
      <c r="B25">
        <f>E2-E22</f>
        <v>100176.0015712</v>
      </c>
      <c r="C25" t="s">
        <v>10</v>
      </c>
      <c r="D25">
        <f>1+1/21-G23/(21*21*E23)</f>
        <v>0.99539269044182443</v>
      </c>
      <c r="E25" t="s">
        <v>12</v>
      </c>
      <c r="F25">
        <f>SQRT(I23)/E23</f>
        <v>8.5824547347936431</v>
      </c>
    </row>
    <row r="26" spans="1:15" x14ac:dyDescent="0.3">
      <c r="K26" t="s">
        <v>15</v>
      </c>
      <c r="L26">
        <f>L23/C23</f>
        <v>104.06909105035326</v>
      </c>
      <c r="M26">
        <f>M23/C23</f>
        <v>30.547897503796815</v>
      </c>
      <c r="N26">
        <f>N23/D23</f>
        <v>104.05867560272424</v>
      </c>
      <c r="O26">
        <f>O23/D23</f>
        <v>30.50840773717454</v>
      </c>
    </row>
    <row r="29" spans="1:15" x14ac:dyDescent="0.3">
      <c r="A29" t="s">
        <v>0</v>
      </c>
    </row>
    <row r="30" spans="1:15" x14ac:dyDescent="0.3">
      <c r="A30" t="s">
        <v>1</v>
      </c>
      <c r="B30" t="s">
        <v>2</v>
      </c>
      <c r="C30" t="s">
        <v>3</v>
      </c>
      <c r="D30" t="s">
        <v>4</v>
      </c>
    </row>
    <row r="31" spans="1:15" x14ac:dyDescent="0.3">
      <c r="A31" t="s">
        <v>6</v>
      </c>
      <c r="B31">
        <v>7.1999999999999995E-2</v>
      </c>
      <c r="C31">
        <v>0.92800000000000005</v>
      </c>
      <c r="D31">
        <v>51.387999999999998</v>
      </c>
    </row>
    <row r="32" spans="1:15" x14ac:dyDescent="0.3">
      <c r="A32" t="s">
        <v>5</v>
      </c>
      <c r="B32">
        <v>0.122</v>
      </c>
      <c r="C32">
        <v>0.878</v>
      </c>
      <c r="D32">
        <v>48.612000000000002</v>
      </c>
    </row>
  </sheetData>
  <sortState xmlns:xlrd2="http://schemas.microsoft.com/office/spreadsheetml/2017/richdata2" ref="A2:I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D44F-6A8A-4A97-8BF6-E7B64774D5B7}">
  <dimension ref="A1:P32"/>
  <sheetViews>
    <sheetView workbookViewId="0">
      <selection sqref="A1:XFD1"/>
    </sheetView>
  </sheetViews>
  <sheetFormatPr defaultRowHeight="14" x14ac:dyDescent="0.3"/>
  <sheetData>
    <row r="1" spans="1:16" x14ac:dyDescent="0.3">
      <c r="A1" s="1" t="s">
        <v>53</v>
      </c>
      <c r="B1" s="4" t="s">
        <v>54</v>
      </c>
      <c r="C1" t="s">
        <v>56</v>
      </c>
      <c r="D1" t="s">
        <v>18</v>
      </c>
      <c r="E1" t="s">
        <v>19</v>
      </c>
      <c r="F1" t="s">
        <v>57</v>
      </c>
      <c r="G1" t="s">
        <v>22</v>
      </c>
      <c r="H1" t="s">
        <v>58</v>
      </c>
      <c r="I1" t="s">
        <v>59</v>
      </c>
      <c r="J1" t="s">
        <v>26</v>
      </c>
      <c r="K1" t="s">
        <v>28</v>
      </c>
      <c r="L1" s="8" t="s">
        <v>29</v>
      </c>
      <c r="M1" s="8"/>
      <c r="N1" s="8" t="s">
        <v>30</v>
      </c>
      <c r="O1" s="8"/>
      <c r="P1" t="s">
        <v>31</v>
      </c>
    </row>
    <row r="2" spans="1:16" x14ac:dyDescent="0.3">
      <c r="A2">
        <v>2020</v>
      </c>
      <c r="B2" s="4" t="s">
        <v>32</v>
      </c>
      <c r="C2">
        <v>4426.3999999999996</v>
      </c>
      <c r="D2">
        <v>23.31</v>
      </c>
      <c r="E2">
        <f t="shared" ref="E2:E22" si="0">D2*0.49399+C2*0.50601</f>
        <v>2251.3175708999997</v>
      </c>
      <c r="F2">
        <v>1</v>
      </c>
      <c r="G2">
        <f t="shared" ref="G2:G22" si="1">E2*F2</f>
        <v>2251.3175708999997</v>
      </c>
      <c r="H2">
        <v>2094.6999999999998</v>
      </c>
      <c r="I2">
        <f t="shared" ref="I2:I22" si="2">(E2-113.3397)*(E2-113.3397)*H2/8371</f>
        <v>1143802.13342095</v>
      </c>
      <c r="J2" s="1">
        <v>104.07274200000001</v>
      </c>
      <c r="K2" s="1">
        <v>30.578983999999998</v>
      </c>
      <c r="L2">
        <f>C2*J2</f>
        <v>460667.5851888</v>
      </c>
      <c r="M2">
        <f>C2*K2</f>
        <v>135354.81477759997</v>
      </c>
      <c r="N2">
        <f>D2*J2</f>
        <v>2425.93561602</v>
      </c>
      <c r="O2">
        <f>D2*K2</f>
        <v>712.7961170399999</v>
      </c>
      <c r="P2">
        <f>E2/113.3397</f>
        <v>19.863450943491113</v>
      </c>
    </row>
    <row r="3" spans="1:16" x14ac:dyDescent="0.3">
      <c r="A3">
        <v>2020</v>
      </c>
      <c r="B3" s="4" t="s">
        <v>33</v>
      </c>
      <c r="C3">
        <v>4.9000000000000004</v>
      </c>
      <c r="D3">
        <v>0.02</v>
      </c>
      <c r="E3">
        <f t="shared" si="0"/>
        <v>2.4893288</v>
      </c>
      <c r="F3">
        <v>11</v>
      </c>
      <c r="G3">
        <f t="shared" si="1"/>
        <v>27.382616800000001</v>
      </c>
      <c r="H3">
        <v>249</v>
      </c>
      <c r="I3">
        <f t="shared" si="2"/>
        <v>365.5075133197073</v>
      </c>
      <c r="J3" s="1">
        <v>104.785532</v>
      </c>
      <c r="K3" s="1">
        <v>29.345369999999999</v>
      </c>
      <c r="L3">
        <f t="shared" ref="L3:L22" si="3">C3*J3</f>
        <v>513.4491068000001</v>
      </c>
      <c r="M3">
        <f t="shared" ref="M3:M22" si="4">C3*K3</f>
        <v>143.79231300000001</v>
      </c>
      <c r="N3">
        <f t="shared" ref="N3:N22" si="5">D3*J3</f>
        <v>2.0957106400000001</v>
      </c>
      <c r="O3">
        <f t="shared" ref="O3:O22" si="6">D3*K3</f>
        <v>0.58690739999999997</v>
      </c>
      <c r="P3">
        <f t="shared" ref="P3:P22" si="7">E3/113.3397</f>
        <v>2.1963432054258131E-2</v>
      </c>
    </row>
    <row r="4" spans="1:16" x14ac:dyDescent="0.3">
      <c r="A4">
        <v>2020</v>
      </c>
      <c r="B4" s="4" t="s">
        <v>34</v>
      </c>
      <c r="C4">
        <v>1.06</v>
      </c>
      <c r="D4">
        <v>0.01</v>
      </c>
      <c r="E4">
        <f t="shared" si="0"/>
        <v>0.54131050000000003</v>
      </c>
      <c r="F4">
        <v>21</v>
      </c>
      <c r="G4">
        <f t="shared" si="1"/>
        <v>11.367520500000001</v>
      </c>
      <c r="H4">
        <v>121.3</v>
      </c>
      <c r="I4">
        <f t="shared" si="2"/>
        <v>184.36957598031023</v>
      </c>
      <c r="J4" s="1">
        <v>101.72505</v>
      </c>
      <c r="K4" s="1">
        <v>26.588200000000001</v>
      </c>
      <c r="L4">
        <f t="shared" si="3"/>
        <v>107.828553</v>
      </c>
      <c r="M4">
        <f t="shared" si="4"/>
        <v>28.183492000000001</v>
      </c>
      <c r="N4">
        <f t="shared" si="5"/>
        <v>1.0172505000000001</v>
      </c>
      <c r="O4">
        <f t="shared" si="6"/>
        <v>0.26588200000000001</v>
      </c>
      <c r="P4">
        <f t="shared" si="7"/>
        <v>4.7760008187775335E-3</v>
      </c>
    </row>
    <row r="5" spans="1:16" x14ac:dyDescent="0.3">
      <c r="A5">
        <v>2020</v>
      </c>
      <c r="B5" s="4" t="s">
        <v>35</v>
      </c>
      <c r="C5">
        <v>6.55</v>
      </c>
      <c r="D5">
        <v>0.04</v>
      </c>
      <c r="E5">
        <f t="shared" si="0"/>
        <v>3.3341250999999996</v>
      </c>
      <c r="F5">
        <v>8</v>
      </c>
      <c r="G5">
        <f t="shared" si="1"/>
        <v>26.673000799999997</v>
      </c>
      <c r="H5">
        <v>425.6</v>
      </c>
      <c r="I5">
        <f t="shared" si="2"/>
        <v>615.25289717647115</v>
      </c>
      <c r="J5" s="1">
        <v>105.448463</v>
      </c>
      <c r="K5" s="1">
        <v>28.876978000000001</v>
      </c>
      <c r="L5">
        <f t="shared" si="3"/>
        <v>690.68743265000001</v>
      </c>
      <c r="M5">
        <f t="shared" si="4"/>
        <v>189.1442059</v>
      </c>
      <c r="N5">
        <f t="shared" si="5"/>
        <v>4.2179385200000006</v>
      </c>
      <c r="O5">
        <f t="shared" si="6"/>
        <v>1.1550791200000001</v>
      </c>
      <c r="P5">
        <f t="shared" si="7"/>
        <v>2.941709833359361E-2</v>
      </c>
    </row>
    <row r="6" spans="1:16" x14ac:dyDescent="0.3">
      <c r="A6">
        <v>2020</v>
      </c>
      <c r="B6" s="4" t="s">
        <v>36</v>
      </c>
      <c r="C6">
        <v>14.79</v>
      </c>
      <c r="D6">
        <v>0.02</v>
      </c>
      <c r="E6">
        <f t="shared" si="0"/>
        <v>7.4937676999999994</v>
      </c>
      <c r="F6">
        <v>4</v>
      </c>
      <c r="G6">
        <f t="shared" si="1"/>
        <v>29.975070799999997</v>
      </c>
      <c r="H6">
        <v>345.7</v>
      </c>
      <c r="I6">
        <f t="shared" si="2"/>
        <v>462.66897988370579</v>
      </c>
      <c r="J6" s="1">
        <v>104.40422700000001</v>
      </c>
      <c r="K6" s="1">
        <v>31.133751</v>
      </c>
      <c r="L6">
        <f t="shared" si="3"/>
        <v>1544.13851733</v>
      </c>
      <c r="M6">
        <f t="shared" si="4"/>
        <v>460.46817728999997</v>
      </c>
      <c r="N6">
        <f t="shared" si="5"/>
        <v>2.0880845400000001</v>
      </c>
      <c r="O6">
        <f t="shared" si="6"/>
        <v>0.62267501999999997</v>
      </c>
      <c r="P6">
        <f t="shared" si="7"/>
        <v>6.6117765443176574E-2</v>
      </c>
    </row>
    <row r="7" spans="1:16" x14ac:dyDescent="0.3">
      <c r="A7">
        <v>2020</v>
      </c>
      <c r="B7" s="4" t="s">
        <v>37</v>
      </c>
      <c r="C7">
        <v>106.88</v>
      </c>
      <c r="D7">
        <v>0.56999999999999995</v>
      </c>
      <c r="E7">
        <f t="shared" si="0"/>
        <v>54.363923099999994</v>
      </c>
      <c r="F7">
        <v>2</v>
      </c>
      <c r="G7">
        <f t="shared" si="1"/>
        <v>108.72784619999999</v>
      </c>
      <c r="H7">
        <v>487.1</v>
      </c>
      <c r="I7">
        <f t="shared" si="2"/>
        <v>202.38957057853554</v>
      </c>
      <c r="J7" s="1">
        <v>104.685653</v>
      </c>
      <c r="K7" s="1">
        <v>31.473462000000001</v>
      </c>
      <c r="L7">
        <f t="shared" si="3"/>
        <v>11188.802592640001</v>
      </c>
      <c r="M7">
        <f t="shared" si="4"/>
        <v>3363.8836185599998</v>
      </c>
      <c r="N7">
        <f t="shared" si="5"/>
        <v>59.670822209999997</v>
      </c>
      <c r="O7">
        <f t="shared" si="6"/>
        <v>17.939873339999998</v>
      </c>
      <c r="P7">
        <f t="shared" si="7"/>
        <v>0.47965472910198276</v>
      </c>
    </row>
    <row r="8" spans="1:16" x14ac:dyDescent="0.3">
      <c r="A8">
        <v>2020</v>
      </c>
      <c r="B8" s="4" t="s">
        <v>38</v>
      </c>
      <c r="C8">
        <v>4.99</v>
      </c>
      <c r="D8">
        <v>0.03</v>
      </c>
      <c r="E8">
        <f t="shared" si="0"/>
        <v>2.5398095999999999</v>
      </c>
      <c r="F8">
        <v>10</v>
      </c>
      <c r="G8">
        <f t="shared" si="1"/>
        <v>25.398095999999999</v>
      </c>
      <c r="H8">
        <v>230.7</v>
      </c>
      <c r="I8">
        <f t="shared" si="2"/>
        <v>338.33654819123387</v>
      </c>
      <c r="J8" s="1">
        <v>105.850532</v>
      </c>
      <c r="K8" s="1">
        <v>32.442338999999997</v>
      </c>
      <c r="L8">
        <f t="shared" si="3"/>
        <v>528.19415468</v>
      </c>
      <c r="M8">
        <f t="shared" si="4"/>
        <v>161.88727161</v>
      </c>
      <c r="N8">
        <f t="shared" si="5"/>
        <v>3.1755159599999998</v>
      </c>
      <c r="O8">
        <f t="shared" si="6"/>
        <v>0.97327016999999982</v>
      </c>
      <c r="P8">
        <f t="shared" si="7"/>
        <v>2.2408825857135672E-2</v>
      </c>
    </row>
    <row r="9" spans="1:16" x14ac:dyDescent="0.3">
      <c r="A9">
        <v>2020</v>
      </c>
      <c r="B9" s="4" t="s">
        <v>39</v>
      </c>
      <c r="C9">
        <v>3.65</v>
      </c>
      <c r="D9">
        <v>0.01</v>
      </c>
      <c r="E9">
        <f t="shared" si="0"/>
        <v>1.8518763999999999</v>
      </c>
      <c r="F9">
        <v>12</v>
      </c>
      <c r="G9">
        <f t="shared" si="1"/>
        <v>22.222516799999998</v>
      </c>
      <c r="H9">
        <v>281.5</v>
      </c>
      <c r="I9">
        <f t="shared" si="2"/>
        <v>417.98041444447711</v>
      </c>
      <c r="J9" s="1">
        <v>105.599143</v>
      </c>
      <c r="K9" s="1">
        <v>30.539141000000001</v>
      </c>
      <c r="L9">
        <f t="shared" si="3"/>
        <v>385.43687195000001</v>
      </c>
      <c r="M9">
        <f t="shared" si="4"/>
        <v>111.46786465</v>
      </c>
      <c r="N9">
        <f t="shared" si="5"/>
        <v>1.05599143</v>
      </c>
      <c r="O9">
        <f t="shared" si="6"/>
        <v>0.30539141000000003</v>
      </c>
      <c r="P9">
        <f t="shared" si="7"/>
        <v>1.6339168005562042E-2</v>
      </c>
    </row>
    <row r="10" spans="1:16" x14ac:dyDescent="0.3">
      <c r="A10">
        <v>2020</v>
      </c>
      <c r="B10" s="4" t="s">
        <v>40</v>
      </c>
      <c r="C10">
        <v>1.93</v>
      </c>
      <c r="D10">
        <v>0.01</v>
      </c>
      <c r="E10">
        <f t="shared" si="0"/>
        <v>0.98153919999999983</v>
      </c>
      <c r="F10">
        <v>17</v>
      </c>
      <c r="G10">
        <f t="shared" si="1"/>
        <v>16.686166399999998</v>
      </c>
      <c r="H10">
        <v>314.2</v>
      </c>
      <c r="I10">
        <f t="shared" si="2"/>
        <v>473.84694169684497</v>
      </c>
      <c r="J10" s="1">
        <v>105.064564</v>
      </c>
      <c r="K10" s="1">
        <v>29.585822</v>
      </c>
      <c r="L10">
        <f t="shared" si="3"/>
        <v>202.77460852000002</v>
      </c>
      <c r="M10">
        <f t="shared" si="4"/>
        <v>57.100636459999997</v>
      </c>
      <c r="N10">
        <f t="shared" si="5"/>
        <v>1.0506456400000002</v>
      </c>
      <c r="O10">
        <f t="shared" si="6"/>
        <v>0.29585822000000001</v>
      </c>
      <c r="P10">
        <f t="shared" si="7"/>
        <v>8.6601535031414403E-3</v>
      </c>
    </row>
    <row r="11" spans="1:16" x14ac:dyDescent="0.3">
      <c r="A11">
        <v>2020</v>
      </c>
      <c r="B11" s="4" t="s">
        <v>41</v>
      </c>
      <c r="C11">
        <v>60.41</v>
      </c>
      <c r="D11">
        <v>0.4</v>
      </c>
      <c r="E11">
        <f t="shared" si="0"/>
        <v>30.765660099999998</v>
      </c>
      <c r="F11">
        <v>3</v>
      </c>
      <c r="G11">
        <f t="shared" si="1"/>
        <v>92.296980300000001</v>
      </c>
      <c r="H11">
        <v>316.10000000000002</v>
      </c>
      <c r="I11">
        <f t="shared" si="2"/>
        <v>257.47449765560714</v>
      </c>
      <c r="J11" s="1">
        <v>103.772521</v>
      </c>
      <c r="K11" s="1">
        <v>29.558285000000001</v>
      </c>
      <c r="L11">
        <f t="shared" si="3"/>
        <v>6268.8979936099995</v>
      </c>
      <c r="M11">
        <f t="shared" si="4"/>
        <v>1785.6159968500001</v>
      </c>
      <c r="N11">
        <f t="shared" si="5"/>
        <v>41.509008399999999</v>
      </c>
      <c r="O11">
        <f t="shared" si="6"/>
        <v>11.823314000000002</v>
      </c>
      <c r="P11">
        <f t="shared" si="7"/>
        <v>0.27144645786074961</v>
      </c>
    </row>
    <row r="12" spans="1:16" x14ac:dyDescent="0.3">
      <c r="A12">
        <v>2020</v>
      </c>
      <c r="B12" s="4" t="s">
        <v>42</v>
      </c>
      <c r="C12">
        <v>6.08</v>
      </c>
      <c r="D12">
        <v>0.03</v>
      </c>
      <c r="E12">
        <f t="shared" si="0"/>
        <v>3.0913604999999995</v>
      </c>
      <c r="F12">
        <v>9</v>
      </c>
      <c r="G12">
        <f t="shared" si="1"/>
        <v>27.822244499999996</v>
      </c>
      <c r="H12">
        <v>561</v>
      </c>
      <c r="I12">
        <f t="shared" si="2"/>
        <v>814.57229236251021</v>
      </c>
      <c r="J12" s="1">
        <v>106.11712300000001</v>
      </c>
      <c r="K12" s="1">
        <v>30.843219999999999</v>
      </c>
      <c r="L12">
        <f t="shared" si="3"/>
        <v>645.19210784000006</v>
      </c>
      <c r="M12">
        <f t="shared" si="4"/>
        <v>187.5267776</v>
      </c>
      <c r="N12">
        <f t="shared" si="5"/>
        <v>3.1835136900000003</v>
      </c>
      <c r="O12">
        <f t="shared" si="6"/>
        <v>0.92529659999999991</v>
      </c>
      <c r="P12">
        <f t="shared" si="7"/>
        <v>2.7275178070878956E-2</v>
      </c>
    </row>
    <row r="13" spans="1:16" x14ac:dyDescent="0.3">
      <c r="A13">
        <v>2020</v>
      </c>
      <c r="B13" s="4" t="s">
        <v>43</v>
      </c>
      <c r="C13">
        <v>2.02</v>
      </c>
      <c r="D13">
        <v>0.01</v>
      </c>
      <c r="E13">
        <f t="shared" si="0"/>
        <v>1.0270801000000001</v>
      </c>
      <c r="F13">
        <v>16</v>
      </c>
      <c r="G13">
        <f t="shared" si="1"/>
        <v>16.433281600000001</v>
      </c>
      <c r="H13">
        <v>295.60000000000002</v>
      </c>
      <c r="I13">
        <f t="shared" si="2"/>
        <v>445.43486183847023</v>
      </c>
      <c r="J13" s="1">
        <v>103.854991</v>
      </c>
      <c r="K13" s="1">
        <v>30.082841999999999</v>
      </c>
      <c r="L13">
        <f t="shared" si="3"/>
        <v>209.78708182</v>
      </c>
      <c r="M13">
        <f t="shared" si="4"/>
        <v>60.767340840000003</v>
      </c>
      <c r="N13">
        <f t="shared" si="5"/>
        <v>1.03854991</v>
      </c>
      <c r="O13">
        <f t="shared" si="6"/>
        <v>0.30082841999999999</v>
      </c>
      <c r="P13">
        <f t="shared" si="7"/>
        <v>9.0619624015239146E-3</v>
      </c>
    </row>
    <row r="14" spans="1:16" x14ac:dyDescent="0.3">
      <c r="A14">
        <v>2020</v>
      </c>
      <c r="B14" s="4" t="s">
        <v>44</v>
      </c>
      <c r="C14">
        <v>1.37</v>
      </c>
      <c r="D14">
        <v>0.01</v>
      </c>
      <c r="E14">
        <f t="shared" si="0"/>
        <v>0.69817359999999995</v>
      </c>
      <c r="F14">
        <v>20</v>
      </c>
      <c r="G14">
        <f t="shared" si="1"/>
        <v>13.963471999999999</v>
      </c>
      <c r="H14">
        <v>459.1</v>
      </c>
      <c r="I14">
        <f t="shared" si="2"/>
        <v>695.86822290638179</v>
      </c>
      <c r="J14" s="1">
        <v>104.649316</v>
      </c>
      <c r="K14" s="1">
        <v>28.758631000000001</v>
      </c>
      <c r="L14">
        <f t="shared" si="3"/>
        <v>143.36956292000002</v>
      </c>
      <c r="M14">
        <f t="shared" si="4"/>
        <v>39.399324470000003</v>
      </c>
      <c r="N14">
        <f t="shared" si="5"/>
        <v>1.04649316</v>
      </c>
      <c r="O14">
        <f t="shared" si="6"/>
        <v>0.28758631000000001</v>
      </c>
      <c r="P14">
        <f t="shared" si="7"/>
        <v>6.1600092465393854E-3</v>
      </c>
    </row>
    <row r="15" spans="1:16" x14ac:dyDescent="0.3">
      <c r="A15">
        <v>2020</v>
      </c>
      <c r="B15" s="4" t="s">
        <v>45</v>
      </c>
      <c r="C15">
        <v>0.74</v>
      </c>
      <c r="D15">
        <v>0.66</v>
      </c>
      <c r="E15">
        <f t="shared" si="0"/>
        <v>0.70048080000000001</v>
      </c>
      <c r="F15">
        <v>19</v>
      </c>
      <c r="G15">
        <f t="shared" si="1"/>
        <v>13.3091352</v>
      </c>
      <c r="H15">
        <v>325.60000000000002</v>
      </c>
      <c r="I15">
        <f t="shared" si="2"/>
        <v>493.49904543860077</v>
      </c>
      <c r="J15" s="1">
        <v>106.639184</v>
      </c>
      <c r="K15" s="1">
        <v>30.462142</v>
      </c>
      <c r="L15">
        <f t="shared" si="3"/>
        <v>78.912996160000006</v>
      </c>
      <c r="M15">
        <f t="shared" si="4"/>
        <v>22.54198508</v>
      </c>
      <c r="N15">
        <f t="shared" si="5"/>
        <v>70.381861440000009</v>
      </c>
      <c r="O15">
        <f t="shared" si="6"/>
        <v>20.105013720000002</v>
      </c>
      <c r="P15">
        <f t="shared" si="7"/>
        <v>6.1803657500416895E-3</v>
      </c>
    </row>
    <row r="16" spans="1:16" x14ac:dyDescent="0.3">
      <c r="A16">
        <v>2020</v>
      </c>
      <c r="B16" s="4" t="s">
        <v>46</v>
      </c>
      <c r="C16">
        <v>2.34</v>
      </c>
      <c r="D16">
        <v>0.01</v>
      </c>
      <c r="E16">
        <f t="shared" si="0"/>
        <v>1.1890033</v>
      </c>
      <c r="F16">
        <v>14</v>
      </c>
      <c r="G16">
        <f t="shared" si="1"/>
        <v>16.646046200000001</v>
      </c>
      <c r="H16">
        <v>538.70000000000005</v>
      </c>
      <c r="I16">
        <f t="shared" si="2"/>
        <v>809.41935534083473</v>
      </c>
      <c r="J16" s="1">
        <v>107.474424</v>
      </c>
      <c r="K16" s="1">
        <v>31.214942000000001</v>
      </c>
      <c r="L16">
        <f t="shared" si="3"/>
        <v>251.49015215999998</v>
      </c>
      <c r="M16">
        <f t="shared" si="4"/>
        <v>73.042964279999993</v>
      </c>
      <c r="N16">
        <f t="shared" si="5"/>
        <v>1.07474424</v>
      </c>
      <c r="O16">
        <f t="shared" si="6"/>
        <v>0.31214942000000001</v>
      </c>
      <c r="P16">
        <f t="shared" si="7"/>
        <v>1.0490616262439375E-2</v>
      </c>
    </row>
    <row r="17" spans="1:16" x14ac:dyDescent="0.3">
      <c r="A17">
        <v>2020</v>
      </c>
      <c r="B17" s="4" t="s">
        <v>47</v>
      </c>
      <c r="C17">
        <v>6.9</v>
      </c>
      <c r="D17">
        <v>0.04</v>
      </c>
      <c r="E17">
        <f t="shared" si="0"/>
        <v>3.5112285999999999</v>
      </c>
      <c r="F17">
        <v>7</v>
      </c>
      <c r="G17">
        <f t="shared" si="1"/>
        <v>24.5786002</v>
      </c>
      <c r="H17">
        <v>143.6</v>
      </c>
      <c r="I17">
        <f t="shared" si="2"/>
        <v>206.92214711225716</v>
      </c>
      <c r="J17" s="1">
        <v>103.048153</v>
      </c>
      <c r="K17" s="1">
        <v>30.015991</v>
      </c>
      <c r="L17">
        <f t="shared" si="3"/>
        <v>711.03225570000006</v>
      </c>
      <c r="M17">
        <f t="shared" si="4"/>
        <v>207.11033790000002</v>
      </c>
      <c r="N17">
        <f t="shared" si="5"/>
        <v>4.1219261200000004</v>
      </c>
      <c r="O17">
        <f t="shared" si="6"/>
        <v>1.2006396400000001</v>
      </c>
      <c r="P17">
        <f t="shared" si="7"/>
        <v>3.0979688493969898E-2</v>
      </c>
    </row>
    <row r="18" spans="1:16" x14ac:dyDescent="0.3">
      <c r="A18">
        <v>2020</v>
      </c>
      <c r="B18" s="4" t="s">
        <v>48</v>
      </c>
      <c r="C18">
        <v>2.2200000000000002</v>
      </c>
      <c r="D18">
        <v>0.01</v>
      </c>
      <c r="E18">
        <f t="shared" si="0"/>
        <v>1.1282821000000001</v>
      </c>
      <c r="F18">
        <v>15</v>
      </c>
      <c r="G18">
        <f t="shared" si="1"/>
        <v>16.924231500000001</v>
      </c>
      <c r="H18">
        <v>271.39999999999998</v>
      </c>
      <c r="I18">
        <f t="shared" si="2"/>
        <v>408.23158358077382</v>
      </c>
      <c r="J18" s="1">
        <v>106.754109</v>
      </c>
      <c r="K18" s="1">
        <v>31.873559</v>
      </c>
      <c r="L18">
        <f t="shared" si="3"/>
        <v>236.99412198000002</v>
      </c>
      <c r="M18">
        <f t="shared" si="4"/>
        <v>70.759300980000006</v>
      </c>
      <c r="N18">
        <f t="shared" si="5"/>
        <v>1.06754109</v>
      </c>
      <c r="O18">
        <f t="shared" si="6"/>
        <v>0.31873559000000001</v>
      </c>
      <c r="P18">
        <f t="shared" si="7"/>
        <v>9.954871064596079E-3</v>
      </c>
    </row>
    <row r="19" spans="1:16" x14ac:dyDescent="0.3">
      <c r="A19">
        <v>2020</v>
      </c>
      <c r="B19" s="4" t="s">
        <v>49</v>
      </c>
      <c r="C19">
        <v>1.86</v>
      </c>
      <c r="D19">
        <v>0.01</v>
      </c>
      <c r="E19">
        <f t="shared" si="0"/>
        <v>0.94611849999999997</v>
      </c>
      <c r="F19">
        <v>18</v>
      </c>
      <c r="G19">
        <f t="shared" si="1"/>
        <v>17.030132999999999</v>
      </c>
      <c r="H19">
        <v>231</v>
      </c>
      <c r="I19">
        <f t="shared" si="2"/>
        <v>348.59219502015759</v>
      </c>
      <c r="J19" s="1">
        <v>104.633825</v>
      </c>
      <c r="K19" s="1">
        <v>30.135162999999999</v>
      </c>
      <c r="L19">
        <f t="shared" si="3"/>
        <v>194.61891450000002</v>
      </c>
      <c r="M19">
        <f t="shared" si="4"/>
        <v>56.051403180000001</v>
      </c>
      <c r="N19">
        <f t="shared" si="5"/>
        <v>1.04633825</v>
      </c>
      <c r="O19">
        <f t="shared" si="6"/>
        <v>0.30135162999999998</v>
      </c>
      <c r="P19">
        <f t="shared" si="7"/>
        <v>8.3476354710661851E-3</v>
      </c>
    </row>
    <row r="20" spans="1:16" x14ac:dyDescent="0.3">
      <c r="A20">
        <v>2020</v>
      </c>
      <c r="B20" s="4" t="s">
        <v>50</v>
      </c>
      <c r="C20">
        <v>2.48</v>
      </c>
      <c r="D20">
        <v>0.02</v>
      </c>
      <c r="E20">
        <f t="shared" si="0"/>
        <v>1.2647845999999998</v>
      </c>
      <c r="F20">
        <v>13</v>
      </c>
      <c r="G20">
        <f t="shared" si="1"/>
        <v>16.442199799999997</v>
      </c>
      <c r="H20">
        <v>82.3</v>
      </c>
      <c r="I20">
        <f t="shared" si="2"/>
        <v>123.49214457959407</v>
      </c>
      <c r="J20" s="1">
        <v>102.23090999999999</v>
      </c>
      <c r="K20" s="1">
        <v>31.905656</v>
      </c>
      <c r="L20">
        <f t="shared" si="3"/>
        <v>253.53265679999998</v>
      </c>
      <c r="M20">
        <f t="shared" si="4"/>
        <v>79.126026879999998</v>
      </c>
      <c r="N20">
        <f t="shared" si="5"/>
        <v>2.0446181999999999</v>
      </c>
      <c r="O20">
        <f t="shared" si="6"/>
        <v>0.63811311999999998</v>
      </c>
      <c r="P20">
        <f t="shared" si="7"/>
        <v>1.1159237231084959E-2</v>
      </c>
    </row>
    <row r="21" spans="1:16" x14ac:dyDescent="0.3">
      <c r="A21">
        <v>2020</v>
      </c>
      <c r="B21" s="4" t="s">
        <v>51</v>
      </c>
      <c r="C21">
        <v>9.42</v>
      </c>
      <c r="D21">
        <v>0.03</v>
      </c>
      <c r="E21">
        <f t="shared" si="0"/>
        <v>4.7814338999999997</v>
      </c>
      <c r="F21">
        <v>6</v>
      </c>
      <c r="G21">
        <f t="shared" si="1"/>
        <v>28.688603399999998</v>
      </c>
      <c r="H21">
        <v>110.8</v>
      </c>
      <c r="I21">
        <f t="shared" si="2"/>
        <v>155.98693142529396</v>
      </c>
      <c r="J21" s="1">
        <v>101.968649</v>
      </c>
      <c r="K21" s="1">
        <v>30.055425</v>
      </c>
      <c r="L21">
        <f t="shared" si="3"/>
        <v>960.54467357999999</v>
      </c>
      <c r="M21">
        <f t="shared" si="4"/>
        <v>283.12210349999998</v>
      </c>
      <c r="N21">
        <f t="shared" si="5"/>
        <v>3.0590594699999998</v>
      </c>
      <c r="O21">
        <f t="shared" si="6"/>
        <v>0.90166274999999996</v>
      </c>
      <c r="P21">
        <f t="shared" si="7"/>
        <v>4.2186752744184076E-2</v>
      </c>
    </row>
    <row r="22" spans="1:16" x14ac:dyDescent="0.3">
      <c r="A22">
        <v>2020</v>
      </c>
      <c r="B22" s="4" t="s">
        <v>52</v>
      </c>
      <c r="C22">
        <v>12.07</v>
      </c>
      <c r="D22">
        <v>0.02</v>
      </c>
      <c r="E22">
        <f t="shared" si="0"/>
        <v>6.1174204999999997</v>
      </c>
      <c r="F22">
        <v>5</v>
      </c>
      <c r="G22">
        <f t="shared" si="1"/>
        <v>30.5871025</v>
      </c>
      <c r="H22">
        <v>486</v>
      </c>
      <c r="I22">
        <f t="shared" si="2"/>
        <v>667.46577105382801</v>
      </c>
      <c r="J22" s="1">
        <v>102.27418900000001</v>
      </c>
      <c r="K22" s="1">
        <v>27.887442</v>
      </c>
      <c r="L22">
        <f t="shared" si="3"/>
        <v>1234.4494612300002</v>
      </c>
      <c r="M22">
        <f t="shared" si="4"/>
        <v>336.60142494000002</v>
      </c>
      <c r="N22">
        <f t="shared" si="5"/>
        <v>2.0454837800000001</v>
      </c>
      <c r="O22">
        <f t="shared" si="6"/>
        <v>0.55774884000000002</v>
      </c>
      <c r="P22">
        <f t="shared" si="7"/>
        <v>5.3974207625395162E-2</v>
      </c>
    </row>
    <row r="23" spans="1:16" x14ac:dyDescent="0.3">
      <c r="B23" t="s">
        <v>13</v>
      </c>
      <c r="C23">
        <f>SUM(C2:C22)</f>
        <v>4679.0599999999986</v>
      </c>
      <c r="D23">
        <f>SUM(D2:D22)</f>
        <v>25.27000000000001</v>
      </c>
      <c r="E23">
        <f>AVERAGE(E2:E22)</f>
        <v>113.3397275190476</v>
      </c>
      <c r="F23" t="s">
        <v>9</v>
      </c>
      <c r="G23">
        <f>SUM(G2:G22)</f>
        <v>2834.4724354</v>
      </c>
      <c r="H23">
        <f>SUM(H2:H22)</f>
        <v>8371</v>
      </c>
      <c r="I23">
        <f>SUM(I2:I22)</f>
        <v>1152289.4449105358</v>
      </c>
      <c r="L23">
        <f>SUM(L2:L22)</f>
        <v>487017.71900466993</v>
      </c>
      <c r="M23">
        <f>SUM(M2:M22)</f>
        <v>143072.40734356997</v>
      </c>
      <c r="N23">
        <f>SUM(N2:N22)</f>
        <v>2631.9267132100008</v>
      </c>
      <c r="O23">
        <f>SUM(O2:O22)</f>
        <v>772.61349375999976</v>
      </c>
    </row>
    <row r="24" spans="1:16" x14ac:dyDescent="0.3">
      <c r="E24" t="s">
        <v>14</v>
      </c>
      <c r="H24" t="s">
        <v>11</v>
      </c>
      <c r="I24" t="s">
        <v>11</v>
      </c>
    </row>
    <row r="25" spans="1:16" x14ac:dyDescent="0.3">
      <c r="A25" t="s">
        <v>8</v>
      </c>
      <c r="B25">
        <f>E2-E22</f>
        <v>2245.2001503999995</v>
      </c>
      <c r="C25" t="s">
        <v>10</v>
      </c>
      <c r="D25">
        <f>1+1/21-G23/(21*21*E23)</f>
        <v>0.99091011353517777</v>
      </c>
      <c r="E25" t="s">
        <v>12</v>
      </c>
      <c r="F25">
        <f>SQRT(I23)/E23</f>
        <v>9.4710608664341596</v>
      </c>
    </row>
    <row r="26" spans="1:16" x14ac:dyDescent="0.3">
      <c r="K26" t="s">
        <v>15</v>
      </c>
      <c r="L26">
        <f>L23/C23</f>
        <v>104.0845210372746</v>
      </c>
      <c r="M26">
        <f>M23/C23</f>
        <v>30.577168778252471</v>
      </c>
      <c r="N26">
        <f>N23/D23</f>
        <v>104.15222450375938</v>
      </c>
      <c r="O26">
        <f>O23/D23</f>
        <v>30.574336911753043</v>
      </c>
    </row>
    <row r="29" spans="1:16" x14ac:dyDescent="0.3">
      <c r="A29" t="s">
        <v>0</v>
      </c>
    </row>
    <row r="30" spans="1:16" x14ac:dyDescent="0.3">
      <c r="A30" t="s">
        <v>1</v>
      </c>
      <c r="B30" t="s">
        <v>2</v>
      </c>
      <c r="C30" t="s">
        <v>3</v>
      </c>
      <c r="D30" t="s">
        <v>4</v>
      </c>
    </row>
    <row r="31" spans="1:16" x14ac:dyDescent="0.3">
      <c r="A31" t="s">
        <v>5</v>
      </c>
      <c r="B31">
        <v>0.122</v>
      </c>
      <c r="C31">
        <v>0.878</v>
      </c>
      <c r="D31">
        <v>49.399000000000001</v>
      </c>
    </row>
    <row r="32" spans="1:16" x14ac:dyDescent="0.3">
      <c r="A32" t="s">
        <v>6</v>
      </c>
      <c r="B32">
        <v>0.10100000000000001</v>
      </c>
      <c r="C32">
        <v>0.89900000000000002</v>
      </c>
      <c r="D32">
        <v>50.600999999999999</v>
      </c>
    </row>
  </sheetData>
  <sortState xmlns:xlrd2="http://schemas.microsoft.com/office/spreadsheetml/2017/richdata2" ref="A2:I22">
    <sortCondition ref="B2:B22" customList="成都市,自贡市,攀枝花市,泸州市,德阳市,绵阳市,广元市,遂宁市,内江市,乐山市,南充市,眉山市,宜宾市,广安市,达州市,雅安市,巴中市,资阳市,阿坝藏族羌族自治州,甘孜藏族自治州,凉山彝族自治州"/>
  </sortState>
  <mergeCells count="2">
    <mergeCell ref="L1:M1"/>
    <mergeCell ref="N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Leve gradient of inbound touris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一叶知秋</dc:creator>
  <cp:lastModifiedBy>lqc</cp:lastModifiedBy>
  <dcterms:created xsi:type="dcterms:W3CDTF">2015-06-05T18:19:34Z</dcterms:created>
  <dcterms:modified xsi:type="dcterms:W3CDTF">2024-05-30T03:36:02Z</dcterms:modified>
</cp:coreProperties>
</file>