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lqc\Desktop\新建文件夹 (4)\新建文件夹 (2)\新建文件夹\"/>
    </mc:Choice>
  </mc:AlternateContent>
  <xr:revisionPtr revIDLastSave="0" documentId="8_{F51CF0CE-7B9F-4F5C-A235-63A48767FB57}" xr6:coauthVersionLast="47" xr6:coauthVersionMax="47" xr10:uidLastSave="{00000000-0000-0000-0000-000000000000}"/>
  <bookViews>
    <workbookView xWindow="-110" yWindow="-110" windowWidth="19420" windowHeight="10420" activeTab="10" xr2:uid="{00000000-000D-0000-FFFF-FFFF00000000}"/>
  </bookViews>
  <sheets>
    <sheet name="2012" sheetId="1" r:id="rId1"/>
    <sheet name="2013" sheetId="2" r:id="rId2"/>
    <sheet name="2014" sheetId="3" r:id="rId3"/>
    <sheet name="2015" sheetId="4" r:id="rId4"/>
    <sheet name="2016" sheetId="5" r:id="rId5"/>
    <sheet name="2017" sheetId="6" r:id="rId6"/>
    <sheet name="2018" sheetId="7" r:id="rId7"/>
    <sheet name="2019" sheetId="8" r:id="rId8"/>
    <sheet name="2020" sheetId="9" r:id="rId9"/>
    <sheet name="2021" sheetId="10" r:id="rId10"/>
    <sheet name="2022" sheetId="11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1" l="1"/>
  <c r="C25" i="10"/>
  <c r="C25" i="9"/>
  <c r="C25" i="8"/>
  <c r="C25" i="7"/>
  <c r="C25" i="6"/>
  <c r="C25" i="5"/>
  <c r="C25" i="4"/>
  <c r="C25" i="3"/>
  <c r="C25" i="1"/>
  <c r="G33" i="11"/>
  <c r="H25" i="11"/>
  <c r="D23" i="11"/>
  <c r="C23" i="11"/>
  <c r="R22" i="11"/>
  <c r="P22" i="11"/>
  <c r="O22" i="11"/>
  <c r="N22" i="11"/>
  <c r="M22" i="11"/>
  <c r="E22" i="11"/>
  <c r="I22" i="11" s="1"/>
  <c r="J22" i="11" s="1"/>
  <c r="R21" i="11"/>
  <c r="P21" i="11"/>
  <c r="O21" i="11"/>
  <c r="N21" i="11"/>
  <c r="M21" i="11"/>
  <c r="E21" i="11"/>
  <c r="G21" i="11" s="1"/>
  <c r="R20" i="11"/>
  <c r="P20" i="11"/>
  <c r="O20" i="11"/>
  <c r="N20" i="11"/>
  <c r="M20" i="11"/>
  <c r="E20" i="11"/>
  <c r="I20" i="11" s="1"/>
  <c r="J20" i="11" s="1"/>
  <c r="R19" i="11"/>
  <c r="P19" i="11"/>
  <c r="O19" i="11"/>
  <c r="N19" i="11"/>
  <c r="M19" i="11"/>
  <c r="I19" i="11"/>
  <c r="J19" i="11" s="1"/>
  <c r="G19" i="11"/>
  <c r="E19" i="11"/>
  <c r="Q19" i="11" s="1"/>
  <c r="R18" i="11"/>
  <c r="P18" i="11"/>
  <c r="O18" i="11"/>
  <c r="N18" i="11"/>
  <c r="M18" i="11"/>
  <c r="E18" i="11"/>
  <c r="I18" i="11" s="1"/>
  <c r="J18" i="11" s="1"/>
  <c r="R17" i="11"/>
  <c r="P17" i="11"/>
  <c r="O17" i="11"/>
  <c r="N17" i="11"/>
  <c r="M17" i="11"/>
  <c r="E17" i="11"/>
  <c r="G17" i="11" s="1"/>
  <c r="R16" i="11"/>
  <c r="P16" i="11"/>
  <c r="O16" i="11"/>
  <c r="N16" i="11"/>
  <c r="M16" i="11"/>
  <c r="E16" i="11"/>
  <c r="I16" i="11" s="1"/>
  <c r="J16" i="11" s="1"/>
  <c r="R15" i="11"/>
  <c r="P15" i="11"/>
  <c r="O15" i="11"/>
  <c r="N15" i="11"/>
  <c r="M15" i="11"/>
  <c r="I15" i="11"/>
  <c r="J15" i="11" s="1"/>
  <c r="G15" i="11"/>
  <c r="E15" i="11"/>
  <c r="Q15" i="11" s="1"/>
  <c r="R14" i="11"/>
  <c r="P14" i="11"/>
  <c r="O14" i="11"/>
  <c r="N14" i="11"/>
  <c r="M14" i="11"/>
  <c r="E14" i="11"/>
  <c r="I14" i="11" s="1"/>
  <c r="J14" i="11" s="1"/>
  <c r="R13" i="11"/>
  <c r="Q13" i="11"/>
  <c r="P13" i="11"/>
  <c r="O13" i="11"/>
  <c r="N13" i="11"/>
  <c r="M13" i="11"/>
  <c r="E13" i="11"/>
  <c r="G13" i="11" s="1"/>
  <c r="R12" i="11"/>
  <c r="P12" i="11"/>
  <c r="O12" i="11"/>
  <c r="N12" i="11"/>
  <c r="M12" i="11"/>
  <c r="E12" i="11"/>
  <c r="I12" i="11" s="1"/>
  <c r="J12" i="11" s="1"/>
  <c r="R11" i="11"/>
  <c r="P11" i="11"/>
  <c r="O11" i="11"/>
  <c r="N11" i="11"/>
  <c r="M11" i="11"/>
  <c r="I11" i="11"/>
  <c r="J11" i="11" s="1"/>
  <c r="G11" i="11"/>
  <c r="E11" i="11"/>
  <c r="Q11" i="11" s="1"/>
  <c r="R10" i="11"/>
  <c r="P10" i="11"/>
  <c r="O10" i="11"/>
  <c r="N10" i="11"/>
  <c r="M10" i="11"/>
  <c r="E10" i="11"/>
  <c r="I10" i="11" s="1"/>
  <c r="J10" i="11" s="1"/>
  <c r="R9" i="11"/>
  <c r="P9" i="11"/>
  <c r="O9" i="11"/>
  <c r="N9" i="11"/>
  <c r="M9" i="11"/>
  <c r="E9" i="11"/>
  <c r="G9" i="11" s="1"/>
  <c r="R8" i="11"/>
  <c r="P8" i="11"/>
  <c r="O8" i="11"/>
  <c r="N8" i="11"/>
  <c r="M8" i="11"/>
  <c r="E8" i="11"/>
  <c r="I8" i="11" s="1"/>
  <c r="J8" i="11" s="1"/>
  <c r="R7" i="11"/>
  <c r="P7" i="11"/>
  <c r="O7" i="11"/>
  <c r="N7" i="11"/>
  <c r="M7" i="11"/>
  <c r="I7" i="11"/>
  <c r="J7" i="11" s="1"/>
  <c r="G7" i="11"/>
  <c r="E7" i="11"/>
  <c r="Q7" i="11" s="1"/>
  <c r="R6" i="11"/>
  <c r="P6" i="11"/>
  <c r="O6" i="11"/>
  <c r="N6" i="11"/>
  <c r="M6" i="11"/>
  <c r="E6" i="11"/>
  <c r="I6" i="11" s="1"/>
  <c r="J6" i="11" s="1"/>
  <c r="R5" i="11"/>
  <c r="P5" i="11"/>
  <c r="O5" i="11"/>
  <c r="N5" i="11"/>
  <c r="M5" i="11"/>
  <c r="E5" i="11"/>
  <c r="G5" i="11" s="1"/>
  <c r="R4" i="11"/>
  <c r="P4" i="11"/>
  <c r="O4" i="11"/>
  <c r="N4" i="11"/>
  <c r="M4" i="11"/>
  <c r="E4" i="11"/>
  <c r="Q4" i="11" s="1"/>
  <c r="R3" i="11"/>
  <c r="P3" i="11"/>
  <c r="O3" i="11"/>
  <c r="N3" i="11"/>
  <c r="M3" i="11"/>
  <c r="I3" i="11"/>
  <c r="J3" i="11" s="1"/>
  <c r="G3" i="11"/>
  <c r="E3" i="11"/>
  <c r="Q3" i="11" s="1"/>
  <c r="R2" i="11"/>
  <c r="P2" i="11"/>
  <c r="P23" i="11" s="1"/>
  <c r="P25" i="11" s="1"/>
  <c r="O2" i="11"/>
  <c r="O23" i="11" s="1"/>
  <c r="O25" i="11" s="1"/>
  <c r="N2" i="11"/>
  <c r="N23" i="11" s="1"/>
  <c r="N25" i="11" s="1"/>
  <c r="M2" i="11"/>
  <c r="M23" i="11" s="1"/>
  <c r="M25" i="11" s="1"/>
  <c r="E2" i="11"/>
  <c r="Q8" i="11" l="1"/>
  <c r="Q12" i="11"/>
  <c r="Q16" i="11"/>
  <c r="Q20" i="11"/>
  <c r="G4" i="11"/>
  <c r="G8" i="11"/>
  <c r="G12" i="11"/>
  <c r="G16" i="11"/>
  <c r="G20" i="11"/>
  <c r="Q5" i="11"/>
  <c r="Q9" i="11"/>
  <c r="Q17" i="11"/>
  <c r="Q21" i="11"/>
  <c r="Q2" i="11"/>
  <c r="I5" i="11"/>
  <c r="J5" i="11" s="1"/>
  <c r="Q6" i="11"/>
  <c r="I9" i="11"/>
  <c r="J9" i="11" s="1"/>
  <c r="Q10" i="11"/>
  <c r="I13" i="11"/>
  <c r="J13" i="11" s="1"/>
  <c r="Q14" i="11"/>
  <c r="I17" i="11"/>
  <c r="J17" i="11" s="1"/>
  <c r="Q18" i="11"/>
  <c r="I21" i="11"/>
  <c r="J21" i="11" s="1"/>
  <c r="Q22" i="11"/>
  <c r="E25" i="11"/>
  <c r="I2" i="11" s="1"/>
  <c r="J2" i="11" s="1"/>
  <c r="J25" i="11" s="1"/>
  <c r="G26" i="11" s="1"/>
  <c r="I4" i="11"/>
  <c r="J4" i="11" s="1"/>
  <c r="G2" i="11"/>
  <c r="G6" i="11"/>
  <c r="G10" i="11"/>
  <c r="G14" i="11"/>
  <c r="G18" i="11"/>
  <c r="G22" i="11"/>
  <c r="G25" i="11" l="1"/>
  <c r="E26" i="11" s="1"/>
  <c r="M23" i="10"/>
  <c r="M24" i="10" s="1"/>
  <c r="D23" i="10"/>
  <c r="C23" i="10"/>
  <c r="P22" i="10"/>
  <c r="O22" i="10"/>
  <c r="N22" i="10"/>
  <c r="M22" i="10"/>
  <c r="E22" i="10"/>
  <c r="I22" i="10" s="1"/>
  <c r="J22" i="10" s="1"/>
  <c r="P21" i="10"/>
  <c r="O21" i="10"/>
  <c r="N21" i="10"/>
  <c r="M21" i="10"/>
  <c r="E21" i="10"/>
  <c r="I21" i="10" s="1"/>
  <c r="J21" i="10" s="1"/>
  <c r="P20" i="10"/>
  <c r="O20" i="10"/>
  <c r="N20" i="10"/>
  <c r="M20" i="10"/>
  <c r="E20" i="10"/>
  <c r="I20" i="10" s="1"/>
  <c r="J20" i="10" s="1"/>
  <c r="P19" i="10"/>
  <c r="O19" i="10"/>
  <c r="N19" i="10"/>
  <c r="M19" i="10"/>
  <c r="E19" i="10"/>
  <c r="I19" i="10" s="1"/>
  <c r="J19" i="10" s="1"/>
  <c r="P18" i="10"/>
  <c r="O18" i="10"/>
  <c r="N18" i="10"/>
  <c r="M18" i="10"/>
  <c r="E18" i="10"/>
  <c r="I18" i="10" s="1"/>
  <c r="J18" i="10" s="1"/>
  <c r="P17" i="10"/>
  <c r="O17" i="10"/>
  <c r="N17" i="10"/>
  <c r="M17" i="10"/>
  <c r="E17" i="10"/>
  <c r="I17" i="10" s="1"/>
  <c r="J17" i="10" s="1"/>
  <c r="P16" i="10"/>
  <c r="O16" i="10"/>
  <c r="N16" i="10"/>
  <c r="M16" i="10"/>
  <c r="E16" i="10"/>
  <c r="I16" i="10" s="1"/>
  <c r="J16" i="10" s="1"/>
  <c r="P15" i="10"/>
  <c r="O15" i="10"/>
  <c r="N15" i="10"/>
  <c r="M15" i="10"/>
  <c r="E15" i="10"/>
  <c r="I15" i="10" s="1"/>
  <c r="J15" i="10" s="1"/>
  <c r="P14" i="10"/>
  <c r="O14" i="10"/>
  <c r="N14" i="10"/>
  <c r="M14" i="10"/>
  <c r="E14" i="10"/>
  <c r="I14" i="10" s="1"/>
  <c r="J14" i="10" s="1"/>
  <c r="P13" i="10"/>
  <c r="O13" i="10"/>
  <c r="N13" i="10"/>
  <c r="M13" i="10"/>
  <c r="E13" i="10"/>
  <c r="I13" i="10" s="1"/>
  <c r="J13" i="10" s="1"/>
  <c r="P12" i="10"/>
  <c r="O12" i="10"/>
  <c r="N12" i="10"/>
  <c r="M12" i="10"/>
  <c r="E12" i="10"/>
  <c r="I12" i="10" s="1"/>
  <c r="J12" i="10" s="1"/>
  <c r="P11" i="10"/>
  <c r="O11" i="10"/>
  <c r="N11" i="10"/>
  <c r="M11" i="10"/>
  <c r="E11" i="10"/>
  <c r="I11" i="10" s="1"/>
  <c r="J11" i="10" s="1"/>
  <c r="P10" i="10"/>
  <c r="O10" i="10"/>
  <c r="N10" i="10"/>
  <c r="M10" i="10"/>
  <c r="E10" i="10"/>
  <c r="I10" i="10" s="1"/>
  <c r="J10" i="10" s="1"/>
  <c r="P9" i="10"/>
  <c r="O9" i="10"/>
  <c r="N9" i="10"/>
  <c r="M9" i="10"/>
  <c r="E9" i="10"/>
  <c r="I9" i="10" s="1"/>
  <c r="J9" i="10" s="1"/>
  <c r="P8" i="10"/>
  <c r="O8" i="10"/>
  <c r="N8" i="10"/>
  <c r="M8" i="10"/>
  <c r="E8" i="10"/>
  <c r="I8" i="10" s="1"/>
  <c r="J8" i="10" s="1"/>
  <c r="P7" i="10"/>
  <c r="O7" i="10"/>
  <c r="N7" i="10"/>
  <c r="M7" i="10"/>
  <c r="E7" i="10"/>
  <c r="I7" i="10" s="1"/>
  <c r="J7" i="10" s="1"/>
  <c r="P6" i="10"/>
  <c r="O6" i="10"/>
  <c r="N6" i="10"/>
  <c r="M6" i="10"/>
  <c r="E6" i="10"/>
  <c r="I6" i="10" s="1"/>
  <c r="J6" i="10" s="1"/>
  <c r="P5" i="10"/>
  <c r="O5" i="10"/>
  <c r="N5" i="10"/>
  <c r="M5" i="10"/>
  <c r="E5" i="10"/>
  <c r="I5" i="10" s="1"/>
  <c r="J5" i="10" s="1"/>
  <c r="P4" i="10"/>
  <c r="O4" i="10"/>
  <c r="N4" i="10"/>
  <c r="M4" i="10"/>
  <c r="E4" i="10"/>
  <c r="I4" i="10" s="1"/>
  <c r="J4" i="10" s="1"/>
  <c r="P3" i="10"/>
  <c r="O3" i="10"/>
  <c r="N3" i="10"/>
  <c r="M3" i="10"/>
  <c r="E3" i="10"/>
  <c r="I3" i="10" s="1"/>
  <c r="J3" i="10" s="1"/>
  <c r="P2" i="10"/>
  <c r="P23" i="10" s="1"/>
  <c r="P24" i="10" s="1"/>
  <c r="O2" i="10"/>
  <c r="O23" i="10" s="1"/>
  <c r="O24" i="10" s="1"/>
  <c r="N2" i="10"/>
  <c r="N23" i="10" s="1"/>
  <c r="N24" i="10" s="1"/>
  <c r="M2" i="10"/>
  <c r="E2" i="10"/>
  <c r="E24" i="10" s="1"/>
  <c r="G2" i="10" l="1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I2" i="10"/>
  <c r="J2" i="10" s="1"/>
  <c r="J24" i="10" s="1"/>
  <c r="G25" i="10" s="1"/>
  <c r="G24" i="10" l="1"/>
  <c r="E25" i="10" s="1"/>
  <c r="D23" i="9" l="1"/>
  <c r="C23" i="9"/>
  <c r="Q22" i="9"/>
  <c r="P22" i="9"/>
  <c r="O22" i="9"/>
  <c r="N22" i="9"/>
  <c r="M22" i="9"/>
  <c r="E22" i="9"/>
  <c r="I22" i="9" s="1"/>
  <c r="J22" i="9" s="1"/>
  <c r="P21" i="9"/>
  <c r="O21" i="9"/>
  <c r="N21" i="9"/>
  <c r="M21" i="9"/>
  <c r="I21" i="9"/>
  <c r="J21" i="9" s="1"/>
  <c r="G21" i="9"/>
  <c r="E21" i="9"/>
  <c r="Q21" i="9" s="1"/>
  <c r="P20" i="9"/>
  <c r="O20" i="9"/>
  <c r="N20" i="9"/>
  <c r="M20" i="9"/>
  <c r="I20" i="9"/>
  <c r="J20" i="9" s="1"/>
  <c r="G20" i="9"/>
  <c r="E20" i="9"/>
  <c r="Q20" i="9" s="1"/>
  <c r="P19" i="9"/>
  <c r="O19" i="9"/>
  <c r="N19" i="9"/>
  <c r="M19" i="9"/>
  <c r="J19" i="9"/>
  <c r="I19" i="9"/>
  <c r="E19" i="9"/>
  <c r="G19" i="9" s="1"/>
  <c r="P18" i="9"/>
  <c r="O18" i="9"/>
  <c r="N18" i="9"/>
  <c r="M18" i="9"/>
  <c r="E18" i="9"/>
  <c r="I18" i="9" s="1"/>
  <c r="J18" i="9" s="1"/>
  <c r="P17" i="9"/>
  <c r="O17" i="9"/>
  <c r="N17" i="9"/>
  <c r="M17" i="9"/>
  <c r="I17" i="9"/>
  <c r="J17" i="9" s="1"/>
  <c r="G17" i="9"/>
  <c r="E17" i="9"/>
  <c r="Q17" i="9" s="1"/>
  <c r="P16" i="9"/>
  <c r="O16" i="9"/>
  <c r="N16" i="9"/>
  <c r="M16" i="9"/>
  <c r="E16" i="9"/>
  <c r="I16" i="9" s="1"/>
  <c r="J16" i="9" s="1"/>
  <c r="P15" i="9"/>
  <c r="O15" i="9"/>
  <c r="N15" i="9"/>
  <c r="M15" i="9"/>
  <c r="E15" i="9"/>
  <c r="I15" i="9" s="1"/>
  <c r="J15" i="9" s="1"/>
  <c r="P14" i="9"/>
  <c r="O14" i="9"/>
  <c r="N14" i="9"/>
  <c r="M14" i="9"/>
  <c r="E14" i="9"/>
  <c r="Q14" i="9" s="1"/>
  <c r="P13" i="9"/>
  <c r="O13" i="9"/>
  <c r="N13" i="9"/>
  <c r="M13" i="9"/>
  <c r="I13" i="9"/>
  <c r="J13" i="9" s="1"/>
  <c r="G13" i="9"/>
  <c r="E13" i="9"/>
  <c r="Q13" i="9" s="1"/>
  <c r="P12" i="9"/>
  <c r="O12" i="9"/>
  <c r="N12" i="9"/>
  <c r="M12" i="9"/>
  <c r="I12" i="9"/>
  <c r="J12" i="9" s="1"/>
  <c r="G12" i="9"/>
  <c r="E12" i="9"/>
  <c r="Q12" i="9" s="1"/>
  <c r="P11" i="9"/>
  <c r="O11" i="9"/>
  <c r="N11" i="9"/>
  <c r="M11" i="9"/>
  <c r="E11" i="9"/>
  <c r="I11" i="9" s="1"/>
  <c r="J11" i="9" s="1"/>
  <c r="P10" i="9"/>
  <c r="O10" i="9"/>
  <c r="N10" i="9"/>
  <c r="M10" i="9"/>
  <c r="E10" i="9"/>
  <c r="I10" i="9" s="1"/>
  <c r="J10" i="9" s="1"/>
  <c r="P9" i="9"/>
  <c r="O9" i="9"/>
  <c r="N9" i="9"/>
  <c r="M9" i="9"/>
  <c r="I9" i="9"/>
  <c r="J9" i="9" s="1"/>
  <c r="G9" i="9"/>
  <c r="E9" i="9"/>
  <c r="Q9" i="9" s="1"/>
  <c r="P8" i="9"/>
  <c r="O8" i="9"/>
  <c r="N8" i="9"/>
  <c r="M8" i="9"/>
  <c r="I8" i="9"/>
  <c r="J8" i="9" s="1"/>
  <c r="E8" i="9"/>
  <c r="G8" i="9" s="1"/>
  <c r="P7" i="9"/>
  <c r="O7" i="9"/>
  <c r="N7" i="9"/>
  <c r="M7" i="9"/>
  <c r="E7" i="9"/>
  <c r="I7" i="9" s="1"/>
  <c r="J7" i="9" s="1"/>
  <c r="P6" i="9"/>
  <c r="O6" i="9"/>
  <c r="N6" i="9"/>
  <c r="M6" i="9"/>
  <c r="E6" i="9"/>
  <c r="Q6" i="9" s="1"/>
  <c r="P5" i="9"/>
  <c r="O5" i="9"/>
  <c r="N5" i="9"/>
  <c r="M5" i="9"/>
  <c r="I5" i="9"/>
  <c r="J5" i="9" s="1"/>
  <c r="G5" i="9"/>
  <c r="E5" i="9"/>
  <c r="Q5" i="9" s="1"/>
  <c r="P4" i="9"/>
  <c r="O4" i="9"/>
  <c r="N4" i="9"/>
  <c r="M4" i="9"/>
  <c r="I4" i="9"/>
  <c r="J4" i="9" s="1"/>
  <c r="G4" i="9"/>
  <c r="E4" i="9"/>
  <c r="Q4" i="9" s="1"/>
  <c r="P3" i="9"/>
  <c r="O3" i="9"/>
  <c r="N3" i="9"/>
  <c r="M3" i="9"/>
  <c r="E3" i="9"/>
  <c r="I3" i="9" s="1"/>
  <c r="J3" i="9" s="1"/>
  <c r="P2" i="9"/>
  <c r="P23" i="9" s="1"/>
  <c r="P24" i="9" s="1"/>
  <c r="O2" i="9"/>
  <c r="O23" i="9" s="1"/>
  <c r="O24" i="9" s="1"/>
  <c r="N2" i="9"/>
  <c r="N23" i="9" s="1"/>
  <c r="N24" i="9" s="1"/>
  <c r="M2" i="9"/>
  <c r="M23" i="9" s="1"/>
  <c r="M24" i="9" s="1"/>
  <c r="E2" i="9"/>
  <c r="E24" i="9" s="1"/>
  <c r="G6" i="9" l="1"/>
  <c r="Q7" i="9"/>
  <c r="G14" i="9"/>
  <c r="Q15" i="9"/>
  <c r="G22" i="9"/>
  <c r="I6" i="9"/>
  <c r="J6" i="9" s="1"/>
  <c r="G7" i="9"/>
  <c r="Q8" i="9"/>
  <c r="I14" i="9"/>
  <c r="J14" i="9" s="1"/>
  <c r="G15" i="9"/>
  <c r="Q16" i="9"/>
  <c r="G16" i="9"/>
  <c r="Q2" i="9"/>
  <c r="Q10" i="9"/>
  <c r="Q18" i="9"/>
  <c r="G2" i="9"/>
  <c r="G24" i="9" s="1"/>
  <c r="E25" i="9" s="1"/>
  <c r="Q3" i="9"/>
  <c r="G10" i="9"/>
  <c r="Q11" i="9"/>
  <c r="G18" i="9"/>
  <c r="Q19" i="9"/>
  <c r="I2" i="9"/>
  <c r="J2" i="9" s="1"/>
  <c r="J24" i="9" s="1"/>
  <c r="G25" i="9" s="1"/>
  <c r="G3" i="9"/>
  <c r="G11" i="9"/>
  <c r="I24" i="8" l="1"/>
  <c r="D23" i="8"/>
  <c r="C23" i="8"/>
  <c r="P22" i="8"/>
  <c r="O22" i="8"/>
  <c r="N22" i="8"/>
  <c r="M22" i="8"/>
  <c r="E22" i="8"/>
  <c r="F22" i="8" s="1"/>
  <c r="J22" i="8" s="1"/>
  <c r="P21" i="8"/>
  <c r="O21" i="8"/>
  <c r="N21" i="8"/>
  <c r="M21" i="8"/>
  <c r="E21" i="8"/>
  <c r="H21" i="8" s="1"/>
  <c r="P20" i="8"/>
  <c r="O20" i="8"/>
  <c r="N20" i="8"/>
  <c r="M20" i="8"/>
  <c r="E20" i="8"/>
  <c r="F20" i="8" s="1"/>
  <c r="J20" i="8" s="1"/>
  <c r="P19" i="8"/>
  <c r="O19" i="8"/>
  <c r="N19" i="8"/>
  <c r="M19" i="8"/>
  <c r="E19" i="8"/>
  <c r="F19" i="8" s="1"/>
  <c r="J19" i="8" s="1"/>
  <c r="P18" i="8"/>
  <c r="O18" i="8"/>
  <c r="N18" i="8"/>
  <c r="M18" i="8"/>
  <c r="E18" i="8"/>
  <c r="H18" i="8" s="1"/>
  <c r="P17" i="8"/>
  <c r="O17" i="8"/>
  <c r="N17" i="8"/>
  <c r="M17" i="8"/>
  <c r="E17" i="8"/>
  <c r="F17" i="8" s="1"/>
  <c r="J17" i="8" s="1"/>
  <c r="P16" i="8"/>
  <c r="O16" i="8"/>
  <c r="N16" i="8"/>
  <c r="M16" i="8"/>
  <c r="E16" i="8"/>
  <c r="F16" i="8" s="1"/>
  <c r="J16" i="8" s="1"/>
  <c r="P15" i="8"/>
  <c r="O15" i="8"/>
  <c r="N15" i="8"/>
  <c r="M15" i="8"/>
  <c r="E15" i="8"/>
  <c r="F15" i="8" s="1"/>
  <c r="J15" i="8" s="1"/>
  <c r="P14" i="8"/>
  <c r="O14" i="8"/>
  <c r="N14" i="8"/>
  <c r="M14" i="8"/>
  <c r="E14" i="8"/>
  <c r="H14" i="8" s="1"/>
  <c r="P13" i="8"/>
  <c r="O13" i="8"/>
  <c r="N13" i="8"/>
  <c r="M13" i="8"/>
  <c r="E13" i="8"/>
  <c r="F13" i="8" s="1"/>
  <c r="J13" i="8" s="1"/>
  <c r="P12" i="8"/>
  <c r="O12" i="8"/>
  <c r="N12" i="8"/>
  <c r="M12" i="8"/>
  <c r="E12" i="8"/>
  <c r="F12" i="8" s="1"/>
  <c r="J12" i="8" s="1"/>
  <c r="P11" i="8"/>
  <c r="O11" i="8"/>
  <c r="N11" i="8"/>
  <c r="M11" i="8"/>
  <c r="E11" i="8"/>
  <c r="F11" i="8" s="1"/>
  <c r="J11" i="8" s="1"/>
  <c r="P10" i="8"/>
  <c r="O10" i="8"/>
  <c r="N10" i="8"/>
  <c r="M10" i="8"/>
  <c r="E10" i="8"/>
  <c r="H10" i="8" s="1"/>
  <c r="P9" i="8"/>
  <c r="O9" i="8"/>
  <c r="N9" i="8"/>
  <c r="M9" i="8"/>
  <c r="E9" i="8"/>
  <c r="F9" i="8" s="1"/>
  <c r="J9" i="8" s="1"/>
  <c r="P8" i="8"/>
  <c r="O8" i="8"/>
  <c r="N8" i="8"/>
  <c r="M8" i="8"/>
  <c r="E8" i="8"/>
  <c r="F8" i="8" s="1"/>
  <c r="J8" i="8" s="1"/>
  <c r="P7" i="8"/>
  <c r="O7" i="8"/>
  <c r="N7" i="8"/>
  <c r="M7" i="8"/>
  <c r="E7" i="8"/>
  <c r="F7" i="8" s="1"/>
  <c r="J7" i="8" s="1"/>
  <c r="P6" i="8"/>
  <c r="O6" i="8"/>
  <c r="N6" i="8"/>
  <c r="M6" i="8"/>
  <c r="E6" i="8"/>
  <c r="F6" i="8" s="1"/>
  <c r="J6" i="8" s="1"/>
  <c r="P5" i="8"/>
  <c r="O5" i="8"/>
  <c r="N5" i="8"/>
  <c r="M5" i="8"/>
  <c r="E5" i="8"/>
  <c r="H5" i="8" s="1"/>
  <c r="P4" i="8"/>
  <c r="O4" i="8"/>
  <c r="N4" i="8"/>
  <c r="M4" i="8"/>
  <c r="E4" i="8"/>
  <c r="F4" i="8" s="1"/>
  <c r="J4" i="8" s="1"/>
  <c r="P3" i="8"/>
  <c r="O3" i="8"/>
  <c r="N3" i="8"/>
  <c r="M3" i="8"/>
  <c r="E3" i="8"/>
  <c r="F3" i="8" s="1"/>
  <c r="J3" i="8" s="1"/>
  <c r="P2" i="8"/>
  <c r="P23" i="8" s="1"/>
  <c r="P24" i="8" s="1"/>
  <c r="O2" i="8"/>
  <c r="O23" i="8" s="1"/>
  <c r="O24" i="8" s="1"/>
  <c r="N2" i="8"/>
  <c r="N23" i="8" s="1"/>
  <c r="N24" i="8" s="1"/>
  <c r="M2" i="8"/>
  <c r="M23" i="8" s="1"/>
  <c r="M24" i="8" s="1"/>
  <c r="E2" i="8"/>
  <c r="E24" i="8" s="1"/>
  <c r="F2" i="8" l="1"/>
  <c r="J2" i="8" s="1"/>
  <c r="F5" i="8"/>
  <c r="J5" i="8" s="1"/>
  <c r="F10" i="8"/>
  <c r="J10" i="8" s="1"/>
  <c r="F14" i="8"/>
  <c r="J14" i="8" s="1"/>
  <c r="F18" i="8"/>
  <c r="J18" i="8" s="1"/>
  <c r="F21" i="8"/>
  <c r="J21" i="8" s="1"/>
  <c r="H2" i="8"/>
  <c r="H3" i="8"/>
  <c r="H4" i="8"/>
  <c r="H6" i="8"/>
  <c r="H7" i="8"/>
  <c r="H8" i="8"/>
  <c r="H9" i="8"/>
  <c r="H11" i="8"/>
  <c r="H12" i="8"/>
  <c r="H13" i="8"/>
  <c r="H15" i="8"/>
  <c r="H16" i="8"/>
  <c r="H17" i="8"/>
  <c r="H19" i="8"/>
  <c r="H20" i="8"/>
  <c r="H22" i="8"/>
  <c r="H24" i="8" l="1"/>
  <c r="E25" i="8" s="1"/>
  <c r="J24" i="8"/>
  <c r="J25" i="8" s="1"/>
  <c r="D23" i="7"/>
  <c r="C23" i="7"/>
  <c r="P22" i="7"/>
  <c r="O22" i="7"/>
  <c r="N22" i="7"/>
  <c r="M22" i="7"/>
  <c r="J22" i="7"/>
  <c r="I22" i="7"/>
  <c r="G22" i="7"/>
  <c r="E22" i="7"/>
  <c r="Q22" i="7" s="1"/>
  <c r="P21" i="7"/>
  <c r="O21" i="7"/>
  <c r="N21" i="7"/>
  <c r="M21" i="7"/>
  <c r="I21" i="7"/>
  <c r="J21" i="7" s="1"/>
  <c r="E21" i="7"/>
  <c r="G21" i="7" s="1"/>
  <c r="P20" i="7"/>
  <c r="O20" i="7"/>
  <c r="N20" i="7"/>
  <c r="M20" i="7"/>
  <c r="G20" i="7"/>
  <c r="E20" i="7"/>
  <c r="Q20" i="7" s="1"/>
  <c r="P19" i="7"/>
  <c r="O19" i="7"/>
  <c r="N19" i="7"/>
  <c r="M19" i="7"/>
  <c r="I19" i="7"/>
  <c r="J19" i="7" s="1"/>
  <c r="G19" i="7"/>
  <c r="E19" i="7"/>
  <c r="Q19" i="7" s="1"/>
  <c r="P18" i="7"/>
  <c r="O18" i="7"/>
  <c r="N18" i="7"/>
  <c r="M18" i="7"/>
  <c r="E18" i="7"/>
  <c r="I18" i="7" s="1"/>
  <c r="J18" i="7" s="1"/>
  <c r="P17" i="7"/>
  <c r="O17" i="7"/>
  <c r="N17" i="7"/>
  <c r="M17" i="7"/>
  <c r="E17" i="7"/>
  <c r="I17" i="7" s="1"/>
  <c r="J17" i="7" s="1"/>
  <c r="P16" i="7"/>
  <c r="O16" i="7"/>
  <c r="N16" i="7"/>
  <c r="M16" i="7"/>
  <c r="G16" i="7"/>
  <c r="E16" i="7"/>
  <c r="I16" i="7" s="1"/>
  <c r="J16" i="7" s="1"/>
  <c r="P15" i="7"/>
  <c r="O15" i="7"/>
  <c r="N15" i="7"/>
  <c r="M15" i="7"/>
  <c r="E15" i="7"/>
  <c r="I15" i="7" s="1"/>
  <c r="J15" i="7" s="1"/>
  <c r="P14" i="7"/>
  <c r="O14" i="7"/>
  <c r="N14" i="7"/>
  <c r="M14" i="7"/>
  <c r="J14" i="7"/>
  <c r="I14" i="7"/>
  <c r="G14" i="7"/>
  <c r="E14" i="7"/>
  <c r="Q14" i="7" s="1"/>
  <c r="P13" i="7"/>
  <c r="O13" i="7"/>
  <c r="N13" i="7"/>
  <c r="M13" i="7"/>
  <c r="I13" i="7"/>
  <c r="J13" i="7" s="1"/>
  <c r="E13" i="7"/>
  <c r="G13" i="7" s="1"/>
  <c r="P12" i="7"/>
  <c r="O12" i="7"/>
  <c r="N12" i="7"/>
  <c r="M12" i="7"/>
  <c r="G12" i="7"/>
  <c r="E12" i="7"/>
  <c r="Q12" i="7" s="1"/>
  <c r="P11" i="7"/>
  <c r="O11" i="7"/>
  <c r="N11" i="7"/>
  <c r="M11" i="7"/>
  <c r="I11" i="7"/>
  <c r="J11" i="7" s="1"/>
  <c r="G11" i="7"/>
  <c r="E11" i="7"/>
  <c r="Q11" i="7" s="1"/>
  <c r="P10" i="7"/>
  <c r="O10" i="7"/>
  <c r="N10" i="7"/>
  <c r="M10" i="7"/>
  <c r="E10" i="7"/>
  <c r="I10" i="7" s="1"/>
  <c r="J10" i="7" s="1"/>
  <c r="P9" i="7"/>
  <c r="O9" i="7"/>
  <c r="N9" i="7"/>
  <c r="M9" i="7"/>
  <c r="E9" i="7"/>
  <c r="I9" i="7" s="1"/>
  <c r="J9" i="7" s="1"/>
  <c r="P8" i="7"/>
  <c r="O8" i="7"/>
  <c r="N8" i="7"/>
  <c r="M8" i="7"/>
  <c r="G8" i="7"/>
  <c r="E8" i="7"/>
  <c r="I8" i="7" s="1"/>
  <c r="J8" i="7" s="1"/>
  <c r="P7" i="7"/>
  <c r="O7" i="7"/>
  <c r="N7" i="7"/>
  <c r="M7" i="7"/>
  <c r="E7" i="7"/>
  <c r="I7" i="7" s="1"/>
  <c r="J7" i="7" s="1"/>
  <c r="P6" i="7"/>
  <c r="O6" i="7"/>
  <c r="N6" i="7"/>
  <c r="M6" i="7"/>
  <c r="J6" i="7"/>
  <c r="I6" i="7"/>
  <c r="G6" i="7"/>
  <c r="E6" i="7"/>
  <c r="Q6" i="7" s="1"/>
  <c r="P5" i="7"/>
  <c r="O5" i="7"/>
  <c r="N5" i="7"/>
  <c r="M5" i="7"/>
  <c r="E5" i="7"/>
  <c r="E24" i="7" s="1"/>
  <c r="P4" i="7"/>
  <c r="O4" i="7"/>
  <c r="N4" i="7"/>
  <c r="M4" i="7"/>
  <c r="G4" i="7"/>
  <c r="E4" i="7"/>
  <c r="Q4" i="7" s="1"/>
  <c r="P3" i="7"/>
  <c r="O3" i="7"/>
  <c r="N3" i="7"/>
  <c r="M3" i="7"/>
  <c r="M23" i="7" s="1"/>
  <c r="M24" i="7" s="1"/>
  <c r="I3" i="7"/>
  <c r="J3" i="7" s="1"/>
  <c r="G3" i="7"/>
  <c r="E3" i="7"/>
  <c r="Q3" i="7" s="1"/>
  <c r="P2" i="7"/>
  <c r="P23" i="7" s="1"/>
  <c r="P24" i="7" s="1"/>
  <c r="O2" i="7"/>
  <c r="O23" i="7" s="1"/>
  <c r="O24" i="7" s="1"/>
  <c r="N2" i="7"/>
  <c r="N23" i="7" s="1"/>
  <c r="N24" i="7" s="1"/>
  <c r="M2" i="7"/>
  <c r="E2" i="7"/>
  <c r="I2" i="7" s="1"/>
  <c r="J2" i="7" s="1"/>
  <c r="J24" i="7" l="1"/>
  <c r="G25" i="7" s="1"/>
  <c r="Q5" i="7"/>
  <c r="Q13" i="7"/>
  <c r="Q21" i="7"/>
  <c r="I4" i="7"/>
  <c r="J4" i="7" s="1"/>
  <c r="G5" i="7"/>
  <c r="I12" i="7"/>
  <c r="J12" i="7" s="1"/>
  <c r="I20" i="7"/>
  <c r="J20" i="7" s="1"/>
  <c r="Q15" i="7"/>
  <c r="G7" i="7"/>
  <c r="Q8" i="7"/>
  <c r="G15" i="7"/>
  <c r="Q16" i="7"/>
  <c r="Q7" i="7"/>
  <c r="Q9" i="7"/>
  <c r="Q17" i="7"/>
  <c r="Q2" i="7"/>
  <c r="G9" i="7"/>
  <c r="Q10" i="7"/>
  <c r="G17" i="7"/>
  <c r="Q18" i="7"/>
  <c r="I5" i="7"/>
  <c r="J5" i="7" s="1"/>
  <c r="G2" i="7"/>
  <c r="G10" i="7"/>
  <c r="G18" i="7"/>
  <c r="G24" i="7" l="1"/>
  <c r="E25" i="7" s="1"/>
  <c r="H24" i="6"/>
  <c r="N23" i="6"/>
  <c r="N24" i="6" s="1"/>
  <c r="D23" i="6"/>
  <c r="C23" i="6"/>
  <c r="P22" i="6"/>
  <c r="O22" i="6"/>
  <c r="N22" i="6"/>
  <c r="M22" i="6"/>
  <c r="E22" i="6"/>
  <c r="I22" i="6" s="1"/>
  <c r="J22" i="6" s="1"/>
  <c r="P21" i="6"/>
  <c r="O21" i="6"/>
  <c r="N21" i="6"/>
  <c r="M21" i="6"/>
  <c r="E21" i="6"/>
  <c r="I21" i="6" s="1"/>
  <c r="J21" i="6" s="1"/>
  <c r="P20" i="6"/>
  <c r="O20" i="6"/>
  <c r="N20" i="6"/>
  <c r="M20" i="6"/>
  <c r="E20" i="6"/>
  <c r="I20" i="6" s="1"/>
  <c r="J20" i="6" s="1"/>
  <c r="P19" i="6"/>
  <c r="O19" i="6"/>
  <c r="N19" i="6"/>
  <c r="M19" i="6"/>
  <c r="E19" i="6"/>
  <c r="I19" i="6" s="1"/>
  <c r="J19" i="6" s="1"/>
  <c r="P18" i="6"/>
  <c r="O18" i="6"/>
  <c r="N18" i="6"/>
  <c r="M18" i="6"/>
  <c r="E18" i="6"/>
  <c r="I18" i="6" s="1"/>
  <c r="J18" i="6" s="1"/>
  <c r="P17" i="6"/>
  <c r="O17" i="6"/>
  <c r="N17" i="6"/>
  <c r="M17" i="6"/>
  <c r="E17" i="6"/>
  <c r="I17" i="6" s="1"/>
  <c r="J17" i="6" s="1"/>
  <c r="P16" i="6"/>
  <c r="O16" i="6"/>
  <c r="N16" i="6"/>
  <c r="M16" i="6"/>
  <c r="E16" i="6"/>
  <c r="I16" i="6" s="1"/>
  <c r="J16" i="6" s="1"/>
  <c r="P15" i="6"/>
  <c r="O15" i="6"/>
  <c r="N15" i="6"/>
  <c r="M15" i="6"/>
  <c r="E15" i="6"/>
  <c r="I15" i="6" s="1"/>
  <c r="J15" i="6" s="1"/>
  <c r="P14" i="6"/>
  <c r="O14" i="6"/>
  <c r="N14" i="6"/>
  <c r="M14" i="6"/>
  <c r="E14" i="6"/>
  <c r="I14" i="6" s="1"/>
  <c r="J14" i="6" s="1"/>
  <c r="P13" i="6"/>
  <c r="O13" i="6"/>
  <c r="N13" i="6"/>
  <c r="M13" i="6"/>
  <c r="E13" i="6"/>
  <c r="I13" i="6" s="1"/>
  <c r="J13" i="6" s="1"/>
  <c r="P12" i="6"/>
  <c r="O12" i="6"/>
  <c r="N12" i="6"/>
  <c r="M12" i="6"/>
  <c r="E12" i="6"/>
  <c r="I12" i="6" s="1"/>
  <c r="J12" i="6" s="1"/>
  <c r="P11" i="6"/>
  <c r="O11" i="6"/>
  <c r="N11" i="6"/>
  <c r="M11" i="6"/>
  <c r="E11" i="6"/>
  <c r="I11" i="6" s="1"/>
  <c r="J11" i="6" s="1"/>
  <c r="P10" i="6"/>
  <c r="O10" i="6"/>
  <c r="N10" i="6"/>
  <c r="M10" i="6"/>
  <c r="E10" i="6"/>
  <c r="I10" i="6" s="1"/>
  <c r="J10" i="6" s="1"/>
  <c r="P9" i="6"/>
  <c r="O9" i="6"/>
  <c r="N9" i="6"/>
  <c r="M9" i="6"/>
  <c r="E9" i="6"/>
  <c r="I9" i="6" s="1"/>
  <c r="J9" i="6" s="1"/>
  <c r="P8" i="6"/>
  <c r="O8" i="6"/>
  <c r="N8" i="6"/>
  <c r="M8" i="6"/>
  <c r="E8" i="6"/>
  <c r="I8" i="6" s="1"/>
  <c r="J8" i="6" s="1"/>
  <c r="P7" i="6"/>
  <c r="O7" i="6"/>
  <c r="N7" i="6"/>
  <c r="M7" i="6"/>
  <c r="E7" i="6"/>
  <c r="I7" i="6" s="1"/>
  <c r="J7" i="6" s="1"/>
  <c r="P6" i="6"/>
  <c r="O6" i="6"/>
  <c r="N6" i="6"/>
  <c r="M6" i="6"/>
  <c r="E6" i="6"/>
  <c r="I6" i="6" s="1"/>
  <c r="J6" i="6" s="1"/>
  <c r="P5" i="6"/>
  <c r="O5" i="6"/>
  <c r="N5" i="6"/>
  <c r="M5" i="6"/>
  <c r="E5" i="6"/>
  <c r="I5" i="6" s="1"/>
  <c r="J5" i="6" s="1"/>
  <c r="P4" i="6"/>
  <c r="O4" i="6"/>
  <c r="N4" i="6"/>
  <c r="M4" i="6"/>
  <c r="E4" i="6"/>
  <c r="I4" i="6" s="1"/>
  <c r="J4" i="6" s="1"/>
  <c r="P3" i="6"/>
  <c r="O3" i="6"/>
  <c r="N3" i="6"/>
  <c r="M3" i="6"/>
  <c r="E3" i="6"/>
  <c r="I3" i="6" s="1"/>
  <c r="J3" i="6" s="1"/>
  <c r="P2" i="6"/>
  <c r="P23" i="6" s="1"/>
  <c r="P24" i="6" s="1"/>
  <c r="O2" i="6"/>
  <c r="O23" i="6" s="1"/>
  <c r="O24" i="6" s="1"/>
  <c r="N2" i="6"/>
  <c r="M2" i="6"/>
  <c r="M23" i="6" s="1"/>
  <c r="M24" i="6" s="1"/>
  <c r="E2" i="6"/>
  <c r="E24" i="6" s="1"/>
  <c r="G2" i="6" l="1"/>
  <c r="G24" i="6" s="1"/>
  <c r="E25" i="6" s="1"/>
  <c r="G4" i="6"/>
  <c r="G5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3" i="6"/>
  <c r="G6" i="6"/>
  <c r="I2" i="6"/>
  <c r="J2" i="6" s="1"/>
  <c r="J24" i="6" s="1"/>
  <c r="G25" i="6" s="1"/>
  <c r="E24" i="5" l="1"/>
  <c r="D23" i="5"/>
  <c r="C23" i="5"/>
  <c r="Q22" i="5"/>
  <c r="P22" i="5"/>
  <c r="O22" i="5"/>
  <c r="N22" i="5"/>
  <c r="M22" i="5"/>
  <c r="I22" i="5"/>
  <c r="J22" i="5" s="1"/>
  <c r="G22" i="5"/>
  <c r="Q21" i="5"/>
  <c r="P21" i="5"/>
  <c r="O21" i="5"/>
  <c r="N21" i="5"/>
  <c r="M21" i="5"/>
  <c r="I21" i="5"/>
  <c r="J21" i="5" s="1"/>
  <c r="G21" i="5"/>
  <c r="Q20" i="5"/>
  <c r="P20" i="5"/>
  <c r="O20" i="5"/>
  <c r="N20" i="5"/>
  <c r="M20" i="5"/>
  <c r="I20" i="5"/>
  <c r="J20" i="5" s="1"/>
  <c r="G20" i="5"/>
  <c r="Q19" i="5"/>
  <c r="P19" i="5"/>
  <c r="O19" i="5"/>
  <c r="N19" i="5"/>
  <c r="M19" i="5"/>
  <c r="I19" i="5"/>
  <c r="J19" i="5" s="1"/>
  <c r="G19" i="5"/>
  <c r="Q18" i="5"/>
  <c r="P18" i="5"/>
  <c r="O18" i="5"/>
  <c r="N18" i="5"/>
  <c r="M18" i="5"/>
  <c r="I18" i="5"/>
  <c r="J18" i="5" s="1"/>
  <c r="G18" i="5"/>
  <c r="Q17" i="5"/>
  <c r="P17" i="5"/>
  <c r="O17" i="5"/>
  <c r="N17" i="5"/>
  <c r="M17" i="5"/>
  <c r="I17" i="5"/>
  <c r="J17" i="5" s="1"/>
  <c r="G17" i="5"/>
  <c r="Q16" i="5"/>
  <c r="P16" i="5"/>
  <c r="O16" i="5"/>
  <c r="N16" i="5"/>
  <c r="M16" i="5"/>
  <c r="I16" i="5"/>
  <c r="J16" i="5" s="1"/>
  <c r="G16" i="5"/>
  <c r="Q15" i="5"/>
  <c r="P15" i="5"/>
  <c r="O15" i="5"/>
  <c r="N15" i="5"/>
  <c r="M15" i="5"/>
  <c r="I15" i="5"/>
  <c r="J15" i="5" s="1"/>
  <c r="G15" i="5"/>
  <c r="Q14" i="5"/>
  <c r="P14" i="5"/>
  <c r="O14" i="5"/>
  <c r="N14" i="5"/>
  <c r="M14" i="5"/>
  <c r="I14" i="5"/>
  <c r="J14" i="5" s="1"/>
  <c r="G14" i="5"/>
  <c r="Q13" i="5"/>
  <c r="P13" i="5"/>
  <c r="O13" i="5"/>
  <c r="N13" i="5"/>
  <c r="M13" i="5"/>
  <c r="I13" i="5"/>
  <c r="J13" i="5" s="1"/>
  <c r="G13" i="5"/>
  <c r="Q12" i="5"/>
  <c r="P12" i="5"/>
  <c r="O12" i="5"/>
  <c r="N12" i="5"/>
  <c r="M12" i="5"/>
  <c r="I12" i="5"/>
  <c r="J12" i="5" s="1"/>
  <c r="G12" i="5"/>
  <c r="Q11" i="5"/>
  <c r="P11" i="5"/>
  <c r="O11" i="5"/>
  <c r="N11" i="5"/>
  <c r="M11" i="5"/>
  <c r="I11" i="5"/>
  <c r="J11" i="5" s="1"/>
  <c r="G11" i="5"/>
  <c r="Q10" i="5"/>
  <c r="P10" i="5"/>
  <c r="O10" i="5"/>
  <c r="N10" i="5"/>
  <c r="M10" i="5"/>
  <c r="I10" i="5"/>
  <c r="J10" i="5" s="1"/>
  <c r="G10" i="5"/>
  <c r="Q9" i="5"/>
  <c r="P9" i="5"/>
  <c r="O9" i="5"/>
  <c r="N9" i="5"/>
  <c r="M9" i="5"/>
  <c r="I9" i="5"/>
  <c r="J9" i="5" s="1"/>
  <c r="G9" i="5"/>
  <c r="Q8" i="5"/>
  <c r="P8" i="5"/>
  <c r="O8" i="5"/>
  <c r="N8" i="5"/>
  <c r="M8" i="5"/>
  <c r="I8" i="5"/>
  <c r="J8" i="5" s="1"/>
  <c r="G8" i="5"/>
  <c r="Q7" i="5"/>
  <c r="P7" i="5"/>
  <c r="O7" i="5"/>
  <c r="N7" i="5"/>
  <c r="M7" i="5"/>
  <c r="I7" i="5"/>
  <c r="J7" i="5" s="1"/>
  <c r="G7" i="5"/>
  <c r="Q6" i="5"/>
  <c r="P6" i="5"/>
  <c r="O6" i="5"/>
  <c r="N6" i="5"/>
  <c r="M6" i="5"/>
  <c r="I6" i="5"/>
  <c r="J6" i="5" s="1"/>
  <c r="G6" i="5"/>
  <c r="Q5" i="5"/>
  <c r="P5" i="5"/>
  <c r="O5" i="5"/>
  <c r="N5" i="5"/>
  <c r="M5" i="5"/>
  <c r="I5" i="5"/>
  <c r="J5" i="5" s="1"/>
  <c r="G5" i="5"/>
  <c r="Q4" i="5"/>
  <c r="P4" i="5"/>
  <c r="O4" i="5"/>
  <c r="N4" i="5"/>
  <c r="M4" i="5"/>
  <c r="I4" i="5"/>
  <c r="J4" i="5" s="1"/>
  <c r="G4" i="5"/>
  <c r="Q3" i="5"/>
  <c r="P3" i="5"/>
  <c r="O3" i="5"/>
  <c r="N3" i="5"/>
  <c r="M3" i="5"/>
  <c r="I3" i="5"/>
  <c r="J3" i="5" s="1"/>
  <c r="G3" i="5"/>
  <c r="Q2" i="5"/>
  <c r="P2" i="5"/>
  <c r="P23" i="5" s="1"/>
  <c r="P24" i="5" s="1"/>
  <c r="O2" i="5"/>
  <c r="O23" i="5" s="1"/>
  <c r="O24" i="5" s="1"/>
  <c r="N2" i="5"/>
  <c r="N23" i="5" s="1"/>
  <c r="N24" i="5" s="1"/>
  <c r="M2" i="5"/>
  <c r="M23" i="5" s="1"/>
  <c r="M24" i="5" s="1"/>
  <c r="I2" i="5"/>
  <c r="J2" i="5" s="1"/>
  <c r="G2" i="5"/>
  <c r="G24" i="5" s="1"/>
  <c r="E25" i="5" s="1"/>
  <c r="J23" i="5" l="1"/>
  <c r="G25" i="5" s="1"/>
  <c r="E24" i="4"/>
  <c r="D23" i="4"/>
  <c r="C23" i="4"/>
  <c r="P22" i="4"/>
  <c r="O22" i="4"/>
  <c r="N22" i="4"/>
  <c r="M22" i="4"/>
  <c r="E22" i="4"/>
  <c r="I22" i="4" s="1"/>
  <c r="J22" i="4" s="1"/>
  <c r="P21" i="4"/>
  <c r="O21" i="4"/>
  <c r="N21" i="4"/>
  <c r="M21" i="4"/>
  <c r="E21" i="4"/>
  <c r="I21" i="4" s="1"/>
  <c r="J21" i="4" s="1"/>
  <c r="P20" i="4"/>
  <c r="O20" i="4"/>
  <c r="N20" i="4"/>
  <c r="M20" i="4"/>
  <c r="E20" i="4"/>
  <c r="I20" i="4" s="1"/>
  <c r="J20" i="4" s="1"/>
  <c r="P19" i="4"/>
  <c r="O19" i="4"/>
  <c r="N19" i="4"/>
  <c r="M19" i="4"/>
  <c r="E19" i="4"/>
  <c r="I19" i="4" s="1"/>
  <c r="J19" i="4" s="1"/>
  <c r="P18" i="4"/>
  <c r="O18" i="4"/>
  <c r="N18" i="4"/>
  <c r="M18" i="4"/>
  <c r="E18" i="4"/>
  <c r="I18" i="4" s="1"/>
  <c r="J18" i="4" s="1"/>
  <c r="P17" i="4"/>
  <c r="O17" i="4"/>
  <c r="N17" i="4"/>
  <c r="M17" i="4"/>
  <c r="E17" i="4"/>
  <c r="I17" i="4" s="1"/>
  <c r="J17" i="4" s="1"/>
  <c r="P16" i="4"/>
  <c r="O16" i="4"/>
  <c r="N16" i="4"/>
  <c r="M16" i="4"/>
  <c r="E16" i="4"/>
  <c r="I16" i="4" s="1"/>
  <c r="J16" i="4" s="1"/>
  <c r="P15" i="4"/>
  <c r="O15" i="4"/>
  <c r="N15" i="4"/>
  <c r="M15" i="4"/>
  <c r="E15" i="4"/>
  <c r="I15" i="4" s="1"/>
  <c r="J15" i="4" s="1"/>
  <c r="P14" i="4"/>
  <c r="O14" i="4"/>
  <c r="N14" i="4"/>
  <c r="M14" i="4"/>
  <c r="E14" i="4"/>
  <c r="I14" i="4" s="1"/>
  <c r="J14" i="4" s="1"/>
  <c r="P13" i="4"/>
  <c r="O13" i="4"/>
  <c r="N13" i="4"/>
  <c r="M13" i="4"/>
  <c r="E13" i="4"/>
  <c r="I13" i="4" s="1"/>
  <c r="J13" i="4" s="1"/>
  <c r="P12" i="4"/>
  <c r="O12" i="4"/>
  <c r="N12" i="4"/>
  <c r="M12" i="4"/>
  <c r="E12" i="4"/>
  <c r="I12" i="4" s="1"/>
  <c r="J12" i="4" s="1"/>
  <c r="P11" i="4"/>
  <c r="O11" i="4"/>
  <c r="N11" i="4"/>
  <c r="M11" i="4"/>
  <c r="E11" i="4"/>
  <c r="I11" i="4" s="1"/>
  <c r="J11" i="4" s="1"/>
  <c r="P10" i="4"/>
  <c r="O10" i="4"/>
  <c r="N10" i="4"/>
  <c r="M10" i="4"/>
  <c r="E10" i="4"/>
  <c r="I10" i="4" s="1"/>
  <c r="J10" i="4" s="1"/>
  <c r="P9" i="4"/>
  <c r="O9" i="4"/>
  <c r="N9" i="4"/>
  <c r="M9" i="4"/>
  <c r="E9" i="4"/>
  <c r="I9" i="4" s="1"/>
  <c r="J9" i="4" s="1"/>
  <c r="P8" i="4"/>
  <c r="O8" i="4"/>
  <c r="N8" i="4"/>
  <c r="M8" i="4"/>
  <c r="E8" i="4"/>
  <c r="I8" i="4" s="1"/>
  <c r="J8" i="4" s="1"/>
  <c r="P7" i="4"/>
  <c r="O7" i="4"/>
  <c r="N7" i="4"/>
  <c r="M7" i="4"/>
  <c r="E7" i="4"/>
  <c r="I7" i="4" s="1"/>
  <c r="J7" i="4" s="1"/>
  <c r="P6" i="4"/>
  <c r="O6" i="4"/>
  <c r="N6" i="4"/>
  <c r="M6" i="4"/>
  <c r="E6" i="4"/>
  <c r="I6" i="4" s="1"/>
  <c r="J6" i="4" s="1"/>
  <c r="P5" i="4"/>
  <c r="O5" i="4"/>
  <c r="N5" i="4"/>
  <c r="M5" i="4"/>
  <c r="E5" i="4"/>
  <c r="I5" i="4" s="1"/>
  <c r="J5" i="4" s="1"/>
  <c r="P4" i="4"/>
  <c r="O4" i="4"/>
  <c r="N4" i="4"/>
  <c r="M4" i="4"/>
  <c r="E4" i="4"/>
  <c r="I4" i="4" s="1"/>
  <c r="J4" i="4" s="1"/>
  <c r="P3" i="4"/>
  <c r="O3" i="4"/>
  <c r="N3" i="4"/>
  <c r="M3" i="4"/>
  <c r="E3" i="4"/>
  <c r="I3" i="4" s="1"/>
  <c r="J3" i="4" s="1"/>
  <c r="P2" i="4"/>
  <c r="P23" i="4" s="1"/>
  <c r="P24" i="4" s="1"/>
  <c r="O2" i="4"/>
  <c r="O23" i="4" s="1"/>
  <c r="O24" i="4" s="1"/>
  <c r="N2" i="4"/>
  <c r="N23" i="4" s="1"/>
  <c r="N24" i="4" s="1"/>
  <c r="M2" i="4"/>
  <c r="M23" i="4" s="1"/>
  <c r="M24" i="4" s="1"/>
  <c r="E2" i="4"/>
  <c r="I2" i="4" s="1"/>
  <c r="J2" i="4" s="1"/>
  <c r="J23" i="4" l="1"/>
  <c r="G25" i="4" s="1"/>
  <c r="G2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4" i="4" l="1"/>
  <c r="E25" i="4" s="1"/>
  <c r="I24" i="3"/>
  <c r="D23" i="3"/>
  <c r="C23" i="3"/>
  <c r="P22" i="3"/>
  <c r="O22" i="3"/>
  <c r="N22" i="3"/>
  <c r="M22" i="3"/>
  <c r="H22" i="3"/>
  <c r="E22" i="3"/>
  <c r="F22" i="3" s="1"/>
  <c r="J22" i="3" s="1"/>
  <c r="P21" i="3"/>
  <c r="O21" i="3"/>
  <c r="N21" i="3"/>
  <c r="M21" i="3"/>
  <c r="E21" i="3"/>
  <c r="H21" i="3" s="1"/>
  <c r="P20" i="3"/>
  <c r="O20" i="3"/>
  <c r="N20" i="3"/>
  <c r="M20" i="3"/>
  <c r="E20" i="3"/>
  <c r="H20" i="3" s="1"/>
  <c r="P19" i="3"/>
  <c r="O19" i="3"/>
  <c r="N19" i="3"/>
  <c r="M19" i="3"/>
  <c r="E19" i="3"/>
  <c r="H19" i="3" s="1"/>
  <c r="P18" i="3"/>
  <c r="O18" i="3"/>
  <c r="N18" i="3"/>
  <c r="M18" i="3"/>
  <c r="E18" i="3"/>
  <c r="H18" i="3" s="1"/>
  <c r="P17" i="3"/>
  <c r="O17" i="3"/>
  <c r="N17" i="3"/>
  <c r="M17" i="3"/>
  <c r="E17" i="3"/>
  <c r="H17" i="3" s="1"/>
  <c r="P16" i="3"/>
  <c r="O16" i="3"/>
  <c r="N16" i="3"/>
  <c r="M16" i="3"/>
  <c r="E16" i="3"/>
  <c r="H16" i="3" s="1"/>
  <c r="P15" i="3"/>
  <c r="O15" i="3"/>
  <c r="N15" i="3"/>
  <c r="M15" i="3"/>
  <c r="H15" i="3"/>
  <c r="F15" i="3"/>
  <c r="J15" i="3" s="1"/>
  <c r="E15" i="3"/>
  <c r="Q15" i="3" s="1"/>
  <c r="P14" i="3"/>
  <c r="O14" i="3"/>
  <c r="N14" i="3"/>
  <c r="M14" i="3"/>
  <c r="H14" i="3"/>
  <c r="E14" i="3"/>
  <c r="F14" i="3" s="1"/>
  <c r="J14" i="3" s="1"/>
  <c r="P13" i="3"/>
  <c r="O13" i="3"/>
  <c r="N13" i="3"/>
  <c r="M13" i="3"/>
  <c r="E13" i="3"/>
  <c r="H13" i="3" s="1"/>
  <c r="P12" i="3"/>
  <c r="O12" i="3"/>
  <c r="N12" i="3"/>
  <c r="M12" i="3"/>
  <c r="E12" i="3"/>
  <c r="H12" i="3" s="1"/>
  <c r="P11" i="3"/>
  <c r="O11" i="3"/>
  <c r="N11" i="3"/>
  <c r="M11" i="3"/>
  <c r="E11" i="3"/>
  <c r="H11" i="3" s="1"/>
  <c r="P10" i="3"/>
  <c r="O10" i="3"/>
  <c r="N10" i="3"/>
  <c r="M10" i="3"/>
  <c r="E10" i="3"/>
  <c r="H10" i="3" s="1"/>
  <c r="P9" i="3"/>
  <c r="O9" i="3"/>
  <c r="N9" i="3"/>
  <c r="M9" i="3"/>
  <c r="E9" i="3"/>
  <c r="H9" i="3" s="1"/>
  <c r="P8" i="3"/>
  <c r="O8" i="3"/>
  <c r="N8" i="3"/>
  <c r="M8" i="3"/>
  <c r="E8" i="3"/>
  <c r="H8" i="3" s="1"/>
  <c r="P7" i="3"/>
  <c r="O7" i="3"/>
  <c r="N7" i="3"/>
  <c r="M7" i="3"/>
  <c r="H7" i="3"/>
  <c r="F7" i="3"/>
  <c r="J7" i="3" s="1"/>
  <c r="E7" i="3"/>
  <c r="Q7" i="3" s="1"/>
  <c r="P6" i="3"/>
  <c r="O6" i="3"/>
  <c r="N6" i="3"/>
  <c r="M6" i="3"/>
  <c r="H6" i="3"/>
  <c r="E6" i="3"/>
  <c r="F6" i="3" s="1"/>
  <c r="J6" i="3" s="1"/>
  <c r="P5" i="3"/>
  <c r="O5" i="3"/>
  <c r="N5" i="3"/>
  <c r="M5" i="3"/>
  <c r="E5" i="3"/>
  <c r="H5" i="3" s="1"/>
  <c r="P4" i="3"/>
  <c r="O4" i="3"/>
  <c r="N4" i="3"/>
  <c r="M4" i="3"/>
  <c r="E4" i="3"/>
  <c r="H4" i="3" s="1"/>
  <c r="P3" i="3"/>
  <c r="O3" i="3"/>
  <c r="N3" i="3"/>
  <c r="M3" i="3"/>
  <c r="E3" i="3"/>
  <c r="H3" i="3" s="1"/>
  <c r="P2" i="3"/>
  <c r="P23" i="3" s="1"/>
  <c r="P24" i="3" s="1"/>
  <c r="O2" i="3"/>
  <c r="O23" i="3" s="1"/>
  <c r="O24" i="3" s="1"/>
  <c r="N2" i="3"/>
  <c r="N23" i="3" s="1"/>
  <c r="N24" i="3" s="1"/>
  <c r="M2" i="3"/>
  <c r="M23" i="3" s="1"/>
  <c r="M24" i="3" s="1"/>
  <c r="E2" i="3"/>
  <c r="E24" i="3" s="1"/>
  <c r="Q8" i="3" l="1"/>
  <c r="Q16" i="3"/>
  <c r="F8" i="3"/>
  <c r="J8" i="3" s="1"/>
  <c r="Q9" i="3"/>
  <c r="F16" i="3"/>
  <c r="J16" i="3" s="1"/>
  <c r="Q17" i="3"/>
  <c r="Q2" i="3"/>
  <c r="F9" i="3"/>
  <c r="J9" i="3" s="1"/>
  <c r="Q10" i="3"/>
  <c r="F17" i="3"/>
  <c r="J17" i="3" s="1"/>
  <c r="Q18" i="3"/>
  <c r="F2" i="3"/>
  <c r="J2" i="3" s="1"/>
  <c r="Q3" i="3"/>
  <c r="F10" i="3"/>
  <c r="J10" i="3" s="1"/>
  <c r="Q11" i="3"/>
  <c r="F18" i="3"/>
  <c r="J18" i="3" s="1"/>
  <c r="Q19" i="3"/>
  <c r="H2" i="3"/>
  <c r="H24" i="3" s="1"/>
  <c r="E25" i="3" s="1"/>
  <c r="F3" i="3"/>
  <c r="J3" i="3" s="1"/>
  <c r="Q4" i="3"/>
  <c r="F11" i="3"/>
  <c r="J11" i="3" s="1"/>
  <c r="Q12" i="3"/>
  <c r="F19" i="3"/>
  <c r="J19" i="3" s="1"/>
  <c r="Q20" i="3"/>
  <c r="F4" i="3"/>
  <c r="J4" i="3" s="1"/>
  <c r="Q5" i="3"/>
  <c r="F12" i="3"/>
  <c r="J12" i="3" s="1"/>
  <c r="Q13" i="3"/>
  <c r="F20" i="3"/>
  <c r="J20" i="3" s="1"/>
  <c r="Q21" i="3"/>
  <c r="F5" i="3"/>
  <c r="J5" i="3" s="1"/>
  <c r="Q6" i="3"/>
  <c r="F13" i="3"/>
  <c r="J13" i="3" s="1"/>
  <c r="Q14" i="3"/>
  <c r="F21" i="3"/>
  <c r="J21" i="3" s="1"/>
  <c r="Q22" i="3"/>
  <c r="J24" i="3" l="1"/>
  <c r="I25" i="3" s="1"/>
  <c r="I24" i="2"/>
  <c r="D23" i="2"/>
  <c r="C23" i="2"/>
  <c r="P22" i="2"/>
  <c r="O22" i="2"/>
  <c r="N22" i="2"/>
  <c r="M22" i="2"/>
  <c r="E22" i="2"/>
  <c r="H22" i="2" s="1"/>
  <c r="P21" i="2"/>
  <c r="O21" i="2"/>
  <c r="N21" i="2"/>
  <c r="M21" i="2"/>
  <c r="E21" i="2"/>
  <c r="H21" i="2" s="1"/>
  <c r="P20" i="2"/>
  <c r="O20" i="2"/>
  <c r="N20" i="2"/>
  <c r="M20" i="2"/>
  <c r="E20" i="2"/>
  <c r="F20" i="2" s="1"/>
  <c r="J20" i="2" s="1"/>
  <c r="P19" i="2"/>
  <c r="O19" i="2"/>
  <c r="N19" i="2"/>
  <c r="M19" i="2"/>
  <c r="E19" i="2"/>
  <c r="F19" i="2" s="1"/>
  <c r="J19" i="2" s="1"/>
  <c r="P18" i="2"/>
  <c r="O18" i="2"/>
  <c r="N18" i="2"/>
  <c r="M18" i="2"/>
  <c r="E18" i="2"/>
  <c r="H18" i="2" s="1"/>
  <c r="P17" i="2"/>
  <c r="O17" i="2"/>
  <c r="N17" i="2"/>
  <c r="M17" i="2"/>
  <c r="E17" i="2"/>
  <c r="H17" i="2" s="1"/>
  <c r="P16" i="2"/>
  <c r="O16" i="2"/>
  <c r="N16" i="2"/>
  <c r="M16" i="2"/>
  <c r="E16" i="2"/>
  <c r="H16" i="2" s="1"/>
  <c r="P15" i="2"/>
  <c r="O15" i="2"/>
  <c r="N15" i="2"/>
  <c r="M15" i="2"/>
  <c r="F15" i="2"/>
  <c r="J15" i="2" s="1"/>
  <c r="E15" i="2"/>
  <c r="H15" i="2" s="1"/>
  <c r="P14" i="2"/>
  <c r="O14" i="2"/>
  <c r="N14" i="2"/>
  <c r="M14" i="2"/>
  <c r="E14" i="2"/>
  <c r="H14" i="2" s="1"/>
  <c r="P13" i="2"/>
  <c r="O13" i="2"/>
  <c r="N13" i="2"/>
  <c r="M13" i="2"/>
  <c r="E13" i="2"/>
  <c r="H13" i="2" s="1"/>
  <c r="P12" i="2"/>
  <c r="O12" i="2"/>
  <c r="N12" i="2"/>
  <c r="M12" i="2"/>
  <c r="E12" i="2"/>
  <c r="F12" i="2" s="1"/>
  <c r="J12" i="2" s="1"/>
  <c r="P11" i="2"/>
  <c r="O11" i="2"/>
  <c r="N11" i="2"/>
  <c r="M11" i="2"/>
  <c r="E11" i="2"/>
  <c r="F11" i="2" s="1"/>
  <c r="J11" i="2" s="1"/>
  <c r="P10" i="2"/>
  <c r="O10" i="2"/>
  <c r="N10" i="2"/>
  <c r="M10" i="2"/>
  <c r="E10" i="2"/>
  <c r="H10" i="2" s="1"/>
  <c r="P9" i="2"/>
  <c r="O9" i="2"/>
  <c r="N9" i="2"/>
  <c r="M9" i="2"/>
  <c r="E9" i="2"/>
  <c r="H9" i="2" s="1"/>
  <c r="P8" i="2"/>
  <c r="O8" i="2"/>
  <c r="N8" i="2"/>
  <c r="M8" i="2"/>
  <c r="H8" i="2"/>
  <c r="E8" i="2"/>
  <c r="F8" i="2" s="1"/>
  <c r="J8" i="2" s="1"/>
  <c r="P7" i="2"/>
  <c r="O7" i="2"/>
  <c r="N7" i="2"/>
  <c r="M7" i="2"/>
  <c r="E7" i="2"/>
  <c r="H7" i="2" s="1"/>
  <c r="P6" i="2"/>
  <c r="O6" i="2"/>
  <c r="N6" i="2"/>
  <c r="M6" i="2"/>
  <c r="E6" i="2"/>
  <c r="H6" i="2" s="1"/>
  <c r="P5" i="2"/>
  <c r="O5" i="2"/>
  <c r="N5" i="2"/>
  <c r="M5" i="2"/>
  <c r="E5" i="2"/>
  <c r="H5" i="2" s="1"/>
  <c r="P4" i="2"/>
  <c r="O4" i="2"/>
  <c r="N4" i="2"/>
  <c r="M4" i="2"/>
  <c r="E4" i="2"/>
  <c r="F4" i="2" s="1"/>
  <c r="J4" i="2" s="1"/>
  <c r="P3" i="2"/>
  <c r="O3" i="2"/>
  <c r="N3" i="2"/>
  <c r="M3" i="2"/>
  <c r="E3" i="2"/>
  <c r="F3" i="2" s="1"/>
  <c r="J3" i="2" s="1"/>
  <c r="P2" i="2"/>
  <c r="O2" i="2"/>
  <c r="N2" i="2"/>
  <c r="M2" i="2"/>
  <c r="E2" i="2"/>
  <c r="E24" i="2" l="1"/>
  <c r="C25" i="2"/>
  <c r="F7" i="2"/>
  <c r="J7" i="2" s="1"/>
  <c r="H11" i="2"/>
  <c r="F14" i="2"/>
  <c r="J14" i="2" s="1"/>
  <c r="F18" i="2"/>
  <c r="J18" i="2" s="1"/>
  <c r="F2" i="2"/>
  <c r="J2" i="2" s="1"/>
  <c r="H3" i="2"/>
  <c r="F6" i="2"/>
  <c r="J6" i="2" s="1"/>
  <c r="F10" i="2"/>
  <c r="J10" i="2" s="1"/>
  <c r="H19" i="2"/>
  <c r="F22" i="2"/>
  <c r="J22" i="2" s="1"/>
  <c r="H4" i="2"/>
  <c r="H12" i="2"/>
  <c r="H20" i="2"/>
  <c r="H2" i="2"/>
  <c r="F9" i="2"/>
  <c r="J9" i="2" s="1"/>
  <c r="F17" i="2"/>
  <c r="J17" i="2" s="1"/>
  <c r="M23" i="2"/>
  <c r="M24" i="2" s="1"/>
  <c r="F16" i="2"/>
  <c r="J16" i="2" s="1"/>
  <c r="N23" i="2"/>
  <c r="N24" i="2" s="1"/>
  <c r="O23" i="2"/>
  <c r="O24" i="2" s="1"/>
  <c r="P23" i="2"/>
  <c r="P24" i="2" s="1"/>
  <c r="F5" i="2"/>
  <c r="J5" i="2" s="1"/>
  <c r="F13" i="2"/>
  <c r="J13" i="2" s="1"/>
  <c r="F21" i="2"/>
  <c r="J21" i="2" s="1"/>
  <c r="H24" i="2" l="1"/>
  <c r="E25" i="2" s="1"/>
  <c r="J24" i="2"/>
  <c r="G25" i="2" s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</calcChain>
</file>

<file path=xl/sharedStrings.xml><?xml version="1.0" encoding="utf-8"?>
<sst xmlns="http://schemas.openxmlformats.org/spreadsheetml/2006/main" count="646" uniqueCount="105">
  <si>
    <t>熵值法计算权重结果汇总 </t>
  </si>
  <si>
    <t/>
  </si>
  <si>
    <t>项</t>
  </si>
  <si>
    <t>信息熵值e</t>
  </si>
  <si>
    <t>信息效用值d</t>
  </si>
  <si>
    <t>权重系数w</t>
  </si>
  <si>
    <t>MMS_旅游人次（万人）</t>
  </si>
  <si>
    <t>45.49%</t>
  </si>
  <si>
    <t>MMS_旅游收入（亿元）</t>
  </si>
  <si>
    <t>54.51%</t>
  </si>
  <si>
    <t>求和</t>
    <phoneticPr fontId="2" type="noConversion"/>
  </si>
  <si>
    <t>平均数</t>
    <phoneticPr fontId="2" type="noConversion"/>
  </si>
  <si>
    <t>坐标</t>
    <phoneticPr fontId="2" type="noConversion"/>
  </si>
  <si>
    <t>基尼系数</t>
    <phoneticPr fontId="2" type="noConversion"/>
  </si>
  <si>
    <t>加权变异系数</t>
    <phoneticPr fontId="2" type="noConversion"/>
  </si>
  <si>
    <t>41.62%</t>
  </si>
  <si>
    <t>58.38%</t>
  </si>
  <si>
    <t>平均值</t>
    <phoneticPr fontId="2" type="noConversion"/>
  </si>
  <si>
    <t>43.15%</t>
  </si>
  <si>
    <t>56.85%</t>
  </si>
  <si>
    <t>40.18%</t>
  </si>
  <si>
    <t>59.82%</t>
  </si>
  <si>
    <t>38.49%</t>
  </si>
  <si>
    <t>61.51%</t>
  </si>
  <si>
    <t>37.04%</t>
  </si>
  <si>
    <t>62.96%</t>
  </si>
  <si>
    <t>44.30%</t>
  </si>
  <si>
    <t>55.70%</t>
  </si>
  <si>
    <t>43.06%</t>
  </si>
  <si>
    <t>56.94%</t>
  </si>
  <si>
    <t>54.99%</t>
  </si>
  <si>
    <t>45.01%</t>
  </si>
  <si>
    <t>1</t>
    <phoneticPr fontId="2" type="noConversion"/>
  </si>
  <si>
    <t>19</t>
  </si>
  <si>
    <t>20</t>
  </si>
  <si>
    <t>16</t>
  </si>
  <si>
    <t>17</t>
  </si>
  <si>
    <t>5</t>
  </si>
  <si>
    <t>8</t>
  </si>
  <si>
    <t>18</t>
  </si>
  <si>
    <t>13</t>
  </si>
  <si>
    <t>3</t>
  </si>
  <si>
    <t>14</t>
  </si>
  <si>
    <t>4</t>
  </si>
  <si>
    <t>21</t>
  </si>
  <si>
    <t>11</t>
  </si>
  <si>
    <t>12</t>
  </si>
  <si>
    <t>9</t>
  </si>
  <si>
    <t>15</t>
  </si>
  <si>
    <t>7</t>
  </si>
  <si>
    <t>10</t>
  </si>
  <si>
    <t>6</t>
  </si>
  <si>
    <t>51.92%</t>
  </si>
  <si>
    <t>48.08%</t>
  </si>
  <si>
    <t>53.22%</t>
  </si>
  <si>
    <t>46.78%</t>
  </si>
  <si>
    <t>极差</t>
    <phoneticPr fontId="2" type="noConversion"/>
  </si>
  <si>
    <t>极差</t>
    <phoneticPr fontId="1" type="noConversion"/>
  </si>
  <si>
    <t>Chengdu</t>
  </si>
  <si>
    <t>Zigong</t>
    <phoneticPr fontId="2" type="noConversion"/>
  </si>
  <si>
    <t>Panzhihua</t>
    <phoneticPr fontId="2" type="noConversion"/>
  </si>
  <si>
    <t>Luzhou</t>
    <phoneticPr fontId="2" type="noConversion"/>
  </si>
  <si>
    <t>Deyabf</t>
    <phoneticPr fontId="2" type="noConversion"/>
  </si>
  <si>
    <t>Mianyang</t>
    <phoneticPr fontId="2" type="noConversion"/>
  </si>
  <si>
    <t>Guangyuan</t>
    <phoneticPr fontId="2" type="noConversion"/>
  </si>
  <si>
    <t>Suining</t>
    <phoneticPr fontId="2" type="noConversion"/>
  </si>
  <si>
    <t>Neijing</t>
    <phoneticPr fontId="2" type="noConversion"/>
  </si>
  <si>
    <t>Leshan</t>
    <phoneticPr fontId="2" type="noConversion"/>
  </si>
  <si>
    <t>Nanchong</t>
    <phoneticPr fontId="2" type="noConversion"/>
  </si>
  <si>
    <t>Meishan</t>
    <phoneticPr fontId="2" type="noConversion"/>
  </si>
  <si>
    <t>Yibin</t>
    <phoneticPr fontId="2" type="noConversion"/>
  </si>
  <si>
    <t>Guangan</t>
    <phoneticPr fontId="2" type="noConversion"/>
  </si>
  <si>
    <t>Dazhou</t>
    <phoneticPr fontId="2" type="noConversion"/>
  </si>
  <si>
    <t>Yaan</t>
    <phoneticPr fontId="2" type="noConversion"/>
  </si>
  <si>
    <t>Bazhong</t>
    <phoneticPr fontId="2" type="noConversion"/>
  </si>
  <si>
    <t>Ziyang</t>
    <phoneticPr fontId="2" type="noConversion"/>
  </si>
  <si>
    <t>Aba Tibetan and Qiang Autonomous Prefecture</t>
  </si>
  <si>
    <t>Kandze Tibetan Autonomous Prefecture</t>
  </si>
  <si>
    <t>Liangshan Yi Autonomous Prefecture</t>
  </si>
  <si>
    <t>sum</t>
    <phoneticPr fontId="2" type="noConversion"/>
  </si>
  <si>
    <t>sqrt（square root calculations）</t>
  </si>
  <si>
    <t>longitude</t>
  </si>
  <si>
    <t>dimensionality</t>
  </si>
  <si>
    <t>Year</t>
    <phoneticPr fontId="2" type="noConversion"/>
  </si>
  <si>
    <t>Region</t>
    <phoneticPr fontId="2" type="noConversion"/>
  </si>
  <si>
    <t>sqrt（square root calculations）</t>
    <phoneticPr fontId="1" type="noConversion"/>
  </si>
  <si>
    <t xml:space="preserve">Tourist arrivals (10,000) </t>
  </si>
  <si>
    <t>Tourism revenue (100 million yuan)</t>
  </si>
  <si>
    <t xml:space="preserve">Composite score </t>
  </si>
  <si>
    <t>Xi- average</t>
  </si>
  <si>
    <t>Gini coefficient</t>
  </si>
  <si>
    <t>population</t>
  </si>
  <si>
    <t>seating arrangement</t>
  </si>
  <si>
    <t>seating arrangement</t>
    <phoneticPr fontId="2" type="noConversion"/>
  </si>
  <si>
    <t>Gini coefficient</t>
    <phoneticPr fontId="2" type="noConversion"/>
  </si>
  <si>
    <t xml:space="preserve">Composite score </t>
    <phoneticPr fontId="2" type="noConversion"/>
  </si>
  <si>
    <t>Xi- average</t>
    <phoneticPr fontId="2" type="noConversion"/>
  </si>
  <si>
    <t>population</t>
    <phoneticPr fontId="2" type="noConversion"/>
  </si>
  <si>
    <t>Domestic tourist arrivals</t>
  </si>
  <si>
    <t>Gradient</t>
    <phoneticPr fontId="1" type="noConversion"/>
  </si>
  <si>
    <t>GDP per capita (Yuan)</t>
  </si>
  <si>
    <t>Gradient (revenue)</t>
    <phoneticPr fontId="1" type="noConversion"/>
  </si>
  <si>
    <t>Domestic tourist revenue</t>
  </si>
  <si>
    <t>Domestic tourist revenue</t>
    <phoneticPr fontId="1" type="noConversion"/>
  </si>
  <si>
    <t xml:space="preserve">Gradient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</si>
</sst>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76" formatCode="0.00000_ "/>
    <numFmt numFmtId="177" formatCode="0.0000_ "/>
    <numFmt numFmtId="178" formatCode="0.000000_ "/>
    <numFmt numFmtId="179" formatCode="0.0000000_ "/>
    <numFmt numFmtId="180" formatCode="0.00_);[Red]\(0.00\)"/>
    <numFmt numFmtId="181" formatCode="0.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58" fontId="0" fillId="0" borderId="0" xfId="0" applyNumberFormat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2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43" fontId="0" fillId="0" borderId="0" xfId="3" applyFont="1">
      <alignment vertical="center"/>
    </xf>
    <xf numFmtId="179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2" fontId="3" fillId="0" borderId="0" xfId="2" applyNumberFormat="1" applyAlignment="1">
      <alignment horizontal="center" vertical="top"/>
    </xf>
    <xf numFmtId="2" fontId="3" fillId="0" borderId="0" xfId="2" applyNumberFormat="1" applyAlignment="1">
      <alignment horizontal="center" vertical="center"/>
    </xf>
    <xf numFmtId="180" fontId="0" fillId="0" borderId="0" xfId="0" applyNumberFormat="1" applyAlignment="1">
      <alignment vertical="center"/>
    </xf>
    <xf numFmtId="0" fontId="4" fillId="0" borderId="0" xfId="4" applyNumberFormat="1" applyFont="1" applyFill="1" applyBorder="1" applyAlignment="1">
      <alignment horizontal="center" vertical="center"/>
    </xf>
    <xf numFmtId="181" fontId="3" fillId="2" borderId="1" xfId="1" applyNumberFormat="1" applyFont="1" applyFill="1" applyBorder="1" applyAlignment="1">
      <alignment horizontal="right" vertical="center"/>
    </xf>
    <xf numFmtId="181" fontId="3" fillId="2" borderId="0" xfId="1" applyNumberFormat="1" applyFont="1" applyFill="1" applyAlignment="1">
      <alignment horizontal="right" vertical="center"/>
    </xf>
    <xf numFmtId="181" fontId="0" fillId="0" borderId="0" xfId="0" applyNumberFormat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2" xr:uid="{E0FEC468-33F4-49EF-92E8-52E79DD1E212}"/>
    <cellStyle name="常规 3" xfId="1" xr:uid="{9C480E34-039D-445F-AC69-BDB1A8C92946}"/>
    <cellStyle name="常规 4" xfId="4" xr:uid="{BB2AEF77-04E0-44C0-9CA7-89F0157EC20B}"/>
    <cellStyle name="千位分隔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opLeftCell="G1" workbookViewId="0">
      <selection activeCell="P6" sqref="P6"/>
    </sheetView>
  </sheetViews>
  <sheetFormatPr defaultColWidth="9" defaultRowHeight="14" x14ac:dyDescent="0.3"/>
  <cols>
    <col min="1" max="1" width="18" style="2" customWidth="1"/>
    <col min="2" max="2" width="13.33203125" style="2" customWidth="1"/>
    <col min="3" max="3" width="10.08203125" style="2" customWidth="1"/>
    <col min="4" max="5" width="12.33203125" style="2" customWidth="1"/>
    <col min="6" max="7" width="18.08203125" style="2" customWidth="1"/>
    <col min="8" max="10" width="9" style="2"/>
    <col min="11" max="11" width="17.83203125" style="5" customWidth="1"/>
    <col min="12" max="12" width="9" style="2"/>
    <col min="13" max="13" width="15.33203125" style="2" customWidth="1"/>
    <col min="14" max="16384" width="9" style="2"/>
  </cols>
  <sheetData>
    <row r="1" spans="1:19" ht="16" customHeight="1" x14ac:dyDescent="0.3">
      <c r="A1" s="2" t="s">
        <v>83</v>
      </c>
      <c r="B1" s="1" t="s">
        <v>84</v>
      </c>
      <c r="C1" s="1" t="s">
        <v>86</v>
      </c>
      <c r="D1" s="1" t="s">
        <v>87</v>
      </c>
      <c r="E1" s="1" t="s">
        <v>95</v>
      </c>
      <c r="F1" s="1" t="s">
        <v>96</v>
      </c>
      <c r="G1" s="1" t="s">
        <v>94</v>
      </c>
      <c r="H1" s="1" t="s">
        <v>93</v>
      </c>
      <c r="I1" s="1" t="s">
        <v>80</v>
      </c>
      <c r="J1" s="1" t="s">
        <v>97</v>
      </c>
      <c r="K1" t="s">
        <v>81</v>
      </c>
      <c r="L1" t="s">
        <v>82</v>
      </c>
      <c r="M1" s="1" t="s">
        <v>98</v>
      </c>
      <c r="N1" s="1"/>
      <c r="O1" s="1" t="s">
        <v>102</v>
      </c>
      <c r="P1" s="1"/>
      <c r="Q1" s="1" t="s">
        <v>104</v>
      </c>
      <c r="R1" s="1" t="s">
        <v>100</v>
      </c>
      <c r="S1" s="1"/>
    </row>
    <row r="2" spans="1:19" x14ac:dyDescent="0.3">
      <c r="A2" s="1">
        <v>2012</v>
      </c>
      <c r="B2" s="1" t="s">
        <v>58</v>
      </c>
      <c r="C2" s="1">
        <v>12088</v>
      </c>
      <c r="D2" s="1">
        <v>1011</v>
      </c>
      <c r="E2" s="1">
        <v>6049.9273000000003</v>
      </c>
      <c r="F2" s="1">
        <v>5036.882620507582</v>
      </c>
      <c r="G2" s="1">
        <v>4453745.952605499</v>
      </c>
      <c r="H2" s="1">
        <v>1</v>
      </c>
      <c r="I2" s="1">
        <v>6049.9273000000003</v>
      </c>
      <c r="J2" s="1">
        <v>1417.78</v>
      </c>
      <c r="K2" s="1">
        <v>104.07274200000001</v>
      </c>
      <c r="L2" s="1">
        <v>30.578983999999998</v>
      </c>
      <c r="M2" s="1">
        <v>1258031.3052960001</v>
      </c>
      <c r="N2" s="1">
        <v>369638.758592</v>
      </c>
      <c r="O2" s="1">
        <v>105217.54216200001</v>
      </c>
      <c r="P2" s="1">
        <v>30915.352823999998</v>
      </c>
      <c r="Q2" s="1">
        <f>E2/1013.044679</f>
        <v>5.9720241618287009</v>
      </c>
      <c r="R2" s="1">
        <v>57624</v>
      </c>
      <c r="S2" s="1"/>
    </row>
    <row r="3" spans="1:19" x14ac:dyDescent="0.3">
      <c r="A3" s="1">
        <v>2012</v>
      </c>
      <c r="B3" s="1" t="s">
        <v>59</v>
      </c>
      <c r="C3" s="1">
        <v>1535.59</v>
      </c>
      <c r="D3" s="1">
        <v>135.22999999999999</v>
      </c>
      <c r="E3" s="1">
        <v>772.25376400000005</v>
      </c>
      <c r="F3" s="1">
        <v>-240.79091549241798</v>
      </c>
      <c r="G3" s="1">
        <v>1947.8474400548751</v>
      </c>
      <c r="H3" s="1">
        <v>10</v>
      </c>
      <c r="I3" s="1">
        <v>7722.5376400000005</v>
      </c>
      <c r="J3" s="1">
        <v>271.32</v>
      </c>
      <c r="K3" s="1">
        <v>104.785532</v>
      </c>
      <c r="L3" s="1">
        <v>29.345369999999999</v>
      </c>
      <c r="M3" s="1">
        <v>160907.61508387999</v>
      </c>
      <c r="N3" s="1">
        <v>45062.456718299996</v>
      </c>
      <c r="O3" s="1">
        <v>14170.14749236</v>
      </c>
      <c r="P3" s="1">
        <v>3968.3743850999995</v>
      </c>
      <c r="Q3" s="1">
        <f t="shared" ref="Q3:Q22" si="0">E3/1013.044679</f>
        <v>0.76230967893963941</v>
      </c>
      <c r="R3" s="1">
        <v>32787</v>
      </c>
      <c r="S3" s="1"/>
    </row>
    <row r="4" spans="1:19" x14ac:dyDescent="0.3">
      <c r="A4" s="1">
        <v>2012</v>
      </c>
      <c r="B4" s="1" t="s">
        <v>60</v>
      </c>
      <c r="C4" s="1">
        <v>852.68</v>
      </c>
      <c r="D4" s="1">
        <v>66.86</v>
      </c>
      <c r="E4" s="1">
        <v>424.32951800000001</v>
      </c>
      <c r="F4" s="1">
        <v>-588.71516099999997</v>
      </c>
      <c r="G4" s="1">
        <v>5282.337512195797</v>
      </c>
      <c r="H4" s="1">
        <v>18</v>
      </c>
      <c r="I4" s="1">
        <v>7637.9313240000001</v>
      </c>
      <c r="J4" s="1">
        <v>123.09</v>
      </c>
      <c r="K4" s="1">
        <v>101.72505</v>
      </c>
      <c r="L4" s="1">
        <v>26.588200000000001</v>
      </c>
      <c r="M4" s="1">
        <v>86738.91563399999</v>
      </c>
      <c r="N4" s="1">
        <v>22671.226375999999</v>
      </c>
      <c r="O4" s="1">
        <v>6801.336843</v>
      </c>
      <c r="P4" s="1">
        <v>1777.687052</v>
      </c>
      <c r="Q4" s="1">
        <f t="shared" si="0"/>
        <v>0.41886555133862957</v>
      </c>
      <c r="R4" s="1">
        <v>60391</v>
      </c>
      <c r="S4" s="1"/>
    </row>
    <row r="5" spans="1:19" x14ac:dyDescent="0.3">
      <c r="A5" s="1">
        <v>2012</v>
      </c>
      <c r="B5" s="1" t="s">
        <v>61</v>
      </c>
      <c r="C5" s="1">
        <v>1533.63</v>
      </c>
      <c r="D5" s="1">
        <v>106.02</v>
      </c>
      <c r="E5" s="1">
        <v>755.43978900000013</v>
      </c>
      <c r="F5" s="1">
        <v>-257.60488999999984</v>
      </c>
      <c r="G5" s="1">
        <v>3492.1273277732853</v>
      </c>
      <c r="H5" s="1">
        <v>13</v>
      </c>
      <c r="I5" s="1">
        <v>9820.7172570000021</v>
      </c>
      <c r="J5" s="1">
        <v>425</v>
      </c>
      <c r="K5" s="1">
        <v>105.448463</v>
      </c>
      <c r="L5" s="1">
        <v>28.876978000000001</v>
      </c>
      <c r="M5" s="1">
        <v>161718.92631069</v>
      </c>
      <c r="N5" s="1">
        <v>44286.599770140005</v>
      </c>
      <c r="O5" s="1">
        <v>11179.646047259999</v>
      </c>
      <c r="P5" s="1">
        <v>3061.5372075599998</v>
      </c>
      <c r="Q5" s="1">
        <f t="shared" si="0"/>
        <v>0.74571221256076525</v>
      </c>
      <c r="R5" s="1">
        <v>24317</v>
      </c>
      <c r="S5" s="1"/>
    </row>
    <row r="6" spans="1:19" x14ac:dyDescent="0.3">
      <c r="A6" s="1">
        <v>2012</v>
      </c>
      <c r="B6" s="1" t="s">
        <v>62</v>
      </c>
      <c r="C6" s="1">
        <v>1107</v>
      </c>
      <c r="D6" s="1">
        <v>67</v>
      </c>
      <c r="E6" s="1">
        <v>540.096</v>
      </c>
      <c r="F6" s="1">
        <v>-472.94867899999997</v>
      </c>
      <c r="G6" s="1">
        <v>9780.3767064380663</v>
      </c>
      <c r="H6" s="1">
        <v>17</v>
      </c>
      <c r="I6" s="1">
        <v>9181.6319999999996</v>
      </c>
      <c r="J6" s="1">
        <v>353.13</v>
      </c>
      <c r="K6" s="1">
        <v>104.40422700000001</v>
      </c>
      <c r="L6" s="1">
        <v>31.133751</v>
      </c>
      <c r="M6" s="1">
        <v>115575.47928900001</v>
      </c>
      <c r="N6" s="1">
        <v>34465.062357000003</v>
      </c>
      <c r="O6" s="1">
        <v>6995.0832090000004</v>
      </c>
      <c r="P6" s="1">
        <v>2085.9613170000002</v>
      </c>
      <c r="Q6" s="1">
        <f t="shared" si="0"/>
        <v>0.53314134232770594</v>
      </c>
      <c r="R6" s="1">
        <v>35945</v>
      </c>
      <c r="S6" s="1"/>
    </row>
    <row r="7" spans="1:19" x14ac:dyDescent="0.3">
      <c r="A7" s="1">
        <v>2012</v>
      </c>
      <c r="B7" s="1" t="s">
        <v>63</v>
      </c>
      <c r="C7" s="1">
        <v>1919.54</v>
      </c>
      <c r="D7" s="1">
        <v>136.83000000000001</v>
      </c>
      <c r="E7" s="1">
        <v>947.78477900000007</v>
      </c>
      <c r="F7" s="1">
        <v>-65.259899999999902</v>
      </c>
      <c r="G7" s="1">
        <v>244.69350528312751</v>
      </c>
      <c r="H7" s="1">
        <v>6</v>
      </c>
      <c r="I7" s="1">
        <v>5686.7086740000004</v>
      </c>
      <c r="J7" s="1">
        <v>464.02</v>
      </c>
      <c r="K7" s="1">
        <v>104.685653</v>
      </c>
      <c r="L7" s="1">
        <v>31.473462000000001</v>
      </c>
      <c r="M7" s="1">
        <v>200948.29835962001</v>
      </c>
      <c r="N7" s="1">
        <v>60414.569247480002</v>
      </c>
      <c r="O7" s="1">
        <v>14324.137899990001</v>
      </c>
      <c r="P7" s="1">
        <v>4306.5138054600002</v>
      </c>
      <c r="Q7" s="1">
        <f t="shared" si="0"/>
        <v>0.93558043257833456</v>
      </c>
      <c r="R7" s="1">
        <v>29080</v>
      </c>
      <c r="S7" s="1"/>
    </row>
    <row r="8" spans="1:19" x14ac:dyDescent="0.3">
      <c r="A8" s="1">
        <v>2012</v>
      </c>
      <c r="B8" s="1" t="s">
        <v>64</v>
      </c>
      <c r="C8" s="1">
        <v>1918</v>
      </c>
      <c r="D8" s="1">
        <v>82.88</v>
      </c>
      <c r="E8" s="1">
        <v>917.67608800000005</v>
      </c>
      <c r="F8" s="1">
        <v>-95.368590999999924</v>
      </c>
      <c r="G8" s="1">
        <v>284.92082189387247</v>
      </c>
      <c r="H8" s="1">
        <v>7</v>
      </c>
      <c r="I8" s="1">
        <v>6423.7326160000002</v>
      </c>
      <c r="J8" s="1">
        <v>253</v>
      </c>
      <c r="K8" s="1">
        <v>105.850532</v>
      </c>
      <c r="L8" s="1">
        <v>32.442338999999997</v>
      </c>
      <c r="M8" s="1">
        <v>203021.32037599999</v>
      </c>
      <c r="N8" s="1">
        <v>62224.406201999991</v>
      </c>
      <c r="O8" s="1">
        <v>8772.8920921600002</v>
      </c>
      <c r="P8" s="1">
        <v>2688.8210563199996</v>
      </c>
      <c r="Q8" s="1">
        <f t="shared" si="0"/>
        <v>0.90585944235535543</v>
      </c>
      <c r="R8" s="1">
        <v>18672</v>
      </c>
      <c r="S8" s="1"/>
    </row>
    <row r="9" spans="1:19" x14ac:dyDescent="0.3">
      <c r="A9" s="1">
        <v>2012</v>
      </c>
      <c r="B9" s="1" t="s">
        <v>65</v>
      </c>
      <c r="C9" s="1">
        <v>1703</v>
      </c>
      <c r="D9" s="1">
        <v>130.9</v>
      </c>
      <c r="E9" s="1">
        <v>846.04829000000007</v>
      </c>
      <c r="F9" s="1">
        <v>-166.99638899999991</v>
      </c>
      <c r="G9" s="1">
        <v>1128.3641347985274</v>
      </c>
      <c r="H9" s="1">
        <v>9</v>
      </c>
      <c r="I9" s="1">
        <v>7614.4346100000002</v>
      </c>
      <c r="J9" s="1">
        <v>326.77</v>
      </c>
      <c r="K9" s="1">
        <v>105.599143</v>
      </c>
      <c r="L9" s="1">
        <v>30.539141000000001</v>
      </c>
      <c r="M9" s="1">
        <v>179835.34052900001</v>
      </c>
      <c r="N9" s="1">
        <v>52008.157123000005</v>
      </c>
      <c r="O9" s="1">
        <v>13822.9278187</v>
      </c>
      <c r="P9" s="1">
        <v>3997.5735569000003</v>
      </c>
      <c r="Q9" s="1">
        <f t="shared" si="0"/>
        <v>0.83515397448723983</v>
      </c>
      <c r="R9" s="1">
        <v>20908</v>
      </c>
      <c r="S9" s="1"/>
    </row>
    <row r="10" spans="1:19" x14ac:dyDescent="0.3">
      <c r="A10" s="1">
        <v>2012</v>
      </c>
      <c r="B10" s="1" t="s">
        <v>66</v>
      </c>
      <c r="C10" s="1">
        <v>1377.97</v>
      </c>
      <c r="D10" s="1">
        <v>86.12</v>
      </c>
      <c r="E10" s="1">
        <v>673.78256500000009</v>
      </c>
      <c r="F10" s="1">
        <v>-339.26211399999988</v>
      </c>
      <c r="G10" s="1">
        <v>5298.8878598647143</v>
      </c>
      <c r="H10" s="1">
        <v>15</v>
      </c>
      <c r="I10" s="1">
        <v>10106.738475000002</v>
      </c>
      <c r="J10" s="1">
        <v>371.81</v>
      </c>
      <c r="K10" s="1">
        <v>105.064564</v>
      </c>
      <c r="L10" s="1">
        <v>29.585822</v>
      </c>
      <c r="M10" s="1">
        <v>144775.81725508001</v>
      </c>
      <c r="N10" s="1">
        <v>40768.375141340002</v>
      </c>
      <c r="O10" s="1">
        <v>9048.1602516800012</v>
      </c>
      <c r="P10" s="1">
        <v>2547.9309906400003</v>
      </c>
      <c r="Q10" s="1">
        <f t="shared" si="0"/>
        <v>0.66510646466758661</v>
      </c>
      <c r="R10" s="1">
        <v>26341</v>
      </c>
      <c r="S10" s="1"/>
    </row>
    <row r="11" spans="1:19" x14ac:dyDescent="0.3">
      <c r="A11" s="1">
        <v>2012</v>
      </c>
      <c r="B11" s="1" t="s">
        <v>67</v>
      </c>
      <c r="C11" s="1">
        <v>2656</v>
      </c>
      <c r="D11" s="1">
        <v>266.7</v>
      </c>
      <c r="E11" s="1">
        <v>1353.59257</v>
      </c>
      <c r="F11" s="1">
        <v>340.54789100000005</v>
      </c>
      <c r="G11" s="1">
        <v>4673.263358020663</v>
      </c>
      <c r="H11" s="1">
        <v>2</v>
      </c>
      <c r="I11" s="1">
        <v>2707.18514</v>
      </c>
      <c r="J11" s="1">
        <v>325.44</v>
      </c>
      <c r="K11" s="1">
        <v>103.772521</v>
      </c>
      <c r="L11" s="1">
        <v>29.558285000000001</v>
      </c>
      <c r="M11" s="1">
        <v>275619.81577599997</v>
      </c>
      <c r="N11" s="1">
        <v>78506.804960000009</v>
      </c>
      <c r="O11" s="1">
        <v>27676.131350699998</v>
      </c>
      <c r="P11" s="1">
        <v>7883.1946095000003</v>
      </c>
      <c r="Q11" s="1">
        <f t="shared" si="0"/>
        <v>1.3361627557593638</v>
      </c>
      <c r="R11" s="1">
        <v>31942</v>
      </c>
      <c r="S11" s="1"/>
    </row>
    <row r="12" spans="1:19" x14ac:dyDescent="0.3">
      <c r="A12" s="1">
        <v>2012</v>
      </c>
      <c r="B12" s="1" t="s">
        <v>68</v>
      </c>
      <c r="C12" s="1">
        <v>1826.5</v>
      </c>
      <c r="D12" s="1">
        <v>155.02000000000001</v>
      </c>
      <c r="E12" s="1">
        <v>915.37625200000002</v>
      </c>
      <c r="F12" s="1">
        <v>-97.668426999999951</v>
      </c>
      <c r="G12" s="1">
        <v>744.15353782982118</v>
      </c>
      <c r="H12" s="1">
        <v>8</v>
      </c>
      <c r="I12" s="1">
        <v>7323.0100160000002</v>
      </c>
      <c r="J12" s="1">
        <v>630.03</v>
      </c>
      <c r="K12" s="1">
        <v>106.11712300000001</v>
      </c>
      <c r="L12" s="1">
        <v>30.843219999999999</v>
      </c>
      <c r="M12" s="1">
        <v>193822.92515950001</v>
      </c>
      <c r="N12" s="1">
        <v>56335.141329999999</v>
      </c>
      <c r="O12" s="1">
        <v>16450.276407460002</v>
      </c>
      <c r="P12" s="1">
        <v>4781.3159643999998</v>
      </c>
      <c r="Q12" s="1">
        <f t="shared" si="0"/>
        <v>0.9035892206685191</v>
      </c>
      <c r="R12" s="1">
        <v>18757</v>
      </c>
      <c r="S12" s="1"/>
    </row>
    <row r="13" spans="1:19" x14ac:dyDescent="0.3">
      <c r="A13" s="1">
        <v>2012</v>
      </c>
      <c r="B13" s="1" t="s">
        <v>69</v>
      </c>
      <c r="C13" s="1">
        <v>1560</v>
      </c>
      <c r="D13" s="1">
        <v>110.2</v>
      </c>
      <c r="E13" s="1">
        <v>769.71402</v>
      </c>
      <c r="F13" s="1">
        <v>-243.33065899999997</v>
      </c>
      <c r="G13" s="1">
        <v>2174.7849140096555</v>
      </c>
      <c r="H13" s="1">
        <v>11</v>
      </c>
      <c r="I13" s="1">
        <v>8466.8542199999993</v>
      </c>
      <c r="J13" s="1">
        <v>296.64</v>
      </c>
      <c r="K13" s="1">
        <v>103.854991</v>
      </c>
      <c r="L13" s="1">
        <v>30.082841999999999</v>
      </c>
      <c r="M13" s="1">
        <v>162013.78596000001</v>
      </c>
      <c r="N13" s="1">
        <v>46929.233520000002</v>
      </c>
      <c r="O13" s="1">
        <v>11444.8200082</v>
      </c>
      <c r="P13" s="1">
        <v>3315.1291884000002</v>
      </c>
      <c r="Q13" s="1">
        <f t="shared" si="0"/>
        <v>0.75980263847770535</v>
      </c>
      <c r="R13" s="1">
        <v>26168</v>
      </c>
      <c r="S13" s="1"/>
    </row>
    <row r="14" spans="1:19" x14ac:dyDescent="0.3">
      <c r="A14" s="1">
        <v>2012</v>
      </c>
      <c r="B14" s="1" t="s">
        <v>70</v>
      </c>
      <c r="C14" s="1">
        <v>2112.39</v>
      </c>
      <c r="D14" s="1">
        <v>165.94</v>
      </c>
      <c r="E14" s="1">
        <v>1051.380105</v>
      </c>
      <c r="F14" s="1">
        <v>38.335425999999984</v>
      </c>
      <c r="G14" s="1">
        <v>81.157447738324691</v>
      </c>
      <c r="H14" s="1">
        <v>4</v>
      </c>
      <c r="I14" s="1">
        <v>4205.5204199999998</v>
      </c>
      <c r="J14" s="1">
        <v>446</v>
      </c>
      <c r="K14" s="1">
        <v>104.649316</v>
      </c>
      <c r="L14" s="1">
        <v>28.758631000000001</v>
      </c>
      <c r="M14" s="1">
        <v>221060.16862523998</v>
      </c>
      <c r="N14" s="1">
        <v>60749.44453809</v>
      </c>
      <c r="O14" s="1">
        <v>17365.507497039998</v>
      </c>
      <c r="P14" s="1">
        <v>4772.2072281400006</v>
      </c>
      <c r="Q14" s="1">
        <f t="shared" si="0"/>
        <v>1.0378417919709542</v>
      </c>
      <c r="R14" s="1">
        <v>27865</v>
      </c>
      <c r="S14" s="1"/>
    </row>
    <row r="15" spans="1:19" x14ac:dyDescent="0.3">
      <c r="A15" s="1">
        <v>2012</v>
      </c>
      <c r="B15" s="1" t="s">
        <v>71</v>
      </c>
      <c r="C15" s="1">
        <v>1550</v>
      </c>
      <c r="D15" s="1">
        <v>103.5</v>
      </c>
      <c r="E15" s="1">
        <v>761.51285000000007</v>
      </c>
      <c r="F15" s="1">
        <v>-251.5318289999999</v>
      </c>
      <c r="G15" s="1">
        <v>2519.7002882627226</v>
      </c>
      <c r="H15" s="1">
        <v>12</v>
      </c>
      <c r="I15" s="1">
        <v>9138.1542000000009</v>
      </c>
      <c r="J15" s="1">
        <v>321.64</v>
      </c>
      <c r="K15" s="1">
        <v>106.639184</v>
      </c>
      <c r="L15" s="1">
        <v>30.462142</v>
      </c>
      <c r="M15" s="1">
        <v>165290.7352</v>
      </c>
      <c r="N15" s="1">
        <v>47216.320099999997</v>
      </c>
      <c r="O15" s="1">
        <v>11037.155543999999</v>
      </c>
      <c r="P15" s="1">
        <v>3152.8316970000001</v>
      </c>
      <c r="Q15" s="1">
        <f t="shared" si="0"/>
        <v>0.75170707253672875</v>
      </c>
      <c r="R15" s="1">
        <v>23410</v>
      </c>
      <c r="S15" s="1"/>
    </row>
    <row r="16" spans="1:19" x14ac:dyDescent="0.3">
      <c r="A16" s="1">
        <v>2012</v>
      </c>
      <c r="B16" s="1" t="s">
        <v>72</v>
      </c>
      <c r="C16" s="1">
        <v>727.26000000000931</v>
      </c>
      <c r="D16" s="1">
        <v>39.830965359296016</v>
      </c>
      <c r="E16" s="1">
        <v>352.54243321735652</v>
      </c>
      <c r="F16" s="1">
        <v>-660.50224578264351</v>
      </c>
      <c r="G16" s="1">
        <v>29670.673959036965</v>
      </c>
      <c r="H16" s="1">
        <v>19</v>
      </c>
      <c r="I16" s="1">
        <v>6698.3062311297736</v>
      </c>
      <c r="J16" s="1">
        <v>549.27</v>
      </c>
      <c r="K16" s="1">
        <v>107.474424</v>
      </c>
      <c r="L16" s="1">
        <v>31.214942000000001</v>
      </c>
      <c r="M16" s="1">
        <v>78161.849598240995</v>
      </c>
      <c r="N16" s="1">
        <v>22701.378718920292</v>
      </c>
      <c r="O16" s="1">
        <v>4280.8100593542922</v>
      </c>
      <c r="P16" s="1">
        <v>1243.3212734944343</v>
      </c>
      <c r="Q16" s="1">
        <f t="shared" si="0"/>
        <v>0.34800284777701945</v>
      </c>
      <c r="R16" s="1">
        <v>20685</v>
      </c>
      <c r="S16" s="1"/>
    </row>
    <row r="17" spans="1:19" x14ac:dyDescent="0.3">
      <c r="A17" s="1">
        <v>2012</v>
      </c>
      <c r="B17" s="1" t="s">
        <v>73</v>
      </c>
      <c r="C17" s="1">
        <v>1192</v>
      </c>
      <c r="D17" s="1">
        <v>79.3</v>
      </c>
      <c r="E17" s="1">
        <v>585.46723000000009</v>
      </c>
      <c r="F17" s="1">
        <v>-427.57744899999989</v>
      </c>
      <c r="G17" s="1">
        <v>3455.5670726913027</v>
      </c>
      <c r="H17" s="1">
        <v>16</v>
      </c>
      <c r="I17" s="1">
        <v>9367.4756800000014</v>
      </c>
      <c r="J17" s="1">
        <v>152.65</v>
      </c>
      <c r="K17" s="1">
        <v>103.048153</v>
      </c>
      <c r="L17" s="1">
        <v>30.015991</v>
      </c>
      <c r="M17" s="1">
        <v>122833.398376</v>
      </c>
      <c r="N17" s="1">
        <v>35779.061271999999</v>
      </c>
      <c r="O17" s="1">
        <v>8171.7185328999994</v>
      </c>
      <c r="P17" s="1">
        <v>2380.2680863</v>
      </c>
      <c r="Q17" s="1">
        <f t="shared" si="0"/>
        <v>0.5779283403155806</v>
      </c>
      <c r="R17" s="1">
        <v>26157</v>
      </c>
      <c r="S17" s="1"/>
    </row>
    <row r="18" spans="1:19" x14ac:dyDescent="0.3">
      <c r="A18" s="1">
        <v>2012</v>
      </c>
      <c r="B18" s="1" t="s">
        <v>74</v>
      </c>
      <c r="C18" s="1">
        <v>714.6</v>
      </c>
      <c r="D18" s="1">
        <v>43.7</v>
      </c>
      <c r="E18" s="1">
        <v>348.89241000000004</v>
      </c>
      <c r="F18" s="1">
        <v>-664.15226899999993</v>
      </c>
      <c r="G18" s="1">
        <v>18066.774674309705</v>
      </c>
      <c r="H18" s="1">
        <v>20</v>
      </c>
      <c r="I18" s="1">
        <v>6977.8482000000004</v>
      </c>
      <c r="J18" s="1">
        <v>330.79</v>
      </c>
      <c r="K18" s="1">
        <v>106.754109</v>
      </c>
      <c r="L18" s="1">
        <v>31.873559</v>
      </c>
      <c r="M18" s="1">
        <v>76286.486291399997</v>
      </c>
      <c r="N18" s="1">
        <v>22776.845261400002</v>
      </c>
      <c r="O18" s="1">
        <v>4665.1545633000005</v>
      </c>
      <c r="P18" s="1">
        <v>1392.8745283000001</v>
      </c>
      <c r="Q18" s="1">
        <f t="shared" si="0"/>
        <v>0.34439982483734072</v>
      </c>
      <c r="R18" s="1">
        <v>11823</v>
      </c>
      <c r="S18" s="1"/>
    </row>
    <row r="19" spans="1:19" x14ac:dyDescent="0.3">
      <c r="A19" s="1">
        <v>2012</v>
      </c>
      <c r="B19" s="1" t="s">
        <v>75</v>
      </c>
      <c r="C19" s="1">
        <v>1409.36</v>
      </c>
      <c r="D19" s="1">
        <v>114.19</v>
      </c>
      <c r="E19" s="1">
        <v>703.36283299999991</v>
      </c>
      <c r="F19" s="1">
        <v>-309.68184600000006</v>
      </c>
      <c r="G19" s="1">
        <v>4261.2535839262446</v>
      </c>
      <c r="H19" s="1">
        <v>14</v>
      </c>
      <c r="I19" s="1">
        <v>9847.0796619999983</v>
      </c>
      <c r="J19" s="1">
        <v>358.85</v>
      </c>
      <c r="K19" s="1">
        <v>104.633825</v>
      </c>
      <c r="L19" s="1">
        <v>30.135162999999999</v>
      </c>
      <c r="M19" s="1">
        <v>147466.727602</v>
      </c>
      <c r="N19" s="1">
        <v>42471.293325679995</v>
      </c>
      <c r="O19" s="1">
        <v>11948.13647675</v>
      </c>
      <c r="P19" s="1">
        <v>3441.1342629699998</v>
      </c>
      <c r="Q19" s="1">
        <f t="shared" si="0"/>
        <v>0.69430583623844289</v>
      </c>
      <c r="R19" s="1">
        <v>27283</v>
      </c>
      <c r="S19" s="1"/>
    </row>
    <row r="20" spans="1:19" x14ac:dyDescent="0.3">
      <c r="A20" s="1">
        <v>2012</v>
      </c>
      <c r="B20" s="1" t="s">
        <v>76</v>
      </c>
      <c r="C20" s="1">
        <v>1944.3283333333675</v>
      </c>
      <c r="D20" s="1">
        <v>172.64100952133109</v>
      </c>
      <c r="E20" s="1">
        <v>978.58157312342644</v>
      </c>
      <c r="F20" s="1">
        <v>-34.463105876573536</v>
      </c>
      <c r="G20" s="1">
        <v>13.334151308295326</v>
      </c>
      <c r="H20" s="1">
        <v>5</v>
      </c>
      <c r="I20" s="1">
        <v>4892.9078656171323</v>
      </c>
      <c r="J20" s="1">
        <v>90.67</v>
      </c>
      <c r="K20" s="1">
        <v>102.23090999999999</v>
      </c>
      <c r="L20" s="1">
        <v>31.905656</v>
      </c>
      <c r="M20" s="1">
        <v>198770.45485545348</v>
      </c>
      <c r="N20" s="1">
        <v>62035.07095438776</v>
      </c>
      <c r="O20" s="1">
        <v>17649.24750668434</v>
      </c>
      <c r="P20" s="1">
        <v>5508.2246612803146</v>
      </c>
      <c r="Q20" s="1">
        <f t="shared" si="0"/>
        <v>0.96598066542277994</v>
      </c>
      <c r="R20" s="1">
        <v>22525</v>
      </c>
      <c r="S20" s="1"/>
    </row>
    <row r="21" spans="1:19" x14ac:dyDescent="0.3">
      <c r="A21" s="1">
        <v>2012</v>
      </c>
      <c r="B21" s="1" t="s">
        <v>77</v>
      </c>
      <c r="C21" s="1">
        <v>515.17999999999995</v>
      </c>
      <c r="D21" s="1">
        <v>34.979999999999997</v>
      </c>
      <c r="E21" s="1">
        <v>253.42298</v>
      </c>
      <c r="F21" s="1">
        <v>-759.62169900000004</v>
      </c>
      <c r="G21" s="1">
        <v>8016.420976620534</v>
      </c>
      <c r="H21" s="1">
        <v>21</v>
      </c>
      <c r="I21" s="1">
        <v>5321.8825799999995</v>
      </c>
      <c r="J21" s="1">
        <v>112.2</v>
      </c>
      <c r="K21" s="1">
        <v>101.968649</v>
      </c>
      <c r="L21" s="1">
        <v>30.055425</v>
      </c>
      <c r="M21" s="1">
        <v>52532.208591819995</v>
      </c>
      <c r="N21" s="1">
        <v>15483.953851499999</v>
      </c>
      <c r="O21" s="1">
        <v>3566.8633420199994</v>
      </c>
      <c r="P21" s="1">
        <v>1051.3387664999998</v>
      </c>
      <c r="Q21" s="1">
        <f t="shared" si="0"/>
        <v>0.2501597266669025</v>
      </c>
      <c r="R21" s="1">
        <v>15753</v>
      </c>
      <c r="S21" s="1"/>
    </row>
    <row r="22" spans="1:19" x14ac:dyDescent="0.3">
      <c r="A22" s="1">
        <v>2012</v>
      </c>
      <c r="B22" s="1" t="s">
        <v>78</v>
      </c>
      <c r="C22" s="1">
        <v>2685</v>
      </c>
      <c r="D22" s="1">
        <v>94.2</v>
      </c>
      <c r="E22" s="1">
        <v>1272.7549200000001</v>
      </c>
      <c r="F22" s="1">
        <v>259.71024100000011</v>
      </c>
      <c r="G22" s="1">
        <v>3809.1770353303359</v>
      </c>
      <c r="H22" s="1">
        <v>3</v>
      </c>
      <c r="I22" s="1">
        <v>3818.26476</v>
      </c>
      <c r="J22" s="1">
        <v>456.1</v>
      </c>
      <c r="K22" s="1">
        <v>102.27418900000001</v>
      </c>
      <c r="L22" s="1">
        <v>27.887442</v>
      </c>
      <c r="M22" s="1">
        <v>274606.19746500003</v>
      </c>
      <c r="N22" s="1">
        <v>74877.781770000001</v>
      </c>
      <c r="O22" s="1">
        <v>9634.2286038000002</v>
      </c>
      <c r="P22" s="1">
        <v>2626.9970364000001</v>
      </c>
      <c r="Q22" s="1">
        <f t="shared" si="0"/>
        <v>1.2563660284523346</v>
      </c>
      <c r="R22" s="1">
        <v>24668</v>
      </c>
      <c r="S22" s="1"/>
    </row>
    <row r="23" spans="1:19" x14ac:dyDescent="0.3">
      <c r="A23" s="1"/>
      <c r="B23" s="1" t="s">
        <v>10</v>
      </c>
      <c r="C23" s="1">
        <v>42928.028333333379</v>
      </c>
      <c r="D23" s="1">
        <v>3203.0419748806262</v>
      </c>
      <c r="E23" s="1"/>
      <c r="F23" s="1"/>
      <c r="G23" s="1"/>
      <c r="H23" s="1"/>
      <c r="I23" s="1"/>
      <c r="J23" s="1"/>
      <c r="K23" s="1"/>
      <c r="L23" s="1"/>
      <c r="M23" s="1">
        <v>4480017.771633924</v>
      </c>
      <c r="N23" s="1">
        <v>1297401.9411292383</v>
      </c>
      <c r="O23" s="1">
        <v>334221.92370835866</v>
      </c>
      <c r="P23" s="1">
        <v>96898.589497664769</v>
      </c>
      <c r="Q23" s="1"/>
      <c r="R23" s="1"/>
      <c r="S23" s="1"/>
    </row>
    <row r="24" spans="1:19" x14ac:dyDescent="0.3">
      <c r="A24" s="1"/>
      <c r="B24" s="1"/>
      <c r="C24" s="1"/>
      <c r="D24" s="1" t="s">
        <v>11</v>
      </c>
      <c r="E24" s="1">
        <v>1013.044679492418</v>
      </c>
      <c r="F24" s="1" t="s">
        <v>10</v>
      </c>
      <c r="G24" s="1">
        <v>4558691.7689128872</v>
      </c>
      <c r="H24" s="1" t="s">
        <v>10</v>
      </c>
      <c r="I24" s="1">
        <v>149008.84887074691</v>
      </c>
      <c r="J24" s="1">
        <v>8076.2000000000007</v>
      </c>
      <c r="K24" s="1"/>
      <c r="L24" s="1" t="s">
        <v>12</v>
      </c>
      <c r="M24" s="1">
        <v>104.36113526684417</v>
      </c>
      <c r="N24" s="1">
        <v>30.222723742516095</v>
      </c>
      <c r="O24" s="1">
        <v>104.34515886130863</v>
      </c>
      <c r="P24" s="1">
        <v>30.252051099416537</v>
      </c>
      <c r="Q24" s="1"/>
      <c r="R24" s="1"/>
      <c r="S24" s="1"/>
    </row>
    <row r="25" spans="1:19" x14ac:dyDescent="0.3">
      <c r="A25" s="1"/>
      <c r="B25" s="1" t="s">
        <v>56</v>
      </c>
      <c r="C25" s="1">
        <f>E2-E21</f>
        <v>5796.50432</v>
      </c>
      <c r="D25" s="1" t="s">
        <v>13</v>
      </c>
      <c r="E25" s="1">
        <v>0.71408139322707398</v>
      </c>
      <c r="F25" s="1" t="s">
        <v>14</v>
      </c>
      <c r="G25" s="1">
        <v>2.1076161338058665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3">
      <c r="A27" s="1"/>
      <c r="B27" s="1"/>
      <c r="C27" s="1"/>
      <c r="D27" s="1"/>
      <c r="E27" s="3"/>
      <c r="F27" s="3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3">
      <c r="A29" s="25" t="s">
        <v>0</v>
      </c>
      <c r="B29" s="25" t="s">
        <v>1</v>
      </c>
      <c r="C29" s="25" t="s">
        <v>1</v>
      </c>
      <c r="D29" s="25" t="s">
        <v>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3">
      <c r="A30" s="4" t="s">
        <v>2</v>
      </c>
      <c r="B30" s="4" t="s">
        <v>3</v>
      </c>
      <c r="C30" s="4" t="s">
        <v>4</v>
      </c>
      <c r="D30" s="4" t="s">
        <v>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3">
      <c r="A31" s="4" t="s">
        <v>6</v>
      </c>
      <c r="B31" s="4">
        <v>0.83040000000000003</v>
      </c>
      <c r="C31" s="4">
        <v>0.1696</v>
      </c>
      <c r="D31" s="4" t="s">
        <v>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3">
      <c r="A32" s="4" t="s">
        <v>8</v>
      </c>
      <c r="B32" s="4">
        <v>0.79669999999999996</v>
      </c>
      <c r="C32" s="4">
        <v>0.20330000000000001</v>
      </c>
      <c r="D32" s="4" t="s">
        <v>9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</sheetData>
  <mergeCells count="1">
    <mergeCell ref="A29:D29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44C5D-B030-489A-8FBF-B1AD3BE2A351}">
  <dimension ref="A1:S52"/>
  <sheetViews>
    <sheetView workbookViewId="0">
      <selection sqref="A1:XFD1"/>
    </sheetView>
  </sheetViews>
  <sheetFormatPr defaultColWidth="9" defaultRowHeight="14" x14ac:dyDescent="0.3"/>
  <cols>
    <col min="1" max="1" width="9" style="2"/>
    <col min="2" max="2" width="16.83203125" style="2" customWidth="1"/>
    <col min="3" max="3" width="18.08203125" style="2" customWidth="1"/>
    <col min="4" max="4" width="16.33203125" style="2" customWidth="1"/>
    <col min="5" max="8" width="13.33203125" style="2" customWidth="1"/>
    <col min="9" max="12" width="9" style="2"/>
    <col min="13" max="14" width="11.5" style="2" bestFit="1" customWidth="1"/>
    <col min="15" max="16" width="10.33203125" style="2" bestFit="1" customWidth="1"/>
    <col min="17" max="16384" width="9" style="2"/>
  </cols>
  <sheetData>
    <row r="1" spans="1:19" ht="13.5" customHeight="1" x14ac:dyDescent="0.3">
      <c r="A1" s="2" t="s">
        <v>83</v>
      </c>
      <c r="B1" s="1" t="s">
        <v>84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92</v>
      </c>
      <c r="H1" s="1" t="s">
        <v>90</v>
      </c>
      <c r="I1" s="1" t="s">
        <v>91</v>
      </c>
      <c r="J1" t="s">
        <v>85</v>
      </c>
      <c r="K1" t="s">
        <v>81</v>
      </c>
      <c r="L1" t="s">
        <v>82</v>
      </c>
      <c r="M1" s="1" t="s">
        <v>98</v>
      </c>
      <c r="N1" s="1" t="s">
        <v>103</v>
      </c>
      <c r="O1" s="2" t="s">
        <v>99</v>
      </c>
      <c r="P1" s="1" t="s">
        <v>101</v>
      </c>
      <c r="Q1" s="1" t="s">
        <v>100</v>
      </c>
      <c r="R1" s="1"/>
      <c r="S1" s="1"/>
    </row>
    <row r="2" spans="1:19" x14ac:dyDescent="0.3">
      <c r="A2" s="1">
        <v>2021</v>
      </c>
      <c r="B2" s="1" t="s">
        <v>58</v>
      </c>
      <c r="C2" s="16">
        <v>18387.037285499999</v>
      </c>
      <c r="D2" s="7">
        <v>2406.74914501995</v>
      </c>
      <c r="E2" s="17">
        <f t="shared" ref="E2:E22" si="0">C2*0.4808+D2*0.5192</f>
        <v>10090.071682962756</v>
      </c>
      <c r="F2" s="16" t="s">
        <v>32</v>
      </c>
      <c r="G2" s="2">
        <f t="shared" ref="G2:G22" si="1">E2*F2</f>
        <v>10090.071682962756</v>
      </c>
      <c r="H2" s="2">
        <v>2119.1999999999998</v>
      </c>
      <c r="I2" s="17">
        <f>E2-2194.51</f>
        <v>7895.5616829627561</v>
      </c>
      <c r="J2" s="17">
        <f>I2*I2*H2/8372</f>
        <v>15780064.975901112</v>
      </c>
      <c r="K2" s="5">
        <v>104.07274200000001</v>
      </c>
      <c r="L2" s="2">
        <v>30.578983999999998</v>
      </c>
      <c r="M2" s="17">
        <f>C2*K2</f>
        <v>1913589.3875582218</v>
      </c>
      <c r="N2" s="17">
        <f>C2*L2</f>
        <v>562256.91896070784</v>
      </c>
      <c r="O2" s="2">
        <f>D2*K2</f>
        <v>250476.98282838185</v>
      </c>
      <c r="P2" s="2">
        <f>D2*L2</f>
        <v>73595.94359757872</v>
      </c>
      <c r="Q2" s="2">
        <v>94622</v>
      </c>
    </row>
    <row r="3" spans="1:19" x14ac:dyDescent="0.3">
      <c r="A3" s="1">
        <v>2021</v>
      </c>
      <c r="B3" s="1" t="s">
        <v>59</v>
      </c>
      <c r="C3" s="7">
        <v>2169.4679550000001</v>
      </c>
      <c r="D3" s="7">
        <v>181.29343031339999</v>
      </c>
      <c r="E3" s="17">
        <f t="shared" si="0"/>
        <v>1137.2077417827172</v>
      </c>
      <c r="F3" s="16" t="s">
        <v>33</v>
      </c>
      <c r="G3" s="2">
        <f t="shared" si="1"/>
        <v>21606.947093871626</v>
      </c>
      <c r="H3" s="2">
        <v>246.7</v>
      </c>
      <c r="I3" s="17">
        <f t="shared" ref="I3:I22" si="2">E3-2194.51</f>
        <v>-1057.302258217283</v>
      </c>
      <c r="J3" s="17">
        <f t="shared" ref="J3:J22" si="3">I3*I3*H3/8372</f>
        <v>32941.11152563044</v>
      </c>
      <c r="K3" s="5">
        <v>104.785532</v>
      </c>
      <c r="L3" s="2">
        <v>29.345369999999999</v>
      </c>
      <c r="M3" s="17">
        <f t="shared" ref="M3:M22" si="4">C3*K3</f>
        <v>227328.85382162707</v>
      </c>
      <c r="N3" s="17">
        <f t="shared" ref="N3:N22" si="5">C3*L3</f>
        <v>63663.839842618348</v>
      </c>
      <c r="O3" s="2">
        <f t="shared" ref="O3:O22" si="6">D3*K3</f>
        <v>18996.928543494545</v>
      </c>
      <c r="P3" s="2">
        <f t="shared" ref="P3:P22" si="7">D3*L3</f>
        <v>5320.1227911159385</v>
      </c>
      <c r="Q3" s="2">
        <v>64595</v>
      </c>
    </row>
    <row r="4" spans="1:19" x14ac:dyDescent="0.3">
      <c r="A4" s="1">
        <v>2021</v>
      </c>
      <c r="B4" s="1" t="s">
        <v>60</v>
      </c>
      <c r="C4" s="7">
        <v>1768.4739500000001</v>
      </c>
      <c r="D4" s="7">
        <v>214.07276762720002</v>
      </c>
      <c r="E4" s="17">
        <f t="shared" si="0"/>
        <v>961.42885611204224</v>
      </c>
      <c r="F4" s="16" t="s">
        <v>34</v>
      </c>
      <c r="G4" s="2">
        <f t="shared" si="1"/>
        <v>19228.577122240844</v>
      </c>
      <c r="H4" s="2">
        <v>121.4</v>
      </c>
      <c r="I4" s="17">
        <f t="shared" si="2"/>
        <v>-1233.081143887958</v>
      </c>
      <c r="J4" s="17">
        <f t="shared" si="3"/>
        <v>22048.181753442554</v>
      </c>
      <c r="K4" s="5">
        <v>101.72505</v>
      </c>
      <c r="L4" s="2">
        <v>26.588200000000001</v>
      </c>
      <c r="M4" s="17">
        <f t="shared" si="4"/>
        <v>179898.10098744751</v>
      </c>
      <c r="N4" s="17">
        <f t="shared" si="5"/>
        <v>47020.53907739</v>
      </c>
      <c r="O4" s="2">
        <f t="shared" si="6"/>
        <v>21776.562990515304</v>
      </c>
      <c r="P4" s="2">
        <f t="shared" si="7"/>
        <v>5691.8095602255198</v>
      </c>
      <c r="Q4" s="2">
        <v>93406</v>
      </c>
    </row>
    <row r="5" spans="1:19" x14ac:dyDescent="0.3">
      <c r="A5" s="1">
        <v>2021</v>
      </c>
      <c r="B5" s="1" t="s">
        <v>61</v>
      </c>
      <c r="C5" s="7">
        <v>4069.7010299999997</v>
      </c>
      <c r="D5" s="7">
        <v>410.13434508745001</v>
      </c>
      <c r="E5" s="17">
        <f t="shared" si="0"/>
        <v>2169.6540071934037</v>
      </c>
      <c r="F5" s="16" t="s">
        <v>35</v>
      </c>
      <c r="G5" s="2">
        <f t="shared" si="1"/>
        <v>34714.464115094459</v>
      </c>
      <c r="H5" s="2">
        <v>425.9</v>
      </c>
      <c r="I5" s="17">
        <f t="shared" si="2"/>
        <v>-24.855992806596532</v>
      </c>
      <c r="J5" s="17">
        <f t="shared" si="3"/>
        <v>31.429729952368881</v>
      </c>
      <c r="K5" s="5">
        <v>105.448463</v>
      </c>
      <c r="L5" s="2">
        <v>28.876978000000001</v>
      </c>
      <c r="M5" s="17">
        <f t="shared" si="4"/>
        <v>429143.71848301688</v>
      </c>
      <c r="N5" s="17">
        <f t="shared" si="5"/>
        <v>117520.66710988733</v>
      </c>
      <c r="O5" s="2">
        <f t="shared" si="6"/>
        <v>43248.036312983204</v>
      </c>
      <c r="P5" s="2">
        <f t="shared" si="7"/>
        <v>11843.440460134703</v>
      </c>
      <c r="Q5" s="2">
        <v>56507</v>
      </c>
    </row>
    <row r="6" spans="1:19" x14ac:dyDescent="0.3">
      <c r="A6" s="1">
        <v>2021</v>
      </c>
      <c r="B6" s="1" t="s">
        <v>62</v>
      </c>
      <c r="C6" s="7">
        <v>2919.0151054999997</v>
      </c>
      <c r="D6" s="7">
        <v>212.1299547598</v>
      </c>
      <c r="E6" s="17">
        <f t="shared" si="0"/>
        <v>1513.6003352356879</v>
      </c>
      <c r="F6" s="16" t="s">
        <v>36</v>
      </c>
      <c r="G6" s="2">
        <f t="shared" si="1"/>
        <v>25731.205699006696</v>
      </c>
      <c r="H6" s="2">
        <v>345.9</v>
      </c>
      <c r="I6" s="17">
        <f t="shared" si="2"/>
        <v>-680.90966476431231</v>
      </c>
      <c r="J6" s="17">
        <f t="shared" si="3"/>
        <v>19155.80200261253</v>
      </c>
      <c r="K6" s="5">
        <v>104.40422700000001</v>
      </c>
      <c r="L6" s="2">
        <v>31.133751</v>
      </c>
      <c r="M6" s="17">
        <f t="shared" si="4"/>
        <v>304757.51569105091</v>
      </c>
      <c r="N6" s="17">
        <f t="shared" si="5"/>
        <v>90879.889459875718</v>
      </c>
      <c r="O6" s="2">
        <f t="shared" si="6"/>
        <v>22147.26395024189</v>
      </c>
      <c r="P6" s="2">
        <f t="shared" si="7"/>
        <v>6604.401191132878</v>
      </c>
      <c r="Q6" s="2">
        <v>76824</v>
      </c>
    </row>
    <row r="7" spans="1:19" x14ac:dyDescent="0.3">
      <c r="A7" s="1">
        <v>2021</v>
      </c>
      <c r="B7" s="1" t="s">
        <v>63</v>
      </c>
      <c r="C7" s="7">
        <v>7117.4299064999996</v>
      </c>
      <c r="D7" s="7">
        <v>725.6529245889501</v>
      </c>
      <c r="E7" s="17">
        <f t="shared" si="0"/>
        <v>3798.8192974917829</v>
      </c>
      <c r="F7" s="16" t="s">
        <v>37</v>
      </c>
      <c r="G7" s="2">
        <f t="shared" si="1"/>
        <v>18994.096487458915</v>
      </c>
      <c r="H7" s="2">
        <v>488.3</v>
      </c>
      <c r="I7" s="17">
        <f t="shared" si="2"/>
        <v>1604.3092974917827</v>
      </c>
      <c r="J7" s="17">
        <f t="shared" si="3"/>
        <v>150118.32341634872</v>
      </c>
      <c r="K7" s="5">
        <v>104.685653</v>
      </c>
      <c r="L7" s="2">
        <v>31.473462000000001</v>
      </c>
      <c r="M7" s="17">
        <f t="shared" si="4"/>
        <v>745092.7974436814</v>
      </c>
      <c r="N7" s="17">
        <f t="shared" si="5"/>
        <v>224010.15969989129</v>
      </c>
      <c r="O7" s="2">
        <f t="shared" si="6"/>
        <v>75965.450261954</v>
      </c>
      <c r="P7" s="2">
        <f t="shared" si="7"/>
        <v>22838.809747239189</v>
      </c>
      <c r="Q7" s="2">
        <v>68696</v>
      </c>
    </row>
    <row r="8" spans="1:19" x14ac:dyDescent="0.3">
      <c r="A8" s="1">
        <v>2021</v>
      </c>
      <c r="B8" s="1" t="s">
        <v>64</v>
      </c>
      <c r="C8" s="18">
        <v>3040.1991709999998</v>
      </c>
      <c r="D8" s="7">
        <v>360.49172664545</v>
      </c>
      <c r="E8" s="17">
        <f t="shared" si="0"/>
        <v>1648.8950658911176</v>
      </c>
      <c r="F8" s="16" t="s">
        <v>38</v>
      </c>
      <c r="G8" s="2">
        <f t="shared" si="1"/>
        <v>13191.160527128941</v>
      </c>
      <c r="H8" s="2">
        <v>228.3</v>
      </c>
      <c r="I8" s="17">
        <f t="shared" si="2"/>
        <v>-545.61493410888261</v>
      </c>
      <c r="J8" s="17">
        <f t="shared" si="3"/>
        <v>8118.0026682344469</v>
      </c>
      <c r="K8" s="5">
        <v>105.850532</v>
      </c>
      <c r="L8" s="2">
        <v>32.442338999999997</v>
      </c>
      <c r="M8" s="17">
        <f t="shared" si="4"/>
        <v>321806.69963630894</v>
      </c>
      <c r="N8" s="17">
        <f t="shared" si="5"/>
        <v>98631.172133100947</v>
      </c>
      <c r="O8" s="2">
        <f t="shared" si="6"/>
        <v>38158.241047019459</v>
      </c>
      <c r="P8" s="2">
        <f t="shared" si="7"/>
        <v>11695.194802527021</v>
      </c>
      <c r="Q8" s="2">
        <v>48638</v>
      </c>
    </row>
    <row r="9" spans="1:19" x14ac:dyDescent="0.3">
      <c r="A9" s="1">
        <v>2021</v>
      </c>
      <c r="B9" s="1" t="s">
        <v>65</v>
      </c>
      <c r="C9" s="7">
        <v>3031.9882559999996</v>
      </c>
      <c r="D9" s="7">
        <v>283.34916020804997</v>
      </c>
      <c r="E9" s="17">
        <f t="shared" si="0"/>
        <v>1604.8948374648194</v>
      </c>
      <c r="F9" s="16" t="s">
        <v>39</v>
      </c>
      <c r="G9" s="2">
        <f t="shared" si="1"/>
        <v>28888.107074366748</v>
      </c>
      <c r="H9" s="2">
        <v>278.2</v>
      </c>
      <c r="I9" s="17">
        <f t="shared" si="2"/>
        <v>-589.61516253518084</v>
      </c>
      <c r="J9" s="17">
        <f t="shared" si="3"/>
        <v>11552.213126825616</v>
      </c>
      <c r="K9" s="5">
        <v>105.599143</v>
      </c>
      <c r="L9" s="2">
        <v>30.539141000000001</v>
      </c>
      <c r="M9" s="17">
        <f t="shared" si="4"/>
        <v>320175.36141966458</v>
      </c>
      <c r="N9" s="17">
        <f t="shared" si="5"/>
        <v>92594.316860328094</v>
      </c>
      <c r="O9" s="2">
        <f t="shared" si="6"/>
        <v>29921.428487739777</v>
      </c>
      <c r="P9" s="2">
        <f t="shared" si="7"/>
        <v>8653.2399558252273</v>
      </c>
      <c r="Q9" s="2">
        <v>54300</v>
      </c>
    </row>
    <row r="10" spans="1:19" x14ac:dyDescent="0.3">
      <c r="A10" s="1">
        <v>2021</v>
      </c>
      <c r="B10" s="1" t="s">
        <v>66</v>
      </c>
      <c r="C10" s="7">
        <v>4475.9347719999996</v>
      </c>
      <c r="D10" s="7">
        <v>337.59768901305</v>
      </c>
      <c r="E10" s="17">
        <f t="shared" si="0"/>
        <v>2327.3101585131753</v>
      </c>
      <c r="F10" s="16" t="s">
        <v>40</v>
      </c>
      <c r="G10" s="2">
        <f t="shared" si="1"/>
        <v>30255.032060671278</v>
      </c>
      <c r="H10" s="2">
        <v>310.39999999999998</v>
      </c>
      <c r="I10" s="17">
        <f t="shared" si="2"/>
        <v>132.80015851317512</v>
      </c>
      <c r="J10" s="17">
        <f t="shared" si="3"/>
        <v>653.8673918047092</v>
      </c>
      <c r="K10" s="5">
        <v>105.064564</v>
      </c>
      <c r="L10" s="2">
        <v>29.585822</v>
      </c>
      <c r="M10" s="17">
        <f t="shared" si="4"/>
        <v>470262.13531261939</v>
      </c>
      <c r="N10" s="17">
        <f t="shared" si="5"/>
        <v>132424.20944800257</v>
      </c>
      <c r="O10" s="2">
        <f t="shared" si="6"/>
        <v>35469.554003563688</v>
      </c>
      <c r="P10" s="2">
        <f t="shared" si="7"/>
        <v>9988.1051347514531</v>
      </c>
      <c r="Q10" s="2">
        <v>51377</v>
      </c>
    </row>
    <row r="11" spans="1:19" x14ac:dyDescent="0.3">
      <c r="A11" s="1">
        <v>2021</v>
      </c>
      <c r="B11" s="1" t="s">
        <v>67</v>
      </c>
      <c r="C11" s="19">
        <v>5411.3121854999999</v>
      </c>
      <c r="D11" s="7">
        <v>689.76406337585001</v>
      </c>
      <c r="E11" s="17">
        <f t="shared" si="0"/>
        <v>2959.8844004931416</v>
      </c>
      <c r="F11" s="16" t="s">
        <v>41</v>
      </c>
      <c r="G11" s="2">
        <f t="shared" si="1"/>
        <v>8879.6532014794248</v>
      </c>
      <c r="H11" s="2">
        <v>315.10000000000002</v>
      </c>
      <c r="I11" s="17">
        <f t="shared" si="2"/>
        <v>765.37440049314137</v>
      </c>
      <c r="J11" s="17">
        <f t="shared" si="3"/>
        <v>22047.890739407219</v>
      </c>
      <c r="K11" s="5">
        <v>103.772521</v>
      </c>
      <c r="L11" s="2">
        <v>29.558285000000001</v>
      </c>
      <c r="M11" s="17">
        <f t="shared" si="4"/>
        <v>561545.50740735466</v>
      </c>
      <c r="N11" s="17">
        <f t="shared" si="5"/>
        <v>159949.10780298186</v>
      </c>
      <c r="O11" s="2">
        <f t="shared" si="6"/>
        <v>71578.555751715729</v>
      </c>
      <c r="P11" s="2">
        <f t="shared" si="7"/>
        <v>20388.242768021439</v>
      </c>
      <c r="Q11" s="2">
        <v>69850</v>
      </c>
    </row>
    <row r="12" spans="1:19" x14ac:dyDescent="0.3">
      <c r="A12" s="1">
        <v>2021</v>
      </c>
      <c r="B12" s="1" t="s">
        <v>68</v>
      </c>
      <c r="C12" s="7">
        <v>6065.9629255</v>
      </c>
      <c r="D12" s="7">
        <v>581.35374660405</v>
      </c>
      <c r="E12" s="17">
        <f t="shared" si="0"/>
        <v>3218.3538398172227</v>
      </c>
      <c r="F12" s="1">
        <v>2</v>
      </c>
      <c r="G12" s="2">
        <f t="shared" si="1"/>
        <v>6436.7076796344454</v>
      </c>
      <c r="H12" s="2">
        <v>556.20000000000005</v>
      </c>
      <c r="I12" s="17">
        <f t="shared" si="2"/>
        <v>1023.8438398172225</v>
      </c>
      <c r="J12" s="17">
        <f t="shared" si="3"/>
        <v>69641.674996903646</v>
      </c>
      <c r="K12" s="5">
        <v>106.11712300000001</v>
      </c>
      <c r="L12" s="2">
        <v>30.843219999999999</v>
      </c>
      <c r="M12" s="17">
        <f t="shared" si="4"/>
        <v>643702.53387872339</v>
      </c>
      <c r="N12" s="17">
        <f t="shared" si="5"/>
        <v>187093.8290230401</v>
      </c>
      <c r="O12" s="2">
        <f t="shared" si="6"/>
        <v>61691.587034892807</v>
      </c>
      <c r="P12" s="2">
        <f t="shared" si="7"/>
        <v>17930.821504332966</v>
      </c>
      <c r="Q12" s="2">
        <v>46589</v>
      </c>
    </row>
    <row r="13" spans="1:19" x14ac:dyDescent="0.3">
      <c r="A13" s="1">
        <v>2021</v>
      </c>
      <c r="B13" s="1" t="s">
        <v>69</v>
      </c>
      <c r="C13" s="7">
        <v>3691.0926639999998</v>
      </c>
      <c r="D13" s="7">
        <v>266.84378961084997</v>
      </c>
      <c r="E13" s="17">
        <f t="shared" si="0"/>
        <v>1913.2226484171531</v>
      </c>
      <c r="F13" s="16" t="s">
        <v>42</v>
      </c>
      <c r="G13" s="2">
        <f t="shared" si="1"/>
        <v>26785.117077840143</v>
      </c>
      <c r="H13" s="2">
        <v>295.89999999999998</v>
      </c>
      <c r="I13" s="17">
        <f t="shared" si="2"/>
        <v>-281.28735158284712</v>
      </c>
      <c r="J13" s="17">
        <f t="shared" si="3"/>
        <v>2796.5085635558594</v>
      </c>
      <c r="K13" s="5">
        <v>103.854991</v>
      </c>
      <c r="L13" s="2">
        <v>30.082841999999999</v>
      </c>
      <c r="M13" s="17">
        <f t="shared" si="4"/>
        <v>383338.39539988601</v>
      </c>
      <c r="N13" s="17">
        <f t="shared" si="5"/>
        <v>111038.55741847109</v>
      </c>
      <c r="O13" s="2">
        <f t="shared" si="6"/>
        <v>27713.059368440718</v>
      </c>
      <c r="P13" s="2">
        <f t="shared" si="7"/>
        <v>8027.4195615444405</v>
      </c>
      <c r="Q13" s="2">
        <v>52346</v>
      </c>
    </row>
    <row r="14" spans="1:19" x14ac:dyDescent="0.3">
      <c r="A14" s="1">
        <v>2021</v>
      </c>
      <c r="B14" s="1" t="s">
        <v>70</v>
      </c>
      <c r="C14" s="7">
        <v>7596.9238889999997</v>
      </c>
      <c r="D14" s="7">
        <v>683.41794595925001</v>
      </c>
      <c r="E14" s="17">
        <f t="shared" si="0"/>
        <v>4007.4316033732425</v>
      </c>
      <c r="F14" s="16" t="s">
        <v>43</v>
      </c>
      <c r="G14" s="2">
        <f t="shared" si="1"/>
        <v>16029.72641349297</v>
      </c>
      <c r="H14" s="2">
        <v>460.5</v>
      </c>
      <c r="I14" s="17">
        <f t="shared" si="2"/>
        <v>1812.9216033732423</v>
      </c>
      <c r="J14" s="17">
        <f t="shared" si="3"/>
        <v>180783.36392255093</v>
      </c>
      <c r="K14" s="5">
        <v>104.649316</v>
      </c>
      <c r="L14" s="2">
        <v>28.758631000000001</v>
      </c>
      <c r="M14" s="17">
        <f t="shared" si="4"/>
        <v>795012.88868790993</v>
      </c>
      <c r="N14" s="17">
        <f t="shared" si="5"/>
        <v>218477.13085883597</v>
      </c>
      <c r="O14" s="2">
        <f t="shared" si="6"/>
        <v>71519.220586760479</v>
      </c>
      <c r="P14" s="2">
        <f t="shared" si="7"/>
        <v>19654.164526620014</v>
      </c>
      <c r="Q14" s="2">
        <v>68481</v>
      </c>
    </row>
    <row r="15" spans="1:19" x14ac:dyDescent="0.3">
      <c r="A15" s="1">
        <v>2021</v>
      </c>
      <c r="B15" s="1" t="s">
        <v>71</v>
      </c>
      <c r="C15" s="7">
        <v>2623.0692179999996</v>
      </c>
      <c r="D15" s="7">
        <v>238.34328802339999</v>
      </c>
      <c r="E15" s="17">
        <f t="shared" si="0"/>
        <v>1384.9195151561489</v>
      </c>
      <c r="F15" s="16" t="s">
        <v>44</v>
      </c>
      <c r="G15" s="2">
        <f t="shared" si="1"/>
        <v>29083.309818279129</v>
      </c>
      <c r="H15" s="2">
        <v>324.8</v>
      </c>
      <c r="I15" s="17">
        <f t="shared" si="2"/>
        <v>-809.5904848438513</v>
      </c>
      <c r="J15" s="17">
        <f t="shared" si="3"/>
        <v>25428.315506811192</v>
      </c>
      <c r="K15" s="5">
        <v>106.639184</v>
      </c>
      <c r="L15" s="2">
        <v>30.462142</v>
      </c>
      <c r="M15" s="17">
        <f t="shared" si="4"/>
        <v>279721.96098303807</v>
      </c>
      <c r="N15" s="17">
        <f t="shared" si="5"/>
        <v>79904.306994544939</v>
      </c>
      <c r="O15" s="2">
        <f t="shared" si="6"/>
        <v>25416.733746692349</v>
      </c>
      <c r="P15" s="2">
        <f t="shared" si="7"/>
        <v>7260.4470845157102</v>
      </c>
      <c r="Q15" s="2">
        <v>43558</v>
      </c>
    </row>
    <row r="16" spans="1:19" x14ac:dyDescent="0.3">
      <c r="A16" s="1">
        <v>2021</v>
      </c>
      <c r="B16" s="1" t="s">
        <v>72</v>
      </c>
      <c r="C16" s="7">
        <v>2657.3723049999999</v>
      </c>
      <c r="D16" s="7">
        <v>259.54240736635001</v>
      </c>
      <c r="E16" s="17">
        <f t="shared" si="0"/>
        <v>1412.419022148609</v>
      </c>
      <c r="F16" s="16" t="s">
        <v>45</v>
      </c>
      <c r="G16" s="2">
        <f t="shared" si="1"/>
        <v>15536.609243634699</v>
      </c>
      <c r="H16" s="2">
        <v>537</v>
      </c>
      <c r="I16" s="17">
        <f t="shared" si="2"/>
        <v>-782.09097785139124</v>
      </c>
      <c r="J16" s="17">
        <f t="shared" si="3"/>
        <v>39233.731704589685</v>
      </c>
      <c r="K16" s="5">
        <v>107.474424</v>
      </c>
      <c r="L16" s="2">
        <v>31.214942000000001</v>
      </c>
      <c r="M16" s="17">
        <f t="shared" si="4"/>
        <v>285599.55783342733</v>
      </c>
      <c r="N16" s="17">
        <f t="shared" si="5"/>
        <v>82949.722372981312</v>
      </c>
      <c r="O16" s="2">
        <f t="shared" si="6"/>
        <v>27894.170735271822</v>
      </c>
      <c r="P16" s="2">
        <f t="shared" si="7"/>
        <v>8101.6011924809882</v>
      </c>
      <c r="Q16" s="2">
        <v>43646</v>
      </c>
    </row>
    <row r="17" spans="1:18" x14ac:dyDescent="0.3">
      <c r="A17" s="1">
        <v>2021</v>
      </c>
      <c r="B17" s="1" t="s">
        <v>73</v>
      </c>
      <c r="C17" s="7">
        <v>3157.5739149999999</v>
      </c>
      <c r="D17" s="7">
        <v>292.66888997494999</v>
      </c>
      <c r="E17" s="17">
        <f t="shared" si="0"/>
        <v>1670.1152260069939</v>
      </c>
      <c r="F17" s="16" t="s">
        <v>46</v>
      </c>
      <c r="G17" s="2">
        <f t="shared" si="1"/>
        <v>20041.382712083927</v>
      </c>
      <c r="H17" s="2">
        <v>143.1</v>
      </c>
      <c r="I17" s="17">
        <f t="shared" si="2"/>
        <v>-524.39477399300631</v>
      </c>
      <c r="J17" s="17">
        <f t="shared" si="3"/>
        <v>4700.3167323981497</v>
      </c>
      <c r="K17" s="5">
        <v>103.048153</v>
      </c>
      <c r="L17" s="2">
        <v>30.015991</v>
      </c>
      <c r="M17" s="17">
        <f t="shared" si="4"/>
        <v>325382.15990172897</v>
      </c>
      <c r="N17" s="17">
        <f t="shared" si="5"/>
        <v>94777.710214474762</v>
      </c>
      <c r="O17" s="2">
        <f t="shared" si="6"/>
        <v>30158.988552478811</v>
      </c>
      <c r="P17" s="2">
        <f t="shared" si="7"/>
        <v>8784.7467674680884</v>
      </c>
      <c r="Q17" s="2">
        <v>58617</v>
      </c>
    </row>
    <row r="18" spans="1:18" x14ac:dyDescent="0.3">
      <c r="A18" s="1">
        <v>2021</v>
      </c>
      <c r="B18" s="1" t="s">
        <v>74</v>
      </c>
      <c r="C18" s="7">
        <v>2120.8401675</v>
      </c>
      <c r="D18" s="7">
        <v>170.6220746706</v>
      </c>
      <c r="E18" s="17">
        <f t="shared" si="0"/>
        <v>1108.2869337029756</v>
      </c>
      <c r="F18" s="16" t="s">
        <v>47</v>
      </c>
      <c r="G18" s="2">
        <f t="shared" si="1"/>
        <v>9974.58240332678</v>
      </c>
      <c r="H18" s="2">
        <v>267.60000000000002</v>
      </c>
      <c r="I18" s="17">
        <f t="shared" si="2"/>
        <v>-1086.2230662970246</v>
      </c>
      <c r="J18" s="17">
        <f t="shared" si="3"/>
        <v>37713.334342406612</v>
      </c>
      <c r="K18" s="5">
        <v>106.754109</v>
      </c>
      <c r="L18" s="2">
        <v>31.873559</v>
      </c>
      <c r="M18" s="17">
        <f t="shared" si="4"/>
        <v>226408.40241287326</v>
      </c>
      <c r="N18" s="17">
        <f t="shared" si="5"/>
        <v>67598.724208381129</v>
      </c>
      <c r="O18" s="2">
        <f t="shared" si="6"/>
        <v>18214.607557191372</v>
      </c>
      <c r="P18" s="2">
        <f t="shared" si="7"/>
        <v>5438.3327637157745</v>
      </c>
      <c r="Q18" s="2">
        <v>27510</v>
      </c>
    </row>
    <row r="19" spans="1:18" x14ac:dyDescent="0.3">
      <c r="A19" s="1">
        <v>2021</v>
      </c>
      <c r="B19" s="1" t="s">
        <v>75</v>
      </c>
      <c r="C19" s="7">
        <v>3990.2832414999998</v>
      </c>
      <c r="D19" s="7">
        <v>204.42243278454998</v>
      </c>
      <c r="E19" s="17">
        <f t="shared" si="0"/>
        <v>2024.6643096149382</v>
      </c>
      <c r="F19" s="16" t="s">
        <v>48</v>
      </c>
      <c r="G19" s="2">
        <f t="shared" si="1"/>
        <v>30369.964644224074</v>
      </c>
      <c r="H19" s="2">
        <v>228.4</v>
      </c>
      <c r="I19" s="17">
        <f t="shared" si="2"/>
        <v>-169.84569038506197</v>
      </c>
      <c r="J19" s="17">
        <f t="shared" si="3"/>
        <v>787.00219434773192</v>
      </c>
      <c r="K19" s="5">
        <v>104.633825</v>
      </c>
      <c r="L19" s="2">
        <v>30.135162999999999</v>
      </c>
      <c r="M19" s="17">
        <f t="shared" si="4"/>
        <v>417518.59839154372</v>
      </c>
      <c r="N19" s="17">
        <f t="shared" si="5"/>
        <v>120247.83589877085</v>
      </c>
      <c r="O19" s="2">
        <f t="shared" si="6"/>
        <v>21389.501058052865</v>
      </c>
      <c r="P19" s="2">
        <f t="shared" si="7"/>
        <v>6160.3033328189576</v>
      </c>
      <c r="Q19" s="2">
        <v>38717</v>
      </c>
    </row>
    <row r="20" spans="1:18" x14ac:dyDescent="0.3">
      <c r="A20" s="1">
        <v>2021</v>
      </c>
      <c r="B20" s="1" t="s">
        <v>76</v>
      </c>
      <c r="C20" s="7">
        <v>2282.6751650000001</v>
      </c>
      <c r="D20" s="7">
        <v>210.99289909749999</v>
      </c>
      <c r="E20" s="17">
        <f t="shared" si="0"/>
        <v>1207.0577325434222</v>
      </c>
      <c r="F20" s="16" t="s">
        <v>49</v>
      </c>
      <c r="G20" s="2">
        <f t="shared" si="1"/>
        <v>8449.4041278039549</v>
      </c>
      <c r="H20" s="2">
        <v>81.5</v>
      </c>
      <c r="I20" s="17">
        <f t="shared" si="2"/>
        <v>-987.45226745657806</v>
      </c>
      <c r="J20" s="17">
        <f t="shared" si="3"/>
        <v>9492.0629970340051</v>
      </c>
      <c r="K20" s="5">
        <v>102.23090999999999</v>
      </c>
      <c r="L20" s="2">
        <v>31.905656</v>
      </c>
      <c r="M20" s="17">
        <f t="shared" si="4"/>
        <v>233359.95935235015</v>
      </c>
      <c r="N20" s="17">
        <f t="shared" si="5"/>
        <v>72830.24857423325</v>
      </c>
      <c r="O20" s="2">
        <f t="shared" si="6"/>
        <v>21569.996078275602</v>
      </c>
      <c r="P20" s="2">
        <f t="shared" si="7"/>
        <v>6731.8668570475447</v>
      </c>
      <c r="Q20" s="2">
        <v>54900</v>
      </c>
    </row>
    <row r="21" spans="1:18" x14ac:dyDescent="0.3">
      <c r="A21" s="1">
        <v>2021</v>
      </c>
      <c r="B21" s="1" t="s">
        <v>77</v>
      </c>
      <c r="C21" s="7">
        <v>2232.3050834999999</v>
      </c>
      <c r="D21" s="7">
        <v>222.78611292835001</v>
      </c>
      <c r="E21" s="17">
        <f t="shared" si="0"/>
        <v>1188.9628339791993</v>
      </c>
      <c r="F21" s="16" t="s">
        <v>50</v>
      </c>
      <c r="G21" s="2">
        <f t="shared" si="1"/>
        <v>11889.628339791994</v>
      </c>
      <c r="H21" s="2">
        <v>110.2</v>
      </c>
      <c r="I21" s="17">
        <f t="shared" si="2"/>
        <v>-1005.5471660208009</v>
      </c>
      <c r="J21" s="17">
        <f t="shared" si="3"/>
        <v>13309.362919348967</v>
      </c>
      <c r="K21" s="5">
        <v>101.968649</v>
      </c>
      <c r="L21" s="2">
        <v>30.055425</v>
      </c>
      <c r="M21" s="17">
        <f t="shared" si="4"/>
        <v>227625.13352032719</v>
      </c>
      <c r="N21" s="17">
        <f t="shared" si="5"/>
        <v>67092.878014252987</v>
      </c>
      <c r="O21" s="2">
        <f t="shared" si="6"/>
        <v>22717.198951265284</v>
      </c>
      <c r="P21" s="2">
        <f t="shared" si="7"/>
        <v>6695.9313081595537</v>
      </c>
      <c r="Q21" s="2">
        <v>40347</v>
      </c>
    </row>
    <row r="22" spans="1:18" x14ac:dyDescent="0.3">
      <c r="A22" s="1">
        <v>2021</v>
      </c>
      <c r="B22" s="1" t="s">
        <v>78</v>
      </c>
      <c r="C22" s="7">
        <v>1751.9822555000001</v>
      </c>
      <c r="D22" s="7">
        <v>157.31928792874999</v>
      </c>
      <c r="E22" s="17">
        <f t="shared" si="0"/>
        <v>924.03324273700707</v>
      </c>
      <c r="F22" s="16" t="s">
        <v>51</v>
      </c>
      <c r="G22" s="2">
        <f t="shared" si="1"/>
        <v>5544.1994564220422</v>
      </c>
      <c r="H22" s="2">
        <v>487.4</v>
      </c>
      <c r="I22" s="17">
        <f t="shared" si="2"/>
        <v>-1270.476757262993</v>
      </c>
      <c r="J22" s="17">
        <f t="shared" si="3"/>
        <v>93970.113995383639</v>
      </c>
      <c r="K22" s="5">
        <v>102.27418900000001</v>
      </c>
      <c r="L22" s="2">
        <v>27.887442</v>
      </c>
      <c r="M22" s="17">
        <f t="shared" si="4"/>
        <v>179182.56432365332</v>
      </c>
      <c r="N22" s="17">
        <f t="shared" si="5"/>
        <v>48858.303535285435</v>
      </c>
      <c r="O22" s="2">
        <f t="shared" si="6"/>
        <v>16089.702586970396</v>
      </c>
      <c r="P22" s="2">
        <f t="shared" si="7"/>
        <v>4387.2325175943151</v>
      </c>
      <c r="Q22" s="2">
        <v>39063</v>
      </c>
    </row>
    <row r="23" spans="1:18" x14ac:dyDescent="0.3">
      <c r="A23" s="1"/>
      <c r="B23" s="7" t="s">
        <v>79</v>
      </c>
      <c r="C23" s="7">
        <f>SUM(C2:C22)</f>
        <v>90560.640446499994</v>
      </c>
      <c r="D23" s="7">
        <f>SUM(D2:D22)</f>
        <v>9109.5480815877509</v>
      </c>
      <c r="E23" s="17"/>
      <c r="F23" s="16"/>
      <c r="I23" s="17"/>
      <c r="J23" s="17"/>
      <c r="K23" s="5"/>
      <c r="L23" s="20"/>
      <c r="M23" s="20">
        <f>SUM(M2:M22)</f>
        <v>9470452.2324464526</v>
      </c>
      <c r="N23" s="20">
        <f>SUM(N2:N22)</f>
        <v>2739820.0675080554</v>
      </c>
      <c r="O23" s="20">
        <f>SUM(O2:O22)</f>
        <v>952113.77043390193</v>
      </c>
      <c r="P23" s="20">
        <f>SUM(P2:P22)</f>
        <v>275792.17742485041</v>
      </c>
      <c r="Q23" s="20"/>
      <c r="R23" s="20"/>
    </row>
    <row r="24" spans="1:18" x14ac:dyDescent="0.3">
      <c r="D24" s="2" t="s">
        <v>17</v>
      </c>
      <c r="E24" s="17">
        <f>AVERAGE(E2:E22)</f>
        <v>2298.6301566970265</v>
      </c>
      <c r="F24" s="16" t="s">
        <v>10</v>
      </c>
      <c r="G24" s="2">
        <f>SUM(G2:G22)</f>
        <v>391719.9469808159</v>
      </c>
      <c r="H24" s="2">
        <v>8372</v>
      </c>
      <c r="J24" s="17">
        <f>SUM(J2:J22)</f>
        <v>16524587.586130695</v>
      </c>
      <c r="L24" s="20" t="s">
        <v>12</v>
      </c>
      <c r="M24" s="20">
        <f>M23/C23</f>
        <v>104.57580893590587</v>
      </c>
      <c r="N24" s="20">
        <f>N23/C23</f>
        <v>30.253982900293682</v>
      </c>
      <c r="O24" s="20">
        <f>O23/D23</f>
        <v>104.51822218912456</v>
      </c>
      <c r="P24" s="20">
        <f>P23/D23</f>
        <v>30.275066880900763</v>
      </c>
      <c r="Q24" s="20"/>
      <c r="R24" s="20"/>
    </row>
    <row r="25" spans="1:18" x14ac:dyDescent="0.3">
      <c r="B25" s="2" t="s">
        <v>57</v>
      </c>
      <c r="C25" s="17">
        <f>E2-E15</f>
        <v>8705.1521678066074</v>
      </c>
      <c r="D25" s="2" t="s">
        <v>13</v>
      </c>
      <c r="E25" s="17">
        <f>1+1/21-G24/(21*21*E24)</f>
        <v>0.66119157235028991</v>
      </c>
      <c r="F25" s="16" t="s">
        <v>14</v>
      </c>
      <c r="G25" s="17">
        <f>SQRT(J24)/E24</f>
        <v>1.7684639638316588</v>
      </c>
      <c r="L25" s="20"/>
      <c r="M25" s="20"/>
      <c r="N25" s="20"/>
      <c r="O25" s="20"/>
      <c r="P25" s="20"/>
      <c r="Q25" s="20"/>
      <c r="R25" s="20"/>
    </row>
    <row r="26" spans="1:18" x14ac:dyDescent="0.3">
      <c r="A26" s="27" t="s">
        <v>0</v>
      </c>
      <c r="B26" s="27" t="s">
        <v>1</v>
      </c>
      <c r="C26" s="27" t="s">
        <v>1</v>
      </c>
      <c r="D26" s="27" t="s">
        <v>1</v>
      </c>
      <c r="L26" s="20"/>
      <c r="M26" s="20"/>
      <c r="N26" s="20"/>
      <c r="O26" s="20"/>
      <c r="P26" s="20"/>
      <c r="Q26" s="20"/>
      <c r="R26" s="20"/>
    </row>
    <row r="27" spans="1:18" x14ac:dyDescent="0.3">
      <c r="A27" s="21" t="s">
        <v>2</v>
      </c>
      <c r="B27" s="21" t="s">
        <v>3</v>
      </c>
      <c r="C27" s="21" t="s">
        <v>4</v>
      </c>
      <c r="D27" s="21" t="s">
        <v>5</v>
      </c>
      <c r="L27" s="20"/>
      <c r="M27" s="20"/>
      <c r="N27" s="20"/>
      <c r="O27" s="20"/>
      <c r="P27" s="20"/>
      <c r="Q27" s="20"/>
      <c r="R27" s="20"/>
    </row>
    <row r="28" spans="1:18" x14ac:dyDescent="0.3">
      <c r="A28" s="21" t="s">
        <v>8</v>
      </c>
      <c r="B28" s="21">
        <v>0.87609999999999999</v>
      </c>
      <c r="C28" s="21">
        <v>0.1239</v>
      </c>
      <c r="D28" s="21" t="s">
        <v>52</v>
      </c>
      <c r="L28" s="20"/>
      <c r="M28" s="20"/>
      <c r="N28" s="20"/>
      <c r="O28" s="20"/>
      <c r="P28" s="20"/>
      <c r="Q28" s="20"/>
      <c r="R28" s="20"/>
    </row>
    <row r="29" spans="1:18" x14ac:dyDescent="0.3">
      <c r="A29" s="21" t="s">
        <v>6</v>
      </c>
      <c r="B29" s="21">
        <v>0.88529999999999998</v>
      </c>
      <c r="C29" s="21">
        <v>0.1147</v>
      </c>
      <c r="D29" s="21" t="s">
        <v>53</v>
      </c>
      <c r="L29" s="20"/>
      <c r="M29" s="20"/>
      <c r="N29" s="20"/>
      <c r="O29" s="20"/>
      <c r="P29" s="20"/>
      <c r="Q29" s="20"/>
      <c r="R29" s="20"/>
    </row>
    <row r="30" spans="1:18" x14ac:dyDescent="0.3">
      <c r="L30" s="20"/>
      <c r="M30" s="20"/>
      <c r="N30" s="20"/>
      <c r="O30" s="20"/>
      <c r="P30" s="20"/>
      <c r="Q30" s="20"/>
      <c r="R30" s="20"/>
    </row>
    <row r="31" spans="1:18" x14ac:dyDescent="0.3">
      <c r="L31" s="20"/>
      <c r="M31" s="20"/>
      <c r="N31" s="20"/>
      <c r="O31" s="20"/>
      <c r="P31" s="20"/>
      <c r="Q31" s="20"/>
      <c r="R31" s="20"/>
    </row>
    <row r="32" spans="1:18" x14ac:dyDescent="0.3">
      <c r="A32" s="2">
        <v>13147.570000000298</v>
      </c>
      <c r="B32" s="2">
        <v>1555</v>
      </c>
      <c r="L32" s="20"/>
      <c r="M32" s="20"/>
      <c r="N32" s="20"/>
      <c r="O32" s="20"/>
      <c r="P32" s="20"/>
      <c r="Q32" s="20"/>
      <c r="R32" s="20"/>
    </row>
    <row r="33" spans="1:18" x14ac:dyDescent="0.3">
      <c r="A33" s="2">
        <v>1536.63</v>
      </c>
      <c r="B33" s="2">
        <v>113.18300417413241</v>
      </c>
      <c r="L33" s="20"/>
      <c r="M33" s="20"/>
      <c r="N33" s="20"/>
      <c r="O33" s="20"/>
      <c r="P33" s="20"/>
      <c r="Q33" s="20"/>
      <c r="R33" s="20"/>
    </row>
    <row r="34" spans="1:18" x14ac:dyDescent="0.3">
      <c r="A34" s="2">
        <v>1380.1099999998696</v>
      </c>
      <c r="B34" s="2">
        <v>211.95999999998372</v>
      </c>
      <c r="L34" s="20"/>
      <c r="M34" s="20"/>
      <c r="N34" s="20"/>
      <c r="O34" s="20"/>
      <c r="P34" s="20"/>
      <c r="Q34" s="20"/>
      <c r="R34" s="20"/>
    </row>
    <row r="35" spans="1:18" x14ac:dyDescent="0.3">
      <c r="A35" s="2">
        <v>2342.0800000000745</v>
      </c>
      <c r="B35" s="2">
        <v>236.16000000000838</v>
      </c>
      <c r="L35" s="20"/>
      <c r="M35" s="20"/>
      <c r="N35" s="20"/>
      <c r="O35" s="20"/>
      <c r="P35" s="20"/>
      <c r="Q35" s="20"/>
      <c r="R35" s="20"/>
    </row>
    <row r="36" spans="1:18" x14ac:dyDescent="0.3">
      <c r="A36" s="2">
        <v>1935.8500000000931</v>
      </c>
      <c r="B36" s="2">
        <v>76.800000000011124</v>
      </c>
      <c r="L36" s="20"/>
      <c r="M36" s="20"/>
      <c r="N36" s="20"/>
      <c r="O36" s="20"/>
      <c r="P36" s="20"/>
      <c r="Q36" s="20"/>
      <c r="R36" s="20"/>
    </row>
    <row r="37" spans="1:18" x14ac:dyDescent="0.3">
      <c r="A37" s="2">
        <v>5128.1200000001118</v>
      </c>
      <c r="B37" s="2">
        <v>558.33000000000811</v>
      </c>
      <c r="L37" s="20"/>
      <c r="M37" s="20"/>
      <c r="N37" s="20"/>
      <c r="O37" s="20"/>
      <c r="P37" s="20"/>
      <c r="Q37" s="20"/>
      <c r="R37" s="20"/>
    </row>
    <row r="38" spans="1:18" x14ac:dyDescent="0.3">
      <c r="A38" s="2">
        <v>3545.4500000001863</v>
      </c>
      <c r="B38" s="2">
        <v>466.14000000000328</v>
      </c>
      <c r="L38" s="20"/>
      <c r="M38" s="20"/>
      <c r="N38" s="20"/>
      <c r="O38" s="20"/>
      <c r="P38" s="20"/>
      <c r="Q38" s="20"/>
      <c r="R38" s="20"/>
    </row>
    <row r="39" spans="1:18" x14ac:dyDescent="0.3">
      <c r="A39" s="2">
        <v>1625.53</v>
      </c>
      <c r="B39" s="2">
        <v>196.77</v>
      </c>
      <c r="L39" s="20"/>
      <c r="M39" s="20"/>
      <c r="N39" s="20"/>
      <c r="O39" s="20"/>
      <c r="P39" s="20"/>
      <c r="Q39" s="20"/>
      <c r="R39" s="20"/>
    </row>
    <row r="40" spans="1:18" x14ac:dyDescent="0.3">
      <c r="A40" s="2">
        <v>3149.0100000000093</v>
      </c>
      <c r="B40" s="2">
        <v>258.88000000000079</v>
      </c>
      <c r="L40" s="20"/>
      <c r="M40" s="20"/>
      <c r="N40" s="20"/>
      <c r="O40" s="20"/>
      <c r="P40" s="20"/>
      <c r="Q40" s="20"/>
      <c r="R40" s="20"/>
    </row>
    <row r="41" spans="1:18" x14ac:dyDescent="0.3">
      <c r="A41" s="2">
        <v>7155.3600000000151</v>
      </c>
      <c r="B41" s="2">
        <v>1043.1200000000003</v>
      </c>
    </row>
    <row r="42" spans="1:18" x14ac:dyDescent="0.3">
      <c r="A42" s="2">
        <v>8865.7000000000007</v>
      </c>
      <c r="B42" s="2">
        <v>845.06</v>
      </c>
    </row>
    <row r="43" spans="1:18" x14ac:dyDescent="0.3">
      <c r="A43" s="2">
        <v>2828.0200000000186</v>
      </c>
      <c r="B43" s="2">
        <v>249.90000000000174</v>
      </c>
    </row>
    <row r="44" spans="1:18" x14ac:dyDescent="0.3">
      <c r="A44" s="2">
        <v>7475.15</v>
      </c>
      <c r="B44" s="2">
        <v>680.24</v>
      </c>
    </row>
    <row r="45" spans="1:18" x14ac:dyDescent="0.3">
      <c r="A45" s="2">
        <v>1069.2099999999627</v>
      </c>
      <c r="B45" s="2">
        <v>98.779999999996036</v>
      </c>
    </row>
    <row r="46" spans="1:18" x14ac:dyDescent="0.3">
      <c r="A46" s="2">
        <v>3452.7299999999814</v>
      </c>
      <c r="B46" s="2">
        <v>277.02999999999855</v>
      </c>
    </row>
    <row r="47" spans="1:18" x14ac:dyDescent="0.3">
      <c r="A47" s="2">
        <v>3157.5749999999998</v>
      </c>
      <c r="B47" s="2">
        <v>283.93000646028202</v>
      </c>
    </row>
    <row r="48" spans="1:18" x14ac:dyDescent="0.3">
      <c r="A48" s="2">
        <v>3660.4</v>
      </c>
      <c r="B48" s="2">
        <v>329.76</v>
      </c>
    </row>
    <row r="49" spans="1:2" x14ac:dyDescent="0.3">
      <c r="A49" s="2">
        <v>2531.7041666666773</v>
      </c>
      <c r="B49" s="2">
        <v>205.94552100356657</v>
      </c>
    </row>
    <row r="50" spans="1:2" x14ac:dyDescent="0.3">
      <c r="A50" s="2">
        <v>4056.8200000000652</v>
      </c>
      <c r="B50" s="2">
        <v>375.15000000001061</v>
      </c>
    </row>
    <row r="51" spans="1:2" x14ac:dyDescent="0.3">
      <c r="A51" s="2">
        <v>3576.5</v>
      </c>
      <c r="B51" s="2">
        <v>392.21</v>
      </c>
    </row>
    <row r="52" spans="1:2" x14ac:dyDescent="0.3">
      <c r="A52" s="2">
        <v>4565.1711111111217</v>
      </c>
      <c r="B52" s="2">
        <v>496.09833573843656</v>
      </c>
    </row>
  </sheetData>
  <mergeCells count="1">
    <mergeCell ref="A26:D26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1FBF3-BC26-4A17-A695-33052B75F758}">
  <dimension ref="A1:T33"/>
  <sheetViews>
    <sheetView tabSelected="1" workbookViewId="0">
      <selection sqref="A1:XFD1"/>
    </sheetView>
  </sheetViews>
  <sheetFormatPr defaultColWidth="9" defaultRowHeight="14" x14ac:dyDescent="0.3"/>
  <cols>
    <col min="1" max="1" width="9" style="2"/>
    <col min="2" max="2" width="16.33203125" style="2" customWidth="1"/>
    <col min="3" max="3" width="18.83203125" style="2" customWidth="1"/>
    <col min="4" max="4" width="20.58203125" style="2" customWidth="1"/>
    <col min="5" max="5" width="15.08203125" style="2" customWidth="1"/>
    <col min="6" max="6" width="9" style="2"/>
    <col min="7" max="7" width="14.25" style="2" customWidth="1"/>
    <col min="8" max="9" width="9" style="2"/>
    <col min="10" max="10" width="11.58203125" style="2" bestFit="1" customWidth="1"/>
    <col min="11" max="16384" width="9" style="2"/>
  </cols>
  <sheetData>
    <row r="1" spans="1:20" ht="13.5" customHeight="1" x14ac:dyDescent="0.3">
      <c r="A1" s="2" t="s">
        <v>83</v>
      </c>
      <c r="B1" s="1" t="s">
        <v>84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92</v>
      </c>
      <c r="H1" s="1" t="s">
        <v>90</v>
      </c>
      <c r="I1" s="1" t="s">
        <v>91</v>
      </c>
      <c r="J1" t="s">
        <v>85</v>
      </c>
      <c r="K1" t="s">
        <v>81</v>
      </c>
      <c r="L1" t="s">
        <v>82</v>
      </c>
      <c r="M1" s="1" t="s">
        <v>98</v>
      </c>
      <c r="N1" s="1" t="s">
        <v>103</v>
      </c>
      <c r="O1" s="2" t="s">
        <v>99</v>
      </c>
      <c r="P1" s="1" t="s">
        <v>101</v>
      </c>
      <c r="Q1" s="1" t="s">
        <v>100</v>
      </c>
      <c r="R1" s="1"/>
      <c r="S1" s="1"/>
    </row>
    <row r="2" spans="1:20" x14ac:dyDescent="0.3">
      <c r="A2" s="1">
        <v>2022</v>
      </c>
      <c r="B2" s="1" t="s">
        <v>58</v>
      </c>
      <c r="C2" s="2">
        <v>16378.754570999999</v>
      </c>
      <c r="D2" s="2">
        <v>1811.3682900399001</v>
      </c>
      <c r="E2" s="2">
        <f t="shared" ref="E2:E22" si="0">C2*0.4678+D2*0.5322</f>
        <v>8625.9915922730343</v>
      </c>
      <c r="F2" s="2">
        <v>1</v>
      </c>
      <c r="G2" s="2">
        <f t="shared" ref="G2:G22" si="1">E2*F2</f>
        <v>8625.9915922730343</v>
      </c>
      <c r="H2" s="22">
        <v>2126.8000000000002</v>
      </c>
      <c r="I2" s="2">
        <f>E2-E25</f>
        <v>6689.057051521253</v>
      </c>
      <c r="J2" s="2">
        <f>I2*I2*H2/8374</f>
        <v>11363797.740441246</v>
      </c>
      <c r="K2" s="2">
        <v>104.07274200000001</v>
      </c>
      <c r="L2" s="2">
        <v>30.578983999999998</v>
      </c>
      <c r="M2" s="2">
        <f>C2*K2</f>
        <v>1704581.8987490037</v>
      </c>
      <c r="N2" s="2">
        <f>C2*L2</f>
        <v>500845.67396653583</v>
      </c>
      <c r="O2" s="2">
        <f>D2*K2</f>
        <v>188514.06471630369</v>
      </c>
      <c r="P2" s="2">
        <f>D2*L2</f>
        <v>55389.801959237462</v>
      </c>
      <c r="Q2" s="2">
        <f>E2/1936.934541</f>
        <v>4.4534244238422271</v>
      </c>
      <c r="R2" s="2">
        <f>D2/336.1874363</f>
        <v>5.3879713946939667</v>
      </c>
      <c r="S2" s="2">
        <v>98149</v>
      </c>
      <c r="T2" s="2">
        <v>29349</v>
      </c>
    </row>
    <row r="3" spans="1:20" x14ac:dyDescent="0.3">
      <c r="A3" s="1">
        <v>2022</v>
      </c>
      <c r="B3" s="1" t="s">
        <v>59</v>
      </c>
      <c r="C3" s="2">
        <v>1606.80591</v>
      </c>
      <c r="D3" s="2">
        <v>127.03686062680001</v>
      </c>
      <c r="E3" s="2">
        <f t="shared" si="0"/>
        <v>819.27282192358302</v>
      </c>
      <c r="F3" s="2">
        <v>18</v>
      </c>
      <c r="G3" s="2">
        <f t="shared" si="1"/>
        <v>14746.910794624495</v>
      </c>
      <c r="H3" s="22">
        <v>245.2</v>
      </c>
      <c r="I3" s="2">
        <f>E3-1936.93</f>
        <v>-1117.657178076417</v>
      </c>
      <c r="J3" s="2">
        <f t="shared" ref="J3:J22" si="2">I3*I3*H3/8374</f>
        <v>36576.717888875974</v>
      </c>
      <c r="K3" s="2">
        <v>104.785532</v>
      </c>
      <c r="L3" s="2">
        <v>29.345369999999999</v>
      </c>
      <c r="M3" s="2">
        <f t="shared" ref="M3:M22" si="3">C3*K3</f>
        <v>168370.01210009414</v>
      </c>
      <c r="N3" s="2">
        <f t="shared" ref="N3:N22" si="4">C3*L3</f>
        <v>47152.313947136703</v>
      </c>
      <c r="O3" s="2">
        <f t="shared" ref="O3:O22" si="5">D3*K3</f>
        <v>13311.625024389092</v>
      </c>
      <c r="P3" s="2">
        <f t="shared" ref="P3:P22" si="6">D3*L3</f>
        <v>3727.9436787318782</v>
      </c>
      <c r="Q3" s="2">
        <f t="shared" ref="Q3:Q22" si="7">E3/1936.934541</f>
        <v>0.42297393359540641</v>
      </c>
      <c r="R3" s="2">
        <f t="shared" ref="R3:R22" si="8">D3/336.1874363</f>
        <v>0.37787509856090362</v>
      </c>
      <c r="S3" s="2">
        <v>66602</v>
      </c>
      <c r="T3" s="2">
        <v>9997</v>
      </c>
    </row>
    <row r="4" spans="1:20" x14ac:dyDescent="0.3">
      <c r="A4" s="1">
        <v>2022</v>
      </c>
      <c r="B4" s="1" t="s">
        <v>60</v>
      </c>
      <c r="C4" s="2">
        <v>1339.4879000000001</v>
      </c>
      <c r="D4" s="2">
        <v>114.23553525440001</v>
      </c>
      <c r="E4" s="2">
        <f t="shared" si="0"/>
        <v>687.40859148239167</v>
      </c>
      <c r="F4" s="2">
        <v>19</v>
      </c>
      <c r="G4" s="2">
        <f t="shared" si="1"/>
        <v>13060.763238165442</v>
      </c>
      <c r="H4" s="22">
        <v>121.6</v>
      </c>
      <c r="I4" s="2">
        <f t="shared" ref="I4:I22" si="9">E4-1936.93</f>
        <v>-1249.5214085176085</v>
      </c>
      <c r="J4" s="2">
        <f t="shared" si="2"/>
        <v>22671.905426535646</v>
      </c>
      <c r="K4" s="2">
        <v>101.72505</v>
      </c>
      <c r="L4" s="2">
        <v>26.588200000000001</v>
      </c>
      <c r="M4" s="2">
        <f t="shared" si="3"/>
        <v>136259.47360189501</v>
      </c>
      <c r="N4" s="2">
        <f t="shared" si="4"/>
        <v>35614.572182780001</v>
      </c>
      <c r="O4" s="2">
        <f t="shared" si="5"/>
        <v>11620.615535530604</v>
      </c>
      <c r="P4" s="2">
        <f t="shared" si="6"/>
        <v>3037.3172584510385</v>
      </c>
      <c r="Q4" s="2">
        <f t="shared" si="7"/>
        <v>0.35489510715602013</v>
      </c>
      <c r="R4" s="2">
        <f t="shared" si="8"/>
        <v>0.33979715753702605</v>
      </c>
      <c r="S4" s="2">
        <v>100454</v>
      </c>
      <c r="T4" s="2">
        <v>5348</v>
      </c>
    </row>
    <row r="5" spans="1:20" x14ac:dyDescent="0.3">
      <c r="A5" s="1">
        <v>2022</v>
      </c>
      <c r="B5" s="1" t="s">
        <v>61</v>
      </c>
      <c r="C5" s="2">
        <v>4194.9520599999996</v>
      </c>
      <c r="D5" s="2">
        <v>403.9886901749</v>
      </c>
      <c r="E5" s="2">
        <f t="shared" si="0"/>
        <v>2177.4013545790813</v>
      </c>
      <c r="F5" s="2">
        <v>11</v>
      </c>
      <c r="G5" s="2">
        <f t="shared" si="1"/>
        <v>23951.414900369895</v>
      </c>
      <c r="H5" s="22">
        <v>426.3</v>
      </c>
      <c r="I5" s="2">
        <f t="shared" si="9"/>
        <v>240.47135457908121</v>
      </c>
      <c r="J5" s="2">
        <f t="shared" si="2"/>
        <v>2943.8052510928783</v>
      </c>
      <c r="K5" s="2">
        <v>105.448463</v>
      </c>
      <c r="L5" s="2">
        <v>28.876978000000001</v>
      </c>
      <c r="M5" s="2">
        <f t="shared" si="3"/>
        <v>442351.24708568375</v>
      </c>
      <c r="N5" s="2">
        <f t="shared" si="4"/>
        <v>121137.53834767468</v>
      </c>
      <c r="O5" s="2">
        <f t="shared" si="5"/>
        <v>42599.98644832641</v>
      </c>
      <c r="P5" s="2">
        <f t="shared" si="6"/>
        <v>11665.972518429404</v>
      </c>
      <c r="Q5" s="2">
        <f t="shared" si="7"/>
        <v>1.1241481363923289</v>
      </c>
      <c r="R5" s="2">
        <f t="shared" si="8"/>
        <v>1.201676941354813</v>
      </c>
      <c r="S5" s="2">
        <v>61054</v>
      </c>
      <c r="T5" s="2">
        <v>20188</v>
      </c>
    </row>
    <row r="6" spans="1:20" x14ac:dyDescent="0.3">
      <c r="A6" s="1">
        <v>2022</v>
      </c>
      <c r="B6" s="1" t="s">
        <v>62</v>
      </c>
      <c r="C6" s="2">
        <v>2292.0302109999998</v>
      </c>
      <c r="D6" s="2">
        <v>154.64990951959999</v>
      </c>
      <c r="E6" s="2">
        <f t="shared" si="0"/>
        <v>1154.516414552131</v>
      </c>
      <c r="F6" s="2">
        <v>15</v>
      </c>
      <c r="G6" s="2">
        <f t="shared" si="1"/>
        <v>17317.746218281965</v>
      </c>
      <c r="H6" s="22">
        <v>346.1</v>
      </c>
      <c r="I6" s="2">
        <f t="shared" si="9"/>
        <v>-782.41358544786908</v>
      </c>
      <c r="J6" s="2">
        <f t="shared" si="2"/>
        <v>25301.216810339418</v>
      </c>
      <c r="K6" s="2">
        <v>104.40422700000001</v>
      </c>
      <c r="L6" s="2">
        <v>31.133751</v>
      </c>
      <c r="M6" s="2">
        <f t="shared" si="3"/>
        <v>239297.64244010189</v>
      </c>
      <c r="N6" s="2">
        <f t="shared" si="4"/>
        <v>71359.497873751461</v>
      </c>
      <c r="O6" s="2">
        <f t="shared" si="5"/>
        <v>16146.104259013779</v>
      </c>
      <c r="P6" s="2">
        <f t="shared" si="6"/>
        <v>4814.8317751557561</v>
      </c>
      <c r="Q6" s="2">
        <f t="shared" si="7"/>
        <v>0.59605339783763556</v>
      </c>
      <c r="R6" s="2">
        <f t="shared" si="8"/>
        <v>0.46001097251473932</v>
      </c>
      <c r="S6" s="2">
        <v>81412</v>
      </c>
      <c r="T6" s="2">
        <v>10452</v>
      </c>
    </row>
    <row r="7" spans="1:20" x14ac:dyDescent="0.3">
      <c r="A7" s="1">
        <v>2022</v>
      </c>
      <c r="B7" s="1" t="s">
        <v>63</v>
      </c>
      <c r="C7" s="2">
        <v>7963.3798129999996</v>
      </c>
      <c r="D7" s="2">
        <v>811.46584917790005</v>
      </c>
      <c r="E7" s="2">
        <f t="shared" si="0"/>
        <v>4157.131201453878</v>
      </c>
      <c r="F7" s="2">
        <v>5</v>
      </c>
      <c r="G7" s="2">
        <f t="shared" si="1"/>
        <v>20785.65600726939</v>
      </c>
      <c r="H7" s="22">
        <v>489.8</v>
      </c>
      <c r="I7" s="2">
        <f t="shared" si="9"/>
        <v>2220.2012014538777</v>
      </c>
      <c r="J7" s="2">
        <f t="shared" si="2"/>
        <v>288317.15966614056</v>
      </c>
      <c r="K7" s="2">
        <v>104.685653</v>
      </c>
      <c r="L7" s="2">
        <v>31.473462000000001</v>
      </c>
      <c r="M7" s="2">
        <f t="shared" si="3"/>
        <v>833651.61581092281</v>
      </c>
      <c r="N7" s="2">
        <f t="shared" si="4"/>
        <v>250635.1319360226</v>
      </c>
      <c r="O7" s="2">
        <f t="shared" si="5"/>
        <v>84948.83230838798</v>
      </c>
      <c r="P7" s="2">
        <f t="shared" si="6"/>
        <v>25539.639568398368</v>
      </c>
      <c r="Q7" s="2">
        <f t="shared" si="7"/>
        <v>2.146242484429874</v>
      </c>
      <c r="R7" s="2">
        <f t="shared" si="8"/>
        <v>2.4137304418889136</v>
      </c>
      <c r="S7" s="2">
        <v>74171</v>
      </c>
      <c r="T7" s="2">
        <v>24509</v>
      </c>
    </row>
    <row r="8" spans="1:20" x14ac:dyDescent="0.3">
      <c r="A8" s="1">
        <v>2022</v>
      </c>
      <c r="B8" s="1" t="s">
        <v>64</v>
      </c>
      <c r="C8" s="2">
        <v>1495.9483419999999</v>
      </c>
      <c r="D8" s="2">
        <v>236.60345329090001</v>
      </c>
      <c r="E8" s="2">
        <f t="shared" si="0"/>
        <v>825.72499222901695</v>
      </c>
      <c r="F8" s="2">
        <v>7</v>
      </c>
      <c r="G8" s="2">
        <f t="shared" si="1"/>
        <v>5780.074945603119</v>
      </c>
      <c r="H8" s="22">
        <v>227.1</v>
      </c>
      <c r="I8" s="2">
        <f t="shared" si="9"/>
        <v>-1111.2050077709832</v>
      </c>
      <c r="J8" s="2">
        <f t="shared" si="2"/>
        <v>33486.715892878565</v>
      </c>
      <c r="K8" s="2">
        <v>105.850532</v>
      </c>
      <c r="L8" s="2">
        <v>32.442338999999997</v>
      </c>
      <c r="M8" s="2">
        <f t="shared" si="3"/>
        <v>158346.92784521793</v>
      </c>
      <c r="N8" s="2">
        <f t="shared" si="4"/>
        <v>48532.063237651928</v>
      </c>
      <c r="O8" s="2">
        <f t="shared" si="5"/>
        <v>25044.601403878918</v>
      </c>
      <c r="P8" s="2">
        <f t="shared" si="6"/>
        <v>7675.9694402340428</v>
      </c>
      <c r="Q8" s="2">
        <f t="shared" si="7"/>
        <v>0.42630505819918513</v>
      </c>
      <c r="R8" s="2">
        <f t="shared" si="8"/>
        <v>0.70378434094653286</v>
      </c>
      <c r="S8" s="2">
        <v>50056</v>
      </c>
      <c r="T8" s="2">
        <v>24084</v>
      </c>
    </row>
    <row r="9" spans="1:20" x14ac:dyDescent="0.3">
      <c r="A9" s="1">
        <v>2022</v>
      </c>
      <c r="B9" s="1" t="s">
        <v>65</v>
      </c>
      <c r="C9" s="2">
        <v>2256.0665119999999</v>
      </c>
      <c r="D9" s="2">
        <v>179.8083204161</v>
      </c>
      <c r="E9" s="2">
        <f t="shared" si="0"/>
        <v>1151.0819024390482</v>
      </c>
      <c r="F9" s="2">
        <v>21</v>
      </c>
      <c r="G9" s="2">
        <f t="shared" si="1"/>
        <v>24172.719951220013</v>
      </c>
      <c r="H9" s="22">
        <v>277.2</v>
      </c>
      <c r="I9" s="2">
        <f t="shared" si="9"/>
        <v>-785.84809756095183</v>
      </c>
      <c r="J9" s="2">
        <f t="shared" si="2"/>
        <v>20442.663581611458</v>
      </c>
      <c r="K9" s="2">
        <v>105.599143</v>
      </c>
      <c r="L9" s="2">
        <v>30.539141000000001</v>
      </c>
      <c r="M9" s="2">
        <f t="shared" si="3"/>
        <v>238238.69021819919</v>
      </c>
      <c r="N9" s="2">
        <f t="shared" si="4"/>
        <v>68898.333315346186</v>
      </c>
      <c r="O9" s="2">
        <f t="shared" si="5"/>
        <v>18987.604540209562</v>
      </c>
      <c r="P9" s="2">
        <f t="shared" si="6"/>
        <v>5491.1916501604564</v>
      </c>
      <c r="Q9" s="2">
        <f t="shared" si="7"/>
        <v>0.59428022892542764</v>
      </c>
      <c r="R9" s="2">
        <f t="shared" si="8"/>
        <v>0.53484544929765421</v>
      </c>
      <c r="S9" s="2">
        <v>58137</v>
      </c>
      <c r="T9" s="2">
        <v>13956</v>
      </c>
    </row>
    <row r="10" spans="1:20" x14ac:dyDescent="0.3">
      <c r="A10" s="1">
        <v>2022</v>
      </c>
      <c r="B10" s="1" t="s">
        <v>66</v>
      </c>
      <c r="C10" s="2">
        <v>5056.1895439999998</v>
      </c>
      <c r="D10" s="2">
        <v>364.59537802609998</v>
      </c>
      <c r="E10" s="2">
        <f t="shared" si="0"/>
        <v>2559.3231288686902</v>
      </c>
      <c r="F10" s="2">
        <v>14</v>
      </c>
      <c r="G10" s="2">
        <f t="shared" si="1"/>
        <v>35830.523804161661</v>
      </c>
      <c r="H10" s="22">
        <v>308.8</v>
      </c>
      <c r="I10" s="2">
        <f t="shared" si="9"/>
        <v>622.39312886869016</v>
      </c>
      <c r="J10" s="2">
        <f t="shared" si="2"/>
        <v>14284.791769677744</v>
      </c>
      <c r="K10" s="2">
        <v>105.064564</v>
      </c>
      <c r="L10" s="2">
        <v>29.585822</v>
      </c>
      <c r="M10" s="2">
        <f t="shared" si="3"/>
        <v>531226.34994171886</v>
      </c>
      <c r="N10" s="2">
        <f t="shared" si="4"/>
        <v>149591.52384704517</v>
      </c>
      <c r="O10" s="2">
        <f t="shared" si="5"/>
        <v>38306.054428727373</v>
      </c>
      <c r="P10" s="2">
        <f t="shared" si="6"/>
        <v>10786.853956302906</v>
      </c>
      <c r="Q10" s="2">
        <f t="shared" si="7"/>
        <v>1.3213265986507543</v>
      </c>
      <c r="R10" s="2">
        <f t="shared" si="8"/>
        <v>1.0845003074438209</v>
      </c>
      <c r="S10" s="2">
        <v>53485</v>
      </c>
      <c r="T10" s="2">
        <v>14071</v>
      </c>
    </row>
    <row r="11" spans="1:20" x14ac:dyDescent="0.3">
      <c r="A11" s="1">
        <v>2022</v>
      </c>
      <c r="B11" s="1" t="s">
        <v>67</v>
      </c>
      <c r="C11" s="2">
        <v>3751.3343709999999</v>
      </c>
      <c r="D11" s="2">
        <v>339.22812675170002</v>
      </c>
      <c r="E11" s="2">
        <f t="shared" si="0"/>
        <v>1935.4114278110549</v>
      </c>
      <c r="F11" s="2">
        <v>3</v>
      </c>
      <c r="G11" s="2">
        <f t="shared" si="1"/>
        <v>5806.2342834331648</v>
      </c>
      <c r="H11" s="22">
        <v>315.3</v>
      </c>
      <c r="I11" s="2">
        <f t="shared" si="9"/>
        <v>-1.5185721889451997</v>
      </c>
      <c r="J11" s="2">
        <f t="shared" si="2"/>
        <v>8.6828419961168288E-2</v>
      </c>
      <c r="K11" s="2">
        <v>103.772521</v>
      </c>
      <c r="L11" s="2">
        <v>29.558285000000001</v>
      </c>
      <c r="M11" s="2">
        <f t="shared" si="3"/>
        <v>389285.42479261925</v>
      </c>
      <c r="N11" s="2">
        <f t="shared" si="4"/>
        <v>110883.01046831373</v>
      </c>
      <c r="O11" s="2">
        <f t="shared" si="5"/>
        <v>35202.55790713145</v>
      </c>
      <c r="P11" s="2">
        <f t="shared" si="6"/>
        <v>10027.001650542874</v>
      </c>
      <c r="Q11" s="2">
        <f t="shared" si="7"/>
        <v>0.99921364756696485</v>
      </c>
      <c r="R11" s="2">
        <f t="shared" si="8"/>
        <v>1.0090446284524048</v>
      </c>
      <c r="S11" s="2">
        <v>73226</v>
      </c>
      <c r="T11" s="2">
        <v>16638</v>
      </c>
    </row>
    <row r="12" spans="1:20" x14ac:dyDescent="0.3">
      <c r="A12" s="1">
        <v>2022</v>
      </c>
      <c r="B12" s="1" t="s">
        <v>68</v>
      </c>
      <c r="C12" s="2">
        <v>3815.425851</v>
      </c>
      <c r="D12" s="2">
        <v>381.43749320810002</v>
      </c>
      <c r="E12" s="2">
        <f t="shared" si="0"/>
        <v>1987.8572469831508</v>
      </c>
      <c r="F12" s="2">
        <v>2</v>
      </c>
      <c r="G12" s="2">
        <f t="shared" si="1"/>
        <v>3975.7144939663017</v>
      </c>
      <c r="H12" s="22">
        <v>554.9</v>
      </c>
      <c r="I12" s="2">
        <f t="shared" si="9"/>
        <v>50.927246983150781</v>
      </c>
      <c r="J12" s="2">
        <f t="shared" si="2"/>
        <v>171.86291269207646</v>
      </c>
      <c r="K12" s="2">
        <v>106.11712300000001</v>
      </c>
      <c r="L12" s="2">
        <v>30.843219999999999</v>
      </c>
      <c r="M12" s="2">
        <f t="shared" si="3"/>
        <v>404882.0143279467</v>
      </c>
      <c r="N12" s="2">
        <f t="shared" si="4"/>
        <v>117680.01891608021</v>
      </c>
      <c r="O12" s="2">
        <f t="shared" si="5"/>
        <v>40477.049383575621</v>
      </c>
      <c r="P12" s="2">
        <f t="shared" si="6"/>
        <v>11764.760519265934</v>
      </c>
      <c r="Q12" s="2">
        <f t="shared" si="7"/>
        <v>1.0262903597954633</v>
      </c>
      <c r="R12" s="2">
        <f t="shared" si="8"/>
        <v>1.1345977036087711</v>
      </c>
      <c r="S12" s="2">
        <v>48343</v>
      </c>
      <c r="T12" s="2">
        <v>31131</v>
      </c>
    </row>
    <row r="13" spans="1:20" x14ac:dyDescent="0.3">
      <c r="A13" s="1">
        <v>2022</v>
      </c>
      <c r="B13" s="1" t="s">
        <v>69</v>
      </c>
      <c r="C13" s="2">
        <v>3387.4053279999998</v>
      </c>
      <c r="D13" s="2">
        <v>170.53757922170001</v>
      </c>
      <c r="E13" s="2">
        <f t="shared" si="0"/>
        <v>1675.3883121001886</v>
      </c>
      <c r="F13" s="2">
        <v>12</v>
      </c>
      <c r="G13" s="2">
        <f t="shared" si="1"/>
        <v>20104.659745202262</v>
      </c>
      <c r="H13" s="22">
        <v>296.10000000000002</v>
      </c>
      <c r="I13" s="2">
        <f t="shared" si="9"/>
        <v>-261.54168789981145</v>
      </c>
      <c r="J13" s="2">
        <f t="shared" si="2"/>
        <v>2418.7294650415251</v>
      </c>
      <c r="K13" s="2">
        <v>103.854991</v>
      </c>
      <c r="L13" s="2">
        <v>30.082841999999999</v>
      </c>
      <c r="M13" s="2">
        <f t="shared" si="3"/>
        <v>351798.94985279202</v>
      </c>
      <c r="N13" s="2">
        <f t="shared" si="4"/>
        <v>101902.77927218218</v>
      </c>
      <c r="O13" s="2">
        <f t="shared" si="5"/>
        <v>17711.178755231442</v>
      </c>
      <c r="P13" s="2">
        <f t="shared" si="6"/>
        <v>5130.2550507888845</v>
      </c>
      <c r="Q13" s="2">
        <f t="shared" si="7"/>
        <v>0.86496898921283094</v>
      </c>
      <c r="R13" s="2">
        <f t="shared" si="8"/>
        <v>0.50726934087304565</v>
      </c>
      <c r="S13" s="2">
        <v>55273</v>
      </c>
      <c r="T13" s="2">
        <v>9266</v>
      </c>
    </row>
    <row r="14" spans="1:20" x14ac:dyDescent="0.3">
      <c r="A14" s="1">
        <v>2022</v>
      </c>
      <c r="B14" s="1" t="s">
        <v>70</v>
      </c>
      <c r="C14" s="2">
        <v>8546.4377779999995</v>
      </c>
      <c r="D14" s="2">
        <v>696.92589191850004</v>
      </c>
      <c r="E14" s="2">
        <f t="shared" si="0"/>
        <v>4368.9275522274256</v>
      </c>
      <c r="F14" s="2">
        <v>4</v>
      </c>
      <c r="G14" s="2">
        <f t="shared" si="1"/>
        <v>17475.710208909702</v>
      </c>
      <c r="H14" s="22">
        <v>461.8</v>
      </c>
      <c r="I14" s="2">
        <f t="shared" si="9"/>
        <v>2431.9975522274253</v>
      </c>
      <c r="J14" s="2">
        <f t="shared" si="2"/>
        <v>326172.42238210642</v>
      </c>
      <c r="K14" s="2">
        <v>104.649316</v>
      </c>
      <c r="L14" s="2">
        <v>28.758631000000001</v>
      </c>
      <c r="M14" s="2">
        <f t="shared" si="3"/>
        <v>894378.86770425981</v>
      </c>
      <c r="N14" s="2">
        <f t="shared" si="4"/>
        <v>245783.85042196192</v>
      </c>
      <c r="O14" s="2">
        <f t="shared" si="5"/>
        <v>72932.817891960964</v>
      </c>
      <c r="P14" s="2">
        <f t="shared" si="6"/>
        <v>20042.634560030026</v>
      </c>
      <c r="Q14" s="2">
        <f t="shared" si="7"/>
        <v>2.2555886426455261</v>
      </c>
      <c r="R14" s="2">
        <f t="shared" si="8"/>
        <v>2.0730277716166396</v>
      </c>
      <c r="S14" s="2">
        <v>74341</v>
      </c>
      <c r="T14" s="2">
        <v>26094</v>
      </c>
    </row>
    <row r="15" spans="1:20" x14ac:dyDescent="0.3">
      <c r="A15" s="1">
        <v>2022</v>
      </c>
      <c r="B15" s="1" t="s">
        <v>71</v>
      </c>
      <c r="C15" s="2">
        <v>2468.6884359999999</v>
      </c>
      <c r="D15" s="2">
        <v>195.74657604679999</v>
      </c>
      <c r="E15" s="2">
        <f t="shared" si="0"/>
        <v>1259.0287781329071</v>
      </c>
      <c r="F15" s="2">
        <v>20</v>
      </c>
      <c r="G15" s="2">
        <f t="shared" si="1"/>
        <v>25180.575562658141</v>
      </c>
      <c r="H15" s="22">
        <v>323.8</v>
      </c>
      <c r="I15" s="2">
        <f t="shared" si="9"/>
        <v>-677.901221867093</v>
      </c>
      <c r="J15" s="2">
        <f t="shared" si="2"/>
        <v>17769.561925956659</v>
      </c>
      <c r="K15" s="2">
        <v>106.639184</v>
      </c>
      <c r="L15" s="2">
        <v>30.462142</v>
      </c>
      <c r="M15" s="2">
        <f t="shared" si="3"/>
        <v>263258.92036527622</v>
      </c>
      <c r="N15" s="2">
        <f t="shared" si="4"/>
        <v>75201.537691189907</v>
      </c>
      <c r="O15" s="2">
        <f t="shared" si="5"/>
        <v>20874.255140424695</v>
      </c>
      <c r="P15" s="2">
        <f t="shared" si="6"/>
        <v>5962.8599955514201</v>
      </c>
      <c r="Q15" s="2">
        <f t="shared" si="7"/>
        <v>0.65001101043037623</v>
      </c>
      <c r="R15" s="2">
        <f t="shared" si="8"/>
        <v>0.58225428707610505</v>
      </c>
      <c r="S15" s="2">
        <v>43901</v>
      </c>
      <c r="T15" s="2">
        <v>16476</v>
      </c>
    </row>
    <row r="16" spans="1:20" x14ac:dyDescent="0.3">
      <c r="A16" s="1">
        <v>2022</v>
      </c>
      <c r="B16" s="1" t="s">
        <v>72</v>
      </c>
      <c r="C16" s="2">
        <v>1519.8246099999999</v>
      </c>
      <c r="D16" s="2">
        <v>216.51481473269999</v>
      </c>
      <c r="E16" s="2">
        <f t="shared" si="0"/>
        <v>826.2031369587429</v>
      </c>
      <c r="F16" s="2">
        <v>10</v>
      </c>
      <c r="G16" s="2">
        <f t="shared" si="1"/>
        <v>8262.0313695874283</v>
      </c>
      <c r="H16" s="22">
        <v>535.5</v>
      </c>
      <c r="I16" s="2">
        <f t="shared" si="9"/>
        <v>-1110.7268630412573</v>
      </c>
      <c r="J16" s="2">
        <f t="shared" si="2"/>
        <v>78893.472053108213</v>
      </c>
      <c r="K16" s="2">
        <v>107.474424</v>
      </c>
      <c r="L16" s="2">
        <v>31.214942000000001</v>
      </c>
      <c r="M16" s="2">
        <f t="shared" si="3"/>
        <v>163342.27454077464</v>
      </c>
      <c r="N16" s="2">
        <f t="shared" si="4"/>
        <v>47441.23705132262</v>
      </c>
      <c r="O16" s="2">
        <f t="shared" si="5"/>
        <v>23269.805000863646</v>
      </c>
      <c r="P16" s="2">
        <f t="shared" si="6"/>
        <v>6758.4973840219754</v>
      </c>
      <c r="Q16" s="2">
        <f t="shared" si="7"/>
        <v>0.42655191462081676</v>
      </c>
      <c r="R16" s="2">
        <f t="shared" si="8"/>
        <v>0.64403005988448347</v>
      </c>
      <c r="S16" s="2">
        <v>46588</v>
      </c>
      <c r="T16" s="2">
        <v>28835</v>
      </c>
    </row>
    <row r="17" spans="1:20" x14ac:dyDescent="0.3">
      <c r="A17" s="1">
        <v>2022</v>
      </c>
      <c r="B17" s="1" t="s">
        <v>73</v>
      </c>
      <c r="C17" s="2">
        <v>2480.9978299999998</v>
      </c>
      <c r="D17" s="2">
        <v>243.2577799499</v>
      </c>
      <c r="E17" s="2">
        <f t="shared" si="0"/>
        <v>1290.0725753633367</v>
      </c>
      <c r="F17" s="2">
        <v>16</v>
      </c>
      <c r="G17" s="2">
        <f t="shared" si="1"/>
        <v>20641.161205813387</v>
      </c>
      <c r="H17" s="22">
        <v>143.30000000000001</v>
      </c>
      <c r="I17" s="2">
        <f t="shared" si="9"/>
        <v>-646.85742463666338</v>
      </c>
      <c r="J17" s="2">
        <f t="shared" si="2"/>
        <v>7160.285984574366</v>
      </c>
      <c r="K17" s="2">
        <v>103.048153</v>
      </c>
      <c r="L17" s="2">
        <v>30.015991</v>
      </c>
      <c r="M17" s="2">
        <f t="shared" si="3"/>
        <v>255662.24397850796</v>
      </c>
      <c r="N17" s="2">
        <f t="shared" si="4"/>
        <v>74469.608536299522</v>
      </c>
      <c r="O17" s="2">
        <f t="shared" si="5"/>
        <v>25067.264926717628</v>
      </c>
      <c r="P17" s="2">
        <f t="shared" si="6"/>
        <v>7301.6233336561791</v>
      </c>
      <c r="Q17" s="2">
        <f t="shared" si="7"/>
        <v>0.6660382930118528</v>
      </c>
      <c r="R17" s="2">
        <f t="shared" si="8"/>
        <v>0.72357784284605642</v>
      </c>
      <c r="S17" s="2">
        <v>62981</v>
      </c>
      <c r="T17" s="2">
        <v>8447</v>
      </c>
    </row>
    <row r="18" spans="1:20" x14ac:dyDescent="0.3">
      <c r="A18" s="1">
        <v>2022</v>
      </c>
      <c r="B18" s="1" t="s">
        <v>74</v>
      </c>
      <c r="C18" s="2">
        <v>1321.1303350000001</v>
      </c>
      <c r="D18" s="2">
        <v>79.284149341200006</v>
      </c>
      <c r="E18" s="2">
        <f t="shared" si="0"/>
        <v>660.21979499238671</v>
      </c>
      <c r="F18" s="2">
        <v>6</v>
      </c>
      <c r="G18" s="2">
        <f t="shared" si="1"/>
        <v>3961.3187699543205</v>
      </c>
      <c r="H18" s="22">
        <v>265.8</v>
      </c>
      <c r="I18" s="2">
        <f t="shared" si="9"/>
        <v>-1276.7102050076132</v>
      </c>
      <c r="J18" s="2">
        <f t="shared" si="2"/>
        <v>51737.647750687931</v>
      </c>
      <c r="K18" s="2">
        <v>106.754109</v>
      </c>
      <c r="L18" s="2">
        <v>31.873559</v>
      </c>
      <c r="M18" s="2">
        <f t="shared" si="3"/>
        <v>141036.09178579651</v>
      </c>
      <c r="N18" s="2">
        <f t="shared" si="4"/>
        <v>42109.125679312267</v>
      </c>
      <c r="O18" s="2">
        <f t="shared" si="5"/>
        <v>8463.9087207427438</v>
      </c>
      <c r="P18" s="2">
        <f t="shared" si="6"/>
        <v>2527.0680117915495</v>
      </c>
      <c r="Q18" s="2">
        <f t="shared" si="7"/>
        <v>0.34085808323265721</v>
      </c>
      <c r="R18" s="2">
        <f t="shared" si="8"/>
        <v>0.23583317155983799</v>
      </c>
      <c r="S18" s="2">
        <v>28641</v>
      </c>
      <c r="T18" s="2">
        <v>25857</v>
      </c>
    </row>
    <row r="19" spans="1:20" x14ac:dyDescent="0.3">
      <c r="A19" s="1">
        <v>2022</v>
      </c>
      <c r="B19" s="1" t="s">
        <v>75</v>
      </c>
      <c r="C19" s="2">
        <v>6103.7364829999997</v>
      </c>
      <c r="D19" s="2">
        <v>263.2448655691</v>
      </c>
      <c r="E19" s="2">
        <f t="shared" si="0"/>
        <v>2995.4268442032749</v>
      </c>
      <c r="F19" s="2">
        <v>17</v>
      </c>
      <c r="G19" s="2">
        <f t="shared" si="1"/>
        <v>50922.256351455675</v>
      </c>
      <c r="H19" s="22">
        <v>226.9</v>
      </c>
      <c r="I19" s="2">
        <f t="shared" si="9"/>
        <v>1058.4968442032748</v>
      </c>
      <c r="J19" s="2">
        <f t="shared" si="2"/>
        <v>30358.525513353648</v>
      </c>
      <c r="K19" s="2">
        <v>104.633825</v>
      </c>
      <c r="L19" s="2">
        <v>30.135162999999999</v>
      </c>
      <c r="M19" s="2">
        <f t="shared" si="3"/>
        <v>638657.29500833747</v>
      </c>
      <c r="N19" s="2">
        <f t="shared" si="4"/>
        <v>183937.0938242517</v>
      </c>
      <c r="O19" s="2">
        <f t="shared" si="5"/>
        <v>27544.317196105734</v>
      </c>
      <c r="P19" s="2">
        <f t="shared" si="6"/>
        <v>7932.926932837916</v>
      </c>
      <c r="Q19" s="2">
        <f t="shared" si="7"/>
        <v>1.5464780976319399</v>
      </c>
      <c r="R19" s="2">
        <f t="shared" si="8"/>
        <v>0.78303005152813321</v>
      </c>
      <c r="S19" s="2">
        <v>41586</v>
      </c>
      <c r="T19" s="2">
        <v>12667</v>
      </c>
    </row>
    <row r="20" spans="1:20" x14ac:dyDescent="0.3">
      <c r="A20" s="1">
        <v>2022</v>
      </c>
      <c r="B20" s="1" t="s">
        <v>76</v>
      </c>
      <c r="C20" s="2">
        <v>962.12032999999997</v>
      </c>
      <c r="D20" s="2">
        <v>120.965798195</v>
      </c>
      <c r="E20" s="2">
        <f t="shared" si="0"/>
        <v>514.45788817337905</v>
      </c>
      <c r="F20" s="2">
        <v>8</v>
      </c>
      <c r="G20" s="2">
        <f t="shared" si="1"/>
        <v>4115.6631053870324</v>
      </c>
      <c r="H20" s="22">
        <v>82.3</v>
      </c>
      <c r="I20" s="2">
        <f t="shared" si="9"/>
        <v>-1422.4721118266211</v>
      </c>
      <c r="J20" s="2">
        <f t="shared" si="2"/>
        <v>19886.31891622705</v>
      </c>
      <c r="K20" s="2">
        <v>102.23090999999999</v>
      </c>
      <c r="L20" s="2">
        <v>31.905656</v>
      </c>
      <c r="M20" s="2">
        <f t="shared" si="3"/>
        <v>98358.43686540029</v>
      </c>
      <c r="N20" s="2">
        <f t="shared" si="4"/>
        <v>30697.08027958648</v>
      </c>
      <c r="O20" s="2">
        <f t="shared" si="5"/>
        <v>12366.443628351208</v>
      </c>
      <c r="P20" s="2">
        <f t="shared" si="6"/>
        <v>3859.4931449750911</v>
      </c>
      <c r="Q20" s="2">
        <f t="shared" si="7"/>
        <v>0.26560416848561896</v>
      </c>
      <c r="R20" s="2">
        <f t="shared" si="8"/>
        <v>0.35981653427124222</v>
      </c>
      <c r="S20" s="2">
        <v>56473</v>
      </c>
      <c r="T20" s="2">
        <v>15594</v>
      </c>
    </row>
    <row r="21" spans="1:20" x14ac:dyDescent="0.3">
      <c r="A21" s="1">
        <v>2022</v>
      </c>
      <c r="B21" s="1" t="s">
        <v>77</v>
      </c>
      <c r="C21" s="2">
        <v>1362.630167</v>
      </c>
      <c r="D21" s="2">
        <v>109.47222585670001</v>
      </c>
      <c r="E21" s="2">
        <f t="shared" si="0"/>
        <v>695.69951072353581</v>
      </c>
      <c r="F21" s="2">
        <v>13</v>
      </c>
      <c r="G21" s="2">
        <f t="shared" si="1"/>
        <v>9044.0936394059663</v>
      </c>
      <c r="H21" s="22">
        <v>110.3</v>
      </c>
      <c r="I21" s="2">
        <f t="shared" si="9"/>
        <v>-1241.2304892764641</v>
      </c>
      <c r="J21" s="2">
        <f t="shared" si="2"/>
        <v>20293.054688834109</v>
      </c>
      <c r="K21" s="2">
        <v>101.968649</v>
      </c>
      <c r="L21" s="2">
        <v>30.055425</v>
      </c>
      <c r="M21" s="2">
        <f t="shared" si="3"/>
        <v>138945.55721563438</v>
      </c>
      <c r="N21" s="2">
        <f t="shared" si="4"/>
        <v>40954.428787005978</v>
      </c>
      <c r="O21" s="2">
        <f t="shared" si="5"/>
        <v>11162.734973630568</v>
      </c>
      <c r="P21" s="2">
        <f t="shared" si="6"/>
        <v>3290.2342738191078</v>
      </c>
      <c r="Q21" s="2">
        <f t="shared" si="7"/>
        <v>0.35917554052413164</v>
      </c>
      <c r="R21" s="2">
        <f t="shared" si="8"/>
        <v>0.32562854537791663</v>
      </c>
      <c r="S21" s="2">
        <v>42710</v>
      </c>
      <c r="T21" s="2">
        <v>32995</v>
      </c>
    </row>
    <row r="22" spans="1:20" x14ac:dyDescent="0.3">
      <c r="A22" s="1">
        <v>2022</v>
      </c>
      <c r="B22" s="1" t="s">
        <v>78</v>
      </c>
      <c r="C22" s="2">
        <v>615.69451100000003</v>
      </c>
      <c r="D22" s="2">
        <v>39.568575857500001</v>
      </c>
      <c r="E22" s="2">
        <f t="shared" si="0"/>
        <v>309.08028831716149</v>
      </c>
      <c r="F22" s="2">
        <v>9</v>
      </c>
      <c r="G22" s="2">
        <f t="shared" si="1"/>
        <v>2781.7225948544533</v>
      </c>
      <c r="H22" s="22">
        <v>489.1</v>
      </c>
      <c r="I22" s="2">
        <f t="shared" si="9"/>
        <v>-1627.8497116828385</v>
      </c>
      <c r="J22" s="2">
        <f t="shared" si="2"/>
        <v>154772.32981361929</v>
      </c>
      <c r="K22" s="2">
        <v>102.27418900000001</v>
      </c>
      <c r="L22" s="2">
        <v>27.887442</v>
      </c>
      <c r="M22" s="2">
        <f t="shared" si="3"/>
        <v>62969.656784276587</v>
      </c>
      <c r="N22" s="2">
        <f t="shared" si="4"/>
        <v>17170.144965230862</v>
      </c>
      <c r="O22" s="2">
        <f t="shared" si="5"/>
        <v>4046.8440057107923</v>
      </c>
      <c r="P22" s="2">
        <f t="shared" si="6"/>
        <v>1103.4663642486316</v>
      </c>
      <c r="Q22" s="2">
        <f t="shared" si="7"/>
        <v>0.15957188112180062</v>
      </c>
      <c r="R22" s="2">
        <f t="shared" si="8"/>
        <v>0.11769796127119579</v>
      </c>
      <c r="S22" s="2">
        <v>42625</v>
      </c>
      <c r="T22" s="2">
        <v>29437</v>
      </c>
    </row>
    <row r="23" spans="1:20" x14ac:dyDescent="0.3">
      <c r="A23" s="1"/>
      <c r="B23" s="7" t="s">
        <v>79</v>
      </c>
      <c r="C23" s="2">
        <f>SUM(C2:C22)</f>
        <v>78919.040892999983</v>
      </c>
      <c r="D23" s="2">
        <f>SUM(D2:D22)</f>
        <v>7059.936163175501</v>
      </c>
      <c r="H23" s="23"/>
      <c r="M23" s="2">
        <f>SUM(M2:M22)</f>
        <v>8254899.5910144597</v>
      </c>
      <c r="N23" s="2">
        <f>SUM(N2:N22)</f>
        <v>2381996.5645466815</v>
      </c>
      <c r="O23" s="2">
        <f>SUM(O2:O22)</f>
        <v>738598.66619521391</v>
      </c>
      <c r="P23" s="2">
        <f>SUM(P2:P22)</f>
        <v>213830.34302663093</v>
      </c>
    </row>
    <row r="24" spans="1:20" x14ac:dyDescent="0.3">
      <c r="A24" s="1"/>
      <c r="B24" s="7"/>
      <c r="H24" s="23"/>
    </row>
    <row r="25" spans="1:20" x14ac:dyDescent="0.3">
      <c r="D25" s="2" t="s">
        <v>11</v>
      </c>
      <c r="E25" s="2">
        <f>AVERAGE(E2:E22)</f>
        <v>1936.934540751781</v>
      </c>
      <c r="F25" s="2" t="s">
        <v>10</v>
      </c>
      <c r="G25" s="2">
        <f>SUM(G2:G22)</f>
        <v>336542.94278259692</v>
      </c>
      <c r="H25" s="24">
        <f>SUM(H2:H22)</f>
        <v>8374.0000000000018</v>
      </c>
      <c r="J25" s="2">
        <f>SUM(J2:J22)</f>
        <v>12517457.014963025</v>
      </c>
      <c r="L25" s="2" t="s">
        <v>12</v>
      </c>
      <c r="M25" s="2">
        <f>M23/C23</f>
        <v>104.59959342646621</v>
      </c>
      <c r="N25" s="2">
        <f>N23/C23</f>
        <v>30.182786531532233</v>
      </c>
      <c r="O25" s="2">
        <f>O23/D23</f>
        <v>104.61832077855479</v>
      </c>
      <c r="P25" s="2">
        <f>P23/D23</f>
        <v>30.287857862223476</v>
      </c>
    </row>
    <row r="26" spans="1:20" x14ac:dyDescent="0.3">
      <c r="B26" s="2" t="s">
        <v>57</v>
      </c>
      <c r="C26" s="2">
        <f>E2-E9</f>
        <v>7474.9096898339858</v>
      </c>
      <c r="D26" s="2" t="s">
        <v>13</v>
      </c>
      <c r="E26" s="2">
        <f>1+1/21-G25/(21*21*E25)</f>
        <v>0.65362745491354768</v>
      </c>
      <c r="F26" s="2" t="s">
        <v>14</v>
      </c>
      <c r="G26" s="2">
        <f>SQRT(J25)/E25</f>
        <v>1.8265985581201376</v>
      </c>
    </row>
    <row r="27" spans="1:20" x14ac:dyDescent="0.3">
      <c r="A27" s="27" t="s">
        <v>0</v>
      </c>
      <c r="B27" s="27" t="s">
        <v>1</v>
      </c>
      <c r="C27" s="27" t="s">
        <v>1</v>
      </c>
      <c r="D27" s="27" t="s">
        <v>1</v>
      </c>
    </row>
    <row r="28" spans="1:20" x14ac:dyDescent="0.3">
      <c r="A28" s="21" t="s">
        <v>2</v>
      </c>
      <c r="B28" s="21" t="s">
        <v>3</v>
      </c>
      <c r="C28" s="21" t="s">
        <v>4</v>
      </c>
      <c r="D28" s="21" t="s">
        <v>5</v>
      </c>
    </row>
    <row r="29" spans="1:20" x14ac:dyDescent="0.3">
      <c r="A29" s="21" t="s">
        <v>8</v>
      </c>
      <c r="B29" s="21">
        <v>0.84560000000000002</v>
      </c>
      <c r="C29" s="21">
        <v>0.15440000000000001</v>
      </c>
      <c r="D29" s="21" t="s">
        <v>54</v>
      </c>
    </row>
    <row r="30" spans="1:20" x14ac:dyDescent="0.3">
      <c r="A30" s="21" t="s">
        <v>6</v>
      </c>
      <c r="B30" s="21">
        <v>0.86429999999999996</v>
      </c>
      <c r="C30" s="21">
        <v>0.13569999999999999</v>
      </c>
      <c r="D30" s="21" t="s">
        <v>55</v>
      </c>
    </row>
    <row r="33" spans="7:7" x14ac:dyDescent="0.3">
      <c r="G33" s="10">
        <f>SUM(D2:D22)</f>
        <v>7059.936163175501</v>
      </c>
    </row>
  </sheetData>
  <mergeCells count="1">
    <mergeCell ref="A27:D2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23640-8382-4145-8F40-EE17DC3C3238}">
  <dimension ref="A1:S33"/>
  <sheetViews>
    <sheetView workbookViewId="0">
      <selection sqref="A1:XFD1"/>
    </sheetView>
  </sheetViews>
  <sheetFormatPr defaultColWidth="9" defaultRowHeight="14" x14ac:dyDescent="0.3"/>
  <cols>
    <col min="1" max="1" width="13.08203125" style="2" customWidth="1"/>
    <col min="2" max="2" width="13.5" style="2" customWidth="1"/>
    <col min="3" max="3" width="12.58203125" style="2" customWidth="1"/>
    <col min="4" max="4" width="14.75" style="2" customWidth="1"/>
    <col min="5" max="6" width="19" style="2" customWidth="1"/>
    <col min="7" max="8" width="9" style="2"/>
    <col min="9" max="9" width="9.58203125" style="2" customWidth="1"/>
    <col min="10" max="10" width="14.1640625" style="2" customWidth="1"/>
    <col min="11" max="11" width="13.75" style="2" customWidth="1"/>
    <col min="12" max="12" width="15" style="2" customWidth="1"/>
    <col min="13" max="13" width="15.33203125" style="2" customWidth="1"/>
    <col min="14" max="14" width="14.6640625" style="2" customWidth="1"/>
    <col min="15" max="15" width="17.75" style="2" customWidth="1"/>
    <col min="16" max="16" width="14.9140625" style="2" customWidth="1"/>
    <col min="17" max="17" width="18.5" style="2" customWidth="1"/>
    <col min="18" max="16384" width="9" style="2"/>
  </cols>
  <sheetData>
    <row r="1" spans="1:19" ht="13.5" customHeight="1" x14ac:dyDescent="0.3">
      <c r="A1" s="2" t="s">
        <v>83</v>
      </c>
      <c r="B1" s="1" t="s">
        <v>84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92</v>
      </c>
      <c r="H1" s="1" t="s">
        <v>90</v>
      </c>
      <c r="I1" s="1" t="s">
        <v>91</v>
      </c>
      <c r="J1" t="s">
        <v>85</v>
      </c>
      <c r="K1" t="s">
        <v>81</v>
      </c>
      <c r="L1" t="s">
        <v>82</v>
      </c>
      <c r="M1" s="1" t="s">
        <v>98</v>
      </c>
      <c r="N1" s="1" t="s">
        <v>103</v>
      </c>
      <c r="O1" s="2" t="s">
        <v>99</v>
      </c>
      <c r="P1" s="1" t="s">
        <v>101</v>
      </c>
      <c r="Q1" s="1" t="s">
        <v>100</v>
      </c>
      <c r="R1" s="1"/>
      <c r="S1" s="1"/>
    </row>
    <row r="2" spans="1:19" x14ac:dyDescent="0.3">
      <c r="A2" s="1">
        <v>2013</v>
      </c>
      <c r="B2" s="1" t="s">
        <v>58</v>
      </c>
      <c r="C2" s="1">
        <v>15339</v>
      </c>
      <c r="D2" s="1">
        <v>1285</v>
      </c>
      <c r="E2" s="1">
        <f t="shared" ref="E2:E22" si="0">C2*0.4162+D2*0.5838</f>
        <v>7134.2748000000001</v>
      </c>
      <c r="F2" s="1">
        <f>E2-1180.497272</f>
        <v>5953.7775280000005</v>
      </c>
      <c r="G2" s="1">
        <v>1</v>
      </c>
      <c r="H2" s="1">
        <f t="shared" ref="H2:H22" si="1">E2*G2</f>
        <v>7134.2748000000001</v>
      </c>
      <c r="I2" s="1">
        <v>1429.76</v>
      </c>
      <c r="J2" s="1">
        <f>F2*F2*I2/8107</f>
        <v>6251556.7050237749</v>
      </c>
      <c r="K2" s="1">
        <v>104.07274200000001</v>
      </c>
      <c r="L2" s="1">
        <v>30.578983999999998</v>
      </c>
      <c r="M2" s="1">
        <f>C2*K2</f>
        <v>1596371.789538</v>
      </c>
      <c r="N2" s="1">
        <f>C2*L2</f>
        <v>469051.03557599999</v>
      </c>
      <c r="O2" s="1">
        <f>D2*K2</f>
        <v>133733.47347</v>
      </c>
      <c r="P2" s="1">
        <f>D2*L2</f>
        <v>39293.994439999995</v>
      </c>
      <c r="Q2" s="1">
        <v>63977</v>
      </c>
      <c r="R2" s="1"/>
      <c r="S2" s="1"/>
    </row>
    <row r="3" spans="1:19" x14ac:dyDescent="0.3">
      <c r="A3" s="1">
        <v>2013</v>
      </c>
      <c r="B3" s="1" t="s">
        <v>59</v>
      </c>
      <c r="C3" s="1">
        <v>1779.95</v>
      </c>
      <c r="D3" s="1">
        <v>160.27000000000001</v>
      </c>
      <c r="E3" s="1">
        <f t="shared" si="0"/>
        <v>834.3808160000001</v>
      </c>
      <c r="F3" s="1">
        <f t="shared" ref="F3:F22" si="2">E3-1180.497272</f>
        <v>-346.11645599999997</v>
      </c>
      <c r="G3" s="1">
        <v>14</v>
      </c>
      <c r="H3" s="1">
        <f t="shared" si="1"/>
        <v>11681.331424000002</v>
      </c>
      <c r="I3" s="1">
        <v>273.83</v>
      </c>
      <c r="J3" s="1">
        <f t="shared" ref="J3:J22" si="3">F3*F3*I3/8107</f>
        <v>4046.3677418337975</v>
      </c>
      <c r="K3" s="1">
        <v>104.785532</v>
      </c>
      <c r="L3" s="1">
        <v>29.345369999999999</v>
      </c>
      <c r="M3" s="1">
        <f t="shared" ref="M3:M22" si="4">C3*K3</f>
        <v>186513.00768340001</v>
      </c>
      <c r="N3" s="1">
        <f t="shared" ref="N3:N22" si="5">C3*L3</f>
        <v>52233.291331499997</v>
      </c>
      <c r="O3" s="1">
        <f t="shared" ref="O3:O22" si="6">D3*K3</f>
        <v>16793.977213640002</v>
      </c>
      <c r="P3" s="1">
        <f t="shared" ref="P3:P22" si="7">D3*L3</f>
        <v>4703.1824499000004</v>
      </c>
      <c r="Q3" s="1">
        <v>36745</v>
      </c>
      <c r="R3" s="1"/>
      <c r="S3" s="1"/>
    </row>
    <row r="4" spans="1:19" x14ac:dyDescent="0.3">
      <c r="A4" s="1">
        <v>2013</v>
      </c>
      <c r="B4" s="1" t="s">
        <v>60</v>
      </c>
      <c r="C4" s="1">
        <v>1039.58</v>
      </c>
      <c r="D4" s="1">
        <v>102.81</v>
      </c>
      <c r="E4" s="1">
        <f t="shared" si="0"/>
        <v>492.69367399999999</v>
      </c>
      <c r="F4" s="1">
        <f t="shared" si="2"/>
        <v>-687.80359800000008</v>
      </c>
      <c r="G4" s="1">
        <v>18</v>
      </c>
      <c r="H4" s="1">
        <f t="shared" si="1"/>
        <v>8868.486132</v>
      </c>
      <c r="I4" s="1">
        <v>123.33</v>
      </c>
      <c r="J4" s="1">
        <f t="shared" si="3"/>
        <v>7196.7670469204259</v>
      </c>
      <c r="K4" s="1">
        <v>101.72505</v>
      </c>
      <c r="L4" s="1">
        <v>26.588200000000001</v>
      </c>
      <c r="M4" s="1">
        <f t="shared" si="4"/>
        <v>105751.32747899999</v>
      </c>
      <c r="N4" s="1">
        <f t="shared" si="5"/>
        <v>27640.560955999998</v>
      </c>
      <c r="O4" s="1">
        <f t="shared" si="6"/>
        <v>10458.3523905</v>
      </c>
      <c r="P4" s="1">
        <f t="shared" si="7"/>
        <v>2733.5328420000001</v>
      </c>
      <c r="Q4" s="1">
        <v>65001</v>
      </c>
      <c r="R4" s="1"/>
      <c r="S4" s="1"/>
    </row>
    <row r="5" spans="1:19" x14ac:dyDescent="0.3">
      <c r="A5" s="1">
        <v>2013</v>
      </c>
      <c r="B5" s="1" t="s">
        <v>61</v>
      </c>
      <c r="C5" s="1">
        <v>2111.41</v>
      </c>
      <c r="D5" s="1">
        <v>143</v>
      </c>
      <c r="E5" s="1">
        <f t="shared" si="0"/>
        <v>962.25224199999991</v>
      </c>
      <c r="F5" s="1">
        <f t="shared" si="2"/>
        <v>-218.24503000000016</v>
      </c>
      <c r="G5" s="1">
        <v>9</v>
      </c>
      <c r="H5" s="1">
        <f t="shared" si="1"/>
        <v>8660.2701779999989</v>
      </c>
      <c r="I5" s="1">
        <v>424.58</v>
      </c>
      <c r="J5" s="1">
        <f t="shared" si="3"/>
        <v>2494.5262860198145</v>
      </c>
      <c r="K5" s="1">
        <v>105.448463</v>
      </c>
      <c r="L5" s="1">
        <v>28.876978000000001</v>
      </c>
      <c r="M5" s="1">
        <f t="shared" si="4"/>
        <v>222644.93926282998</v>
      </c>
      <c r="N5" s="1">
        <f t="shared" si="5"/>
        <v>60971.140118980002</v>
      </c>
      <c r="O5" s="1">
        <f t="shared" si="6"/>
        <v>15079.130209000001</v>
      </c>
      <c r="P5" s="1">
        <f t="shared" si="7"/>
        <v>4129.407854</v>
      </c>
      <c r="Q5" s="1">
        <v>26848</v>
      </c>
      <c r="R5" s="1"/>
      <c r="S5" s="1"/>
    </row>
    <row r="6" spans="1:19" x14ac:dyDescent="0.3">
      <c r="A6" s="1">
        <v>2013</v>
      </c>
      <c r="B6" s="1" t="s">
        <v>62</v>
      </c>
      <c r="C6" s="1">
        <v>1735</v>
      </c>
      <c r="D6" s="1">
        <v>92</v>
      </c>
      <c r="E6" s="1">
        <f t="shared" si="0"/>
        <v>775.81659999999999</v>
      </c>
      <c r="F6" s="1">
        <f t="shared" si="2"/>
        <v>-404.68067200000007</v>
      </c>
      <c r="G6" s="1">
        <v>16</v>
      </c>
      <c r="H6" s="1">
        <f t="shared" si="1"/>
        <v>12413.0656</v>
      </c>
      <c r="I6" s="1">
        <v>352.37</v>
      </c>
      <c r="J6" s="1">
        <f t="shared" si="3"/>
        <v>7118.0933365410465</v>
      </c>
      <c r="K6" s="1">
        <v>104.40422700000001</v>
      </c>
      <c r="L6" s="1">
        <v>31.133751</v>
      </c>
      <c r="M6" s="1">
        <f t="shared" si="4"/>
        <v>181141.33384500002</v>
      </c>
      <c r="N6" s="1">
        <f t="shared" si="5"/>
        <v>54017.057984999999</v>
      </c>
      <c r="O6" s="1">
        <f t="shared" si="6"/>
        <v>9605.1888840000011</v>
      </c>
      <c r="P6" s="1">
        <f t="shared" si="7"/>
        <v>2864.3050920000001</v>
      </c>
      <c r="Q6" s="1">
        <v>39573</v>
      </c>
      <c r="R6" s="1"/>
      <c r="S6" s="1"/>
    </row>
    <row r="7" spans="1:19" x14ac:dyDescent="0.3">
      <c r="A7" s="1">
        <v>2013</v>
      </c>
      <c r="B7" s="1" t="s">
        <v>63</v>
      </c>
      <c r="C7" s="1">
        <v>2462.48</v>
      </c>
      <c r="D7" s="1">
        <v>205.01</v>
      </c>
      <c r="E7" s="1">
        <f t="shared" si="0"/>
        <v>1144.5690139999999</v>
      </c>
      <c r="F7" s="1">
        <f t="shared" si="2"/>
        <v>-35.928258000000142</v>
      </c>
      <c r="G7" s="1">
        <v>6</v>
      </c>
      <c r="H7" s="1">
        <f t="shared" si="1"/>
        <v>6867.414084</v>
      </c>
      <c r="I7" s="1">
        <v>467.64</v>
      </c>
      <c r="J7" s="1">
        <f t="shared" si="3"/>
        <v>74.460131740936404</v>
      </c>
      <c r="K7" s="1">
        <v>104.685653</v>
      </c>
      <c r="L7" s="1">
        <v>31.473462000000001</v>
      </c>
      <c r="M7" s="1">
        <f t="shared" si="4"/>
        <v>257786.32679943999</v>
      </c>
      <c r="N7" s="1">
        <f t="shared" si="5"/>
        <v>77502.770705760006</v>
      </c>
      <c r="O7" s="1">
        <f t="shared" si="6"/>
        <v>21461.605721529999</v>
      </c>
      <c r="P7" s="1">
        <f t="shared" si="7"/>
        <v>6452.3744446199998</v>
      </c>
      <c r="Q7" s="1">
        <v>31237</v>
      </c>
      <c r="R7" s="1"/>
      <c r="S7" s="1"/>
    </row>
    <row r="8" spans="1:19" x14ac:dyDescent="0.3">
      <c r="A8" s="1">
        <v>2013</v>
      </c>
      <c r="B8" s="1" t="s">
        <v>64</v>
      </c>
      <c r="C8" s="1">
        <v>2414.96</v>
      </c>
      <c r="D8" s="1">
        <v>112.58</v>
      </c>
      <c r="E8" s="1">
        <f t="shared" si="0"/>
        <v>1070.8305560000001</v>
      </c>
      <c r="F8" s="1">
        <f t="shared" si="2"/>
        <v>-109.66671599999995</v>
      </c>
      <c r="G8" s="1">
        <v>8</v>
      </c>
      <c r="H8" s="1">
        <f t="shared" si="1"/>
        <v>8566.6444480000009</v>
      </c>
      <c r="I8" s="1">
        <v>254.5</v>
      </c>
      <c r="J8" s="1">
        <f t="shared" si="3"/>
        <v>377.55244828520694</v>
      </c>
      <c r="K8" s="1">
        <v>105.850532</v>
      </c>
      <c r="L8" s="1">
        <v>32.442338999999997</v>
      </c>
      <c r="M8" s="1">
        <f t="shared" si="4"/>
        <v>255624.80075872</v>
      </c>
      <c r="N8" s="1">
        <f t="shared" si="5"/>
        <v>78346.950991439997</v>
      </c>
      <c r="O8" s="1">
        <f t="shared" si="6"/>
        <v>11916.65289256</v>
      </c>
      <c r="P8" s="1">
        <f t="shared" si="7"/>
        <v>3652.3585246199996</v>
      </c>
      <c r="Q8" s="1">
        <v>20443</v>
      </c>
      <c r="R8" s="1"/>
      <c r="S8" s="1"/>
    </row>
    <row r="9" spans="1:19" x14ac:dyDescent="0.3">
      <c r="A9" s="1">
        <v>2013</v>
      </c>
      <c r="B9" s="1" t="s">
        <v>65</v>
      </c>
      <c r="C9" s="1">
        <v>2011</v>
      </c>
      <c r="D9" s="1">
        <v>166.9</v>
      </c>
      <c r="E9" s="1">
        <f t="shared" si="0"/>
        <v>934.41442000000006</v>
      </c>
      <c r="F9" s="1">
        <f t="shared" si="2"/>
        <v>-246.082852</v>
      </c>
      <c r="G9" s="1">
        <v>10</v>
      </c>
      <c r="H9" s="1">
        <f t="shared" si="1"/>
        <v>9344.1442000000006</v>
      </c>
      <c r="I9" s="1">
        <v>327.5</v>
      </c>
      <c r="J9" s="1">
        <f t="shared" si="3"/>
        <v>2446.32320104461</v>
      </c>
      <c r="K9" s="1">
        <v>105.599143</v>
      </c>
      <c r="L9" s="1">
        <v>30.539141000000001</v>
      </c>
      <c r="M9" s="1">
        <f t="shared" si="4"/>
        <v>212359.87657299999</v>
      </c>
      <c r="N9" s="1">
        <f t="shared" si="5"/>
        <v>61414.212551000004</v>
      </c>
      <c r="O9" s="1">
        <f t="shared" si="6"/>
        <v>17624.4969667</v>
      </c>
      <c r="P9" s="1">
        <f t="shared" si="7"/>
        <v>5096.9826329000007</v>
      </c>
      <c r="Q9" s="1">
        <v>22517</v>
      </c>
      <c r="R9" s="1"/>
      <c r="S9" s="1"/>
    </row>
    <row r="10" spans="1:19" x14ac:dyDescent="0.3">
      <c r="A10" s="1">
        <v>2013</v>
      </c>
      <c r="B10" s="1" t="s">
        <v>66</v>
      </c>
      <c r="C10" s="1">
        <v>1788.7</v>
      </c>
      <c r="D10" s="1">
        <v>110.29</v>
      </c>
      <c r="E10" s="1">
        <f t="shared" si="0"/>
        <v>808.84424200000001</v>
      </c>
      <c r="F10" s="1">
        <f t="shared" si="2"/>
        <v>-371.65303000000006</v>
      </c>
      <c r="G10" s="1">
        <v>15</v>
      </c>
      <c r="H10" s="1">
        <f t="shared" si="1"/>
        <v>12132.663630000001</v>
      </c>
      <c r="I10" s="1">
        <v>372.46</v>
      </c>
      <c r="J10" s="1">
        <f t="shared" si="3"/>
        <v>6345.9233427666304</v>
      </c>
      <c r="K10" s="1">
        <v>105.064564</v>
      </c>
      <c r="L10" s="1">
        <v>29.585822</v>
      </c>
      <c r="M10" s="1">
        <f t="shared" si="4"/>
        <v>187928.98562680001</v>
      </c>
      <c r="N10" s="1">
        <f t="shared" si="5"/>
        <v>52920.159811400001</v>
      </c>
      <c r="O10" s="1">
        <f t="shared" si="6"/>
        <v>11587.570763560001</v>
      </c>
      <c r="P10" s="1">
        <f t="shared" si="7"/>
        <v>3263.0203083800002</v>
      </c>
      <c r="Q10" s="1">
        <v>28735</v>
      </c>
      <c r="R10" s="1"/>
      <c r="S10" s="1"/>
    </row>
    <row r="11" spans="1:19" x14ac:dyDescent="0.3">
      <c r="A11" s="1">
        <v>2013</v>
      </c>
      <c r="B11" s="1" t="s">
        <v>67</v>
      </c>
      <c r="C11" s="1">
        <v>2984</v>
      </c>
      <c r="D11" s="1">
        <v>317.75</v>
      </c>
      <c r="E11" s="1">
        <f t="shared" si="0"/>
        <v>1427.44325</v>
      </c>
      <c r="F11" s="1">
        <f t="shared" si="2"/>
        <v>246.94597799999997</v>
      </c>
      <c r="G11" s="1">
        <v>2</v>
      </c>
      <c r="H11" s="1">
        <f t="shared" si="1"/>
        <v>2854.8865000000001</v>
      </c>
      <c r="I11" s="1">
        <v>325.56</v>
      </c>
      <c r="J11" s="1">
        <f t="shared" si="3"/>
        <v>2448.9210328556264</v>
      </c>
      <c r="K11" s="1">
        <v>103.772521</v>
      </c>
      <c r="L11" s="1">
        <v>29.558285000000001</v>
      </c>
      <c r="M11" s="1">
        <f t="shared" si="4"/>
        <v>309657.20266399998</v>
      </c>
      <c r="N11" s="1">
        <f t="shared" si="5"/>
        <v>88201.922440000009</v>
      </c>
      <c r="O11" s="1">
        <f t="shared" si="6"/>
        <v>32973.718547750002</v>
      </c>
      <c r="P11" s="1">
        <f t="shared" si="7"/>
        <v>9392.1450587500003</v>
      </c>
      <c r="Q11" s="1">
        <v>34863</v>
      </c>
      <c r="R11" s="1"/>
      <c r="S11" s="1"/>
    </row>
    <row r="12" spans="1:19" x14ac:dyDescent="0.3">
      <c r="A12" s="1">
        <v>2013</v>
      </c>
      <c r="B12" s="1" t="s">
        <v>68</v>
      </c>
      <c r="C12" s="1">
        <v>2549.34</v>
      </c>
      <c r="D12" s="1">
        <v>209.68</v>
      </c>
      <c r="E12" s="1">
        <f t="shared" si="0"/>
        <v>1183.446492</v>
      </c>
      <c r="F12" s="1">
        <f t="shared" si="2"/>
        <v>2.9492199999999684</v>
      </c>
      <c r="G12" s="1">
        <v>4</v>
      </c>
      <c r="H12" s="1">
        <f t="shared" si="1"/>
        <v>4733.7859680000001</v>
      </c>
      <c r="I12" s="1">
        <v>631.70000000000005</v>
      </c>
      <c r="J12" s="1">
        <f t="shared" si="3"/>
        <v>0.67774300615840177</v>
      </c>
      <c r="K12" s="1">
        <v>106.11712300000001</v>
      </c>
      <c r="L12" s="1">
        <v>30.843219999999999</v>
      </c>
      <c r="M12" s="1">
        <f t="shared" si="4"/>
        <v>270528.62634882005</v>
      </c>
      <c r="N12" s="1">
        <f t="shared" si="5"/>
        <v>78629.854474799999</v>
      </c>
      <c r="O12" s="1">
        <f t="shared" si="6"/>
        <v>22250.638350640002</v>
      </c>
      <c r="P12" s="1">
        <f t="shared" si="7"/>
        <v>6467.2063695999996</v>
      </c>
      <c r="Q12" s="1">
        <v>21059</v>
      </c>
      <c r="R12" s="1"/>
      <c r="S12" s="1"/>
    </row>
    <row r="13" spans="1:19" x14ac:dyDescent="0.3">
      <c r="A13" s="1">
        <v>2013</v>
      </c>
      <c r="B13" s="1" t="s">
        <v>69</v>
      </c>
      <c r="C13" s="1">
        <v>1943</v>
      </c>
      <c r="D13" s="1">
        <v>145.1</v>
      </c>
      <c r="E13" s="1">
        <f t="shared" si="0"/>
        <v>893.38598000000002</v>
      </c>
      <c r="F13" s="1">
        <f t="shared" si="2"/>
        <v>-287.11129200000005</v>
      </c>
      <c r="G13" s="1">
        <v>12</v>
      </c>
      <c r="H13" s="1">
        <f t="shared" si="1"/>
        <v>10720.63176</v>
      </c>
      <c r="I13" s="1">
        <v>297.83999999999997</v>
      </c>
      <c r="J13" s="1">
        <f t="shared" si="3"/>
        <v>3028.470845830263</v>
      </c>
      <c r="K13" s="1">
        <v>103.854991</v>
      </c>
      <c r="L13" s="1">
        <v>30.082841999999999</v>
      </c>
      <c r="M13" s="1">
        <f t="shared" si="4"/>
        <v>201790.24751300001</v>
      </c>
      <c r="N13" s="1">
        <f t="shared" si="5"/>
        <v>58450.962006000002</v>
      </c>
      <c r="O13" s="1">
        <f t="shared" si="6"/>
        <v>15069.3591941</v>
      </c>
      <c r="P13" s="1">
        <f t="shared" si="7"/>
        <v>4365.0203741999994</v>
      </c>
      <c r="Q13" s="1">
        <v>28934</v>
      </c>
      <c r="R13" s="1"/>
      <c r="S13" s="1"/>
    </row>
    <row r="14" spans="1:19" x14ac:dyDescent="0.3">
      <c r="A14" s="1">
        <v>2013</v>
      </c>
      <c r="B14" s="1" t="s">
        <v>70</v>
      </c>
      <c r="C14" s="1">
        <v>2498.1799999999998</v>
      </c>
      <c r="D14" s="1">
        <v>208.7</v>
      </c>
      <c r="E14" s="1">
        <f t="shared" si="0"/>
        <v>1161.581576</v>
      </c>
      <c r="F14" s="1">
        <f t="shared" si="2"/>
        <v>-18.915696000000025</v>
      </c>
      <c r="G14" s="1">
        <v>5</v>
      </c>
      <c r="H14" s="1">
        <f t="shared" si="1"/>
        <v>5807.9078800000007</v>
      </c>
      <c r="I14" s="1">
        <v>446.5</v>
      </c>
      <c r="J14" s="1">
        <f t="shared" si="3"/>
        <v>19.706338643260413</v>
      </c>
      <c r="K14" s="1">
        <v>104.649316</v>
      </c>
      <c r="L14" s="1">
        <v>28.758631000000001</v>
      </c>
      <c r="M14" s="1">
        <f t="shared" si="4"/>
        <v>261432.82824487999</v>
      </c>
      <c r="N14" s="1">
        <f t="shared" si="5"/>
        <v>71844.236791579999</v>
      </c>
      <c r="O14" s="1">
        <f t="shared" si="6"/>
        <v>21840.3122492</v>
      </c>
      <c r="P14" s="1">
        <f t="shared" si="7"/>
        <v>6001.9262896999999</v>
      </c>
      <c r="Q14" s="1">
        <v>30093</v>
      </c>
      <c r="R14" s="1"/>
      <c r="S14" s="1"/>
    </row>
    <row r="15" spans="1:19" x14ac:dyDescent="0.3">
      <c r="A15" s="1">
        <v>2013</v>
      </c>
      <c r="B15" s="1" t="s">
        <v>71</v>
      </c>
      <c r="C15" s="1">
        <v>1997.6</v>
      </c>
      <c r="D15" s="1">
        <v>135.30000000000001</v>
      </c>
      <c r="E15" s="1">
        <f t="shared" si="0"/>
        <v>910.38926000000004</v>
      </c>
      <c r="F15" s="1">
        <f t="shared" si="2"/>
        <v>-270.10801200000003</v>
      </c>
      <c r="G15" s="1">
        <v>11</v>
      </c>
      <c r="H15" s="1">
        <f t="shared" si="1"/>
        <v>10014.281860000001</v>
      </c>
      <c r="I15" s="1">
        <v>322.43</v>
      </c>
      <c r="J15" s="1">
        <f t="shared" si="3"/>
        <v>2901.684589688628</v>
      </c>
      <c r="K15" s="1">
        <v>106.639184</v>
      </c>
      <c r="L15" s="1">
        <v>30.462142</v>
      </c>
      <c r="M15" s="1">
        <f t="shared" si="4"/>
        <v>213022.43395839998</v>
      </c>
      <c r="N15" s="1">
        <f t="shared" si="5"/>
        <v>60851.1748592</v>
      </c>
      <c r="O15" s="1">
        <f t="shared" si="6"/>
        <v>14428.281595200002</v>
      </c>
      <c r="P15" s="1">
        <f t="shared" si="7"/>
        <v>4121.5278126000003</v>
      </c>
      <c r="Q15" s="1">
        <v>25933</v>
      </c>
      <c r="R15" s="1"/>
      <c r="S15" s="1"/>
    </row>
    <row r="16" spans="1:19" x14ac:dyDescent="0.3">
      <c r="A16" s="1">
        <v>2013</v>
      </c>
      <c r="B16" s="1" t="s">
        <v>72</v>
      </c>
      <c r="C16" s="1">
        <v>1025.0300000000279</v>
      </c>
      <c r="D16" s="1">
        <v>64.822683960454881</v>
      </c>
      <c r="E16" s="1">
        <f t="shared" si="0"/>
        <v>464.46096889612522</v>
      </c>
      <c r="F16" s="1">
        <f t="shared" si="2"/>
        <v>-716.03630310387484</v>
      </c>
      <c r="G16" s="1">
        <v>19</v>
      </c>
      <c r="H16" s="1">
        <f t="shared" si="1"/>
        <v>8824.758409026379</v>
      </c>
      <c r="I16" s="1">
        <v>551.28</v>
      </c>
      <c r="J16" s="1">
        <f t="shared" si="3"/>
        <v>34864.396111174225</v>
      </c>
      <c r="K16" s="1">
        <v>107.474424</v>
      </c>
      <c r="L16" s="1">
        <v>31.214942000000001</v>
      </c>
      <c r="M16" s="1">
        <f t="shared" si="4"/>
        <v>110164.508832723</v>
      </c>
      <c r="N16" s="1">
        <f t="shared" si="5"/>
        <v>31996.251998260872</v>
      </c>
      <c r="O16" s="1">
        <f t="shared" si="6"/>
        <v>6966.7806207839267</v>
      </c>
      <c r="P16" s="1">
        <f t="shared" si="7"/>
        <v>2023.4363201099295</v>
      </c>
      <c r="Q16" s="1">
        <v>22632</v>
      </c>
      <c r="R16" s="1"/>
      <c r="S16" s="1"/>
    </row>
    <row r="17" spans="1:19" x14ac:dyDescent="0.3">
      <c r="A17" s="1">
        <v>2013</v>
      </c>
      <c r="B17" s="1" t="s">
        <v>73</v>
      </c>
      <c r="C17" s="1">
        <v>1425.4549999999999</v>
      </c>
      <c r="D17" s="1">
        <v>70.41</v>
      </c>
      <c r="E17" s="1">
        <f t="shared" si="0"/>
        <v>634.379729</v>
      </c>
      <c r="F17" s="1">
        <f t="shared" si="2"/>
        <v>-546.11754300000007</v>
      </c>
      <c r="G17" s="1">
        <v>17</v>
      </c>
      <c r="H17" s="1">
        <f t="shared" si="1"/>
        <v>10784.455393</v>
      </c>
      <c r="I17" s="1">
        <v>153.37</v>
      </c>
      <c r="J17" s="1">
        <f t="shared" si="3"/>
        <v>5642.2522690707265</v>
      </c>
      <c r="K17" s="1">
        <v>103.048153</v>
      </c>
      <c r="L17" s="1">
        <v>30.015991</v>
      </c>
      <c r="M17" s="1">
        <f t="shared" si="4"/>
        <v>146890.50493461499</v>
      </c>
      <c r="N17" s="1">
        <f t="shared" si="5"/>
        <v>42786.444450905001</v>
      </c>
      <c r="O17" s="1">
        <f t="shared" si="6"/>
        <v>7255.6204527299997</v>
      </c>
      <c r="P17" s="1">
        <f t="shared" si="7"/>
        <v>2113.4259263099998</v>
      </c>
      <c r="Q17" s="1">
        <v>27317</v>
      </c>
      <c r="R17" s="1"/>
      <c r="S17" s="1"/>
    </row>
    <row r="18" spans="1:19" x14ac:dyDescent="0.3">
      <c r="A18" s="1">
        <v>2013</v>
      </c>
      <c r="B18" s="1" t="s">
        <v>74</v>
      </c>
      <c r="C18" s="1">
        <v>896.7</v>
      </c>
      <c r="D18" s="1">
        <v>66.2</v>
      </c>
      <c r="E18" s="1">
        <f t="shared" si="0"/>
        <v>411.85410000000002</v>
      </c>
      <c r="F18" s="1">
        <f t="shared" si="2"/>
        <v>-768.64317200000005</v>
      </c>
      <c r="G18" s="1">
        <v>20</v>
      </c>
      <c r="H18" s="1">
        <f t="shared" si="1"/>
        <v>8237.0820000000003</v>
      </c>
      <c r="I18" s="1">
        <v>331.72</v>
      </c>
      <c r="J18" s="1">
        <f t="shared" si="3"/>
        <v>24174.696525843861</v>
      </c>
      <c r="K18" s="1">
        <v>106.754109</v>
      </c>
      <c r="L18" s="1">
        <v>31.873559</v>
      </c>
      <c r="M18" s="1">
        <f t="shared" si="4"/>
        <v>95726.40954030001</v>
      </c>
      <c r="N18" s="1">
        <f t="shared" si="5"/>
        <v>28581.020355300003</v>
      </c>
      <c r="O18" s="1">
        <f t="shared" si="6"/>
        <v>7067.1220158000006</v>
      </c>
      <c r="P18" s="1">
        <f t="shared" si="7"/>
        <v>2110.0296057999999</v>
      </c>
      <c r="Q18" s="1">
        <v>12556</v>
      </c>
      <c r="R18" s="1"/>
      <c r="S18" s="1"/>
    </row>
    <row r="19" spans="1:19" x14ac:dyDescent="0.3">
      <c r="A19" s="1">
        <v>2013</v>
      </c>
      <c r="B19" s="1" t="s">
        <v>75</v>
      </c>
      <c r="C19" s="1">
        <v>1857.2</v>
      </c>
      <c r="D19" s="1">
        <v>144.69999999999999</v>
      </c>
      <c r="E19" s="1">
        <f t="shared" si="0"/>
        <v>857.44250000000011</v>
      </c>
      <c r="F19" s="1">
        <f t="shared" si="2"/>
        <v>-323.05477199999996</v>
      </c>
      <c r="G19" s="1">
        <v>13</v>
      </c>
      <c r="H19" s="1">
        <f t="shared" si="1"/>
        <v>11146.752500000002</v>
      </c>
      <c r="I19" s="1">
        <v>357.12</v>
      </c>
      <c r="J19" s="1">
        <f t="shared" si="3"/>
        <v>4597.3367985024579</v>
      </c>
      <c r="K19" s="1">
        <v>104.633825</v>
      </c>
      <c r="L19" s="1">
        <v>30.135162999999999</v>
      </c>
      <c r="M19" s="1">
        <f t="shared" si="4"/>
        <v>194325.93979</v>
      </c>
      <c r="N19" s="1">
        <f t="shared" si="5"/>
        <v>55967.0247236</v>
      </c>
      <c r="O19" s="1">
        <f t="shared" si="6"/>
        <v>15140.514477499999</v>
      </c>
      <c r="P19" s="1">
        <f t="shared" si="7"/>
        <v>4360.5580860999999</v>
      </c>
      <c r="Q19" s="1">
        <v>30514</v>
      </c>
      <c r="R19" s="1"/>
      <c r="S19" s="1"/>
    </row>
    <row r="20" spans="1:19" x14ac:dyDescent="0.3">
      <c r="A20" s="1">
        <v>2013</v>
      </c>
      <c r="B20" s="1" t="s">
        <v>76</v>
      </c>
      <c r="C20" s="1">
        <v>2388.8033333333442</v>
      </c>
      <c r="D20" s="1">
        <v>208.2595619031087</v>
      </c>
      <c r="E20" s="1">
        <f t="shared" si="0"/>
        <v>1115.8018795723729</v>
      </c>
      <c r="F20" s="1">
        <f t="shared" si="2"/>
        <v>-64.695392427627212</v>
      </c>
      <c r="G20" s="1">
        <v>7</v>
      </c>
      <c r="H20" s="1">
        <f t="shared" si="1"/>
        <v>7810.61315700661</v>
      </c>
      <c r="I20" s="1">
        <v>91.23</v>
      </c>
      <c r="J20" s="1">
        <f t="shared" si="3"/>
        <v>47.10035765369436</v>
      </c>
      <c r="K20" s="1">
        <v>102.23090999999999</v>
      </c>
      <c r="L20" s="1">
        <v>31.905656</v>
      </c>
      <c r="M20" s="1">
        <f t="shared" si="4"/>
        <v>244209.53857770111</v>
      </c>
      <c r="N20" s="1">
        <f t="shared" si="5"/>
        <v>76216.337404987018</v>
      </c>
      <c r="O20" s="1">
        <f t="shared" si="6"/>
        <v>21290.564529556133</v>
      </c>
      <c r="P20" s="1">
        <f t="shared" si="7"/>
        <v>6644.6579407912914</v>
      </c>
      <c r="Q20" s="1">
        <v>25728</v>
      </c>
      <c r="R20" s="1"/>
      <c r="S20" s="1"/>
    </row>
    <row r="21" spans="1:19" x14ac:dyDescent="0.3">
      <c r="A21" s="1">
        <v>2013</v>
      </c>
      <c r="B21" s="1" t="s">
        <v>77</v>
      </c>
      <c r="C21" s="1">
        <v>630.86</v>
      </c>
      <c r="D21" s="1">
        <v>62.45</v>
      </c>
      <c r="E21" s="1">
        <f t="shared" si="0"/>
        <v>299.02224200000001</v>
      </c>
      <c r="F21" s="1">
        <f t="shared" si="2"/>
        <v>-881.47503000000006</v>
      </c>
      <c r="G21" s="1">
        <v>21</v>
      </c>
      <c r="H21" s="1">
        <f t="shared" si="1"/>
        <v>6279.4670820000001</v>
      </c>
      <c r="I21" s="1">
        <v>113.78</v>
      </c>
      <c r="J21" s="1">
        <f t="shared" si="3"/>
        <v>10905.002891361311</v>
      </c>
      <c r="K21" s="1">
        <v>101.968649</v>
      </c>
      <c r="L21" s="1">
        <v>30.055425</v>
      </c>
      <c r="M21" s="1">
        <f t="shared" si="4"/>
        <v>64327.941908139997</v>
      </c>
      <c r="N21" s="1">
        <f t="shared" si="5"/>
        <v>18960.765415500002</v>
      </c>
      <c r="O21" s="1">
        <f t="shared" si="6"/>
        <v>6367.9421300499998</v>
      </c>
      <c r="P21" s="1">
        <f t="shared" si="7"/>
        <v>1876.9612912500002</v>
      </c>
      <c r="Q21" s="1">
        <v>17809</v>
      </c>
      <c r="R21" s="1"/>
      <c r="S21" s="1"/>
    </row>
    <row r="22" spans="1:19" x14ac:dyDescent="0.3">
      <c r="A22" s="1">
        <v>2013</v>
      </c>
      <c r="B22" s="1" t="s">
        <v>78</v>
      </c>
      <c r="C22" s="1">
        <v>2865</v>
      </c>
      <c r="D22" s="1">
        <v>138.31</v>
      </c>
      <c r="E22" s="1">
        <f t="shared" si="0"/>
        <v>1273.1583780000001</v>
      </c>
      <c r="F22" s="1">
        <f t="shared" si="2"/>
        <v>92.661106000000018</v>
      </c>
      <c r="G22" s="1">
        <v>3</v>
      </c>
      <c r="H22" s="1">
        <f t="shared" si="1"/>
        <v>3819.4751340000003</v>
      </c>
      <c r="I22" s="1">
        <v>458.5</v>
      </c>
      <c r="J22" s="1">
        <f t="shared" si="3"/>
        <v>485.59491046233819</v>
      </c>
      <c r="K22" s="1">
        <v>102.27418900000001</v>
      </c>
      <c r="L22" s="1">
        <v>27.887442</v>
      </c>
      <c r="M22" s="1">
        <f t="shared" si="4"/>
        <v>293015.551485</v>
      </c>
      <c r="N22" s="1">
        <f t="shared" si="5"/>
        <v>79897.521330000003</v>
      </c>
      <c r="O22" s="1">
        <f t="shared" si="6"/>
        <v>14145.543080590001</v>
      </c>
      <c r="P22" s="1">
        <f t="shared" si="7"/>
        <v>3857.1121030200002</v>
      </c>
      <c r="Q22" s="1">
        <v>26556</v>
      </c>
      <c r="R22" s="1"/>
      <c r="S22" s="1"/>
    </row>
    <row r="23" spans="1:19" x14ac:dyDescent="0.3">
      <c r="A23" s="1"/>
      <c r="B23" s="1" t="s">
        <v>10</v>
      </c>
      <c r="C23" s="1">
        <f>SUM(C2:C22)</f>
        <v>53743.248333333366</v>
      </c>
      <c r="D23" s="1">
        <f>SUM(D2:D22)</f>
        <v>4149.542245863563</v>
      </c>
      <c r="E23" s="1"/>
      <c r="F23" s="1"/>
      <c r="G23" s="1"/>
      <c r="H23" s="1"/>
      <c r="I23" s="1"/>
      <c r="J23" s="1"/>
      <c r="K23" s="1"/>
      <c r="L23" s="1"/>
      <c r="M23" s="1">
        <f>SUM(M2:M22)</f>
        <v>5611214.1213637693</v>
      </c>
      <c r="N23" s="1">
        <f>SUM(N2:N22)</f>
        <v>1626480.6962772126</v>
      </c>
      <c r="O23" s="1">
        <f>SUM(O2:O22)</f>
        <v>433056.84575539012</v>
      </c>
      <c r="P23" s="1">
        <f>SUM(P2:P22)</f>
        <v>125523.16576665123</v>
      </c>
      <c r="Q23" s="1"/>
      <c r="R23" s="1"/>
      <c r="S23" s="1"/>
    </row>
    <row r="24" spans="1:19" x14ac:dyDescent="0.3">
      <c r="A24" s="1"/>
      <c r="B24" s="1"/>
      <c r="C24" s="1"/>
      <c r="D24" s="1" t="s">
        <v>17</v>
      </c>
      <c r="E24" s="1">
        <f>AVERAGE(E2:E22)</f>
        <v>1180.4972723556427</v>
      </c>
      <c r="F24" s="1"/>
      <c r="G24" s="1" t="s">
        <v>10</v>
      </c>
      <c r="H24" s="1">
        <f>SUM(H2:H22)</f>
        <v>176702.39213903301</v>
      </c>
      <c r="I24" s="1">
        <f>SUM(I2:I22)</f>
        <v>8106.9999999999991</v>
      </c>
      <c r="J24" s="1">
        <f>SUM(J2:J22)</f>
        <v>6370772.558973019</v>
      </c>
      <c r="K24" s="1"/>
      <c r="L24" s="1" t="s">
        <v>12</v>
      </c>
      <c r="M24" s="1">
        <f>M23/C23</f>
        <v>104.40779624188637</v>
      </c>
      <c r="N24" s="1">
        <f>N23/C23</f>
        <v>30.263907499398666</v>
      </c>
      <c r="O24" s="1">
        <f>O23/D23</f>
        <v>104.36255858994549</v>
      </c>
      <c r="P24" s="1">
        <f>P23/D23</f>
        <v>30.249882596514823</v>
      </c>
      <c r="Q24" s="1"/>
      <c r="R24" s="1"/>
      <c r="S24" s="1"/>
    </row>
    <row r="25" spans="1:19" x14ac:dyDescent="0.3">
      <c r="A25" s="1"/>
      <c r="B25" s="1" t="s">
        <v>57</v>
      </c>
      <c r="C25" s="1">
        <f>E2-E21</f>
        <v>6835.2525580000001</v>
      </c>
      <c r="D25" s="1" t="s">
        <v>13</v>
      </c>
      <c r="E25" s="1">
        <f>1+1/21-H24/(21*21*E24)</f>
        <v>0.70819793598798264</v>
      </c>
      <c r="F25" s="1" t="s">
        <v>14</v>
      </c>
      <c r="G25" s="1">
        <f>SQRT(J24)/E24</f>
        <v>2.1381150103404476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3">
      <c r="A26" s="1"/>
      <c r="B26" s="1"/>
      <c r="C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30" spans="1:19" x14ac:dyDescent="0.3">
      <c r="A30" s="26" t="s">
        <v>0</v>
      </c>
      <c r="B30" s="26" t="s">
        <v>1</v>
      </c>
      <c r="C30" s="26" t="s">
        <v>1</v>
      </c>
      <c r="D30" s="26" t="s">
        <v>1</v>
      </c>
    </row>
    <row r="31" spans="1:19" x14ac:dyDescent="0.3">
      <c r="A31" s="6" t="s">
        <v>2</v>
      </c>
      <c r="B31" s="6" t="s">
        <v>3</v>
      </c>
      <c r="C31" s="6" t="s">
        <v>4</v>
      </c>
      <c r="D31" s="6" t="s">
        <v>5</v>
      </c>
    </row>
    <row r="32" spans="1:19" x14ac:dyDescent="0.3">
      <c r="A32" s="6" t="s">
        <v>6</v>
      </c>
      <c r="B32" s="6">
        <v>0.83399999999999996</v>
      </c>
      <c r="C32" s="6">
        <v>0.16600000000000001</v>
      </c>
      <c r="D32" s="6" t="s">
        <v>15</v>
      </c>
    </row>
    <row r="33" spans="1:4" x14ac:dyDescent="0.3">
      <c r="A33" s="6" t="s">
        <v>8</v>
      </c>
      <c r="B33" s="6">
        <v>0.7671</v>
      </c>
      <c r="C33" s="6">
        <v>0.2329</v>
      </c>
      <c r="D33" s="6" t="s">
        <v>16</v>
      </c>
    </row>
  </sheetData>
  <mergeCells count="1">
    <mergeCell ref="A30:D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4BB98-4A41-4F4A-A112-CF1EF44E04FD}">
  <dimension ref="A1:S29"/>
  <sheetViews>
    <sheetView workbookViewId="0">
      <selection sqref="A1:XFD1"/>
    </sheetView>
  </sheetViews>
  <sheetFormatPr defaultColWidth="9" defaultRowHeight="14" x14ac:dyDescent="0.3"/>
  <cols>
    <col min="1" max="1" width="11.25" style="2" customWidth="1"/>
    <col min="2" max="2" width="18.58203125" style="2" customWidth="1"/>
    <col min="3" max="3" width="18.25" style="2" customWidth="1"/>
    <col min="4" max="4" width="18.58203125" style="2" customWidth="1"/>
    <col min="5" max="6" width="14" style="2" customWidth="1"/>
    <col min="7" max="16384" width="9" style="2"/>
  </cols>
  <sheetData>
    <row r="1" spans="1:19" ht="13.5" customHeight="1" x14ac:dyDescent="0.3">
      <c r="A1" s="2" t="s">
        <v>83</v>
      </c>
      <c r="B1" s="1" t="s">
        <v>84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92</v>
      </c>
      <c r="H1" s="1" t="s">
        <v>90</v>
      </c>
      <c r="I1" s="1" t="s">
        <v>91</v>
      </c>
      <c r="J1" t="s">
        <v>85</v>
      </c>
      <c r="K1" t="s">
        <v>81</v>
      </c>
      <c r="L1" t="s">
        <v>82</v>
      </c>
      <c r="M1" s="1" t="s">
        <v>98</v>
      </c>
      <c r="N1" s="1" t="s">
        <v>103</v>
      </c>
      <c r="O1" s="2" t="s">
        <v>99</v>
      </c>
      <c r="P1" s="1" t="s">
        <v>101</v>
      </c>
      <c r="Q1" s="1" t="s">
        <v>100</v>
      </c>
      <c r="R1" s="1"/>
      <c r="S1" s="1"/>
    </row>
    <row r="2" spans="1:19" x14ac:dyDescent="0.3">
      <c r="A2" s="1">
        <v>2014</v>
      </c>
      <c r="B2" s="1" t="s">
        <v>58</v>
      </c>
      <c r="C2" s="7">
        <v>18423.02</v>
      </c>
      <c r="D2" s="7">
        <v>1616.95</v>
      </c>
      <c r="E2" s="2">
        <f t="shared" ref="E2:E22" si="0">C2*0.4315+D2*0.5685</f>
        <v>8868.7692050000005</v>
      </c>
      <c r="F2" s="2">
        <f>E2-1469.037505</f>
        <v>7399.7317000000003</v>
      </c>
      <c r="G2" s="2">
        <v>1</v>
      </c>
      <c r="H2" s="2">
        <f t="shared" ref="H2:H22" si="1">E2*G2</f>
        <v>8868.7692050000005</v>
      </c>
      <c r="I2" s="2">
        <v>1442.75</v>
      </c>
      <c r="J2" s="2">
        <f>F2*F2*I2/8140.2</f>
        <v>9704830.4924260098</v>
      </c>
      <c r="K2" s="2">
        <v>104.07274200000001</v>
      </c>
      <c r="L2" s="2">
        <v>30.578983999999998</v>
      </c>
      <c r="M2" s="2">
        <f>C2*K2</f>
        <v>1917334.2073208401</v>
      </c>
      <c r="N2" s="2">
        <f>C2*L2</f>
        <v>563357.23381167999</v>
      </c>
      <c r="O2" s="2">
        <f>D2*K2</f>
        <v>168280.42017690002</v>
      </c>
      <c r="P2" s="2">
        <f>D2*L2</f>
        <v>49444.688178799996</v>
      </c>
      <c r="Q2" s="2">
        <f>E2/1469.037505</f>
        <v>6.0371291916063097</v>
      </c>
      <c r="R2" s="2">
        <v>70019</v>
      </c>
    </row>
    <row r="3" spans="1:19" x14ac:dyDescent="0.3">
      <c r="A3" s="1">
        <v>2014</v>
      </c>
      <c r="B3" s="1" t="s">
        <v>59</v>
      </c>
      <c r="C3" s="7">
        <v>2106</v>
      </c>
      <c r="D3" s="7">
        <v>200.38</v>
      </c>
      <c r="E3" s="2">
        <f t="shared" si="0"/>
        <v>1022.65503</v>
      </c>
      <c r="F3" s="2">
        <f t="shared" ref="F3:F22" si="2">E3-1469.037505</f>
        <v>-446.382475</v>
      </c>
      <c r="G3" s="2">
        <v>15</v>
      </c>
      <c r="H3" s="2">
        <f t="shared" si="1"/>
        <v>15339.82545</v>
      </c>
      <c r="I3" s="2">
        <v>274.58</v>
      </c>
      <c r="J3" s="2">
        <f>F3*F3*I3/8140.2</f>
        <v>6721.2197826324846</v>
      </c>
      <c r="K3" s="2">
        <v>104.785532</v>
      </c>
      <c r="L3" s="2">
        <v>29.345369999999999</v>
      </c>
      <c r="M3" s="2">
        <f t="shared" ref="M3:M22" si="3">C3*K3</f>
        <v>220678.330392</v>
      </c>
      <c r="N3" s="2">
        <f t="shared" ref="N3:N22" si="4">C3*L3</f>
        <v>61801.349219999996</v>
      </c>
      <c r="O3" s="2">
        <f t="shared" ref="O3:O22" si="5">D3*K3</f>
        <v>20996.924902160001</v>
      </c>
      <c r="P3" s="2">
        <f t="shared" ref="P3:P22" si="6">D3*L3</f>
        <v>5880.2252405999998</v>
      </c>
      <c r="Q3" s="2">
        <f t="shared" ref="Q3:Q22" si="7">E3/1469.037505</f>
        <v>0.69613949713285228</v>
      </c>
      <c r="R3" s="2">
        <v>39145</v>
      </c>
    </row>
    <row r="4" spans="1:19" x14ac:dyDescent="0.3">
      <c r="A4" s="1">
        <v>2014</v>
      </c>
      <c r="B4" s="1" t="s">
        <v>60</v>
      </c>
      <c r="C4" s="7">
        <v>1383.62</v>
      </c>
      <c r="D4" s="7">
        <v>150.02000000000001</v>
      </c>
      <c r="E4" s="2">
        <f t="shared" si="0"/>
        <v>682.3184</v>
      </c>
      <c r="F4" s="2">
        <f t="shared" si="2"/>
        <v>-786.71910500000001</v>
      </c>
      <c r="G4" s="2">
        <v>18</v>
      </c>
      <c r="H4" s="2">
        <f t="shared" si="1"/>
        <v>12281.7312</v>
      </c>
      <c r="I4" s="2">
        <v>123.2</v>
      </c>
      <c r="J4" s="2">
        <f t="shared" ref="J4:J22" si="8">F4*F4*I4/8140.2</f>
        <v>9367.3128745228041</v>
      </c>
      <c r="K4" s="2">
        <v>101.72505</v>
      </c>
      <c r="L4" s="2">
        <v>26.588200000000001</v>
      </c>
      <c r="M4" s="2">
        <f t="shared" si="3"/>
        <v>140748.81368099997</v>
      </c>
      <c r="N4" s="2">
        <f t="shared" si="4"/>
        <v>36787.965283999998</v>
      </c>
      <c r="O4" s="2">
        <f t="shared" si="5"/>
        <v>15260.792001</v>
      </c>
      <c r="P4" s="2">
        <f t="shared" si="6"/>
        <v>3988.7617640000003</v>
      </c>
      <c r="Q4" s="2">
        <f t="shared" si="7"/>
        <v>0.46446629012375013</v>
      </c>
      <c r="R4" s="2">
        <v>70646</v>
      </c>
    </row>
    <row r="5" spans="1:19" x14ac:dyDescent="0.3">
      <c r="A5" s="1">
        <v>2014</v>
      </c>
      <c r="B5" s="1" t="s">
        <v>61</v>
      </c>
      <c r="C5" s="7">
        <v>2539.5100000000002</v>
      </c>
      <c r="D5" s="7">
        <v>183.81</v>
      </c>
      <c r="E5" s="2">
        <f t="shared" si="0"/>
        <v>1200.2945500000001</v>
      </c>
      <c r="F5" s="2">
        <f t="shared" si="2"/>
        <v>-268.74295499999994</v>
      </c>
      <c r="G5" s="2">
        <v>11</v>
      </c>
      <c r="H5" s="2">
        <f t="shared" si="1"/>
        <v>13203.24005</v>
      </c>
      <c r="I5" s="2">
        <v>425</v>
      </c>
      <c r="J5" s="2">
        <f t="shared" si="8"/>
        <v>3770.7525295946166</v>
      </c>
      <c r="K5" s="2">
        <v>105.448463</v>
      </c>
      <c r="L5" s="2">
        <v>28.876978000000001</v>
      </c>
      <c r="M5" s="2">
        <f t="shared" si="3"/>
        <v>267787.42627313006</v>
      </c>
      <c r="N5" s="2">
        <f t="shared" si="4"/>
        <v>73333.374400780012</v>
      </c>
      <c r="O5" s="2">
        <f t="shared" si="5"/>
        <v>19382.481984030001</v>
      </c>
      <c r="P5" s="2">
        <f t="shared" si="6"/>
        <v>5307.8773261800006</v>
      </c>
      <c r="Q5" s="2">
        <f t="shared" si="7"/>
        <v>0.81706188297758953</v>
      </c>
      <c r="R5" s="2">
        <v>29655</v>
      </c>
    </row>
    <row r="6" spans="1:19" x14ac:dyDescent="0.3">
      <c r="A6" s="1">
        <v>2014</v>
      </c>
      <c r="B6" s="1" t="s">
        <v>62</v>
      </c>
      <c r="C6" s="7">
        <v>1843.62</v>
      </c>
      <c r="D6" s="7">
        <v>120.49</v>
      </c>
      <c r="E6" s="2">
        <f t="shared" si="0"/>
        <v>864.02059499999996</v>
      </c>
      <c r="F6" s="2">
        <f t="shared" si="2"/>
        <v>-605.01691000000005</v>
      </c>
      <c r="G6" s="2">
        <v>16</v>
      </c>
      <c r="H6" s="2">
        <f t="shared" si="1"/>
        <v>13824.329519999999</v>
      </c>
      <c r="I6" s="2">
        <v>351.09</v>
      </c>
      <c r="J6" s="2">
        <f t="shared" si="8"/>
        <v>15787.683476817834</v>
      </c>
      <c r="K6" s="2">
        <v>104.40422700000001</v>
      </c>
      <c r="L6" s="2">
        <v>31.133751</v>
      </c>
      <c r="M6" s="2">
        <f t="shared" si="3"/>
        <v>192481.72098173999</v>
      </c>
      <c r="N6" s="2">
        <f t="shared" si="4"/>
        <v>57398.806018619995</v>
      </c>
      <c r="O6" s="2">
        <f t="shared" si="5"/>
        <v>12579.665311230001</v>
      </c>
      <c r="P6" s="2">
        <f t="shared" si="6"/>
        <v>3751.3056579899999</v>
      </c>
      <c r="Q6" s="2">
        <f t="shared" si="7"/>
        <v>0.58815421121600298</v>
      </c>
      <c r="R6" s="2">
        <v>43091</v>
      </c>
    </row>
    <row r="7" spans="1:19" x14ac:dyDescent="0.3">
      <c r="A7" s="1">
        <v>2014</v>
      </c>
      <c r="B7" s="1" t="s">
        <v>63</v>
      </c>
      <c r="C7" s="7">
        <v>2821.12</v>
      </c>
      <c r="D7" s="7">
        <v>277.13</v>
      </c>
      <c r="E7" s="2">
        <f t="shared" si="0"/>
        <v>1374.8616849999999</v>
      </c>
      <c r="F7" s="2">
        <f t="shared" si="2"/>
        <v>-94.175820000000158</v>
      </c>
      <c r="G7" s="2">
        <v>5</v>
      </c>
      <c r="H7" s="2">
        <f t="shared" si="1"/>
        <v>6874.3084249999993</v>
      </c>
      <c r="I7" s="2">
        <v>473.94</v>
      </c>
      <c r="J7" s="2">
        <f t="shared" si="8"/>
        <v>516.37726092017044</v>
      </c>
      <c r="K7" s="2">
        <v>104.685653</v>
      </c>
      <c r="L7" s="2">
        <v>31.473462000000001</v>
      </c>
      <c r="M7" s="2">
        <f t="shared" si="3"/>
        <v>295330.78939136001</v>
      </c>
      <c r="N7" s="2">
        <f t="shared" si="4"/>
        <v>88790.413117439995</v>
      </c>
      <c r="O7" s="2">
        <f t="shared" si="5"/>
        <v>29011.53501589</v>
      </c>
      <c r="P7" s="2">
        <f t="shared" si="6"/>
        <v>8722.2405240600001</v>
      </c>
      <c r="Q7" s="2">
        <f t="shared" si="7"/>
        <v>0.93589284161945197</v>
      </c>
      <c r="R7" s="2">
        <v>33558</v>
      </c>
    </row>
    <row r="8" spans="1:19" x14ac:dyDescent="0.3">
      <c r="A8" s="1">
        <v>2014</v>
      </c>
      <c r="B8" s="1" t="s">
        <v>64</v>
      </c>
      <c r="C8" s="7">
        <v>2769.43</v>
      </c>
      <c r="D8" s="7">
        <v>158.69</v>
      </c>
      <c r="E8" s="2">
        <f t="shared" si="0"/>
        <v>1285.2243100000001</v>
      </c>
      <c r="F8" s="2">
        <f t="shared" si="2"/>
        <v>-183.81319499999995</v>
      </c>
      <c r="G8" s="2">
        <v>9</v>
      </c>
      <c r="H8" s="2">
        <f t="shared" si="1"/>
        <v>11567.01879</v>
      </c>
      <c r="I8" s="2">
        <v>257.5</v>
      </c>
      <c r="J8" s="2">
        <f t="shared" si="8"/>
        <v>1068.7977376413126</v>
      </c>
      <c r="K8" s="2">
        <v>105.850532</v>
      </c>
      <c r="L8" s="2">
        <v>32.442338999999997</v>
      </c>
      <c r="M8" s="2">
        <f t="shared" si="3"/>
        <v>293145.63883675996</v>
      </c>
      <c r="N8" s="2">
        <f t="shared" si="4"/>
        <v>89846.786896769991</v>
      </c>
      <c r="O8" s="2">
        <f t="shared" si="5"/>
        <v>16797.420923080001</v>
      </c>
      <c r="P8" s="2">
        <f t="shared" si="6"/>
        <v>5148.2747759099993</v>
      </c>
      <c r="Q8" s="2">
        <f t="shared" si="7"/>
        <v>0.87487508360108213</v>
      </c>
      <c r="R8" s="2">
        <v>22117</v>
      </c>
    </row>
    <row r="9" spans="1:19" x14ac:dyDescent="0.3">
      <c r="A9" s="1">
        <v>2014</v>
      </c>
      <c r="B9" s="1" t="s">
        <v>65</v>
      </c>
      <c r="C9" s="7">
        <v>2432.79</v>
      </c>
      <c r="D9" s="7">
        <v>201.09</v>
      </c>
      <c r="E9" s="2">
        <f t="shared" si="0"/>
        <v>1164.06855</v>
      </c>
      <c r="F9" s="2">
        <f t="shared" si="2"/>
        <v>-304.96895500000005</v>
      </c>
      <c r="G9" s="2">
        <v>12</v>
      </c>
      <c r="H9" s="2">
        <f t="shared" si="1"/>
        <v>13968.8226</v>
      </c>
      <c r="I9" s="2">
        <v>328.25</v>
      </c>
      <c r="J9" s="2">
        <f t="shared" si="8"/>
        <v>3750.42877919489</v>
      </c>
      <c r="K9" s="2">
        <v>105.599143</v>
      </c>
      <c r="L9" s="2">
        <v>30.539141000000001</v>
      </c>
      <c r="M9" s="2">
        <f t="shared" si="3"/>
        <v>256900.53909896998</v>
      </c>
      <c r="N9" s="2">
        <f t="shared" si="4"/>
        <v>74295.316833389996</v>
      </c>
      <c r="O9" s="2">
        <f t="shared" si="5"/>
        <v>21234.931665870001</v>
      </c>
      <c r="P9" s="2">
        <f t="shared" si="6"/>
        <v>6141.11586369</v>
      </c>
      <c r="Q9" s="2">
        <f t="shared" si="7"/>
        <v>0.79240219942512624</v>
      </c>
      <c r="R9" s="2">
        <v>24691</v>
      </c>
    </row>
    <row r="10" spans="1:19" x14ac:dyDescent="0.3">
      <c r="A10" s="1">
        <v>2014</v>
      </c>
      <c r="B10" s="1" t="s">
        <v>66</v>
      </c>
      <c r="C10" s="7">
        <v>2230.61</v>
      </c>
      <c r="D10" s="7">
        <v>136.96</v>
      </c>
      <c r="E10" s="2">
        <f t="shared" si="0"/>
        <v>1040.3699750000001</v>
      </c>
      <c r="F10" s="2">
        <f t="shared" si="2"/>
        <v>-428.66752999999994</v>
      </c>
      <c r="G10" s="2">
        <v>14</v>
      </c>
      <c r="H10" s="2">
        <f t="shared" si="1"/>
        <v>14565.179650000002</v>
      </c>
      <c r="I10" s="2">
        <v>373.26</v>
      </c>
      <c r="J10" s="2">
        <f t="shared" si="8"/>
        <v>8425.9243074361875</v>
      </c>
      <c r="K10" s="2">
        <v>105.064564</v>
      </c>
      <c r="L10" s="2">
        <v>29.585822</v>
      </c>
      <c r="M10" s="2">
        <f t="shared" si="3"/>
        <v>234358.06710404003</v>
      </c>
      <c r="N10" s="2">
        <f t="shared" si="4"/>
        <v>65994.430411420006</v>
      </c>
      <c r="O10" s="2">
        <f t="shared" si="5"/>
        <v>14389.642685440002</v>
      </c>
      <c r="P10" s="2">
        <f t="shared" si="6"/>
        <v>4052.07418112</v>
      </c>
      <c r="Q10" s="2">
        <f t="shared" si="7"/>
        <v>0.70819837577938494</v>
      </c>
      <c r="R10" s="2">
        <v>31024</v>
      </c>
    </row>
    <row r="11" spans="1:19" x14ac:dyDescent="0.3">
      <c r="A11" s="1">
        <v>2014</v>
      </c>
      <c r="B11" s="1" t="s">
        <v>67</v>
      </c>
      <c r="C11" s="7">
        <v>3342.13</v>
      </c>
      <c r="D11" s="7">
        <v>383.9</v>
      </c>
      <c r="E11" s="2">
        <f t="shared" si="0"/>
        <v>1660.3762449999999</v>
      </c>
      <c r="F11" s="2">
        <f t="shared" si="2"/>
        <v>191.33873999999992</v>
      </c>
      <c r="G11" s="2">
        <v>2</v>
      </c>
      <c r="H11" s="2">
        <f t="shared" si="1"/>
        <v>3320.7524899999999</v>
      </c>
      <c r="I11" s="2">
        <v>325</v>
      </c>
      <c r="J11" s="2">
        <f t="shared" si="8"/>
        <v>1461.6860596859979</v>
      </c>
      <c r="K11" s="2">
        <v>103.772521</v>
      </c>
      <c r="L11" s="2">
        <v>29.558285000000001</v>
      </c>
      <c r="M11" s="2">
        <f t="shared" si="3"/>
        <v>346821.25560973003</v>
      </c>
      <c r="N11" s="2">
        <f t="shared" si="4"/>
        <v>98787.631047050003</v>
      </c>
      <c r="O11" s="2">
        <f t="shared" si="5"/>
        <v>39838.270811899994</v>
      </c>
      <c r="P11" s="2">
        <f t="shared" si="6"/>
        <v>11347.425611500001</v>
      </c>
      <c r="Q11" s="2">
        <f t="shared" si="7"/>
        <v>1.1302476889451505</v>
      </c>
      <c r="R11" s="2">
        <v>37125</v>
      </c>
    </row>
    <row r="12" spans="1:19" x14ac:dyDescent="0.3">
      <c r="A12" s="1">
        <v>2014</v>
      </c>
      <c r="B12" s="1" t="s">
        <v>68</v>
      </c>
      <c r="C12" s="7">
        <v>3076.5</v>
      </c>
      <c r="D12" s="7">
        <v>253.28</v>
      </c>
      <c r="E12" s="2">
        <f t="shared" si="0"/>
        <v>1471.4994299999998</v>
      </c>
      <c r="F12" s="2">
        <f t="shared" si="2"/>
        <v>2.4619249999998374</v>
      </c>
      <c r="G12" s="2">
        <v>3</v>
      </c>
      <c r="H12" s="2">
        <f t="shared" si="1"/>
        <v>4414.4982899999995</v>
      </c>
      <c r="I12" s="2">
        <v>633.38</v>
      </c>
      <c r="J12" s="2">
        <f t="shared" si="8"/>
        <v>0.47160554986956782</v>
      </c>
      <c r="K12" s="2">
        <v>106.11712300000001</v>
      </c>
      <c r="L12" s="2">
        <v>30.843219999999999</v>
      </c>
      <c r="M12" s="2">
        <f t="shared" si="3"/>
        <v>326469.32890950004</v>
      </c>
      <c r="N12" s="2">
        <f t="shared" si="4"/>
        <v>94889.166329999993</v>
      </c>
      <c r="O12" s="2">
        <f t="shared" si="5"/>
        <v>26877.344913440003</v>
      </c>
      <c r="P12" s="2">
        <f t="shared" si="6"/>
        <v>7811.9707615999996</v>
      </c>
      <c r="Q12" s="2">
        <f t="shared" si="7"/>
        <v>1.0016758762057609</v>
      </c>
      <c r="R12" s="2">
        <v>22639</v>
      </c>
    </row>
    <row r="13" spans="1:19" x14ac:dyDescent="0.3">
      <c r="A13" s="1">
        <v>2014</v>
      </c>
      <c r="B13" s="1" t="s">
        <v>69</v>
      </c>
      <c r="C13" s="7">
        <v>2386.09</v>
      </c>
      <c r="D13" s="7">
        <v>180.64</v>
      </c>
      <c r="E13" s="2">
        <f t="shared" si="0"/>
        <v>1132.2916749999999</v>
      </c>
      <c r="F13" s="2">
        <f t="shared" si="2"/>
        <v>-336.74583000000007</v>
      </c>
      <c r="G13" s="2">
        <v>13</v>
      </c>
      <c r="H13" s="2">
        <f t="shared" si="1"/>
        <v>14719.791775</v>
      </c>
      <c r="I13" s="2">
        <v>298.97000000000003</v>
      </c>
      <c r="J13" s="2">
        <f t="shared" si="8"/>
        <v>4164.8272180135173</v>
      </c>
      <c r="K13" s="2">
        <v>103.854991</v>
      </c>
      <c r="L13" s="2">
        <v>30.082841999999999</v>
      </c>
      <c r="M13" s="2">
        <f t="shared" si="3"/>
        <v>247807.35547519001</v>
      </c>
      <c r="N13" s="2">
        <f t="shared" si="4"/>
        <v>71780.368467780005</v>
      </c>
      <c r="O13" s="2">
        <f t="shared" si="5"/>
        <v>18760.365574239997</v>
      </c>
      <c r="P13" s="2">
        <f t="shared" si="6"/>
        <v>5434.1645788799997</v>
      </c>
      <c r="Q13" s="2">
        <f t="shared" si="7"/>
        <v>0.77077111451963909</v>
      </c>
      <c r="R13" s="2">
        <v>31664</v>
      </c>
    </row>
    <row r="14" spans="1:19" x14ac:dyDescent="0.3">
      <c r="A14" s="1">
        <v>2014</v>
      </c>
      <c r="B14" s="1" t="s">
        <v>70</v>
      </c>
      <c r="C14" s="7">
        <v>2822.24</v>
      </c>
      <c r="D14" s="7">
        <v>256.02</v>
      </c>
      <c r="E14" s="2">
        <f t="shared" si="0"/>
        <v>1363.34393</v>
      </c>
      <c r="F14" s="2">
        <f t="shared" si="2"/>
        <v>-105.69357500000001</v>
      </c>
      <c r="G14" s="2">
        <v>7</v>
      </c>
      <c r="H14" s="2">
        <f t="shared" si="1"/>
        <v>9543.4075100000009</v>
      </c>
      <c r="I14" s="2">
        <v>447</v>
      </c>
      <c r="J14" s="2">
        <f t="shared" si="8"/>
        <v>613.43651420572485</v>
      </c>
      <c r="K14" s="2">
        <v>104.649316</v>
      </c>
      <c r="L14" s="2">
        <v>28.758631000000001</v>
      </c>
      <c r="M14" s="2">
        <f t="shared" si="3"/>
        <v>295345.48558783997</v>
      </c>
      <c r="N14" s="2">
        <f t="shared" si="4"/>
        <v>81163.758753439994</v>
      </c>
      <c r="O14" s="2">
        <f t="shared" si="5"/>
        <v>26792.31788232</v>
      </c>
      <c r="P14" s="2">
        <f t="shared" si="6"/>
        <v>7362.7847086199999</v>
      </c>
      <c r="Q14" s="2">
        <f t="shared" si="7"/>
        <v>0.92805250060651101</v>
      </c>
      <c r="R14" s="2">
        <v>32318</v>
      </c>
    </row>
    <row r="15" spans="1:19" x14ac:dyDescent="0.3">
      <c r="A15" s="1">
        <v>2014</v>
      </c>
      <c r="B15" s="1" t="s">
        <v>71</v>
      </c>
      <c r="C15" s="7">
        <v>2768.19</v>
      </c>
      <c r="D15" s="7">
        <v>194.51</v>
      </c>
      <c r="E15" s="2">
        <f t="shared" si="0"/>
        <v>1305.0529200000001</v>
      </c>
      <c r="F15" s="2">
        <f t="shared" si="2"/>
        <v>-163.98458499999992</v>
      </c>
      <c r="G15" s="2">
        <v>8</v>
      </c>
      <c r="H15" s="2">
        <f t="shared" si="1"/>
        <v>10440.423360000001</v>
      </c>
      <c r="I15" s="2">
        <v>323.16000000000003</v>
      </c>
      <c r="J15" s="2">
        <f t="shared" si="8"/>
        <v>1067.5508588303471</v>
      </c>
      <c r="K15" s="2">
        <v>106.639184</v>
      </c>
      <c r="L15" s="2">
        <v>30.462142</v>
      </c>
      <c r="M15" s="2">
        <f t="shared" si="3"/>
        <v>295197.52275696001</v>
      </c>
      <c r="N15" s="2">
        <f t="shared" si="4"/>
        <v>84324.996862979999</v>
      </c>
      <c r="O15" s="2">
        <f t="shared" si="5"/>
        <v>20742.387679839998</v>
      </c>
      <c r="P15" s="2">
        <f t="shared" si="6"/>
        <v>5925.1912404199993</v>
      </c>
      <c r="Q15" s="2">
        <f t="shared" si="7"/>
        <v>0.8883727716672557</v>
      </c>
      <c r="R15" s="2">
        <v>28489</v>
      </c>
    </row>
    <row r="16" spans="1:19" x14ac:dyDescent="0.3">
      <c r="A16" s="1">
        <v>2014</v>
      </c>
      <c r="B16" s="1" t="s">
        <v>72</v>
      </c>
      <c r="C16" s="7">
        <v>1351.01</v>
      </c>
      <c r="D16" s="7">
        <v>90.36</v>
      </c>
      <c r="E16" s="2">
        <f t="shared" si="0"/>
        <v>634.33047499999998</v>
      </c>
      <c r="F16" s="2">
        <f t="shared" si="2"/>
        <v>-834.70703000000003</v>
      </c>
      <c r="G16" s="2">
        <v>19</v>
      </c>
      <c r="H16" s="2">
        <f t="shared" si="1"/>
        <v>12052.279025</v>
      </c>
      <c r="I16" s="2">
        <v>553</v>
      </c>
      <c r="J16" s="2">
        <f t="shared" si="8"/>
        <v>47332.364283442148</v>
      </c>
      <c r="K16" s="2">
        <v>107.474424</v>
      </c>
      <c r="L16" s="2">
        <v>31.214942000000001</v>
      </c>
      <c r="M16" s="2">
        <f t="shared" si="3"/>
        <v>145199.02156823999</v>
      </c>
      <c r="N16" s="2">
        <f t="shared" si="4"/>
        <v>42171.69879142</v>
      </c>
      <c r="O16" s="2">
        <f t="shared" si="5"/>
        <v>9711.3889526399998</v>
      </c>
      <c r="P16" s="2">
        <f t="shared" si="6"/>
        <v>2820.5821591200001</v>
      </c>
      <c r="Q16" s="2">
        <f t="shared" si="7"/>
        <v>0.43180005468954991</v>
      </c>
      <c r="R16" s="2">
        <v>24411</v>
      </c>
    </row>
    <row r="17" spans="1:18" x14ac:dyDescent="0.3">
      <c r="A17" s="1">
        <v>2014</v>
      </c>
      <c r="B17" s="1" t="s">
        <v>73</v>
      </c>
      <c r="C17" s="7">
        <v>1658.91</v>
      </c>
      <c r="D17" s="7">
        <v>108.6</v>
      </c>
      <c r="E17" s="2">
        <f t="shared" si="0"/>
        <v>777.55876499999999</v>
      </c>
      <c r="F17" s="2">
        <f t="shared" si="2"/>
        <v>-691.47874000000002</v>
      </c>
      <c r="G17" s="2">
        <v>17</v>
      </c>
      <c r="H17" s="2">
        <f t="shared" si="1"/>
        <v>13218.499005</v>
      </c>
      <c r="I17" s="2">
        <v>154.37</v>
      </c>
      <c r="J17" s="2">
        <f t="shared" si="8"/>
        <v>9067.4567487283766</v>
      </c>
      <c r="K17" s="2">
        <v>103.048153</v>
      </c>
      <c r="L17" s="2">
        <v>30.015991</v>
      </c>
      <c r="M17" s="2">
        <f t="shared" si="3"/>
        <v>170947.61149323001</v>
      </c>
      <c r="N17" s="2">
        <f t="shared" si="4"/>
        <v>49793.827629810003</v>
      </c>
      <c r="O17" s="2">
        <f t="shared" si="5"/>
        <v>11191.0294158</v>
      </c>
      <c r="P17" s="2">
        <f t="shared" si="6"/>
        <v>3259.7366225999999</v>
      </c>
      <c r="Q17" s="2">
        <f t="shared" si="7"/>
        <v>0.52929810325026383</v>
      </c>
      <c r="R17" s="2">
        <v>30052</v>
      </c>
    </row>
    <row r="18" spans="1:18" x14ac:dyDescent="0.3">
      <c r="A18" s="1">
        <v>2014</v>
      </c>
      <c r="B18" s="1" t="s">
        <v>74</v>
      </c>
      <c r="C18" s="7">
        <v>1165.5999999999999</v>
      </c>
      <c r="D18" s="7">
        <v>89.54</v>
      </c>
      <c r="E18" s="2">
        <f t="shared" si="0"/>
        <v>553.85988999999995</v>
      </c>
      <c r="F18" s="2">
        <f t="shared" si="2"/>
        <v>-915.17761500000006</v>
      </c>
      <c r="G18" s="2">
        <v>20</v>
      </c>
      <c r="H18" s="2">
        <f t="shared" si="1"/>
        <v>11077.197799999998</v>
      </c>
      <c r="I18" s="2">
        <v>332.21</v>
      </c>
      <c r="J18" s="2">
        <f t="shared" si="8"/>
        <v>34181.286425039034</v>
      </c>
      <c r="K18" s="2">
        <v>106.754109</v>
      </c>
      <c r="L18" s="2">
        <v>31.873559</v>
      </c>
      <c r="M18" s="2">
        <f t="shared" si="3"/>
        <v>124432.58945039999</v>
      </c>
      <c r="N18" s="2">
        <f t="shared" si="4"/>
        <v>37151.820370399997</v>
      </c>
      <c r="O18" s="2">
        <f t="shared" si="5"/>
        <v>9558.7629198600007</v>
      </c>
      <c r="P18" s="2">
        <f t="shared" si="6"/>
        <v>2853.9584728600003</v>
      </c>
      <c r="Q18" s="2">
        <f t="shared" si="7"/>
        <v>0.37702229392707026</v>
      </c>
      <c r="R18" s="2">
        <v>13756</v>
      </c>
    </row>
    <row r="19" spans="1:18" x14ac:dyDescent="0.3">
      <c r="A19" s="1">
        <v>2014</v>
      </c>
      <c r="B19" s="1" t="s">
        <v>75</v>
      </c>
      <c r="C19" s="7">
        <v>2610.6999999999998</v>
      </c>
      <c r="D19" s="7">
        <v>182.03</v>
      </c>
      <c r="E19" s="2">
        <f t="shared" si="0"/>
        <v>1230.0011049999998</v>
      </c>
      <c r="F19" s="2">
        <f t="shared" si="2"/>
        <v>-239.03640000000019</v>
      </c>
      <c r="G19" s="2">
        <v>10</v>
      </c>
      <c r="H19" s="2">
        <f t="shared" si="1"/>
        <v>12300.011049999997</v>
      </c>
      <c r="I19" s="2">
        <v>354.72</v>
      </c>
      <c r="J19" s="2">
        <f t="shared" si="8"/>
        <v>2489.8815058860769</v>
      </c>
      <c r="K19" s="2">
        <v>104.633825</v>
      </c>
      <c r="L19" s="2">
        <v>30.135162999999999</v>
      </c>
      <c r="M19" s="2">
        <f t="shared" si="3"/>
        <v>273167.52692749997</v>
      </c>
      <c r="N19" s="2">
        <f t="shared" si="4"/>
        <v>78673.870044099996</v>
      </c>
      <c r="O19" s="2">
        <f t="shared" si="5"/>
        <v>19046.495164750002</v>
      </c>
      <c r="P19" s="2">
        <f t="shared" si="6"/>
        <v>5485.5037208899994</v>
      </c>
      <c r="Q19" s="2">
        <f t="shared" si="7"/>
        <v>0.8372836641771102</v>
      </c>
      <c r="R19" s="2">
        <v>33592</v>
      </c>
    </row>
    <row r="20" spans="1:18" x14ac:dyDescent="0.3">
      <c r="A20" s="1">
        <v>2014</v>
      </c>
      <c r="B20" s="1" t="s">
        <v>76</v>
      </c>
      <c r="C20" s="7">
        <v>2861.34</v>
      </c>
      <c r="D20" s="7">
        <v>240.78</v>
      </c>
      <c r="E20" s="2">
        <f t="shared" si="0"/>
        <v>1371.5516400000001</v>
      </c>
      <c r="F20" s="2">
        <f t="shared" si="2"/>
        <v>-97.485864999999876</v>
      </c>
      <c r="G20" s="2">
        <v>6</v>
      </c>
      <c r="H20" s="2">
        <f t="shared" si="1"/>
        <v>8229.3098400000017</v>
      </c>
      <c r="I20" s="2">
        <v>92.03</v>
      </c>
      <c r="J20" s="2">
        <f t="shared" si="8"/>
        <v>107.44288116971063</v>
      </c>
      <c r="K20" s="2">
        <v>102.23090999999999</v>
      </c>
      <c r="L20" s="2">
        <v>31.905656</v>
      </c>
      <c r="M20" s="2">
        <f t="shared" si="3"/>
        <v>292517.39201940002</v>
      </c>
      <c r="N20" s="2">
        <f t="shared" si="4"/>
        <v>91292.929739040002</v>
      </c>
      <c r="O20" s="2">
        <f t="shared" si="5"/>
        <v>24615.1585098</v>
      </c>
      <c r="P20" s="2">
        <f t="shared" si="6"/>
        <v>7682.2438516800003</v>
      </c>
      <c r="Q20" s="2">
        <f t="shared" si="7"/>
        <v>0.93363963502075475</v>
      </c>
      <c r="R20" s="2">
        <v>27043</v>
      </c>
    </row>
    <row r="21" spans="1:18" x14ac:dyDescent="0.3">
      <c r="A21" s="1">
        <v>2014</v>
      </c>
      <c r="B21" s="1" t="s">
        <v>77</v>
      </c>
      <c r="C21" s="7">
        <v>792.66</v>
      </c>
      <c r="D21" s="7">
        <v>79.03</v>
      </c>
      <c r="E21" s="2">
        <f t="shared" si="0"/>
        <v>386.96134499999999</v>
      </c>
      <c r="F21" s="2">
        <f t="shared" si="2"/>
        <v>-1082.0761600000001</v>
      </c>
      <c r="G21" s="2">
        <v>21</v>
      </c>
      <c r="H21" s="2">
        <f t="shared" si="1"/>
        <v>8126.1882450000003</v>
      </c>
      <c r="I21" s="2">
        <v>114.79</v>
      </c>
      <c r="J21" s="2">
        <f t="shared" si="8"/>
        <v>16511.428121332556</v>
      </c>
      <c r="K21" s="2">
        <v>101.968649</v>
      </c>
      <c r="L21" s="2">
        <v>30.055425</v>
      </c>
      <c r="M21" s="2">
        <f t="shared" si="3"/>
        <v>80826.469316339993</v>
      </c>
      <c r="N21" s="2">
        <f t="shared" si="4"/>
        <v>23823.733180499999</v>
      </c>
      <c r="O21" s="2">
        <f t="shared" si="5"/>
        <v>8058.5823304699998</v>
      </c>
      <c r="P21" s="2">
        <f t="shared" si="6"/>
        <v>2375.2802377500002</v>
      </c>
      <c r="Q21" s="2">
        <f t="shared" si="7"/>
        <v>0.26341148111123275</v>
      </c>
      <c r="R21" s="2">
        <v>18096</v>
      </c>
    </row>
    <row r="22" spans="1:18" x14ac:dyDescent="0.3">
      <c r="A22" s="1">
        <v>2014</v>
      </c>
      <c r="B22" s="1" t="s">
        <v>78</v>
      </c>
      <c r="C22" s="7">
        <v>3136.35</v>
      </c>
      <c r="D22" s="7">
        <v>188.29</v>
      </c>
      <c r="E22" s="2">
        <f t="shared" si="0"/>
        <v>1460.3778899999998</v>
      </c>
      <c r="F22" s="2">
        <f t="shared" si="2"/>
        <v>-8.6596150000002581</v>
      </c>
      <c r="G22" s="2">
        <v>4</v>
      </c>
      <c r="H22" s="2">
        <f t="shared" si="1"/>
        <v>5841.511559999999</v>
      </c>
      <c r="I22" s="2">
        <v>462</v>
      </c>
      <c r="J22" s="2">
        <f t="shared" si="8"/>
        <v>4.2560239994204094</v>
      </c>
      <c r="K22" s="2">
        <v>102.27418900000001</v>
      </c>
      <c r="L22" s="2">
        <v>27.887442</v>
      </c>
      <c r="M22" s="2">
        <f t="shared" si="3"/>
        <v>320767.65267015004</v>
      </c>
      <c r="N22" s="2">
        <f t="shared" si="4"/>
        <v>87464.778716699991</v>
      </c>
      <c r="O22" s="2">
        <f t="shared" si="5"/>
        <v>19257.207046809999</v>
      </c>
      <c r="P22" s="2">
        <f t="shared" si="6"/>
        <v>5250.9264541799994</v>
      </c>
      <c r="Q22" s="2">
        <f t="shared" si="7"/>
        <v>0.99410524580173998</v>
      </c>
      <c r="R22" s="2">
        <v>28556</v>
      </c>
    </row>
    <row r="23" spans="1:18" x14ac:dyDescent="0.3">
      <c r="A23" s="1"/>
      <c r="B23" s="7" t="s">
        <v>79</v>
      </c>
      <c r="C23" s="7">
        <f>SUM(C2:C22)</f>
        <v>64521.44000000001</v>
      </c>
      <c r="D23" s="7">
        <f>SUM(D2:D22)</f>
        <v>5292.5</v>
      </c>
      <c r="M23" s="2">
        <f>SUM(M2:M22)</f>
        <v>6738264.7448643204</v>
      </c>
      <c r="N23" s="2">
        <f>SUM(N2:N22)</f>
        <v>1952924.2559273206</v>
      </c>
      <c r="O23" s="2">
        <f>SUM(O2:O22)</f>
        <v>552383.12586747005</v>
      </c>
      <c r="P23" s="2">
        <f>SUM(P2:P22)</f>
        <v>160046.33193244998</v>
      </c>
    </row>
    <row r="24" spans="1:18" x14ac:dyDescent="0.3">
      <c r="D24" s="2" t="s">
        <v>17</v>
      </c>
      <c r="E24" s="2">
        <f>AVERAGE(E2:E22)</f>
        <v>1469.0375052380955</v>
      </c>
      <c r="G24" s="2" t="s">
        <v>10</v>
      </c>
      <c r="H24" s="2">
        <f>SUM(H2:H22)</f>
        <v>223777.09483999998</v>
      </c>
      <c r="I24" s="2">
        <f>SUM(I2:I22)</f>
        <v>8140.2</v>
      </c>
      <c r="J24" s="2">
        <f>SUM(J2:J22)</f>
        <v>9871241.0774206501</v>
      </c>
      <c r="L24" s="2" t="s">
        <v>12</v>
      </c>
      <c r="M24" s="2">
        <f>M23/C23</f>
        <v>104.43450649682214</v>
      </c>
      <c r="N24" s="2">
        <f>N23/C23</f>
        <v>30.267834318752346</v>
      </c>
      <c r="O24" s="2">
        <f>O23/D23</f>
        <v>104.37092600235617</v>
      </c>
      <c r="P24" s="2">
        <f>P23/D23</f>
        <v>30.24021387481341</v>
      </c>
    </row>
    <row r="25" spans="1:18" x14ac:dyDescent="0.3">
      <c r="B25" s="2" t="s">
        <v>57</v>
      </c>
      <c r="C25" s="2">
        <f>E2-E21</f>
        <v>8481.8078600000008</v>
      </c>
      <c r="D25" s="2" t="s">
        <v>13</v>
      </c>
      <c r="E25" s="2">
        <f>1+1/21-H24/(21*21*E24)</f>
        <v>0.70220168948514861</v>
      </c>
      <c r="G25" s="2" t="s">
        <v>14</v>
      </c>
      <c r="I25" s="2">
        <f>SQRT(J24)/E24</f>
        <v>2.1387153947514603</v>
      </c>
    </row>
    <row r="26" spans="1:18" x14ac:dyDescent="0.3">
      <c r="A26" s="4" t="s">
        <v>0</v>
      </c>
      <c r="B26" s="4" t="s">
        <v>1</v>
      </c>
      <c r="C26" s="4" t="s">
        <v>1</v>
      </c>
      <c r="D26" s="4" t="s">
        <v>1</v>
      </c>
    </row>
    <row r="27" spans="1:18" x14ac:dyDescent="0.3">
      <c r="A27" s="4" t="s">
        <v>2</v>
      </c>
      <c r="B27" s="4" t="s">
        <v>3</v>
      </c>
      <c r="C27" s="4" t="s">
        <v>4</v>
      </c>
      <c r="D27" s="4" t="s">
        <v>5</v>
      </c>
    </row>
    <row r="28" spans="1:18" x14ac:dyDescent="0.3">
      <c r="A28" s="4" t="s">
        <v>6</v>
      </c>
      <c r="B28" s="4">
        <v>0.83360000000000001</v>
      </c>
      <c r="C28" s="4">
        <v>0.16639999999999999</v>
      </c>
      <c r="D28" s="4" t="s">
        <v>18</v>
      </c>
    </row>
    <row r="29" spans="1:18" x14ac:dyDescent="0.3">
      <c r="A29" s="4" t="s">
        <v>8</v>
      </c>
      <c r="B29" s="4">
        <v>0.78069999999999995</v>
      </c>
      <c r="C29" s="4">
        <v>0.21929999999999999</v>
      </c>
      <c r="D29" s="4" t="s">
        <v>19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BD256-2899-4249-B54F-BC59D213FB93}">
  <dimension ref="A1:S31"/>
  <sheetViews>
    <sheetView workbookViewId="0">
      <selection sqref="A1:XFD1"/>
    </sheetView>
  </sheetViews>
  <sheetFormatPr defaultColWidth="9" defaultRowHeight="14" x14ac:dyDescent="0.3"/>
  <cols>
    <col min="1" max="1" width="9.83203125" style="2" customWidth="1"/>
    <col min="2" max="2" width="19.58203125" style="2" customWidth="1"/>
    <col min="3" max="3" width="16.83203125" style="2" customWidth="1"/>
    <col min="4" max="4" width="18.33203125" style="2" customWidth="1"/>
    <col min="5" max="5" width="13.83203125" style="2" customWidth="1"/>
    <col min="6" max="6" width="10.83203125" style="2" customWidth="1"/>
    <col min="7" max="10" width="16.5" style="2" customWidth="1"/>
    <col min="11" max="16384" width="9" style="2"/>
  </cols>
  <sheetData>
    <row r="1" spans="1:19" ht="13.5" customHeight="1" x14ac:dyDescent="0.3">
      <c r="A1" s="2" t="s">
        <v>83</v>
      </c>
      <c r="B1" s="1" t="s">
        <v>84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92</v>
      </c>
      <c r="H1" s="1" t="s">
        <v>90</v>
      </c>
      <c r="I1" s="1" t="s">
        <v>91</v>
      </c>
      <c r="J1" t="s">
        <v>85</v>
      </c>
      <c r="K1" t="s">
        <v>81</v>
      </c>
      <c r="L1" t="s">
        <v>82</v>
      </c>
      <c r="M1" s="1" t="s">
        <v>98</v>
      </c>
      <c r="N1" s="1" t="s">
        <v>103</v>
      </c>
      <c r="O1" s="2" t="s">
        <v>99</v>
      </c>
      <c r="P1" s="1" t="s">
        <v>101</v>
      </c>
      <c r="Q1" s="1" t="s">
        <v>100</v>
      </c>
      <c r="R1" s="1"/>
      <c r="S1" s="1"/>
    </row>
    <row r="2" spans="1:19" x14ac:dyDescent="0.3">
      <c r="A2" s="1">
        <v>2015</v>
      </c>
      <c r="B2" s="1" t="s">
        <v>58</v>
      </c>
      <c r="C2" s="7">
        <v>18903.52</v>
      </c>
      <c r="D2" s="7">
        <v>1986.57</v>
      </c>
      <c r="E2" s="2">
        <f t="shared" ref="E2:E22" si="0">C2*0.4018+D2*0.5982</f>
        <v>8783.8005100000009</v>
      </c>
      <c r="F2" s="2">
        <v>1</v>
      </c>
      <c r="G2" s="2">
        <f t="shared" ref="G2:G22" si="1">E2*F2</f>
        <v>8783.8005100000009</v>
      </c>
      <c r="H2" s="2">
        <v>1465.75</v>
      </c>
      <c r="I2" s="2">
        <f>E2-1632.15</f>
        <v>7151.6505100000013</v>
      </c>
      <c r="J2" s="2">
        <f>I2*I2*H2/8204</f>
        <v>9137908.7553554848</v>
      </c>
      <c r="K2" s="2">
        <v>104.07274200000001</v>
      </c>
      <c r="L2" s="2">
        <v>30.578983999999998</v>
      </c>
      <c r="M2" s="2">
        <f>C2*K2</f>
        <v>1967341.1598518402</v>
      </c>
      <c r="N2" s="2">
        <f>C2*L2</f>
        <v>578050.43562368001</v>
      </c>
      <c r="O2" s="2">
        <f>D2*K2</f>
        <v>206747.78707494002</v>
      </c>
      <c r="P2" s="2">
        <f>D2*L2</f>
        <v>60747.292244879995</v>
      </c>
      <c r="Q2" s="2">
        <v>74273</v>
      </c>
    </row>
    <row r="3" spans="1:19" x14ac:dyDescent="0.3">
      <c r="A3" s="1">
        <v>2015</v>
      </c>
      <c r="B3" s="1" t="s">
        <v>59</v>
      </c>
      <c r="C3" s="7">
        <v>2695.41</v>
      </c>
      <c r="D3" s="7">
        <v>248.49</v>
      </c>
      <c r="E3" s="2">
        <f t="shared" si="0"/>
        <v>1231.6624559999998</v>
      </c>
      <c r="F3" s="2">
        <v>14</v>
      </c>
      <c r="G3" s="2">
        <f t="shared" si="1"/>
        <v>17243.274383999997</v>
      </c>
      <c r="H3" s="2">
        <v>277.02</v>
      </c>
      <c r="I3" s="2">
        <f t="shared" ref="I3:I22" si="2">E3-1632.15</f>
        <v>-400.4875440000003</v>
      </c>
      <c r="J3" s="2">
        <f t="shared" ref="J3:J22" si="3">I3*I3*H3/8204</f>
        <v>5415.810994456745</v>
      </c>
      <c r="K3" s="2">
        <v>104.785532</v>
      </c>
      <c r="L3" s="2">
        <v>29.345369999999999</v>
      </c>
      <c r="M3" s="2">
        <f t="shared" ref="M3:M22" si="4">C3*K3</f>
        <v>282439.97080811998</v>
      </c>
      <c r="N3" s="2">
        <f t="shared" ref="N3:N22" si="5">C3*L3</f>
        <v>79097.80375169999</v>
      </c>
      <c r="O3" s="2">
        <f t="shared" ref="O3:O22" si="6">D3*K3</f>
        <v>26038.156846680002</v>
      </c>
      <c r="P3" s="2">
        <f t="shared" ref="P3:P22" si="7">D3*L3</f>
        <v>7292.0309913000001</v>
      </c>
      <c r="Q3" s="2">
        <v>41447</v>
      </c>
    </row>
    <row r="4" spans="1:19" x14ac:dyDescent="0.3">
      <c r="A4" s="1">
        <v>2015</v>
      </c>
      <c r="B4" s="1" t="s">
        <v>60</v>
      </c>
      <c r="C4" s="7">
        <v>1659.86</v>
      </c>
      <c r="D4" s="7">
        <v>202.08</v>
      </c>
      <c r="E4" s="2">
        <f t="shared" si="0"/>
        <v>787.81600400000002</v>
      </c>
      <c r="F4" s="2">
        <v>18</v>
      </c>
      <c r="G4" s="2">
        <f t="shared" si="1"/>
        <v>14180.688072000001</v>
      </c>
      <c r="H4" s="2">
        <v>123.25</v>
      </c>
      <c r="I4" s="2">
        <f t="shared" si="2"/>
        <v>-844.33399600000007</v>
      </c>
      <c r="J4" s="2">
        <f t="shared" si="3"/>
        <v>10710.00881042951</v>
      </c>
      <c r="K4" s="2">
        <v>101.72505</v>
      </c>
      <c r="L4" s="2">
        <v>26.588200000000001</v>
      </c>
      <c r="M4" s="2">
        <f t="shared" si="4"/>
        <v>168849.34149299999</v>
      </c>
      <c r="N4" s="2">
        <f t="shared" si="5"/>
        <v>44132.689652000001</v>
      </c>
      <c r="O4" s="2">
        <f t="shared" si="6"/>
        <v>20556.598104000001</v>
      </c>
      <c r="P4" s="2">
        <f t="shared" si="7"/>
        <v>5372.9434560000009</v>
      </c>
      <c r="Q4" s="2">
        <v>75078</v>
      </c>
    </row>
    <row r="5" spans="1:19" x14ac:dyDescent="0.3">
      <c r="A5" s="1">
        <v>2015</v>
      </c>
      <c r="B5" s="1" t="s">
        <v>61</v>
      </c>
      <c r="C5" s="7">
        <v>3257.68</v>
      </c>
      <c r="D5" s="7">
        <v>253.06</v>
      </c>
      <c r="E5" s="2">
        <f t="shared" si="0"/>
        <v>1460.3163159999999</v>
      </c>
      <c r="F5" s="2">
        <v>9</v>
      </c>
      <c r="G5" s="2">
        <f t="shared" si="1"/>
        <v>13142.846844</v>
      </c>
      <c r="H5" s="2">
        <v>428.52</v>
      </c>
      <c r="I5" s="2">
        <f t="shared" si="2"/>
        <v>-171.83368400000018</v>
      </c>
      <c r="J5" s="2">
        <f t="shared" si="3"/>
        <v>1542.2758100169119</v>
      </c>
      <c r="K5" s="2">
        <v>105.448463</v>
      </c>
      <c r="L5" s="2">
        <v>28.876978000000001</v>
      </c>
      <c r="M5" s="2">
        <f t="shared" si="4"/>
        <v>343517.34894583997</v>
      </c>
      <c r="N5" s="2">
        <f t="shared" si="5"/>
        <v>94071.953691040006</v>
      </c>
      <c r="O5" s="2">
        <f t="shared" si="6"/>
        <v>26684.788046780002</v>
      </c>
      <c r="P5" s="2">
        <f t="shared" si="7"/>
        <v>7307.6080526800006</v>
      </c>
      <c r="Q5" s="2">
        <v>31714</v>
      </c>
    </row>
    <row r="6" spans="1:19" x14ac:dyDescent="0.3">
      <c r="A6" s="1">
        <v>2015</v>
      </c>
      <c r="B6" s="1" t="s">
        <v>62</v>
      </c>
      <c r="C6" s="7">
        <v>2304.96</v>
      </c>
      <c r="D6" s="7">
        <v>155.59</v>
      </c>
      <c r="E6" s="2">
        <f t="shared" si="0"/>
        <v>1019.206866</v>
      </c>
      <c r="F6" s="2">
        <v>16</v>
      </c>
      <c r="G6" s="2">
        <f t="shared" si="1"/>
        <v>16307.309856</v>
      </c>
      <c r="H6" s="2">
        <v>351.32</v>
      </c>
      <c r="I6" s="2">
        <f t="shared" si="2"/>
        <v>-612.9431340000001</v>
      </c>
      <c r="J6" s="2">
        <f t="shared" si="3"/>
        <v>16088.575449548165</v>
      </c>
      <c r="K6" s="2">
        <v>104.40422700000001</v>
      </c>
      <c r="L6" s="2">
        <v>31.133751</v>
      </c>
      <c r="M6" s="2">
        <f t="shared" si="4"/>
        <v>240647.56706592001</v>
      </c>
      <c r="N6" s="2">
        <f t="shared" si="5"/>
        <v>71762.050704959998</v>
      </c>
      <c r="O6" s="2">
        <f t="shared" si="6"/>
        <v>16244.253678930001</v>
      </c>
      <c r="P6" s="2">
        <f t="shared" si="7"/>
        <v>4844.1003180899997</v>
      </c>
      <c r="Q6" s="2">
        <v>45701</v>
      </c>
    </row>
    <row r="7" spans="1:19" x14ac:dyDescent="0.3">
      <c r="A7" s="1">
        <v>2015</v>
      </c>
      <c r="B7" s="1" t="s">
        <v>63</v>
      </c>
      <c r="C7" s="7">
        <v>3385.7</v>
      </c>
      <c r="D7" s="7">
        <v>343.48</v>
      </c>
      <c r="E7" s="2">
        <f t="shared" si="0"/>
        <v>1565.8439959999998</v>
      </c>
      <c r="F7" s="2">
        <v>6</v>
      </c>
      <c r="G7" s="2">
        <f t="shared" si="1"/>
        <v>9395.0639759999995</v>
      </c>
      <c r="H7" s="2">
        <v>477.19</v>
      </c>
      <c r="I7" s="2">
        <f t="shared" si="2"/>
        <v>-66.306004000000257</v>
      </c>
      <c r="J7" s="2">
        <f t="shared" si="3"/>
        <v>255.72394365764811</v>
      </c>
      <c r="K7" s="2">
        <v>104.685653</v>
      </c>
      <c r="L7" s="2">
        <v>31.473462000000001</v>
      </c>
      <c r="M7" s="2">
        <f t="shared" si="4"/>
        <v>354434.21536209999</v>
      </c>
      <c r="N7" s="2">
        <f t="shared" si="5"/>
        <v>106559.7002934</v>
      </c>
      <c r="O7" s="2">
        <f t="shared" si="6"/>
        <v>35957.428092440001</v>
      </c>
      <c r="P7" s="2">
        <f t="shared" si="7"/>
        <v>10810.504727760001</v>
      </c>
      <c r="Q7" s="2">
        <v>35754</v>
      </c>
    </row>
    <row r="8" spans="1:19" x14ac:dyDescent="0.3">
      <c r="A8" s="1">
        <v>2015</v>
      </c>
      <c r="B8" s="1" t="s">
        <v>64</v>
      </c>
      <c r="C8" s="7">
        <v>3251.97</v>
      </c>
      <c r="D8" s="7">
        <v>207.13</v>
      </c>
      <c r="E8" s="2">
        <f t="shared" si="0"/>
        <v>1430.5467119999998</v>
      </c>
      <c r="F8" s="2">
        <v>10</v>
      </c>
      <c r="G8" s="2">
        <f t="shared" si="1"/>
        <v>14305.467119999998</v>
      </c>
      <c r="H8" s="2">
        <v>263</v>
      </c>
      <c r="I8" s="2">
        <f t="shared" si="2"/>
        <v>-201.60328800000025</v>
      </c>
      <c r="J8" s="2">
        <f t="shared" si="3"/>
        <v>1302.9427044885549</v>
      </c>
      <c r="K8" s="2">
        <v>105.850532</v>
      </c>
      <c r="L8" s="2">
        <v>32.442338999999997</v>
      </c>
      <c r="M8" s="2">
        <f t="shared" si="4"/>
        <v>344222.75454803999</v>
      </c>
      <c r="N8" s="2">
        <f t="shared" si="5"/>
        <v>105501.51315782998</v>
      </c>
      <c r="O8" s="2">
        <f t="shared" si="6"/>
        <v>21924.82069316</v>
      </c>
      <c r="P8" s="2">
        <f t="shared" si="7"/>
        <v>6719.7816770699992</v>
      </c>
      <c r="Q8" s="2">
        <v>23263</v>
      </c>
    </row>
    <row r="9" spans="1:19" x14ac:dyDescent="0.3">
      <c r="A9" s="1">
        <v>2015</v>
      </c>
      <c r="B9" s="1" t="s">
        <v>65</v>
      </c>
      <c r="C9" s="7">
        <v>3106.25</v>
      </c>
      <c r="D9" s="7">
        <v>251</v>
      </c>
      <c r="E9" s="2">
        <f t="shared" si="0"/>
        <v>1398.23945</v>
      </c>
      <c r="F9" s="2">
        <v>12</v>
      </c>
      <c r="G9" s="2">
        <f t="shared" si="1"/>
        <v>16778.8734</v>
      </c>
      <c r="H9" s="2">
        <v>329</v>
      </c>
      <c r="I9" s="2">
        <f t="shared" si="2"/>
        <v>-233.91055000000006</v>
      </c>
      <c r="J9" s="2">
        <f t="shared" si="3"/>
        <v>2194.1679469805622</v>
      </c>
      <c r="K9" s="2">
        <v>105.599143</v>
      </c>
      <c r="L9" s="2">
        <v>30.539141000000001</v>
      </c>
      <c r="M9" s="2">
        <f t="shared" si="4"/>
        <v>328017.33794374997</v>
      </c>
      <c r="N9" s="2">
        <f t="shared" si="5"/>
        <v>94862.20673125</v>
      </c>
      <c r="O9" s="2">
        <f t="shared" si="6"/>
        <v>26505.384892999999</v>
      </c>
      <c r="P9" s="2">
        <f t="shared" si="7"/>
        <v>7665.3243910000001</v>
      </c>
      <c r="Q9" s="2">
        <v>27868</v>
      </c>
    </row>
    <row r="10" spans="1:19" x14ac:dyDescent="0.3">
      <c r="A10" s="1">
        <v>2015</v>
      </c>
      <c r="B10" s="1" t="s">
        <v>66</v>
      </c>
      <c r="C10" s="7">
        <v>2684.07</v>
      </c>
      <c r="D10" s="7">
        <v>170.47</v>
      </c>
      <c r="E10" s="2">
        <f t="shared" si="0"/>
        <v>1180.4344800000001</v>
      </c>
      <c r="F10" s="2">
        <v>15</v>
      </c>
      <c r="G10" s="2">
        <f t="shared" si="1"/>
        <v>17706.517200000002</v>
      </c>
      <c r="H10" s="2">
        <v>373.97</v>
      </c>
      <c r="I10" s="2">
        <f t="shared" si="2"/>
        <v>-451.71551999999997</v>
      </c>
      <c r="J10" s="2">
        <f t="shared" si="3"/>
        <v>9301.2461372485686</v>
      </c>
      <c r="K10" s="2">
        <v>105.064564</v>
      </c>
      <c r="L10" s="2">
        <v>29.585822</v>
      </c>
      <c r="M10" s="2">
        <f t="shared" si="4"/>
        <v>282000.64429548004</v>
      </c>
      <c r="N10" s="2">
        <f t="shared" si="5"/>
        <v>79410.41725554</v>
      </c>
      <c r="O10" s="2">
        <f t="shared" si="6"/>
        <v>17910.356225080002</v>
      </c>
      <c r="P10" s="2">
        <f t="shared" si="7"/>
        <v>5043.4950763400002</v>
      </c>
      <c r="Q10" s="2">
        <v>32080</v>
      </c>
    </row>
    <row r="11" spans="1:19" x14ac:dyDescent="0.3">
      <c r="A11" s="1">
        <v>2015</v>
      </c>
      <c r="B11" s="1" t="s">
        <v>67</v>
      </c>
      <c r="C11" s="7">
        <v>3903.46</v>
      </c>
      <c r="D11" s="7">
        <v>496.52</v>
      </c>
      <c r="E11" s="2">
        <f t="shared" si="0"/>
        <v>1865.428492</v>
      </c>
      <c r="F11" s="2">
        <v>2</v>
      </c>
      <c r="G11" s="2">
        <f t="shared" si="1"/>
        <v>3730.856984</v>
      </c>
      <c r="H11" s="2">
        <v>326.05</v>
      </c>
      <c r="I11" s="2">
        <f t="shared" si="2"/>
        <v>233.27849199999991</v>
      </c>
      <c r="J11" s="2">
        <f t="shared" si="3"/>
        <v>2162.758120094386</v>
      </c>
      <c r="K11" s="2">
        <v>103.772521</v>
      </c>
      <c r="L11" s="2">
        <v>29.558285000000001</v>
      </c>
      <c r="M11" s="2">
        <f t="shared" si="4"/>
        <v>405071.88482266001</v>
      </c>
      <c r="N11" s="2">
        <f t="shared" si="5"/>
        <v>115379.58316610001</v>
      </c>
      <c r="O11" s="2">
        <f t="shared" si="6"/>
        <v>51525.132126919998</v>
      </c>
      <c r="P11" s="2">
        <f t="shared" si="7"/>
        <v>14676.279668200001</v>
      </c>
      <c r="Q11" s="2">
        <v>39973</v>
      </c>
    </row>
    <row r="12" spans="1:19" x14ac:dyDescent="0.3">
      <c r="A12" s="1">
        <v>2015</v>
      </c>
      <c r="B12" s="1" t="s">
        <v>68</v>
      </c>
      <c r="C12" s="7">
        <v>3726.5</v>
      </c>
      <c r="D12" s="7">
        <v>321.72000000000003</v>
      </c>
      <c r="E12" s="2">
        <f t="shared" si="0"/>
        <v>1689.7606040000001</v>
      </c>
      <c r="F12" s="2">
        <v>3</v>
      </c>
      <c r="G12" s="2">
        <f t="shared" si="1"/>
        <v>5069.2818120000002</v>
      </c>
      <c r="H12" s="2">
        <v>636.4</v>
      </c>
      <c r="I12" s="2">
        <f t="shared" si="2"/>
        <v>57.610603999999967</v>
      </c>
      <c r="J12" s="2">
        <f t="shared" si="3"/>
        <v>257.45976957350052</v>
      </c>
      <c r="K12" s="2">
        <v>106.11712300000001</v>
      </c>
      <c r="L12" s="2">
        <v>30.843219999999999</v>
      </c>
      <c r="M12" s="2">
        <f t="shared" si="4"/>
        <v>395445.45885950001</v>
      </c>
      <c r="N12" s="2">
        <f t="shared" si="5"/>
        <v>114937.25933</v>
      </c>
      <c r="O12" s="2">
        <f t="shared" si="6"/>
        <v>34140.000811560007</v>
      </c>
      <c r="P12" s="2">
        <f t="shared" si="7"/>
        <v>9922.8807384000011</v>
      </c>
      <c r="Q12" s="2">
        <v>23881</v>
      </c>
    </row>
    <row r="13" spans="1:19" x14ac:dyDescent="0.3">
      <c r="A13" s="1">
        <v>2015</v>
      </c>
      <c r="B13" s="1" t="s">
        <v>69</v>
      </c>
      <c r="C13" s="7">
        <v>3022.1</v>
      </c>
      <c r="D13" s="7">
        <v>230.37</v>
      </c>
      <c r="E13" s="2">
        <f t="shared" si="0"/>
        <v>1352.0871139999999</v>
      </c>
      <c r="F13" s="2">
        <v>13</v>
      </c>
      <c r="G13" s="2">
        <f t="shared" si="1"/>
        <v>17577.132482000001</v>
      </c>
      <c r="H13" s="2">
        <v>300.13</v>
      </c>
      <c r="I13" s="2">
        <f t="shared" si="2"/>
        <v>-280.06288600000016</v>
      </c>
      <c r="J13" s="2">
        <f t="shared" si="3"/>
        <v>2869.4249893965903</v>
      </c>
      <c r="K13" s="2">
        <v>103.854991</v>
      </c>
      <c r="L13" s="2">
        <v>30.082841999999999</v>
      </c>
      <c r="M13" s="2">
        <f t="shared" si="4"/>
        <v>313860.16830109997</v>
      </c>
      <c r="N13" s="2">
        <f t="shared" si="5"/>
        <v>90913.356808199998</v>
      </c>
      <c r="O13" s="2">
        <f t="shared" si="6"/>
        <v>23925.074276669999</v>
      </c>
      <c r="P13" s="2">
        <f t="shared" si="7"/>
        <v>6930.1843115399997</v>
      </c>
      <c r="Q13" s="2">
        <v>34379</v>
      </c>
    </row>
    <row r="14" spans="1:19" x14ac:dyDescent="0.3">
      <c r="A14" s="1">
        <v>2015</v>
      </c>
      <c r="B14" s="1" t="s">
        <v>70</v>
      </c>
      <c r="C14" s="7">
        <v>3494.91</v>
      </c>
      <c r="D14" s="7">
        <v>332.17</v>
      </c>
      <c r="E14" s="2">
        <f t="shared" si="0"/>
        <v>1602.9589319999998</v>
      </c>
      <c r="F14" s="2">
        <v>5</v>
      </c>
      <c r="G14" s="2">
        <f t="shared" si="1"/>
        <v>8014.7946599999987</v>
      </c>
      <c r="H14" s="2">
        <v>449.00299999999999</v>
      </c>
      <c r="I14" s="2">
        <f t="shared" si="2"/>
        <v>-29.191068000000314</v>
      </c>
      <c r="J14" s="2">
        <f t="shared" si="3"/>
        <v>46.636243399032345</v>
      </c>
      <c r="K14" s="2">
        <v>104.649316</v>
      </c>
      <c r="L14" s="2">
        <v>28.758631000000001</v>
      </c>
      <c r="M14" s="2">
        <f t="shared" si="4"/>
        <v>365739.94098155998</v>
      </c>
      <c r="N14" s="2">
        <f t="shared" si="5"/>
        <v>100508.82706821</v>
      </c>
      <c r="O14" s="2">
        <f t="shared" si="6"/>
        <v>34761.363295720002</v>
      </c>
      <c r="P14" s="2">
        <f t="shared" si="7"/>
        <v>9552.7544592700015</v>
      </c>
      <c r="Q14" s="2">
        <v>34060</v>
      </c>
    </row>
    <row r="15" spans="1:19" x14ac:dyDescent="0.3">
      <c r="A15" s="1">
        <v>2015</v>
      </c>
      <c r="B15" s="1" t="s">
        <v>71</v>
      </c>
      <c r="C15" s="7">
        <v>3269.75</v>
      </c>
      <c r="D15" s="7">
        <v>245.5</v>
      </c>
      <c r="E15" s="2">
        <f t="shared" si="0"/>
        <v>1460.64365</v>
      </c>
      <c r="F15" s="2">
        <v>8</v>
      </c>
      <c r="G15" s="2">
        <f t="shared" si="1"/>
        <v>11685.1492</v>
      </c>
      <c r="H15" s="2">
        <v>324.66000000000003</v>
      </c>
      <c r="I15" s="2">
        <f t="shared" si="2"/>
        <v>-171.50635000000011</v>
      </c>
      <c r="J15" s="2">
        <f t="shared" si="3"/>
        <v>1164.0283061682248</v>
      </c>
      <c r="K15" s="2">
        <v>106.639184</v>
      </c>
      <c r="L15" s="2">
        <v>30.462142</v>
      </c>
      <c r="M15" s="2">
        <f t="shared" si="4"/>
        <v>348683.471884</v>
      </c>
      <c r="N15" s="2">
        <f t="shared" si="5"/>
        <v>99603.588804500003</v>
      </c>
      <c r="O15" s="2">
        <f t="shared" si="6"/>
        <v>26179.919672</v>
      </c>
      <c r="P15" s="2">
        <f t="shared" si="7"/>
        <v>7478.4558610000004</v>
      </c>
      <c r="Q15" s="2">
        <v>31046</v>
      </c>
    </row>
    <row r="16" spans="1:19" x14ac:dyDescent="0.3">
      <c r="A16" s="1">
        <v>2015</v>
      </c>
      <c r="B16" s="1" t="s">
        <v>72</v>
      </c>
      <c r="C16" s="7">
        <v>1581.03</v>
      </c>
      <c r="D16" s="7">
        <v>112.42</v>
      </c>
      <c r="E16" s="2">
        <f t="shared" si="0"/>
        <v>702.50749799999994</v>
      </c>
      <c r="F16" s="2">
        <v>20</v>
      </c>
      <c r="G16" s="2">
        <f t="shared" si="1"/>
        <v>14050.149959999999</v>
      </c>
      <c r="H16" s="2">
        <v>556.76</v>
      </c>
      <c r="I16" s="2">
        <f t="shared" si="2"/>
        <v>-929.64250200000015</v>
      </c>
      <c r="J16" s="2">
        <f t="shared" si="3"/>
        <v>58650.850763744384</v>
      </c>
      <c r="K16" s="2">
        <v>107.474424</v>
      </c>
      <c r="L16" s="2">
        <v>31.214942000000001</v>
      </c>
      <c r="M16" s="2">
        <f t="shared" si="4"/>
        <v>169920.28857671999</v>
      </c>
      <c r="N16" s="2">
        <f t="shared" si="5"/>
        <v>49351.759750260004</v>
      </c>
      <c r="O16" s="2">
        <f t="shared" si="6"/>
        <v>12082.27474608</v>
      </c>
      <c r="P16" s="2">
        <f t="shared" si="7"/>
        <v>3509.18377964</v>
      </c>
      <c r="Q16" s="2">
        <v>24343</v>
      </c>
    </row>
    <row r="17" spans="1:17" x14ac:dyDescent="0.3">
      <c r="A17" s="1">
        <v>2015</v>
      </c>
      <c r="B17" s="1" t="s">
        <v>73</v>
      </c>
      <c r="C17" s="7">
        <v>2162.7199999999998</v>
      </c>
      <c r="D17" s="7">
        <v>152.33000000000001</v>
      </c>
      <c r="E17" s="2">
        <f t="shared" si="0"/>
        <v>960.10470199999986</v>
      </c>
      <c r="F17" s="2">
        <v>17</v>
      </c>
      <c r="G17" s="2">
        <f t="shared" si="1"/>
        <v>16321.779933999998</v>
      </c>
      <c r="H17" s="2">
        <v>154.68274879999998</v>
      </c>
      <c r="I17" s="2">
        <f t="shared" si="2"/>
        <v>-672.04529800000023</v>
      </c>
      <c r="J17" s="2">
        <f t="shared" si="3"/>
        <v>8515.5621546122184</v>
      </c>
      <c r="K17" s="2">
        <v>103.048153</v>
      </c>
      <c r="L17" s="2">
        <v>30.015991</v>
      </c>
      <c r="M17" s="2">
        <f t="shared" si="4"/>
        <v>222864.30145615997</v>
      </c>
      <c r="N17" s="2">
        <f t="shared" si="5"/>
        <v>64916.184055519996</v>
      </c>
      <c r="O17" s="2">
        <f t="shared" si="6"/>
        <v>15697.32514649</v>
      </c>
      <c r="P17" s="2">
        <f t="shared" si="7"/>
        <v>4572.33590903</v>
      </c>
      <c r="Q17" s="2">
        <v>32523</v>
      </c>
    </row>
    <row r="18" spans="1:17" x14ac:dyDescent="0.3">
      <c r="A18" s="1">
        <v>2015</v>
      </c>
      <c r="B18" s="1" t="s">
        <v>74</v>
      </c>
      <c r="C18" s="7">
        <v>1697</v>
      </c>
      <c r="D18" s="7">
        <v>130.62</v>
      </c>
      <c r="E18" s="2">
        <f t="shared" si="0"/>
        <v>759.99148400000001</v>
      </c>
      <c r="F18" s="2">
        <v>19</v>
      </c>
      <c r="G18" s="2">
        <f t="shared" si="1"/>
        <v>14439.838196000001</v>
      </c>
      <c r="H18" s="2">
        <v>332.86</v>
      </c>
      <c r="I18" s="2">
        <f t="shared" si="2"/>
        <v>-872.15851600000008</v>
      </c>
      <c r="J18" s="2">
        <f t="shared" si="3"/>
        <v>30862.194829917844</v>
      </c>
      <c r="K18" s="2">
        <v>106.754109</v>
      </c>
      <c r="L18" s="2">
        <v>31.873559</v>
      </c>
      <c r="M18" s="2">
        <f t="shared" si="4"/>
        <v>181161.722973</v>
      </c>
      <c r="N18" s="2">
        <f t="shared" si="5"/>
        <v>54089.429623000004</v>
      </c>
      <c r="O18" s="2">
        <f t="shared" si="6"/>
        <v>13944.22171758</v>
      </c>
      <c r="P18" s="2">
        <f t="shared" si="7"/>
        <v>4163.3242765800005</v>
      </c>
      <c r="Q18" s="2">
        <v>15076</v>
      </c>
    </row>
    <row r="19" spans="1:17" x14ac:dyDescent="0.3">
      <c r="A19" s="1">
        <v>2015</v>
      </c>
      <c r="B19" s="1" t="s">
        <v>75</v>
      </c>
      <c r="C19" s="7">
        <v>3200.51</v>
      </c>
      <c r="D19" s="7">
        <v>220.8</v>
      </c>
      <c r="E19" s="2">
        <f t="shared" si="0"/>
        <v>1418.0474780000002</v>
      </c>
      <c r="F19" s="2">
        <v>11</v>
      </c>
      <c r="G19" s="2">
        <f t="shared" si="1"/>
        <v>15598.522258000003</v>
      </c>
      <c r="H19" s="2">
        <v>356.93</v>
      </c>
      <c r="I19" s="2">
        <f t="shared" si="2"/>
        <v>-214.10252199999991</v>
      </c>
      <c r="J19" s="2">
        <f t="shared" si="3"/>
        <v>1994.348112086617</v>
      </c>
      <c r="K19" s="2">
        <v>104.633825</v>
      </c>
      <c r="L19" s="2">
        <v>30.135162999999999</v>
      </c>
      <c r="M19" s="2">
        <f t="shared" si="4"/>
        <v>334881.60325075005</v>
      </c>
      <c r="N19" s="2">
        <f t="shared" si="5"/>
        <v>96447.890533130005</v>
      </c>
      <c r="O19" s="2">
        <f t="shared" si="6"/>
        <v>23103.148560000001</v>
      </c>
      <c r="P19" s="2">
        <f t="shared" si="7"/>
        <v>6653.8439903999997</v>
      </c>
      <c r="Q19" s="2">
        <v>35702</v>
      </c>
    </row>
    <row r="20" spans="1:17" x14ac:dyDescent="0.3">
      <c r="A20" s="1">
        <v>2015</v>
      </c>
      <c r="B20" s="1" t="s">
        <v>76</v>
      </c>
      <c r="C20" s="7">
        <v>3221.63</v>
      </c>
      <c r="D20" s="7">
        <v>283.99</v>
      </c>
      <c r="E20" s="2">
        <f t="shared" si="0"/>
        <v>1464.333752</v>
      </c>
      <c r="F20" s="2">
        <v>7</v>
      </c>
      <c r="G20" s="2">
        <f t="shared" si="1"/>
        <v>10250.336264</v>
      </c>
      <c r="H20" s="2">
        <v>93.01</v>
      </c>
      <c r="I20" s="2">
        <f t="shared" si="2"/>
        <v>-167.81624800000009</v>
      </c>
      <c r="J20" s="2">
        <f t="shared" si="3"/>
        <v>319.28021459789107</v>
      </c>
      <c r="K20" s="2">
        <v>102.23090999999999</v>
      </c>
      <c r="L20" s="2">
        <v>31.905656</v>
      </c>
      <c r="M20" s="2">
        <f t="shared" si="4"/>
        <v>329350.16658329999</v>
      </c>
      <c r="N20" s="2">
        <f t="shared" si="5"/>
        <v>102788.21853928</v>
      </c>
      <c r="O20" s="2">
        <f t="shared" si="6"/>
        <v>29032.5561309</v>
      </c>
      <c r="P20" s="2">
        <f t="shared" si="7"/>
        <v>9060.8872474399996</v>
      </c>
      <c r="Q20" s="2">
        <v>28647</v>
      </c>
    </row>
    <row r="21" spans="1:17" x14ac:dyDescent="0.3">
      <c r="A21" s="1">
        <v>2015</v>
      </c>
      <c r="B21" s="1" t="s">
        <v>77</v>
      </c>
      <c r="C21" s="7">
        <v>1068.67</v>
      </c>
      <c r="D21" s="7">
        <v>106.99</v>
      </c>
      <c r="E21" s="2">
        <f t="shared" si="0"/>
        <v>493.39302400000003</v>
      </c>
      <c r="F21" s="2">
        <v>21</v>
      </c>
      <c r="G21" s="2">
        <f t="shared" si="1"/>
        <v>10361.253504</v>
      </c>
      <c r="H21" s="2">
        <v>116.49</v>
      </c>
      <c r="I21" s="2">
        <f t="shared" si="2"/>
        <v>-1138.7569760000001</v>
      </c>
      <c r="J21" s="2">
        <f t="shared" si="3"/>
        <v>18413.022951703508</v>
      </c>
      <c r="K21" s="2">
        <v>101.968649</v>
      </c>
      <c r="L21" s="2">
        <v>30.055425</v>
      </c>
      <c r="M21" s="2">
        <f t="shared" si="4"/>
        <v>108970.83612683001</v>
      </c>
      <c r="N21" s="2">
        <f t="shared" si="5"/>
        <v>32119.331034750001</v>
      </c>
      <c r="O21" s="2">
        <f t="shared" si="6"/>
        <v>10909.625756509999</v>
      </c>
      <c r="P21" s="2">
        <f t="shared" si="7"/>
        <v>3215.6299207499997</v>
      </c>
      <c r="Q21" s="2">
        <v>18423</v>
      </c>
    </row>
    <row r="22" spans="1:17" x14ac:dyDescent="0.3">
      <c r="A22" s="1">
        <v>2015</v>
      </c>
      <c r="B22" s="1" t="s">
        <v>78</v>
      </c>
      <c r="C22" s="7">
        <v>3729.51</v>
      </c>
      <c r="D22" s="7">
        <v>250.12</v>
      </c>
      <c r="E22" s="2">
        <f t="shared" si="0"/>
        <v>1648.1389019999999</v>
      </c>
      <c r="F22" s="2">
        <v>4</v>
      </c>
      <c r="G22" s="2">
        <f t="shared" si="1"/>
        <v>6592.5556079999997</v>
      </c>
      <c r="H22" s="2">
        <v>468</v>
      </c>
      <c r="I22" s="2">
        <f t="shared" si="2"/>
        <v>15.988901999999825</v>
      </c>
      <c r="J22" s="2">
        <f t="shared" si="3"/>
        <v>14.583356166930773</v>
      </c>
      <c r="K22" s="2">
        <v>102.27418900000001</v>
      </c>
      <c r="L22" s="2">
        <v>27.887442</v>
      </c>
      <c r="M22" s="2">
        <f t="shared" si="4"/>
        <v>381432.61061739008</v>
      </c>
      <c r="N22" s="2">
        <f t="shared" si="5"/>
        <v>104006.49381342001</v>
      </c>
      <c r="O22" s="2">
        <f t="shared" si="6"/>
        <v>25580.820152680004</v>
      </c>
      <c r="P22" s="2">
        <f t="shared" si="7"/>
        <v>6975.2069930400003</v>
      </c>
      <c r="Q22" s="2">
        <v>28276</v>
      </c>
    </row>
    <row r="23" spans="1:17" x14ac:dyDescent="0.3">
      <c r="A23" s="1"/>
      <c r="B23" s="7" t="s">
        <v>79</v>
      </c>
      <c r="C23" s="7">
        <f>SUM(C2:C22)</f>
        <v>75327.209999999992</v>
      </c>
      <c r="D23" s="7">
        <f>SUM(D2:D22)</f>
        <v>6701.4199999999992</v>
      </c>
      <c r="J23" s="2">
        <f>SUM(J2:J22)</f>
        <v>9309989.6569637712</v>
      </c>
      <c r="M23" s="2">
        <f>SUM(M2:M22)</f>
        <v>7868852.7947470602</v>
      </c>
      <c r="N23" s="2">
        <f>SUM(N2:N22)</f>
        <v>2278510.6933877701</v>
      </c>
      <c r="O23" s="2">
        <f>SUM(O2:O22)</f>
        <v>699451.03604812012</v>
      </c>
      <c r="P23" s="2">
        <f>SUM(P2:P22)</f>
        <v>202514.04809041001</v>
      </c>
    </row>
    <row r="24" spans="1:17" x14ac:dyDescent="0.3">
      <c r="D24" s="2" t="s">
        <v>17</v>
      </c>
      <c r="E24" s="2">
        <f>AVERAGE(E2:E22)</f>
        <v>1632.1553534285711</v>
      </c>
      <c r="F24" s="2" t="s">
        <v>10</v>
      </c>
      <c r="G24" s="2">
        <f>SUM(G2:G22)</f>
        <v>261535.49222400002</v>
      </c>
      <c r="H24" s="2">
        <v>8204</v>
      </c>
      <c r="L24" s="2" t="s">
        <v>12</v>
      </c>
      <c r="M24" s="2">
        <f>M23/C23</f>
        <v>104.46228918802463</v>
      </c>
      <c r="N24" s="2">
        <f>N23/C23</f>
        <v>30.248175836962105</v>
      </c>
      <c r="O24" s="2">
        <f>O23/D23</f>
        <v>104.37355605947997</v>
      </c>
      <c r="P24" s="2">
        <f>P23/D23</f>
        <v>30.219572581693139</v>
      </c>
    </row>
    <row r="25" spans="1:17" x14ac:dyDescent="0.3">
      <c r="B25" s="2" t="s">
        <v>57</v>
      </c>
      <c r="C25" s="2">
        <f>E2-E21</f>
        <v>8290.4074860000001</v>
      </c>
      <c r="D25" s="2" t="s">
        <v>13</v>
      </c>
      <c r="E25" s="2">
        <f>1+1/21-G24/(21*21*E24)</f>
        <v>0.68426454124211267</v>
      </c>
      <c r="F25" s="2" t="s">
        <v>14</v>
      </c>
      <c r="G25" s="2">
        <f>SQRT(J23)/E24</f>
        <v>1.869446777337626</v>
      </c>
    </row>
    <row r="28" spans="1:17" x14ac:dyDescent="0.3">
      <c r="A28" s="4" t="s">
        <v>0</v>
      </c>
      <c r="B28" s="4" t="s">
        <v>1</v>
      </c>
      <c r="C28" s="4" t="s">
        <v>1</v>
      </c>
      <c r="D28" s="4" t="s">
        <v>1</v>
      </c>
    </row>
    <row r="29" spans="1:17" x14ac:dyDescent="0.3">
      <c r="A29" s="4" t="s">
        <v>2</v>
      </c>
      <c r="B29" s="4" t="s">
        <v>3</v>
      </c>
      <c r="C29" s="4" t="s">
        <v>4</v>
      </c>
      <c r="D29" s="4" t="s">
        <v>5</v>
      </c>
    </row>
    <row r="30" spans="1:17" x14ac:dyDescent="0.3">
      <c r="A30" s="4" t="s">
        <v>6</v>
      </c>
      <c r="B30" s="4">
        <v>0.85319999999999996</v>
      </c>
      <c r="C30" s="4">
        <v>0.14680000000000001</v>
      </c>
      <c r="D30" s="4" t="s">
        <v>20</v>
      </c>
    </row>
    <row r="31" spans="1:17" x14ac:dyDescent="0.3">
      <c r="A31" s="4" t="s">
        <v>8</v>
      </c>
      <c r="B31" s="4">
        <v>0.78139999999999998</v>
      </c>
      <c r="C31" s="4">
        <v>0.21859999999999999</v>
      </c>
      <c r="D31" s="4" t="s">
        <v>21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DC4E3-F3F8-4EFD-9907-60BAFA20D65F}">
  <dimension ref="A1:S32"/>
  <sheetViews>
    <sheetView workbookViewId="0">
      <selection sqref="A1:XFD1"/>
    </sheetView>
  </sheetViews>
  <sheetFormatPr defaultColWidth="9" defaultRowHeight="14" x14ac:dyDescent="0.3"/>
  <cols>
    <col min="1" max="1" width="16.75" style="2" customWidth="1"/>
    <col min="2" max="2" width="14.83203125" style="2" customWidth="1"/>
    <col min="3" max="3" width="18.33203125" style="2" customWidth="1"/>
    <col min="4" max="4" width="14.83203125" style="2" customWidth="1"/>
    <col min="5" max="9" width="15.5" style="10" customWidth="1"/>
    <col min="10" max="10" width="11.58203125" style="2" bestFit="1" customWidth="1"/>
    <col min="11" max="16384" width="9" style="2"/>
  </cols>
  <sheetData>
    <row r="1" spans="1:19" ht="13.5" customHeight="1" x14ac:dyDescent="0.3">
      <c r="A1" s="2" t="s">
        <v>83</v>
      </c>
      <c r="B1" s="1" t="s">
        <v>84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92</v>
      </c>
      <c r="H1" s="1" t="s">
        <v>90</v>
      </c>
      <c r="I1" s="1" t="s">
        <v>91</v>
      </c>
      <c r="J1" t="s">
        <v>85</v>
      </c>
      <c r="K1" t="s">
        <v>81</v>
      </c>
      <c r="L1" t="s">
        <v>82</v>
      </c>
      <c r="M1" s="1" t="s">
        <v>98</v>
      </c>
      <c r="N1" s="1" t="s">
        <v>103</v>
      </c>
      <c r="O1" s="2" t="s">
        <v>99</v>
      </c>
      <c r="P1" s="1" t="s">
        <v>101</v>
      </c>
      <c r="Q1" s="1" t="s">
        <v>100</v>
      </c>
      <c r="R1" s="1"/>
      <c r="S1" s="1"/>
    </row>
    <row r="2" spans="1:19" x14ac:dyDescent="0.3">
      <c r="A2" s="1">
        <v>2016</v>
      </c>
      <c r="B2" s="1" t="s">
        <v>58</v>
      </c>
      <c r="C2" s="7">
        <v>19756.48</v>
      </c>
      <c r="D2" s="7">
        <v>2425.58</v>
      </c>
      <c r="E2" s="8">
        <v>9096.2434099999991</v>
      </c>
      <c r="F2" s="9">
        <v>1</v>
      </c>
      <c r="G2" s="10">
        <f t="shared" ref="G2:G22" si="0">E2*F2</f>
        <v>9096.2434099999991</v>
      </c>
      <c r="H2" s="2">
        <v>1591.76</v>
      </c>
      <c r="I2" s="10">
        <f>E2-1783.34</f>
        <v>7312.903409999999</v>
      </c>
      <c r="J2" s="2">
        <f>I2*I2*H2/8262</f>
        <v>10303198.590002822</v>
      </c>
      <c r="K2" s="2">
        <v>104.07274200000001</v>
      </c>
      <c r="L2" s="2">
        <v>30.578983999999998</v>
      </c>
      <c r="M2" s="2">
        <f>C2*K2</f>
        <v>2056111.04586816</v>
      </c>
      <c r="N2" s="2">
        <f>C2*L2</f>
        <v>604133.08581631992</v>
      </c>
      <c r="O2" s="2">
        <f>D2*K2</f>
        <v>252436.76154035999</v>
      </c>
      <c r="P2" s="2">
        <f>D2*L2</f>
        <v>74171.77201072</v>
      </c>
      <c r="Q2" s="2">
        <f>E2/1783.33658</f>
        <v>5.1006879531400626</v>
      </c>
      <c r="R2" s="2">
        <v>76960</v>
      </c>
    </row>
    <row r="3" spans="1:19" x14ac:dyDescent="0.3">
      <c r="A3" s="1">
        <v>2016</v>
      </c>
      <c r="B3" s="1" t="s">
        <v>59</v>
      </c>
      <c r="C3" s="7">
        <v>3186.27</v>
      </c>
      <c r="D3" s="7">
        <v>283.63</v>
      </c>
      <c r="E3" s="8">
        <v>1400.8561359999999</v>
      </c>
      <c r="F3" s="9">
        <v>14</v>
      </c>
      <c r="G3" s="10">
        <f t="shared" si="0"/>
        <v>19611.985903999997</v>
      </c>
      <c r="H3" s="2">
        <v>278.08</v>
      </c>
      <c r="I3" s="10">
        <f t="shared" ref="I3:I22" si="1">E3-1783.34</f>
        <v>-382.48386400000004</v>
      </c>
      <c r="J3" s="2">
        <f t="shared" ref="J3:J22" si="2">I3*I3*H3/8262</f>
        <v>4923.9178699782906</v>
      </c>
      <c r="K3" s="2">
        <v>104.785532</v>
      </c>
      <c r="L3" s="2">
        <v>29.345369999999999</v>
      </c>
      <c r="M3" s="2">
        <f t="shared" ref="M3:M22" si="3">C3*K3</f>
        <v>333874.99704564002</v>
      </c>
      <c r="N3" s="2">
        <f t="shared" ref="N3:N22" si="4">C3*L3</f>
        <v>93502.272069899991</v>
      </c>
      <c r="O3" s="2">
        <f t="shared" ref="O3:O22" si="5">D3*K3</f>
        <v>29720.320441160002</v>
      </c>
      <c r="P3" s="2">
        <f t="shared" ref="P3:P22" si="6">D3*L3</f>
        <v>8323.2272930999989</v>
      </c>
      <c r="Q3" s="2">
        <f t="shared" ref="Q3:Q22" si="7">E3/1783.33658</f>
        <v>0.78552537513698051</v>
      </c>
      <c r="R3" s="2">
        <v>44481</v>
      </c>
    </row>
    <row r="4" spans="1:19" x14ac:dyDescent="0.3">
      <c r="A4" s="1">
        <v>2016</v>
      </c>
      <c r="B4" s="1" t="s">
        <v>60</v>
      </c>
      <c r="C4" s="7">
        <v>2062.56</v>
      </c>
      <c r="D4" s="7">
        <v>242.58</v>
      </c>
      <c r="E4" s="8">
        <v>943.09030200000007</v>
      </c>
      <c r="F4" s="9">
        <v>17</v>
      </c>
      <c r="G4" s="10">
        <f t="shared" si="0"/>
        <v>16032.535134000002</v>
      </c>
      <c r="H4" s="2">
        <v>123.56</v>
      </c>
      <c r="I4" s="10">
        <f t="shared" si="1"/>
        <v>-840.24969799999985</v>
      </c>
      <c r="J4" s="2">
        <f t="shared" si="2"/>
        <v>10558.675407220055</v>
      </c>
      <c r="K4" s="2">
        <v>101.72505</v>
      </c>
      <c r="L4" s="2">
        <v>26.588200000000001</v>
      </c>
      <c r="M4" s="2">
        <f t="shared" si="3"/>
        <v>209814.01912799999</v>
      </c>
      <c r="N4" s="2">
        <f t="shared" si="4"/>
        <v>54839.757791999997</v>
      </c>
      <c r="O4" s="2">
        <f t="shared" si="5"/>
        <v>24676.462629000001</v>
      </c>
      <c r="P4" s="2">
        <f t="shared" si="6"/>
        <v>6449.7655560000003</v>
      </c>
      <c r="Q4" s="2">
        <f t="shared" si="7"/>
        <v>0.52883472058875169</v>
      </c>
      <c r="R4" s="2">
        <v>82221</v>
      </c>
    </row>
    <row r="5" spans="1:19" x14ac:dyDescent="0.3">
      <c r="A5" s="1">
        <v>2016</v>
      </c>
      <c r="B5" s="1" t="s">
        <v>61</v>
      </c>
      <c r="C5" s="7">
        <v>3616.02</v>
      </c>
      <c r="D5" s="7">
        <v>331.22</v>
      </c>
      <c r="E5" s="8">
        <v>1595.53952</v>
      </c>
      <c r="F5" s="9">
        <v>11</v>
      </c>
      <c r="G5" s="10">
        <f t="shared" si="0"/>
        <v>17550.934720000001</v>
      </c>
      <c r="H5" s="2">
        <v>430.64</v>
      </c>
      <c r="I5" s="10">
        <f t="shared" si="1"/>
        <v>-187.80047999999988</v>
      </c>
      <c r="J5" s="2">
        <f t="shared" si="2"/>
        <v>1838.3261797293053</v>
      </c>
      <c r="K5" s="2">
        <v>105.448463</v>
      </c>
      <c r="L5" s="2">
        <v>28.876978000000001</v>
      </c>
      <c r="M5" s="2">
        <f t="shared" si="3"/>
        <v>381303.75117726001</v>
      </c>
      <c r="N5" s="2">
        <f t="shared" si="4"/>
        <v>104419.72998756</v>
      </c>
      <c r="O5" s="2">
        <f t="shared" si="5"/>
        <v>34926.639914860003</v>
      </c>
      <c r="P5" s="2">
        <f t="shared" si="6"/>
        <v>9564.6326531600007</v>
      </c>
      <c r="Q5" s="2">
        <f t="shared" si="7"/>
        <v>0.89469342910018712</v>
      </c>
      <c r="R5" s="2">
        <v>34497</v>
      </c>
    </row>
    <row r="6" spans="1:19" x14ac:dyDescent="0.3">
      <c r="A6" s="1">
        <v>2016</v>
      </c>
      <c r="B6" s="1" t="s">
        <v>62</v>
      </c>
      <c r="C6" s="7">
        <v>2601.0100000000002</v>
      </c>
      <c r="D6" s="7">
        <v>189.91</v>
      </c>
      <c r="E6" s="8">
        <v>1117.9423900000002</v>
      </c>
      <c r="F6" s="9">
        <v>16</v>
      </c>
      <c r="G6" s="10">
        <f t="shared" si="0"/>
        <v>17887.078240000003</v>
      </c>
      <c r="H6" s="2">
        <v>351.96999999999997</v>
      </c>
      <c r="I6" s="10">
        <f t="shared" si="1"/>
        <v>-665.39760999999976</v>
      </c>
      <c r="J6" s="2">
        <f t="shared" si="2"/>
        <v>18861.7911071417</v>
      </c>
      <c r="K6" s="2">
        <v>104.40422700000001</v>
      </c>
      <c r="L6" s="2">
        <v>31.133751</v>
      </c>
      <c r="M6" s="2">
        <f t="shared" si="3"/>
        <v>271556.43846927001</v>
      </c>
      <c r="N6" s="2">
        <f t="shared" si="4"/>
        <v>80979.197688510001</v>
      </c>
      <c r="O6" s="2">
        <f t="shared" si="5"/>
        <v>19827.40674957</v>
      </c>
      <c r="P6" s="2">
        <f t="shared" si="6"/>
        <v>5912.6106524099996</v>
      </c>
      <c r="Q6" s="2">
        <f t="shared" si="7"/>
        <v>0.62688244190000308</v>
      </c>
      <c r="R6" s="2">
        <v>49835</v>
      </c>
    </row>
    <row r="7" spans="1:19" x14ac:dyDescent="0.3">
      <c r="A7" s="1">
        <v>2016</v>
      </c>
      <c r="B7" s="1" t="s">
        <v>63</v>
      </c>
      <c r="C7" s="7">
        <v>4205.6000000000004</v>
      </c>
      <c r="D7" s="7">
        <v>421.84</v>
      </c>
      <c r="E7" s="8">
        <v>1878.2092240000002</v>
      </c>
      <c r="F7" s="9">
        <v>4</v>
      </c>
      <c r="G7" s="10">
        <f t="shared" si="0"/>
        <v>7512.8368960000007</v>
      </c>
      <c r="H7" s="2">
        <v>481.09</v>
      </c>
      <c r="I7" s="10">
        <f t="shared" si="1"/>
        <v>94.869224000000258</v>
      </c>
      <c r="J7" s="2">
        <f t="shared" si="2"/>
        <v>524.07306013868833</v>
      </c>
      <c r="K7" s="2">
        <v>104.685653</v>
      </c>
      <c r="L7" s="2">
        <v>31.473462000000001</v>
      </c>
      <c r="M7" s="2">
        <f t="shared" si="3"/>
        <v>440265.98225680005</v>
      </c>
      <c r="N7" s="2">
        <f t="shared" si="4"/>
        <v>132364.79178720003</v>
      </c>
      <c r="O7" s="2">
        <f t="shared" si="5"/>
        <v>44160.59586152</v>
      </c>
      <c r="P7" s="2">
        <f t="shared" si="6"/>
        <v>13276.765210080001</v>
      </c>
      <c r="Q7" s="2">
        <f t="shared" si="7"/>
        <v>1.0531995166049923</v>
      </c>
      <c r="R7" s="2">
        <v>38202</v>
      </c>
    </row>
    <row r="8" spans="1:19" x14ac:dyDescent="0.3">
      <c r="A8" s="1">
        <v>2016</v>
      </c>
      <c r="B8" s="1" t="s">
        <v>64</v>
      </c>
      <c r="C8" s="7">
        <v>3792.07</v>
      </c>
      <c r="D8" s="7">
        <v>264.22000000000003</v>
      </c>
      <c r="E8" s="8">
        <v>1622.089465</v>
      </c>
      <c r="F8" s="9">
        <v>10</v>
      </c>
      <c r="G8" s="10">
        <f t="shared" si="0"/>
        <v>16220.89465</v>
      </c>
      <c r="H8" s="2">
        <v>263.5</v>
      </c>
      <c r="I8" s="10">
        <f t="shared" si="1"/>
        <v>-161.2505349999999</v>
      </c>
      <c r="J8" s="2">
        <f t="shared" si="2"/>
        <v>829.27344256313984</v>
      </c>
      <c r="K8" s="2">
        <v>105.850532</v>
      </c>
      <c r="L8" s="2">
        <v>32.442338999999997</v>
      </c>
      <c r="M8" s="2">
        <f t="shared" si="3"/>
        <v>401392.62688123999</v>
      </c>
      <c r="N8" s="2">
        <f t="shared" si="4"/>
        <v>123023.62045172999</v>
      </c>
      <c r="O8" s="2">
        <f t="shared" si="5"/>
        <v>27967.827565040003</v>
      </c>
      <c r="P8" s="2">
        <f t="shared" si="6"/>
        <v>8571.9148105799995</v>
      </c>
      <c r="Q8" s="2">
        <f t="shared" si="7"/>
        <v>0.90958122162222466</v>
      </c>
      <c r="R8" s="2">
        <v>25072</v>
      </c>
    </row>
    <row r="9" spans="1:19" x14ac:dyDescent="0.3">
      <c r="A9" s="1">
        <v>2016</v>
      </c>
      <c r="B9" s="1" t="s">
        <v>65</v>
      </c>
      <c r="C9" s="7">
        <v>3931.81</v>
      </c>
      <c r="D9" s="7">
        <v>310.01</v>
      </c>
      <c r="E9" s="8">
        <v>1704.0408200000002</v>
      </c>
      <c r="F9" s="9">
        <v>7</v>
      </c>
      <c r="G9" s="10">
        <f t="shared" si="0"/>
        <v>11928.285740000001</v>
      </c>
      <c r="H9" s="2">
        <v>329.8</v>
      </c>
      <c r="I9" s="10">
        <f t="shared" si="1"/>
        <v>-79.299179999999751</v>
      </c>
      <c r="J9" s="2">
        <f t="shared" si="2"/>
        <v>251.01683745729179</v>
      </c>
      <c r="K9" s="2">
        <v>105.599143</v>
      </c>
      <c r="L9" s="2">
        <v>30.539141000000001</v>
      </c>
      <c r="M9" s="2">
        <f t="shared" si="3"/>
        <v>415195.76643883</v>
      </c>
      <c r="N9" s="2">
        <f t="shared" si="4"/>
        <v>120074.09997521</v>
      </c>
      <c r="O9" s="2">
        <f t="shared" si="5"/>
        <v>32736.790321429999</v>
      </c>
      <c r="P9" s="2">
        <f t="shared" si="6"/>
        <v>9467.4391014100001</v>
      </c>
      <c r="Q9" s="2">
        <f t="shared" si="7"/>
        <v>0.95553516880139377</v>
      </c>
      <c r="R9" s="2">
        <v>30615</v>
      </c>
    </row>
    <row r="10" spans="1:19" x14ac:dyDescent="0.3">
      <c r="A10" s="1">
        <v>2016</v>
      </c>
      <c r="B10" s="1" t="s">
        <v>66</v>
      </c>
      <c r="C10" s="7">
        <v>3304.8</v>
      </c>
      <c r="D10" s="7">
        <v>215.48</v>
      </c>
      <c r="E10" s="8">
        <v>1404.559268</v>
      </c>
      <c r="F10" s="9">
        <v>13</v>
      </c>
      <c r="G10" s="10">
        <f t="shared" si="0"/>
        <v>18259.270484000001</v>
      </c>
      <c r="H10" s="2">
        <v>374.66</v>
      </c>
      <c r="I10" s="10">
        <f t="shared" si="1"/>
        <v>-378.78073199999994</v>
      </c>
      <c r="J10" s="2">
        <f t="shared" si="2"/>
        <v>6506.2072928858879</v>
      </c>
      <c r="K10" s="2">
        <v>105.064564</v>
      </c>
      <c r="L10" s="2">
        <v>29.585822</v>
      </c>
      <c r="M10" s="2">
        <f t="shared" si="3"/>
        <v>347217.37110720004</v>
      </c>
      <c r="N10" s="2">
        <f t="shared" si="4"/>
        <v>97775.224545600009</v>
      </c>
      <c r="O10" s="2">
        <f t="shared" si="5"/>
        <v>22639.312250719999</v>
      </c>
      <c r="P10" s="2">
        <f t="shared" si="6"/>
        <v>6375.1529245599995</v>
      </c>
      <c r="Q10" s="2">
        <f t="shared" si="7"/>
        <v>0.78760189397337432</v>
      </c>
      <c r="R10" s="2">
        <v>34667</v>
      </c>
    </row>
    <row r="11" spans="1:19" x14ac:dyDescent="0.3">
      <c r="A11" s="1">
        <v>2016</v>
      </c>
      <c r="B11" s="1" t="s">
        <v>67</v>
      </c>
      <c r="C11" s="7">
        <v>4359.6899999999996</v>
      </c>
      <c r="D11" s="7">
        <v>622.58000000000004</v>
      </c>
      <c r="E11" s="8">
        <v>2060.9936389999998</v>
      </c>
      <c r="F11" s="9">
        <v>2</v>
      </c>
      <c r="G11" s="10">
        <f t="shared" si="0"/>
        <v>4121.9872779999996</v>
      </c>
      <c r="H11" s="2">
        <v>326.5</v>
      </c>
      <c r="I11" s="10">
        <f t="shared" si="1"/>
        <v>277.65363899999988</v>
      </c>
      <c r="J11" s="2">
        <f t="shared" si="2"/>
        <v>3046.524917829357</v>
      </c>
      <c r="K11" s="2">
        <v>103.772521</v>
      </c>
      <c r="L11" s="2">
        <v>29.558285000000001</v>
      </c>
      <c r="M11" s="2">
        <f t="shared" si="3"/>
        <v>452416.02207848994</v>
      </c>
      <c r="N11" s="2">
        <f t="shared" si="4"/>
        <v>128864.95953164999</v>
      </c>
      <c r="O11" s="2">
        <f t="shared" si="5"/>
        <v>64606.696124180002</v>
      </c>
      <c r="P11" s="2">
        <f t="shared" si="6"/>
        <v>18402.397075300003</v>
      </c>
      <c r="Q11" s="2">
        <f t="shared" si="7"/>
        <v>1.1556952636501181</v>
      </c>
      <c r="R11" s="2">
        <v>43110</v>
      </c>
    </row>
    <row r="12" spans="1:19" x14ac:dyDescent="0.3">
      <c r="A12" s="1">
        <v>2016</v>
      </c>
      <c r="B12" s="1" t="s">
        <v>68</v>
      </c>
      <c r="C12" s="7">
        <v>4251.5</v>
      </c>
      <c r="D12" s="7">
        <v>374.53</v>
      </c>
      <c r="E12" s="8">
        <v>1866.7757530000001</v>
      </c>
      <c r="F12" s="9">
        <v>5</v>
      </c>
      <c r="G12" s="10">
        <f t="shared" si="0"/>
        <v>9333.8787650000013</v>
      </c>
      <c r="H12" s="2">
        <v>640.22</v>
      </c>
      <c r="I12" s="10">
        <f t="shared" si="1"/>
        <v>83.435753000000204</v>
      </c>
      <c r="J12" s="2">
        <f t="shared" si="2"/>
        <v>539.44655747114712</v>
      </c>
      <c r="K12" s="2">
        <v>106.11712300000001</v>
      </c>
      <c r="L12" s="2">
        <v>30.843219999999999</v>
      </c>
      <c r="M12" s="2">
        <f t="shared" si="3"/>
        <v>451156.94843450002</v>
      </c>
      <c r="N12" s="2">
        <f t="shared" si="4"/>
        <v>131129.94983</v>
      </c>
      <c r="O12" s="2">
        <f t="shared" si="5"/>
        <v>39744.046077189996</v>
      </c>
      <c r="P12" s="2">
        <f t="shared" si="6"/>
        <v>11551.7111866</v>
      </c>
      <c r="Q12" s="2">
        <f t="shared" si="7"/>
        <v>1.0467882361275851</v>
      </c>
      <c r="R12" s="2">
        <v>25871</v>
      </c>
    </row>
    <row r="13" spans="1:19" x14ac:dyDescent="0.3">
      <c r="A13" s="1">
        <v>2016</v>
      </c>
      <c r="B13" s="1" t="s">
        <v>69</v>
      </c>
      <c r="C13" s="7">
        <v>3746</v>
      </c>
      <c r="D13" s="7">
        <v>295</v>
      </c>
      <c r="E13" s="8">
        <v>1623.2899000000002</v>
      </c>
      <c r="F13" s="9">
        <v>9</v>
      </c>
      <c r="G13" s="10">
        <f t="shared" si="0"/>
        <v>14609.609100000001</v>
      </c>
      <c r="H13" s="2">
        <v>300.09000000000003</v>
      </c>
      <c r="I13" s="10">
        <f t="shared" si="1"/>
        <v>-160.0500999999997</v>
      </c>
      <c r="J13" s="2">
        <f t="shared" si="2"/>
        <v>930.4182759754143</v>
      </c>
      <c r="K13" s="2">
        <v>103.854991</v>
      </c>
      <c r="L13" s="2">
        <v>30.082841999999999</v>
      </c>
      <c r="M13" s="2">
        <f t="shared" si="3"/>
        <v>389040.796286</v>
      </c>
      <c r="N13" s="2">
        <f t="shared" si="4"/>
        <v>112690.326132</v>
      </c>
      <c r="O13" s="2">
        <f t="shared" si="5"/>
        <v>30637.222344999998</v>
      </c>
      <c r="P13" s="2">
        <f t="shared" si="6"/>
        <v>8874.4383899999993</v>
      </c>
      <c r="Q13" s="2">
        <f t="shared" si="7"/>
        <v>0.91025436151822803</v>
      </c>
      <c r="R13" s="2">
        <v>37227</v>
      </c>
    </row>
    <row r="14" spans="1:19" x14ac:dyDescent="0.3">
      <c r="A14" s="1">
        <v>2016</v>
      </c>
      <c r="B14" s="1" t="s">
        <v>70</v>
      </c>
      <c r="C14" s="7">
        <v>4277.74</v>
      </c>
      <c r="D14" s="7">
        <v>420.75</v>
      </c>
      <c r="E14" s="8">
        <v>1905.3054510000002</v>
      </c>
      <c r="F14" s="9">
        <v>3</v>
      </c>
      <c r="G14" s="10">
        <f t="shared" si="0"/>
        <v>5715.9163530000005</v>
      </c>
      <c r="H14" s="2">
        <v>451</v>
      </c>
      <c r="I14" s="10">
        <f t="shared" si="1"/>
        <v>121.96545100000026</v>
      </c>
      <c r="J14" s="2">
        <f t="shared" si="2"/>
        <v>812.01677900904042</v>
      </c>
      <c r="K14" s="2">
        <v>104.649316</v>
      </c>
      <c r="L14" s="2">
        <v>28.758631000000001</v>
      </c>
      <c r="M14" s="2">
        <f t="shared" si="3"/>
        <v>447662.56502583995</v>
      </c>
      <c r="N14" s="2">
        <f t="shared" si="4"/>
        <v>123021.94617394</v>
      </c>
      <c r="O14" s="2">
        <f t="shared" si="5"/>
        <v>44031.199707</v>
      </c>
      <c r="P14" s="2">
        <f t="shared" si="6"/>
        <v>12100.193993250001</v>
      </c>
      <c r="Q14" s="2">
        <f t="shared" si="7"/>
        <v>1.0683936349244854</v>
      </c>
      <c r="R14" s="2">
        <v>36735</v>
      </c>
    </row>
    <row r="15" spans="1:19" x14ac:dyDescent="0.3">
      <c r="A15" s="1">
        <v>2016</v>
      </c>
      <c r="B15" s="1" t="s">
        <v>71</v>
      </c>
      <c r="C15" s="7">
        <v>3436.26</v>
      </c>
      <c r="D15" s="7">
        <v>302.01</v>
      </c>
      <c r="E15" s="8">
        <v>1508.3828250000001</v>
      </c>
      <c r="F15" s="9">
        <v>12</v>
      </c>
      <c r="G15" s="10">
        <f t="shared" si="0"/>
        <v>18100.5939</v>
      </c>
      <c r="H15" s="2">
        <v>326.46999999999997</v>
      </c>
      <c r="I15" s="10">
        <f t="shared" si="1"/>
        <v>-274.95717499999978</v>
      </c>
      <c r="J15" s="2">
        <f t="shared" si="2"/>
        <v>2987.3644100674305</v>
      </c>
      <c r="K15" s="2">
        <v>106.639184</v>
      </c>
      <c r="L15" s="2">
        <v>30.462142</v>
      </c>
      <c r="M15" s="2">
        <f t="shared" si="3"/>
        <v>366439.96241184004</v>
      </c>
      <c r="N15" s="2">
        <f t="shared" si="4"/>
        <v>104675.84006892001</v>
      </c>
      <c r="O15" s="2">
        <f t="shared" si="5"/>
        <v>32206.099959839998</v>
      </c>
      <c r="P15" s="2">
        <f t="shared" si="6"/>
        <v>9199.8715054200002</v>
      </c>
      <c r="Q15" s="2">
        <f t="shared" si="7"/>
        <v>0.84582060499202016</v>
      </c>
      <c r="R15" s="2">
        <v>33130</v>
      </c>
    </row>
    <row r="16" spans="1:19" x14ac:dyDescent="0.3">
      <c r="A16" s="1">
        <v>2016</v>
      </c>
      <c r="B16" s="1" t="s">
        <v>72</v>
      </c>
      <c r="C16" s="7">
        <v>1912.79</v>
      </c>
      <c r="D16" s="7">
        <v>140.80000000000001</v>
      </c>
      <c r="E16" s="8">
        <v>822.83895100000007</v>
      </c>
      <c r="F16" s="9">
        <v>19</v>
      </c>
      <c r="G16" s="10">
        <f t="shared" si="0"/>
        <v>15633.940069000002</v>
      </c>
      <c r="H16" s="2">
        <v>559.77</v>
      </c>
      <c r="I16" s="10">
        <f t="shared" si="1"/>
        <v>-960.50104899999985</v>
      </c>
      <c r="J16" s="2">
        <f t="shared" si="2"/>
        <v>62505.770897104347</v>
      </c>
      <c r="K16" s="2">
        <v>107.474424</v>
      </c>
      <c r="L16" s="2">
        <v>31.214942000000001</v>
      </c>
      <c r="M16" s="2">
        <f t="shared" si="3"/>
        <v>205576.00348295999</v>
      </c>
      <c r="N16" s="2">
        <f t="shared" si="4"/>
        <v>59707.628908179999</v>
      </c>
      <c r="O16" s="2">
        <f t="shared" si="5"/>
        <v>15132.398899200001</v>
      </c>
      <c r="P16" s="2">
        <f t="shared" si="6"/>
        <v>4395.0638336000002</v>
      </c>
      <c r="Q16" s="2">
        <f t="shared" si="7"/>
        <v>0.46140417923799898</v>
      </c>
      <c r="R16" s="2">
        <v>25921</v>
      </c>
    </row>
    <row r="17" spans="1:18" x14ac:dyDescent="0.3">
      <c r="A17" s="1">
        <v>2016</v>
      </c>
      <c r="B17" s="1" t="s">
        <v>73</v>
      </c>
      <c r="C17" s="7">
        <v>2725.92</v>
      </c>
      <c r="D17" s="7">
        <v>207.9</v>
      </c>
      <c r="E17" s="8">
        <v>1177.0858980000003</v>
      </c>
      <c r="F17" s="9">
        <v>15</v>
      </c>
      <c r="G17" s="10">
        <f t="shared" si="0"/>
        <v>17656.288470000003</v>
      </c>
      <c r="H17" s="2">
        <v>153.97</v>
      </c>
      <c r="I17" s="10">
        <f t="shared" si="1"/>
        <v>-606.25410199999965</v>
      </c>
      <c r="J17" s="2">
        <f t="shared" si="2"/>
        <v>6849.5225432650022</v>
      </c>
      <c r="K17" s="2">
        <v>103.048153</v>
      </c>
      <c r="L17" s="2">
        <v>30.015991</v>
      </c>
      <c r="M17" s="2">
        <f t="shared" si="3"/>
        <v>280901.02122575999</v>
      </c>
      <c r="N17" s="2">
        <f t="shared" si="4"/>
        <v>81821.190186720007</v>
      </c>
      <c r="O17" s="2">
        <f t="shared" si="5"/>
        <v>21423.7110087</v>
      </c>
      <c r="P17" s="2">
        <f t="shared" si="6"/>
        <v>6240.3245288999997</v>
      </c>
      <c r="Q17" s="2">
        <f t="shared" si="7"/>
        <v>0.66004696544720698</v>
      </c>
      <c r="R17" s="2">
        <v>35335</v>
      </c>
    </row>
    <row r="18" spans="1:18" x14ac:dyDescent="0.3">
      <c r="A18" s="1">
        <v>2016</v>
      </c>
      <c r="B18" s="1" t="s">
        <v>74</v>
      </c>
      <c r="C18" s="7">
        <v>2171</v>
      </c>
      <c r="D18" s="7">
        <v>166.67</v>
      </c>
      <c r="E18" s="8">
        <v>938.13661700000011</v>
      </c>
      <c r="F18" s="9">
        <v>18</v>
      </c>
      <c r="G18" s="10">
        <f t="shared" si="0"/>
        <v>16886.459106000002</v>
      </c>
      <c r="H18" s="2">
        <v>331.14</v>
      </c>
      <c r="I18" s="10">
        <f t="shared" si="1"/>
        <v>-845.2033829999998</v>
      </c>
      <c r="J18" s="2">
        <f t="shared" si="2"/>
        <v>28631.816840265808</v>
      </c>
      <c r="K18" s="2">
        <v>106.754109</v>
      </c>
      <c r="L18" s="2">
        <v>31.873559</v>
      </c>
      <c r="M18" s="2">
        <f t="shared" si="3"/>
        <v>231763.17063899999</v>
      </c>
      <c r="N18" s="2">
        <f t="shared" si="4"/>
        <v>69197.496589000002</v>
      </c>
      <c r="O18" s="2">
        <f t="shared" si="5"/>
        <v>17792.707347029998</v>
      </c>
      <c r="P18" s="2">
        <f t="shared" si="6"/>
        <v>5312.3660785299999</v>
      </c>
      <c r="Q18" s="2">
        <f t="shared" si="7"/>
        <v>0.52605695835611699</v>
      </c>
      <c r="R18" s="2">
        <v>16405</v>
      </c>
    </row>
    <row r="19" spans="1:18" x14ac:dyDescent="0.3">
      <c r="A19" s="1">
        <v>2016</v>
      </c>
      <c r="B19" s="1" t="s">
        <v>75</v>
      </c>
      <c r="C19" s="7">
        <v>1897.01</v>
      </c>
      <c r="D19" s="7">
        <v>140.19</v>
      </c>
      <c r="E19" s="8">
        <v>816.39001800000005</v>
      </c>
      <c r="F19" s="9">
        <v>20</v>
      </c>
      <c r="G19" s="10">
        <f t="shared" si="0"/>
        <v>16327.800360000001</v>
      </c>
      <c r="H19" s="2">
        <v>254.05</v>
      </c>
      <c r="I19" s="10">
        <f t="shared" si="1"/>
        <v>-966.94998199999986</v>
      </c>
      <c r="J19" s="2">
        <f t="shared" si="2"/>
        <v>28750.276640836808</v>
      </c>
      <c r="K19" s="2">
        <v>104.633825</v>
      </c>
      <c r="L19" s="2">
        <v>30.135162999999999</v>
      </c>
      <c r="M19" s="2">
        <f t="shared" si="3"/>
        <v>198491.41236325001</v>
      </c>
      <c r="N19" s="2">
        <f t="shared" si="4"/>
        <v>57166.705562629999</v>
      </c>
      <c r="O19" s="2">
        <f t="shared" si="5"/>
        <v>14668.615926750001</v>
      </c>
      <c r="P19" s="2">
        <f t="shared" si="6"/>
        <v>4224.64850097</v>
      </c>
      <c r="Q19" s="2">
        <f t="shared" si="7"/>
        <v>0.45778796170939312</v>
      </c>
      <c r="R19" s="2">
        <v>37308</v>
      </c>
    </row>
    <row r="20" spans="1:18" x14ac:dyDescent="0.3">
      <c r="A20" s="1">
        <v>2016</v>
      </c>
      <c r="B20" s="1" t="s">
        <v>76</v>
      </c>
      <c r="C20" s="7">
        <v>3750.29</v>
      </c>
      <c r="D20" s="7">
        <v>313.72000000000003</v>
      </c>
      <c r="E20" s="8">
        <v>1636.4557930000001</v>
      </c>
      <c r="F20" s="9">
        <v>8</v>
      </c>
      <c r="G20" s="10">
        <f t="shared" si="0"/>
        <v>13091.646344000001</v>
      </c>
      <c r="H20" s="2">
        <v>93.46</v>
      </c>
      <c r="I20" s="10">
        <f t="shared" si="1"/>
        <v>-146.88420699999983</v>
      </c>
      <c r="J20" s="2">
        <f t="shared" si="2"/>
        <v>244.05673215469827</v>
      </c>
      <c r="K20" s="2">
        <v>102.23090999999999</v>
      </c>
      <c r="L20" s="2">
        <v>31.905656</v>
      </c>
      <c r="M20" s="2">
        <f t="shared" si="3"/>
        <v>383395.55946389999</v>
      </c>
      <c r="N20" s="2">
        <f t="shared" si="4"/>
        <v>119655.46264024</v>
      </c>
      <c r="O20" s="2">
        <f t="shared" si="5"/>
        <v>32071.881085200002</v>
      </c>
      <c r="P20" s="2">
        <f t="shared" si="6"/>
        <v>10009.44240032</v>
      </c>
      <c r="Q20" s="2">
        <f t="shared" si="7"/>
        <v>0.91763709181583664</v>
      </c>
      <c r="R20" s="2">
        <v>30171</v>
      </c>
    </row>
    <row r="21" spans="1:18" x14ac:dyDescent="0.3">
      <c r="A21" s="1">
        <v>2016</v>
      </c>
      <c r="B21" s="1" t="s">
        <v>77</v>
      </c>
      <c r="C21" s="7">
        <v>1290.5899999999999</v>
      </c>
      <c r="D21" s="7">
        <v>128.02000000000001</v>
      </c>
      <c r="E21" s="8">
        <v>575.49319300000002</v>
      </c>
      <c r="F21" s="9">
        <v>21</v>
      </c>
      <c r="G21" s="10">
        <f t="shared" si="0"/>
        <v>12085.357053</v>
      </c>
      <c r="H21" s="2">
        <v>118.05</v>
      </c>
      <c r="I21" s="10">
        <f t="shared" si="1"/>
        <v>-1207.8468069999999</v>
      </c>
      <c r="J21" s="2">
        <f t="shared" si="2"/>
        <v>20845.125390790392</v>
      </c>
      <c r="K21" s="2">
        <v>101.968649</v>
      </c>
      <c r="L21" s="2">
        <v>30.055425</v>
      </c>
      <c r="M21" s="2">
        <f t="shared" si="3"/>
        <v>131599.71871290999</v>
      </c>
      <c r="N21" s="2">
        <f t="shared" si="4"/>
        <v>38789.230950749996</v>
      </c>
      <c r="O21" s="2">
        <f t="shared" si="5"/>
        <v>13054.026444980002</v>
      </c>
      <c r="P21" s="2">
        <f t="shared" si="6"/>
        <v>3847.6955085000004</v>
      </c>
      <c r="Q21" s="2">
        <f t="shared" si="7"/>
        <v>0.32270587585883537</v>
      </c>
      <c r="R21" s="2">
        <v>19596</v>
      </c>
    </row>
    <row r="22" spans="1:18" x14ac:dyDescent="0.3">
      <c r="A22" s="1">
        <v>2016</v>
      </c>
      <c r="B22" s="1" t="s">
        <v>78</v>
      </c>
      <c r="C22" s="7">
        <v>4081.12</v>
      </c>
      <c r="D22" s="7">
        <v>301.62</v>
      </c>
      <c r="E22" s="8">
        <v>1756.3495500000001</v>
      </c>
      <c r="F22" s="9">
        <v>6</v>
      </c>
      <c r="G22" s="10">
        <f t="shared" si="0"/>
        <v>10538.097300000001</v>
      </c>
      <c r="H22" s="2">
        <v>482.22</v>
      </c>
      <c r="I22" s="10">
        <f t="shared" si="1"/>
        <v>-26.990449999999782</v>
      </c>
      <c r="J22" s="2">
        <f t="shared" si="2"/>
        <v>42.518729499596212</v>
      </c>
      <c r="K22" s="2">
        <v>102.27418900000001</v>
      </c>
      <c r="L22" s="2">
        <v>27.887442</v>
      </c>
      <c r="M22" s="2">
        <f t="shared" si="3"/>
        <v>417393.23821168003</v>
      </c>
      <c r="N22" s="2">
        <f t="shared" si="4"/>
        <v>113811.99729504</v>
      </c>
      <c r="O22" s="2">
        <f t="shared" si="5"/>
        <v>30847.940886180004</v>
      </c>
      <c r="P22" s="2">
        <f t="shared" si="6"/>
        <v>8411.4102560400006</v>
      </c>
      <c r="Q22" s="2">
        <f t="shared" si="7"/>
        <v>0.98486711353164769</v>
      </c>
      <c r="R22" s="2">
        <v>29549</v>
      </c>
    </row>
    <row r="23" spans="1:18" x14ac:dyDescent="0.3">
      <c r="A23" s="1"/>
      <c r="B23" s="7" t="s">
        <v>79</v>
      </c>
      <c r="C23" s="7">
        <f>SUM(C2:C22)</f>
        <v>84356.52999999997</v>
      </c>
      <c r="D23" s="7">
        <f>SUM(D2:D22)</f>
        <v>8098.26</v>
      </c>
      <c r="E23" s="8"/>
      <c r="F23" s="9"/>
      <c r="H23" s="2"/>
      <c r="J23" s="2">
        <f>SUM(J2:J22)</f>
        <v>10503676.729914203</v>
      </c>
      <c r="M23" s="2">
        <f>SUM(M2:M22)</f>
        <v>8812568.416708529</v>
      </c>
      <c r="N23" s="2">
        <f>SUM(N2:N22)</f>
        <v>2551644.5139830997</v>
      </c>
      <c r="O23" s="2">
        <f>SUM(O2:O22)</f>
        <v>845308.66308491013</v>
      </c>
      <c r="P23" s="2">
        <f>SUM(P2:P22)</f>
        <v>244682.84346945002</v>
      </c>
    </row>
    <row r="24" spans="1:18" x14ac:dyDescent="0.3">
      <c r="D24" s="2" t="s">
        <v>17</v>
      </c>
      <c r="E24" s="8">
        <f>AVERAGE(E2:E22)</f>
        <v>1783.3365772857148</v>
      </c>
      <c r="F24" s="10" t="s">
        <v>10</v>
      </c>
      <c r="G24" s="10">
        <f>SUM(G2:G22)</f>
        <v>288201.63927600003</v>
      </c>
      <c r="H24" s="10">
        <v>8262</v>
      </c>
      <c r="L24" s="2" t="s">
        <v>12</v>
      </c>
      <c r="M24" s="2">
        <f>M23/C23</f>
        <v>104.46812376835003</v>
      </c>
      <c r="N24" s="2">
        <f>N23/C23</f>
        <v>30.248334230712199</v>
      </c>
      <c r="O24" s="2">
        <f>O23/D23</f>
        <v>104.38151690423747</v>
      </c>
      <c r="P24" s="2">
        <f>P23/D23</f>
        <v>30.21424892130532</v>
      </c>
    </row>
    <row r="25" spans="1:18" x14ac:dyDescent="0.3">
      <c r="B25" s="2" t="s">
        <v>57</v>
      </c>
      <c r="C25" s="8">
        <f>E2-E21</f>
        <v>8520.7502169999989</v>
      </c>
      <c r="D25" s="2" t="s">
        <v>13</v>
      </c>
      <c r="E25" s="11">
        <f>1+1/21-G24/(21*21*E24)</f>
        <v>0.68116076670225323</v>
      </c>
      <c r="F25" s="10" t="s">
        <v>14</v>
      </c>
      <c r="G25" s="8">
        <f>SQRT(J23)/E24</f>
        <v>1.8173448986411687</v>
      </c>
    </row>
    <row r="29" spans="1:18" x14ac:dyDescent="0.3">
      <c r="A29" s="26" t="s">
        <v>0</v>
      </c>
      <c r="B29" s="26" t="s">
        <v>1</v>
      </c>
      <c r="C29" s="26" t="s">
        <v>1</v>
      </c>
      <c r="D29" s="26" t="s">
        <v>1</v>
      </c>
    </row>
    <row r="30" spans="1:18" x14ac:dyDescent="0.3">
      <c r="A30" s="6" t="s">
        <v>2</v>
      </c>
      <c r="B30" s="6" t="s">
        <v>3</v>
      </c>
      <c r="C30" s="6" t="s">
        <v>4</v>
      </c>
      <c r="D30" s="6" t="s">
        <v>5</v>
      </c>
    </row>
    <row r="31" spans="1:18" x14ac:dyDescent="0.3">
      <c r="A31" s="6" t="s">
        <v>6</v>
      </c>
      <c r="B31" s="6">
        <v>0.85970000000000002</v>
      </c>
      <c r="C31" s="6">
        <v>0.14030000000000001</v>
      </c>
      <c r="D31" s="6" t="s">
        <v>22</v>
      </c>
    </row>
    <row r="32" spans="1:18" x14ac:dyDescent="0.3">
      <c r="A32" s="6" t="s">
        <v>8</v>
      </c>
      <c r="B32" s="6">
        <v>0.77580000000000005</v>
      </c>
      <c r="C32" s="6">
        <v>0.22420000000000001</v>
      </c>
      <c r="D32" s="6" t="s">
        <v>23</v>
      </c>
    </row>
  </sheetData>
  <mergeCells count="1">
    <mergeCell ref="A29:D29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9543-CF64-4A3F-9BEE-4E0123B8BA74}">
  <dimension ref="A1:S29"/>
  <sheetViews>
    <sheetView workbookViewId="0">
      <selection sqref="A1:XFD1"/>
    </sheetView>
  </sheetViews>
  <sheetFormatPr defaultColWidth="9" defaultRowHeight="14" x14ac:dyDescent="0.3"/>
  <cols>
    <col min="1" max="1" width="20.33203125" style="2" customWidth="1"/>
    <col min="2" max="2" width="13.75" style="2" customWidth="1"/>
    <col min="3" max="3" width="16.58203125" style="2" customWidth="1"/>
    <col min="4" max="4" width="16.33203125" style="2" customWidth="1"/>
    <col min="5" max="5" width="12.33203125" style="10" customWidth="1"/>
    <col min="6" max="6" width="11.83203125" style="2" customWidth="1"/>
    <col min="7" max="7" width="19.83203125" style="10" customWidth="1"/>
    <col min="8" max="8" width="10.58203125" style="2" customWidth="1"/>
    <col min="9" max="9" width="13.5" style="2" customWidth="1"/>
    <col min="10" max="10" width="11.58203125" style="2" bestFit="1" customWidth="1"/>
    <col min="11" max="12" width="11.58203125" style="2" customWidth="1"/>
    <col min="13" max="13" width="11.58203125" style="2" bestFit="1" customWidth="1"/>
    <col min="14" max="16384" width="9" style="2"/>
  </cols>
  <sheetData>
    <row r="1" spans="1:19" ht="13.5" customHeight="1" x14ac:dyDescent="0.3">
      <c r="A1" s="2" t="s">
        <v>83</v>
      </c>
      <c r="B1" s="1" t="s">
        <v>84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92</v>
      </c>
      <c r="H1" s="1" t="s">
        <v>90</v>
      </c>
      <c r="I1" s="1" t="s">
        <v>91</v>
      </c>
      <c r="J1" t="s">
        <v>85</v>
      </c>
      <c r="K1" t="s">
        <v>81</v>
      </c>
      <c r="L1" t="s">
        <v>82</v>
      </c>
      <c r="M1" s="1" t="s">
        <v>98</v>
      </c>
      <c r="N1" s="1" t="s">
        <v>103</v>
      </c>
      <c r="O1" s="2" t="s">
        <v>99</v>
      </c>
      <c r="P1" s="1" t="s">
        <v>101</v>
      </c>
      <c r="Q1" s="1" t="s">
        <v>100</v>
      </c>
      <c r="R1" s="1"/>
      <c r="S1" s="1"/>
    </row>
    <row r="2" spans="1:19" x14ac:dyDescent="0.3">
      <c r="A2" s="1">
        <v>2017</v>
      </c>
      <c r="B2" s="1" t="s">
        <v>58</v>
      </c>
      <c r="C2" s="7">
        <v>20703.810000000001</v>
      </c>
      <c r="D2" s="7">
        <v>2946.24</v>
      </c>
      <c r="E2" s="10">
        <f t="shared" ref="E2:E22" si="0">C2*0.3704+D2*0.6296</f>
        <v>9523.6439280000013</v>
      </c>
      <c r="F2" s="2">
        <v>1</v>
      </c>
      <c r="G2" s="10">
        <f t="shared" ref="G2:G22" si="1">E2*F2</f>
        <v>9523.6439280000013</v>
      </c>
      <c r="H2" s="2">
        <v>1604.47</v>
      </c>
      <c r="I2" s="12">
        <f>E2-1988.36</f>
        <v>7535.2839280000017</v>
      </c>
      <c r="J2" s="2">
        <f>I2*I2*H2/8302</f>
        <v>10973574.4463074</v>
      </c>
      <c r="K2" s="2">
        <v>104.07274200000001</v>
      </c>
      <c r="L2" s="2">
        <v>30.578983999999998</v>
      </c>
      <c r="M2" s="2">
        <f>C2*K2</f>
        <v>2154702.2765470203</v>
      </c>
      <c r="N2" s="2">
        <f>C2*L2</f>
        <v>633101.47472904006</v>
      </c>
      <c r="O2" s="2">
        <f>D2*K2</f>
        <v>306623.27539008</v>
      </c>
      <c r="P2" s="2">
        <f>D2*L2</f>
        <v>90093.025820159994</v>
      </c>
      <c r="Q2" s="2">
        <v>86911</v>
      </c>
    </row>
    <row r="3" spans="1:19" x14ac:dyDescent="0.3">
      <c r="A3" s="1">
        <v>2017</v>
      </c>
      <c r="B3" s="1" t="s">
        <v>59</v>
      </c>
      <c r="C3" s="7">
        <v>4025.54</v>
      </c>
      <c r="D3" s="7">
        <v>340.9</v>
      </c>
      <c r="E3" s="10">
        <f t="shared" si="0"/>
        <v>1705.690656</v>
      </c>
      <c r="F3" s="2">
        <v>11</v>
      </c>
      <c r="G3" s="10">
        <f t="shared" si="1"/>
        <v>18762.597215999998</v>
      </c>
      <c r="H3" s="2">
        <v>290.14</v>
      </c>
      <c r="I3" s="12">
        <f t="shared" ref="I3:I22" si="2">E3-1988.36</f>
        <v>-282.66934399999991</v>
      </c>
      <c r="J3" s="2">
        <f t="shared" ref="J3:J22" si="3">I3*I3*H3/8302</f>
        <v>2792.4300295071571</v>
      </c>
      <c r="K3" s="2">
        <v>104.785532</v>
      </c>
      <c r="L3" s="2">
        <v>29.345369999999999</v>
      </c>
      <c r="M3" s="2">
        <f t="shared" ref="M3:M22" si="4">C3*K3</f>
        <v>421818.35048728</v>
      </c>
      <c r="N3" s="2">
        <f t="shared" ref="N3:N22" si="5">C3*L3</f>
        <v>118130.9607498</v>
      </c>
      <c r="O3" s="2">
        <f t="shared" ref="O3:O22" si="6">D3*K3</f>
        <v>35721.387858800001</v>
      </c>
      <c r="P3" s="2">
        <f t="shared" ref="P3:P22" si="7">D3*L3</f>
        <v>10003.836632999999</v>
      </c>
      <c r="Q3" s="2">
        <v>46182</v>
      </c>
    </row>
    <row r="4" spans="1:19" x14ac:dyDescent="0.3">
      <c r="A4" s="1">
        <v>2017</v>
      </c>
      <c r="B4" s="1" t="s">
        <v>60</v>
      </c>
      <c r="C4" s="7">
        <v>2317.44</v>
      </c>
      <c r="D4" s="7">
        <v>279.27999999999997</v>
      </c>
      <c r="E4" s="10">
        <f t="shared" si="0"/>
        <v>1034.2144639999999</v>
      </c>
      <c r="F4" s="2">
        <v>18</v>
      </c>
      <c r="G4" s="10">
        <f t="shared" si="1"/>
        <v>18615.860352</v>
      </c>
      <c r="H4" s="2">
        <v>123.61</v>
      </c>
      <c r="I4" s="12">
        <f t="shared" si="2"/>
        <v>-954.14553599999999</v>
      </c>
      <c r="J4" s="2">
        <f t="shared" si="3"/>
        <v>13555.018758758539</v>
      </c>
      <c r="K4" s="2">
        <v>101.72505</v>
      </c>
      <c r="L4" s="2">
        <v>26.588200000000001</v>
      </c>
      <c r="M4" s="2">
        <f t="shared" si="4"/>
        <v>235741.699872</v>
      </c>
      <c r="N4" s="2">
        <f t="shared" si="5"/>
        <v>61616.558208000002</v>
      </c>
      <c r="O4" s="2">
        <f t="shared" si="6"/>
        <v>28409.771963999996</v>
      </c>
      <c r="P4" s="2">
        <f t="shared" si="7"/>
        <v>7425.5524959999993</v>
      </c>
      <c r="Q4" s="2">
        <v>92584</v>
      </c>
    </row>
    <row r="5" spans="1:19" x14ac:dyDescent="0.3">
      <c r="A5" s="1">
        <v>2017</v>
      </c>
      <c r="B5" s="1" t="s">
        <v>61</v>
      </c>
      <c r="C5" s="7">
        <v>4934.58</v>
      </c>
      <c r="D5" s="7">
        <v>441.82</v>
      </c>
      <c r="E5" s="10">
        <f t="shared" si="0"/>
        <v>2105.9383040000002</v>
      </c>
      <c r="F5" s="2">
        <v>5</v>
      </c>
      <c r="G5" s="10">
        <f t="shared" si="1"/>
        <v>10529.69152</v>
      </c>
      <c r="H5" s="2">
        <v>431.72</v>
      </c>
      <c r="I5" s="12">
        <f t="shared" si="2"/>
        <v>117.57830400000034</v>
      </c>
      <c r="J5" s="2">
        <f t="shared" si="3"/>
        <v>718.90883724103855</v>
      </c>
      <c r="K5" s="2">
        <v>105.448463</v>
      </c>
      <c r="L5" s="2">
        <v>28.876978000000001</v>
      </c>
      <c r="M5" s="2">
        <f t="shared" si="4"/>
        <v>520343.87655054004</v>
      </c>
      <c r="N5" s="2">
        <f t="shared" si="5"/>
        <v>142495.75809924002</v>
      </c>
      <c r="O5" s="2">
        <f t="shared" si="6"/>
        <v>46589.239922660003</v>
      </c>
      <c r="P5" s="2">
        <f t="shared" si="7"/>
        <v>12758.42641996</v>
      </c>
      <c r="Q5" s="2">
        <v>37020</v>
      </c>
    </row>
    <row r="6" spans="1:19" x14ac:dyDescent="0.3">
      <c r="A6" s="1">
        <v>2017</v>
      </c>
      <c r="B6" s="1" t="s">
        <v>62</v>
      </c>
      <c r="C6" s="7">
        <v>3341.13</v>
      </c>
      <c r="D6" s="7">
        <v>284.91000000000003</v>
      </c>
      <c r="E6" s="10">
        <f t="shared" si="0"/>
        <v>1416.933888</v>
      </c>
      <c r="F6" s="2">
        <v>14</v>
      </c>
      <c r="G6" s="10">
        <f t="shared" si="1"/>
        <v>19837.074432000001</v>
      </c>
      <c r="H6" s="2">
        <v>353.16</v>
      </c>
      <c r="I6" s="12">
        <f t="shared" si="2"/>
        <v>-571.42611199999988</v>
      </c>
      <c r="J6" s="2">
        <f t="shared" si="3"/>
        <v>13890.214209716351</v>
      </c>
      <c r="K6" s="2">
        <v>104.40422700000001</v>
      </c>
      <c r="L6" s="2">
        <v>31.133751</v>
      </c>
      <c r="M6" s="2">
        <f t="shared" si="4"/>
        <v>348828.09495651006</v>
      </c>
      <c r="N6" s="2">
        <f t="shared" si="5"/>
        <v>104021.90947863</v>
      </c>
      <c r="O6" s="2">
        <f t="shared" si="6"/>
        <v>29745.808314570004</v>
      </c>
      <c r="P6" s="2">
        <f t="shared" si="7"/>
        <v>8870.3169974100001</v>
      </c>
      <c r="Q6" s="2">
        <v>55607</v>
      </c>
    </row>
    <row r="7" spans="1:19" x14ac:dyDescent="0.3">
      <c r="A7" s="1">
        <v>2017</v>
      </c>
      <c r="B7" s="1" t="s">
        <v>63</v>
      </c>
      <c r="C7" s="7">
        <v>5292.32</v>
      </c>
      <c r="D7" s="7">
        <v>533.14</v>
      </c>
      <c r="E7" s="10">
        <f t="shared" si="0"/>
        <v>2295.9402719999998</v>
      </c>
      <c r="F7" s="2">
        <v>3</v>
      </c>
      <c r="G7" s="10">
        <f t="shared" si="1"/>
        <v>6887.8208159999995</v>
      </c>
      <c r="H7" s="2">
        <v>483.56</v>
      </c>
      <c r="I7" s="12">
        <f t="shared" si="2"/>
        <v>307.58027199999992</v>
      </c>
      <c r="J7" s="2">
        <f t="shared" si="3"/>
        <v>5510.4186229560446</v>
      </c>
      <c r="K7" s="2">
        <v>104.685653</v>
      </c>
      <c r="L7" s="2">
        <v>31.473462000000001</v>
      </c>
      <c r="M7" s="2">
        <f t="shared" si="4"/>
        <v>554029.97508496</v>
      </c>
      <c r="N7" s="2">
        <f t="shared" si="5"/>
        <v>166567.63241183999</v>
      </c>
      <c r="O7" s="2">
        <f t="shared" si="6"/>
        <v>55812.10904042</v>
      </c>
      <c r="P7" s="2">
        <f t="shared" si="7"/>
        <v>16779.76153068</v>
      </c>
      <c r="Q7" s="2">
        <v>43015</v>
      </c>
    </row>
    <row r="8" spans="1:19" x14ac:dyDescent="0.3">
      <c r="A8" s="1">
        <v>2017</v>
      </c>
      <c r="B8" s="1" t="s">
        <v>64</v>
      </c>
      <c r="C8" s="7">
        <v>4514.47</v>
      </c>
      <c r="D8" s="7">
        <v>334.56</v>
      </c>
      <c r="E8" s="10">
        <f t="shared" si="0"/>
        <v>1882.7986640000001</v>
      </c>
      <c r="F8" s="2">
        <v>7</v>
      </c>
      <c r="G8" s="10">
        <f t="shared" si="1"/>
        <v>13179.590648000001</v>
      </c>
      <c r="H8" s="2">
        <v>266</v>
      </c>
      <c r="I8" s="12">
        <f t="shared" si="2"/>
        <v>-105.56133599999976</v>
      </c>
      <c r="J8" s="2">
        <f t="shared" si="3"/>
        <v>357.03325042831716</v>
      </c>
      <c r="K8" s="2">
        <v>105.850532</v>
      </c>
      <c r="L8" s="2">
        <v>32.442338999999997</v>
      </c>
      <c r="M8" s="2">
        <f t="shared" si="4"/>
        <v>477859.05119804002</v>
      </c>
      <c r="N8" s="2">
        <f t="shared" si="5"/>
        <v>146459.96614532999</v>
      </c>
      <c r="O8" s="2">
        <f t="shared" si="6"/>
        <v>35413.353985920003</v>
      </c>
      <c r="P8" s="2">
        <f t="shared" si="7"/>
        <v>10853.90893584</v>
      </c>
      <c r="Q8" s="2">
        <v>27653</v>
      </c>
    </row>
    <row r="9" spans="1:19" x14ac:dyDescent="0.3">
      <c r="A9" s="1">
        <v>2017</v>
      </c>
      <c r="B9" s="1" t="s">
        <v>65</v>
      </c>
      <c r="C9" s="7">
        <v>4356.51</v>
      </c>
      <c r="D9" s="7">
        <v>385.19</v>
      </c>
      <c r="E9" s="10">
        <f t="shared" si="0"/>
        <v>1856.1669280000003</v>
      </c>
      <c r="F9" s="2">
        <v>9</v>
      </c>
      <c r="G9" s="10">
        <f t="shared" si="1"/>
        <v>16705.502352000003</v>
      </c>
      <c r="H9" s="2">
        <v>323.58999999999997</v>
      </c>
      <c r="I9" s="12">
        <f t="shared" si="2"/>
        <v>-132.19307199999957</v>
      </c>
      <c r="J9" s="2">
        <f t="shared" si="3"/>
        <v>681.12959899752877</v>
      </c>
      <c r="K9" s="2">
        <v>105.599143</v>
      </c>
      <c r="L9" s="2">
        <v>30.539141000000001</v>
      </c>
      <c r="M9" s="2">
        <f t="shared" si="4"/>
        <v>460043.72247093002</v>
      </c>
      <c r="N9" s="2">
        <f t="shared" si="5"/>
        <v>133044.07315791</v>
      </c>
      <c r="O9" s="2">
        <f t="shared" si="6"/>
        <v>40675.733892169999</v>
      </c>
      <c r="P9" s="2">
        <f t="shared" si="7"/>
        <v>11763.371721789999</v>
      </c>
      <c r="Q9" s="2">
        <v>34835</v>
      </c>
    </row>
    <row r="10" spans="1:19" x14ac:dyDescent="0.3">
      <c r="A10" s="1">
        <v>2017</v>
      </c>
      <c r="B10" s="1" t="s">
        <v>66</v>
      </c>
      <c r="C10" s="7">
        <v>3898.55</v>
      </c>
      <c r="D10" s="7">
        <v>263.35000000000002</v>
      </c>
      <c r="E10" s="10">
        <f t="shared" si="0"/>
        <v>1609.8280800000002</v>
      </c>
      <c r="F10" s="2">
        <v>13</v>
      </c>
      <c r="G10" s="10">
        <f t="shared" si="1"/>
        <v>20927.765040000002</v>
      </c>
      <c r="H10" s="2">
        <v>375.37</v>
      </c>
      <c r="I10" s="12">
        <f t="shared" si="2"/>
        <v>-378.53191999999967</v>
      </c>
      <c r="J10" s="2">
        <f t="shared" si="3"/>
        <v>6478.6101415842077</v>
      </c>
      <c r="K10" s="2">
        <v>105.064564</v>
      </c>
      <c r="L10" s="2">
        <v>29.585822</v>
      </c>
      <c r="M10" s="2">
        <f t="shared" si="4"/>
        <v>409599.45598220004</v>
      </c>
      <c r="N10" s="2">
        <f t="shared" si="5"/>
        <v>115341.8063581</v>
      </c>
      <c r="O10" s="2">
        <f t="shared" si="6"/>
        <v>27668.752929400005</v>
      </c>
      <c r="P10" s="2">
        <f t="shared" si="7"/>
        <v>7791.4262237000012</v>
      </c>
      <c r="Q10" s="2">
        <v>35521</v>
      </c>
    </row>
    <row r="11" spans="1:19" x14ac:dyDescent="0.3">
      <c r="A11" s="1">
        <v>2017</v>
      </c>
      <c r="B11" s="1" t="s">
        <v>67</v>
      </c>
      <c r="C11" s="7">
        <v>5100.8</v>
      </c>
      <c r="D11" s="7">
        <v>765.72</v>
      </c>
      <c r="E11" s="10">
        <f t="shared" si="0"/>
        <v>2371.4336320000002</v>
      </c>
      <c r="F11" s="2">
        <v>2</v>
      </c>
      <c r="G11" s="10">
        <f t="shared" si="1"/>
        <v>4742.8672640000004</v>
      </c>
      <c r="H11" s="2">
        <v>327.20999999999998</v>
      </c>
      <c r="I11" s="12">
        <f t="shared" si="2"/>
        <v>383.07363200000032</v>
      </c>
      <c r="J11" s="2">
        <f t="shared" si="3"/>
        <v>5783.7346180550121</v>
      </c>
      <c r="K11" s="2">
        <v>103.772521</v>
      </c>
      <c r="L11" s="2">
        <v>29.558285000000001</v>
      </c>
      <c r="M11" s="2">
        <f t="shared" si="4"/>
        <v>529322.87511679996</v>
      </c>
      <c r="N11" s="2">
        <f t="shared" si="5"/>
        <v>150770.90012800001</v>
      </c>
      <c r="O11" s="2">
        <f t="shared" si="6"/>
        <v>79460.69478012</v>
      </c>
      <c r="P11" s="2">
        <f t="shared" si="7"/>
        <v>22633.369990200001</v>
      </c>
      <c r="Q11" s="2">
        <v>46130</v>
      </c>
    </row>
    <row r="12" spans="1:19" x14ac:dyDescent="0.3">
      <c r="A12" s="1">
        <v>2017</v>
      </c>
      <c r="B12" s="1" t="s">
        <v>68</v>
      </c>
      <c r="C12" s="7">
        <v>4796.5</v>
      </c>
      <c r="D12" s="7">
        <v>458.02</v>
      </c>
      <c r="E12" s="10">
        <f t="shared" si="0"/>
        <v>2064.992992</v>
      </c>
      <c r="F12" s="2">
        <v>6</v>
      </c>
      <c r="G12" s="10">
        <f t="shared" si="1"/>
        <v>12389.957952000001</v>
      </c>
      <c r="H12" s="2">
        <v>641.79</v>
      </c>
      <c r="I12" s="12">
        <f t="shared" si="2"/>
        <v>76.632992000000058</v>
      </c>
      <c r="J12" s="2">
        <f t="shared" si="3"/>
        <v>453.98529004055257</v>
      </c>
      <c r="K12" s="2">
        <v>106.11712300000001</v>
      </c>
      <c r="L12" s="2">
        <v>30.843219999999999</v>
      </c>
      <c r="M12" s="2">
        <f t="shared" si="4"/>
        <v>508990.78046950005</v>
      </c>
      <c r="N12" s="2">
        <f t="shared" si="5"/>
        <v>147939.50472999999</v>
      </c>
      <c r="O12" s="2">
        <f t="shared" si="6"/>
        <v>48603.764676459999</v>
      </c>
      <c r="P12" s="2">
        <f t="shared" si="7"/>
        <v>14126.811624399999</v>
      </c>
      <c r="Q12" s="2">
        <v>28516</v>
      </c>
    </row>
    <row r="13" spans="1:19" x14ac:dyDescent="0.3">
      <c r="A13" s="1">
        <v>2017</v>
      </c>
      <c r="B13" s="1" t="s">
        <v>69</v>
      </c>
      <c r="C13" s="7">
        <v>4356.6000000000004</v>
      </c>
      <c r="D13" s="7">
        <v>356.65</v>
      </c>
      <c r="E13" s="10">
        <f t="shared" si="0"/>
        <v>1838.2314800000001</v>
      </c>
      <c r="F13" s="2">
        <v>10</v>
      </c>
      <c r="G13" s="10">
        <f t="shared" si="1"/>
        <v>18382.3148</v>
      </c>
      <c r="H13" s="2">
        <v>297.48</v>
      </c>
      <c r="I13" s="12">
        <f t="shared" si="2"/>
        <v>-150.12851999999975</v>
      </c>
      <c r="J13" s="2">
        <f t="shared" si="3"/>
        <v>807.60955823575944</v>
      </c>
      <c r="K13" s="2">
        <v>103.854991</v>
      </c>
      <c r="L13" s="2">
        <v>30.082841999999999</v>
      </c>
      <c r="M13" s="2">
        <f t="shared" si="4"/>
        <v>452454.65379060002</v>
      </c>
      <c r="N13" s="2">
        <f t="shared" si="5"/>
        <v>131058.9094572</v>
      </c>
      <c r="O13" s="2">
        <f t="shared" si="6"/>
        <v>37039.88254015</v>
      </c>
      <c r="P13" s="2">
        <f t="shared" si="7"/>
        <v>10729.0455993</v>
      </c>
      <c r="Q13" s="2">
        <v>39605</v>
      </c>
    </row>
    <row r="14" spans="1:19" x14ac:dyDescent="0.3">
      <c r="A14" s="1">
        <v>2017</v>
      </c>
      <c r="B14" s="1" t="s">
        <v>70</v>
      </c>
      <c r="C14" s="7">
        <v>5218.3599999999997</v>
      </c>
      <c r="D14" s="7">
        <v>538.71</v>
      </c>
      <c r="E14" s="10">
        <f t="shared" si="0"/>
        <v>2272.0523599999997</v>
      </c>
      <c r="F14" s="2">
        <v>4</v>
      </c>
      <c r="G14" s="10">
        <f t="shared" si="1"/>
        <v>9088.2094399999987</v>
      </c>
      <c r="H14" s="2">
        <v>453</v>
      </c>
      <c r="I14" s="12">
        <f t="shared" si="2"/>
        <v>283.69235999999978</v>
      </c>
      <c r="J14" s="2">
        <f t="shared" si="3"/>
        <v>4391.4784233237024</v>
      </c>
      <c r="K14" s="2">
        <v>104.649316</v>
      </c>
      <c r="L14" s="2">
        <v>28.758631000000001</v>
      </c>
      <c r="M14" s="2">
        <f t="shared" si="4"/>
        <v>546097.80464175995</v>
      </c>
      <c r="N14" s="2">
        <f t="shared" si="5"/>
        <v>150072.88966516001</v>
      </c>
      <c r="O14" s="2">
        <f t="shared" si="6"/>
        <v>56375.633022360002</v>
      </c>
      <c r="P14" s="2">
        <f t="shared" si="7"/>
        <v>15492.562106010002</v>
      </c>
      <c r="Q14" s="2">
        <v>40868</v>
      </c>
    </row>
    <row r="15" spans="1:19" x14ac:dyDescent="0.3">
      <c r="A15" s="1">
        <v>2017</v>
      </c>
      <c r="B15" s="1" t="s">
        <v>71</v>
      </c>
      <c r="C15" s="7">
        <v>3879.23</v>
      </c>
      <c r="D15" s="7">
        <v>350.71</v>
      </c>
      <c r="E15" s="10">
        <f t="shared" si="0"/>
        <v>1657.673808</v>
      </c>
      <c r="F15" s="2">
        <v>12</v>
      </c>
      <c r="G15" s="10">
        <f t="shared" si="1"/>
        <v>19892.085696000002</v>
      </c>
      <c r="H15" s="2">
        <v>325.02999999999997</v>
      </c>
      <c r="I15" s="12">
        <f t="shared" si="2"/>
        <v>-330.68619199999989</v>
      </c>
      <c r="J15" s="2">
        <f t="shared" si="3"/>
        <v>4281.2722011626274</v>
      </c>
      <c r="K15" s="2">
        <v>106.639184</v>
      </c>
      <c r="L15" s="2">
        <v>30.462142</v>
      </c>
      <c r="M15" s="2">
        <f t="shared" si="4"/>
        <v>413677.92174831999</v>
      </c>
      <c r="N15" s="2">
        <f t="shared" si="5"/>
        <v>118169.65511065999</v>
      </c>
      <c r="O15" s="2">
        <f t="shared" si="6"/>
        <v>37399.428220639995</v>
      </c>
      <c r="P15" s="2">
        <f t="shared" si="7"/>
        <v>10683.37782082</v>
      </c>
      <c r="Q15" s="2">
        <v>36034</v>
      </c>
    </row>
    <row r="16" spans="1:19" x14ac:dyDescent="0.3">
      <c r="A16" s="1">
        <v>2017</v>
      </c>
      <c r="B16" s="1" t="s">
        <v>72</v>
      </c>
      <c r="C16" s="7">
        <v>2232.9899999999998</v>
      </c>
      <c r="D16" s="7">
        <v>171.08</v>
      </c>
      <c r="E16" s="10">
        <f t="shared" si="0"/>
        <v>934.81146399999989</v>
      </c>
      <c r="F16" s="2">
        <v>19</v>
      </c>
      <c r="G16" s="10">
        <f t="shared" si="1"/>
        <v>17761.417815999997</v>
      </c>
      <c r="H16" s="2">
        <v>568.95000000000005</v>
      </c>
      <c r="I16" s="12">
        <f t="shared" si="2"/>
        <v>-1053.548536</v>
      </c>
      <c r="J16" s="2">
        <f t="shared" si="3"/>
        <v>76067.73215488081</v>
      </c>
      <c r="K16" s="2">
        <v>107.474424</v>
      </c>
      <c r="L16" s="2">
        <v>31.214942000000001</v>
      </c>
      <c r="M16" s="2">
        <f t="shared" si="4"/>
        <v>239989.31404775998</v>
      </c>
      <c r="N16" s="2">
        <f t="shared" si="5"/>
        <v>69702.653336579999</v>
      </c>
      <c r="O16" s="2">
        <f t="shared" si="6"/>
        <v>18386.724457920001</v>
      </c>
      <c r="P16" s="2">
        <f t="shared" si="7"/>
        <v>5340.2522773600003</v>
      </c>
      <c r="Q16" s="2">
        <v>28066</v>
      </c>
    </row>
    <row r="17" spans="1:17" x14ac:dyDescent="0.3">
      <c r="A17" s="1">
        <v>2017</v>
      </c>
      <c r="B17" s="1" t="s">
        <v>73</v>
      </c>
      <c r="C17" s="7">
        <v>3192.25</v>
      </c>
      <c r="D17" s="7">
        <v>255.05</v>
      </c>
      <c r="E17" s="10">
        <f t="shared" si="0"/>
        <v>1342.9888800000001</v>
      </c>
      <c r="F17" s="2">
        <v>15</v>
      </c>
      <c r="G17" s="10">
        <f t="shared" si="1"/>
        <v>20144.833200000001</v>
      </c>
      <c r="H17" s="2">
        <v>153.78</v>
      </c>
      <c r="I17" s="12">
        <f t="shared" si="2"/>
        <v>-645.37111999999979</v>
      </c>
      <c r="J17" s="2">
        <f t="shared" si="3"/>
        <v>7715.0044634391379</v>
      </c>
      <c r="K17" s="2">
        <v>103.048153</v>
      </c>
      <c r="L17" s="2">
        <v>30.015991</v>
      </c>
      <c r="M17" s="2">
        <f t="shared" si="4"/>
        <v>328955.46641425003</v>
      </c>
      <c r="N17" s="2">
        <f t="shared" si="5"/>
        <v>95818.547269749994</v>
      </c>
      <c r="O17" s="2">
        <f t="shared" si="6"/>
        <v>26282.431422650003</v>
      </c>
      <c r="P17" s="2">
        <f t="shared" si="7"/>
        <v>7655.5785045500006</v>
      </c>
      <c r="Q17" s="2">
        <v>39172</v>
      </c>
    </row>
    <row r="18" spans="1:17" x14ac:dyDescent="0.3">
      <c r="A18" s="1">
        <v>2017</v>
      </c>
      <c r="B18" s="1" t="s">
        <v>74</v>
      </c>
      <c r="C18" s="7">
        <v>2630</v>
      </c>
      <c r="D18" s="7">
        <v>209.88</v>
      </c>
      <c r="E18" s="10">
        <f t="shared" si="0"/>
        <v>1106.2924480000001</v>
      </c>
      <c r="F18" s="2">
        <v>17</v>
      </c>
      <c r="G18" s="10">
        <f t="shared" si="1"/>
        <v>18806.971616000003</v>
      </c>
      <c r="H18" s="2">
        <v>331.67</v>
      </c>
      <c r="I18" s="12">
        <f t="shared" si="2"/>
        <v>-882.06755199999975</v>
      </c>
      <c r="J18" s="2">
        <f t="shared" si="3"/>
        <v>31083.302452881991</v>
      </c>
      <c r="K18" s="2">
        <v>106.754109</v>
      </c>
      <c r="L18" s="2">
        <v>31.873559</v>
      </c>
      <c r="M18" s="2">
        <f t="shared" si="4"/>
        <v>280763.30667000002</v>
      </c>
      <c r="N18" s="2">
        <f t="shared" si="5"/>
        <v>83827.460170000006</v>
      </c>
      <c r="O18" s="2">
        <f t="shared" si="6"/>
        <v>22405.55239692</v>
      </c>
      <c r="P18" s="2">
        <f t="shared" si="7"/>
        <v>6689.6225629199998</v>
      </c>
      <c r="Q18" s="2">
        <v>18148</v>
      </c>
    </row>
    <row r="19" spans="1:17" x14ac:dyDescent="0.3">
      <c r="A19" s="1">
        <v>2017</v>
      </c>
      <c r="B19" s="1" t="s">
        <v>75</v>
      </c>
      <c r="C19" s="7">
        <v>2243.85</v>
      </c>
      <c r="D19" s="7">
        <v>161.88999999999999</v>
      </c>
      <c r="E19" s="10">
        <f t="shared" si="0"/>
        <v>933.04798399999993</v>
      </c>
      <c r="F19" s="2">
        <v>20</v>
      </c>
      <c r="G19" s="10">
        <f t="shared" si="1"/>
        <v>18660.95968</v>
      </c>
      <c r="H19" s="2">
        <v>255.31</v>
      </c>
      <c r="I19" s="12">
        <f t="shared" si="2"/>
        <v>-1055.3120159999999</v>
      </c>
      <c r="J19" s="2">
        <f t="shared" si="3"/>
        <v>34248.918562263461</v>
      </c>
      <c r="K19" s="2">
        <v>104.633825</v>
      </c>
      <c r="L19" s="2">
        <v>30.135162999999999</v>
      </c>
      <c r="M19" s="2">
        <f t="shared" si="4"/>
        <v>234782.60822624998</v>
      </c>
      <c r="N19" s="2">
        <f t="shared" si="5"/>
        <v>67618.785497549994</v>
      </c>
      <c r="O19" s="2">
        <f t="shared" si="6"/>
        <v>16939.169929249998</v>
      </c>
      <c r="P19" s="2">
        <f t="shared" si="7"/>
        <v>4878.5815380699996</v>
      </c>
      <c r="Q19" s="2">
        <v>40137</v>
      </c>
    </row>
    <row r="20" spans="1:17" x14ac:dyDescent="0.3">
      <c r="A20" s="1">
        <v>2017</v>
      </c>
      <c r="B20" s="1" t="s">
        <v>76</v>
      </c>
      <c r="C20" s="7">
        <v>2904.29</v>
      </c>
      <c r="D20" s="7">
        <v>234.63</v>
      </c>
      <c r="E20" s="10">
        <f t="shared" si="0"/>
        <v>1223.472064</v>
      </c>
      <c r="F20" s="2">
        <v>16</v>
      </c>
      <c r="G20" s="10">
        <f t="shared" si="1"/>
        <v>19575.553024000001</v>
      </c>
      <c r="H20" s="2">
        <v>94.01</v>
      </c>
      <c r="I20" s="12">
        <f t="shared" si="2"/>
        <v>-764.88793599999985</v>
      </c>
      <c r="J20" s="2">
        <f t="shared" si="3"/>
        <v>6625.0162215791788</v>
      </c>
      <c r="K20" s="2">
        <v>102.23090999999999</v>
      </c>
      <c r="L20" s="2">
        <v>31.905656</v>
      </c>
      <c r="M20" s="2">
        <f t="shared" si="4"/>
        <v>296908.20960389997</v>
      </c>
      <c r="N20" s="2">
        <f t="shared" si="5"/>
        <v>92663.277664239999</v>
      </c>
      <c r="O20" s="2">
        <f t="shared" si="6"/>
        <v>23986.438413299999</v>
      </c>
      <c r="P20" s="2">
        <f t="shared" si="7"/>
        <v>7486.0240672800001</v>
      </c>
      <c r="Q20" s="2">
        <v>31487</v>
      </c>
    </row>
    <row r="21" spans="1:17" x14ac:dyDescent="0.3">
      <c r="A21" s="1">
        <v>2017</v>
      </c>
      <c r="B21" s="1" t="s">
        <v>77</v>
      </c>
      <c r="C21" s="7">
        <v>1651.42</v>
      </c>
      <c r="D21" s="7">
        <v>164.31</v>
      </c>
      <c r="E21" s="10">
        <f t="shared" si="0"/>
        <v>715.13554399999998</v>
      </c>
      <c r="F21" s="2">
        <v>21</v>
      </c>
      <c r="G21" s="10">
        <f t="shared" si="1"/>
        <v>15017.846423999999</v>
      </c>
      <c r="H21" s="2">
        <v>118.63</v>
      </c>
      <c r="I21" s="12">
        <f t="shared" si="2"/>
        <v>-1273.2244559999999</v>
      </c>
      <c r="J21" s="2">
        <f t="shared" si="3"/>
        <v>23164.436778696829</v>
      </c>
      <c r="K21" s="2">
        <v>101.968649</v>
      </c>
      <c r="L21" s="2">
        <v>30.055425</v>
      </c>
      <c r="M21" s="2">
        <f t="shared" si="4"/>
        <v>168393.06633158002</v>
      </c>
      <c r="N21" s="2">
        <f t="shared" si="5"/>
        <v>49634.1299535</v>
      </c>
      <c r="O21" s="2">
        <f t="shared" si="6"/>
        <v>16754.46871719</v>
      </c>
      <c r="P21" s="2">
        <f t="shared" si="7"/>
        <v>4938.4068817500001</v>
      </c>
      <c r="Q21" s="2">
        <v>22097</v>
      </c>
    </row>
    <row r="22" spans="1:17" x14ac:dyDescent="0.3">
      <c r="A22" s="1">
        <v>2017</v>
      </c>
      <c r="B22" s="1" t="s">
        <v>78</v>
      </c>
      <c r="C22" s="7">
        <v>4419.22</v>
      </c>
      <c r="D22" s="7">
        <v>361.08</v>
      </c>
      <c r="E22" s="10">
        <f t="shared" si="0"/>
        <v>1864.2150560000002</v>
      </c>
      <c r="F22" s="2">
        <v>8</v>
      </c>
      <c r="G22" s="10">
        <f t="shared" si="1"/>
        <v>14913.720448000002</v>
      </c>
      <c r="H22" s="2">
        <v>483.52</v>
      </c>
      <c r="I22" s="12">
        <f t="shared" si="2"/>
        <v>-124.14494399999967</v>
      </c>
      <c r="J22" s="2">
        <f t="shared" si="3"/>
        <v>897.61435102762607</v>
      </c>
      <c r="K22" s="2">
        <v>102.27418900000001</v>
      </c>
      <c r="L22" s="2">
        <v>27.887442</v>
      </c>
      <c r="M22" s="2">
        <f t="shared" si="4"/>
        <v>451972.14151258004</v>
      </c>
      <c r="N22" s="2">
        <f t="shared" si="5"/>
        <v>123240.74143524001</v>
      </c>
      <c r="O22" s="2">
        <f t="shared" si="6"/>
        <v>36929.164164120004</v>
      </c>
      <c r="P22" s="2">
        <f t="shared" si="7"/>
        <v>10069.597557359999</v>
      </c>
      <c r="Q22" s="2">
        <v>30669</v>
      </c>
    </row>
    <row r="23" spans="1:17" x14ac:dyDescent="0.3">
      <c r="A23" s="1"/>
      <c r="B23" s="7" t="s">
        <v>79</v>
      </c>
      <c r="C23" s="7">
        <f>SUM(C2:C22)</f>
        <v>96009.860000000015</v>
      </c>
      <c r="D23" s="7">
        <f>SUM(D2:D22)</f>
        <v>9837.1199999999972</v>
      </c>
      <c r="I23" s="12"/>
      <c r="M23" s="2">
        <f>SUM(M2:M22)</f>
        <v>10035274.651722783</v>
      </c>
      <c r="N23" s="2">
        <f>SUM(N2:N22)</f>
        <v>2901297.5937557695</v>
      </c>
      <c r="O23" s="2">
        <f>SUM(O2:O22)</f>
        <v>1027222.7860390999</v>
      </c>
      <c r="P23" s="2">
        <f>SUM(P2:P22)</f>
        <v>297062.85730855999</v>
      </c>
    </row>
    <row r="24" spans="1:17" x14ac:dyDescent="0.3">
      <c r="D24" s="2" t="s">
        <v>17</v>
      </c>
      <c r="E24" s="10">
        <f>AVERAGE(E2:E22)</f>
        <v>1988.3572807619043</v>
      </c>
      <c r="F24" s="2" t="s">
        <v>10</v>
      </c>
      <c r="G24" s="10">
        <f>SUM(G2:G22)</f>
        <v>324346.28366399999</v>
      </c>
      <c r="H24" s="2">
        <f>SUM(H2:H22)</f>
        <v>8302</v>
      </c>
      <c r="J24" s="2">
        <f>SUM(J2:J22)</f>
        <v>11213078.314832177</v>
      </c>
      <c r="M24" s="2">
        <f>M23/C23</f>
        <v>104.5233755337502</v>
      </c>
      <c r="N24" s="2">
        <f>N23/C23</f>
        <v>30.218746217896467</v>
      </c>
      <c r="O24" s="2">
        <f>O23/D23</f>
        <v>104.42312242191822</v>
      </c>
      <c r="P24" s="2">
        <f>P23/D23</f>
        <v>30.198153251008435</v>
      </c>
    </row>
    <row r="25" spans="1:17" x14ac:dyDescent="0.3">
      <c r="B25" s="2" t="s">
        <v>57</v>
      </c>
      <c r="C25" s="12">
        <f>E2-E21</f>
        <v>8808.5083840000007</v>
      </c>
      <c r="D25" s="2" t="s">
        <v>13</v>
      </c>
      <c r="E25" s="12">
        <f>1+1/21-G24/(21*21*E24)</f>
        <v>0.67772621779668873</v>
      </c>
      <c r="F25" s="2" t="s">
        <v>14</v>
      </c>
      <c r="G25" s="8">
        <f>SQRT(J24)/E24</f>
        <v>1.6841004961557462</v>
      </c>
    </row>
    <row r="26" spans="1:17" x14ac:dyDescent="0.3">
      <c r="A26" s="25" t="s">
        <v>0</v>
      </c>
      <c r="B26" s="25" t="s">
        <v>1</v>
      </c>
      <c r="C26" s="25" t="s">
        <v>1</v>
      </c>
      <c r="D26" s="25" t="s">
        <v>1</v>
      </c>
    </row>
    <row r="27" spans="1:17" x14ac:dyDescent="0.3">
      <c r="A27" s="4" t="s">
        <v>2</v>
      </c>
      <c r="B27" s="4" t="s">
        <v>3</v>
      </c>
      <c r="C27" s="4" t="s">
        <v>4</v>
      </c>
      <c r="D27" s="4" t="s">
        <v>5</v>
      </c>
    </row>
    <row r="28" spans="1:17" x14ac:dyDescent="0.3">
      <c r="A28" s="4" t="s">
        <v>6</v>
      </c>
      <c r="B28" s="4">
        <v>0.86209999999999998</v>
      </c>
      <c r="C28" s="4">
        <v>0.13789999999999999</v>
      </c>
      <c r="D28" s="4" t="s">
        <v>24</v>
      </c>
    </row>
    <row r="29" spans="1:17" x14ac:dyDescent="0.3">
      <c r="A29" s="4" t="s">
        <v>8</v>
      </c>
      <c r="B29" s="4">
        <v>0.76559999999999995</v>
      </c>
      <c r="C29" s="4">
        <v>0.2344</v>
      </c>
      <c r="D29" s="4" t="s">
        <v>25</v>
      </c>
    </row>
  </sheetData>
  <mergeCells count="1">
    <mergeCell ref="A26:D2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58D1-9096-4182-A69E-9273431AFF03}">
  <dimension ref="A1:S30"/>
  <sheetViews>
    <sheetView workbookViewId="0">
      <selection sqref="A1:XFD1"/>
    </sheetView>
  </sheetViews>
  <sheetFormatPr defaultColWidth="9" defaultRowHeight="14" x14ac:dyDescent="0.3"/>
  <cols>
    <col min="1" max="1" width="14.75" style="2" customWidth="1"/>
    <col min="2" max="2" width="13.25" style="2" customWidth="1"/>
    <col min="3" max="3" width="15.58203125" style="2" customWidth="1"/>
    <col min="4" max="4" width="17" style="2" customWidth="1"/>
    <col min="5" max="5" width="15.75" style="10" customWidth="1"/>
    <col min="6" max="6" width="8.83203125" style="2" customWidth="1"/>
    <col min="7" max="7" width="15.75" style="10" customWidth="1"/>
    <col min="8" max="8" width="9" style="2"/>
    <col min="9" max="9" width="12.58203125" style="2" bestFit="1" customWidth="1"/>
    <col min="10" max="10" width="11.58203125" style="2" bestFit="1" customWidth="1"/>
    <col min="11" max="12" width="9" style="2"/>
    <col min="13" max="13" width="14" style="2" bestFit="1" customWidth="1"/>
    <col min="14" max="15" width="12.83203125" style="2" bestFit="1" customWidth="1"/>
    <col min="16" max="16" width="11.33203125" style="2" bestFit="1" customWidth="1"/>
    <col min="17" max="16384" width="9" style="2"/>
  </cols>
  <sheetData>
    <row r="1" spans="1:19" ht="13.5" customHeight="1" x14ac:dyDescent="0.3">
      <c r="A1" s="2" t="s">
        <v>83</v>
      </c>
      <c r="B1" s="1" t="s">
        <v>84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92</v>
      </c>
      <c r="H1" s="1" t="s">
        <v>90</v>
      </c>
      <c r="I1" s="1" t="s">
        <v>91</v>
      </c>
      <c r="J1" t="s">
        <v>85</v>
      </c>
      <c r="K1" t="s">
        <v>81</v>
      </c>
      <c r="L1" t="s">
        <v>82</v>
      </c>
      <c r="M1" s="1" t="s">
        <v>98</v>
      </c>
      <c r="N1" s="1" t="s">
        <v>103</v>
      </c>
      <c r="O1" s="2" t="s">
        <v>99</v>
      </c>
      <c r="P1" s="1" t="s">
        <v>101</v>
      </c>
      <c r="Q1" s="1" t="s">
        <v>100</v>
      </c>
      <c r="R1" s="1"/>
      <c r="S1" s="1"/>
    </row>
    <row r="2" spans="1:19" x14ac:dyDescent="0.3">
      <c r="A2" s="1">
        <v>2018</v>
      </c>
      <c r="B2" s="1" t="s">
        <v>58</v>
      </c>
      <c r="C2" s="7">
        <v>24017.29</v>
      </c>
      <c r="D2" s="7">
        <v>3616.87</v>
      </c>
      <c r="E2" s="14">
        <f t="shared" ref="E2:E22" si="0">C2*0.443+D2*0.557</f>
        <v>12654.25606</v>
      </c>
      <c r="F2" s="2">
        <v>1</v>
      </c>
      <c r="G2" s="10">
        <f t="shared" ref="G2:G22" si="1">E2*F2</f>
        <v>12654.25606</v>
      </c>
      <c r="H2" s="2">
        <v>1633</v>
      </c>
      <c r="I2" s="8">
        <f>E2-2624.5</f>
        <v>10029.75606</v>
      </c>
      <c r="J2" s="2">
        <f>I2*I2*H2/8341</f>
        <v>19694674.357455134</v>
      </c>
      <c r="K2" s="13">
        <v>104.07274200000001</v>
      </c>
      <c r="L2" s="13">
        <v>30.578983999999998</v>
      </c>
      <c r="M2" s="15">
        <f>C2*K2</f>
        <v>2499545.2257091803</v>
      </c>
      <c r="N2" s="15">
        <f>C2*L2</f>
        <v>734424.32663336</v>
      </c>
      <c r="O2" s="15">
        <f>D2*K2</f>
        <v>376417.57835754001</v>
      </c>
      <c r="P2" s="15">
        <f>D2*L2</f>
        <v>110600.20986007999</v>
      </c>
      <c r="Q2" s="2">
        <f>E2/2624.49509</f>
        <v>4.8215963932323458</v>
      </c>
      <c r="R2" s="2">
        <v>94782</v>
      </c>
    </row>
    <row r="3" spans="1:19" x14ac:dyDescent="0.3">
      <c r="A3" s="1">
        <v>2018</v>
      </c>
      <c r="B3" s="1" t="s">
        <v>59</v>
      </c>
      <c r="C3" s="7">
        <v>4620.41</v>
      </c>
      <c r="D3" s="7">
        <v>391.69</v>
      </c>
      <c r="E3" s="14">
        <f t="shared" si="0"/>
        <v>2265.01296</v>
      </c>
      <c r="F3" s="2">
        <v>11</v>
      </c>
      <c r="G3" s="10">
        <f t="shared" si="1"/>
        <v>24915.14256</v>
      </c>
      <c r="H3" s="2">
        <v>292</v>
      </c>
      <c r="I3" s="8">
        <f t="shared" ref="I3:I22" si="2">E3-2624.5</f>
        <v>-359.48703999999998</v>
      </c>
      <c r="J3" s="2">
        <f t="shared" ref="J3:J22" si="3">I3*I3*H3/8341</f>
        <v>4524.0896922389147</v>
      </c>
      <c r="K3" s="13">
        <v>104.785532</v>
      </c>
      <c r="L3" s="13">
        <v>29.345369999999999</v>
      </c>
      <c r="M3" s="15">
        <f t="shared" ref="M3:M22" si="4">C3*K3</f>
        <v>484152.11990812002</v>
      </c>
      <c r="N3" s="15">
        <f t="shared" ref="N3:N22" si="5">C3*L3</f>
        <v>135587.64100169999</v>
      </c>
      <c r="O3" s="15">
        <f t="shared" ref="O3:O22" si="6">D3*K3</f>
        <v>41043.445029080001</v>
      </c>
      <c r="P3" s="15">
        <f t="shared" ref="P3:P22" si="7">D3*L3</f>
        <v>11494.2879753</v>
      </c>
      <c r="Q3" s="2">
        <f t="shared" ref="Q3:Q22" si="8">E3/2624.49509</f>
        <v>0.86302808057453828</v>
      </c>
      <c r="R3" s="2">
        <v>48329</v>
      </c>
    </row>
    <row r="4" spans="1:19" x14ac:dyDescent="0.3">
      <c r="A4" s="1">
        <v>2018</v>
      </c>
      <c r="B4" s="1" t="s">
        <v>60</v>
      </c>
      <c r="C4" s="7">
        <v>2566.36</v>
      </c>
      <c r="D4" s="7">
        <v>337.47</v>
      </c>
      <c r="E4" s="14">
        <f t="shared" si="0"/>
        <v>1324.8682700000002</v>
      </c>
      <c r="F4" s="2">
        <v>18</v>
      </c>
      <c r="G4" s="10">
        <f t="shared" si="1"/>
        <v>23847.628860000004</v>
      </c>
      <c r="H4" s="2">
        <v>123.6</v>
      </c>
      <c r="I4" s="8">
        <f t="shared" si="2"/>
        <v>-1299.6317299999998</v>
      </c>
      <c r="J4" s="2">
        <f t="shared" si="3"/>
        <v>25028.85379640057</v>
      </c>
      <c r="K4" s="13">
        <v>101.72505</v>
      </c>
      <c r="L4" s="13">
        <v>26.588200000000001</v>
      </c>
      <c r="M4" s="15">
        <f t="shared" si="4"/>
        <v>261063.09931799999</v>
      </c>
      <c r="N4" s="15">
        <f t="shared" si="5"/>
        <v>68234.892952000009</v>
      </c>
      <c r="O4" s="15">
        <f t="shared" si="6"/>
        <v>34329.152623499998</v>
      </c>
      <c r="P4" s="15">
        <f t="shared" si="7"/>
        <v>8972.7198540000009</v>
      </c>
      <c r="Q4" s="2">
        <f t="shared" si="8"/>
        <v>0.50480882019863116</v>
      </c>
      <c r="R4" s="2">
        <v>94938</v>
      </c>
    </row>
    <row r="5" spans="1:19" x14ac:dyDescent="0.3">
      <c r="A5" s="1">
        <v>2018</v>
      </c>
      <c r="B5" s="1" t="s">
        <v>61</v>
      </c>
      <c r="C5" s="7">
        <v>5198.37</v>
      </c>
      <c r="D5" s="7">
        <v>512.75</v>
      </c>
      <c r="E5" s="14">
        <f t="shared" si="0"/>
        <v>2588.47966</v>
      </c>
      <c r="F5" s="2">
        <v>6</v>
      </c>
      <c r="G5" s="10">
        <f t="shared" si="1"/>
        <v>15530.87796</v>
      </c>
      <c r="H5" s="2">
        <v>432.4</v>
      </c>
      <c r="I5" s="8">
        <f t="shared" si="2"/>
        <v>-36.020340000000033</v>
      </c>
      <c r="J5" s="2">
        <f t="shared" si="3"/>
        <v>67.260978305074502</v>
      </c>
      <c r="K5" s="13">
        <v>105.448463</v>
      </c>
      <c r="L5" s="13">
        <v>28.876978000000001</v>
      </c>
      <c r="M5" s="15">
        <f t="shared" si="4"/>
        <v>548160.12660531001</v>
      </c>
      <c r="N5" s="15">
        <f t="shared" si="5"/>
        <v>150113.21612586</v>
      </c>
      <c r="O5" s="15">
        <f t="shared" si="6"/>
        <v>54068.699403250001</v>
      </c>
      <c r="P5" s="15">
        <f t="shared" si="7"/>
        <v>14806.670469500001</v>
      </c>
      <c r="Q5" s="2">
        <f t="shared" si="8"/>
        <v>0.98627719665499547</v>
      </c>
      <c r="R5" s="2">
        <v>39230</v>
      </c>
    </row>
    <row r="6" spans="1:19" x14ac:dyDescent="0.3">
      <c r="A6" s="1">
        <v>2018</v>
      </c>
      <c r="B6" s="1" t="s">
        <v>62</v>
      </c>
      <c r="C6" s="7">
        <v>4332.5</v>
      </c>
      <c r="D6" s="7">
        <v>385.17</v>
      </c>
      <c r="E6" s="14">
        <f t="shared" si="0"/>
        <v>2133.8371900000002</v>
      </c>
      <c r="F6" s="2">
        <v>12</v>
      </c>
      <c r="G6" s="10">
        <f t="shared" si="1"/>
        <v>25606.046280000002</v>
      </c>
      <c r="H6" s="2">
        <v>354.5</v>
      </c>
      <c r="I6" s="8">
        <f t="shared" si="2"/>
        <v>-490.66280999999981</v>
      </c>
      <c r="J6" s="2">
        <f t="shared" si="3"/>
        <v>10232.091183312612</v>
      </c>
      <c r="K6" s="13">
        <v>104.40422700000001</v>
      </c>
      <c r="L6" s="13">
        <v>31.133751</v>
      </c>
      <c r="M6" s="15">
        <f t="shared" si="4"/>
        <v>452331.31347750005</v>
      </c>
      <c r="N6" s="15">
        <f t="shared" si="5"/>
        <v>134886.9762075</v>
      </c>
      <c r="O6" s="15">
        <f t="shared" si="6"/>
        <v>40213.376113590006</v>
      </c>
      <c r="P6" s="15">
        <f t="shared" si="7"/>
        <v>11991.78687267</v>
      </c>
      <c r="Q6" s="2">
        <f t="shared" si="8"/>
        <v>0.813046744926469</v>
      </c>
      <c r="R6" s="2">
        <v>62569</v>
      </c>
    </row>
    <row r="7" spans="1:19" x14ac:dyDescent="0.3">
      <c r="A7" s="1">
        <v>2018</v>
      </c>
      <c r="B7" s="1" t="s">
        <v>63</v>
      </c>
      <c r="C7" s="7">
        <v>6383.4</v>
      </c>
      <c r="D7" s="7">
        <v>647.4</v>
      </c>
      <c r="E7" s="14">
        <f t="shared" si="0"/>
        <v>3188.4479999999999</v>
      </c>
      <c r="F7" s="2">
        <v>3</v>
      </c>
      <c r="G7" s="10">
        <f t="shared" si="1"/>
        <v>9565.3439999999991</v>
      </c>
      <c r="H7" s="2">
        <v>485.7</v>
      </c>
      <c r="I7" s="8">
        <f t="shared" si="2"/>
        <v>563.94799999999987</v>
      </c>
      <c r="J7" s="2">
        <f t="shared" si="3"/>
        <v>18519.450820541027</v>
      </c>
      <c r="K7" s="13">
        <v>104.685653</v>
      </c>
      <c r="L7" s="13">
        <v>31.473462000000001</v>
      </c>
      <c r="M7" s="15">
        <f t="shared" si="4"/>
        <v>668250.39736019995</v>
      </c>
      <c r="N7" s="15">
        <f t="shared" si="5"/>
        <v>200907.6973308</v>
      </c>
      <c r="O7" s="15">
        <f t="shared" si="6"/>
        <v>67773.491752200003</v>
      </c>
      <c r="P7" s="15">
        <f t="shared" si="7"/>
        <v>20375.9192988</v>
      </c>
      <c r="Q7" s="2">
        <f t="shared" si="8"/>
        <v>1.2148805353642327</v>
      </c>
      <c r="R7" s="2">
        <v>47538</v>
      </c>
    </row>
    <row r="8" spans="1:19" x14ac:dyDescent="0.3">
      <c r="A8" s="1">
        <v>2018</v>
      </c>
      <c r="B8" s="1" t="s">
        <v>64</v>
      </c>
      <c r="C8" s="7">
        <v>5028.8599999999997</v>
      </c>
      <c r="D8" s="7">
        <v>419.53</v>
      </c>
      <c r="E8" s="14">
        <f t="shared" si="0"/>
        <v>2461.4631899999999</v>
      </c>
      <c r="F8" s="2">
        <v>8</v>
      </c>
      <c r="G8" s="10">
        <f t="shared" si="1"/>
        <v>19691.70552</v>
      </c>
      <c r="H8" s="2">
        <v>266.7</v>
      </c>
      <c r="I8" s="8">
        <f t="shared" si="2"/>
        <v>-163.03681000000006</v>
      </c>
      <c r="J8" s="2">
        <f t="shared" si="3"/>
        <v>849.91644615443363</v>
      </c>
      <c r="K8" s="13">
        <v>105.850532</v>
      </c>
      <c r="L8" s="13">
        <v>32.442338999999997</v>
      </c>
      <c r="M8" s="15">
        <f t="shared" si="4"/>
        <v>532307.50635351997</v>
      </c>
      <c r="N8" s="15">
        <f t="shared" si="5"/>
        <v>163147.98090353998</v>
      </c>
      <c r="O8" s="15">
        <f t="shared" si="6"/>
        <v>44407.473689959996</v>
      </c>
      <c r="P8" s="15">
        <f t="shared" si="7"/>
        <v>13610.534480669998</v>
      </c>
      <c r="Q8" s="2">
        <f t="shared" si="8"/>
        <v>0.93788066107603196</v>
      </c>
      <c r="R8" s="2">
        <v>30105</v>
      </c>
    </row>
    <row r="9" spans="1:19" x14ac:dyDescent="0.3">
      <c r="A9" s="1">
        <v>2018</v>
      </c>
      <c r="B9" s="1" t="s">
        <v>65</v>
      </c>
      <c r="C9" s="7">
        <v>4971.3599999999997</v>
      </c>
      <c r="D9" s="7">
        <v>467.21</v>
      </c>
      <c r="E9" s="14">
        <f t="shared" si="0"/>
        <v>2462.5484500000002</v>
      </c>
      <c r="F9" s="2">
        <v>7</v>
      </c>
      <c r="G9" s="10">
        <f t="shared" si="1"/>
        <v>17237.83915</v>
      </c>
      <c r="H9" s="2">
        <v>320.2</v>
      </c>
      <c r="I9" s="8">
        <f t="shared" si="2"/>
        <v>-161.95154999999977</v>
      </c>
      <c r="J9" s="2">
        <f t="shared" si="3"/>
        <v>1006.8700534801889</v>
      </c>
      <c r="K9" s="13">
        <v>105.599143</v>
      </c>
      <c r="L9" s="13">
        <v>30.539141000000001</v>
      </c>
      <c r="M9" s="15">
        <f t="shared" si="4"/>
        <v>524971.35554447991</v>
      </c>
      <c r="N9" s="15">
        <f t="shared" si="5"/>
        <v>151821.06400175998</v>
      </c>
      <c r="O9" s="15">
        <f t="shared" si="6"/>
        <v>49336.975601029997</v>
      </c>
      <c r="P9" s="15">
        <f t="shared" si="7"/>
        <v>14268.19206661</v>
      </c>
      <c r="Q9" s="2">
        <f t="shared" si="8"/>
        <v>0.93829417299462359</v>
      </c>
      <c r="R9" s="2">
        <v>37943</v>
      </c>
    </row>
    <row r="10" spans="1:19" x14ac:dyDescent="0.3">
      <c r="A10" s="1">
        <v>2018</v>
      </c>
      <c r="B10" s="1" t="s">
        <v>66</v>
      </c>
      <c r="C10" s="7">
        <v>4286.88</v>
      </c>
      <c r="D10" s="7">
        <v>311.02</v>
      </c>
      <c r="E10" s="14">
        <f t="shared" si="0"/>
        <v>2072.3259800000001</v>
      </c>
      <c r="F10" s="2">
        <v>13</v>
      </c>
      <c r="G10" s="10">
        <f t="shared" si="1"/>
        <v>26940.23774</v>
      </c>
      <c r="H10" s="2">
        <v>369.9</v>
      </c>
      <c r="I10" s="8">
        <f t="shared" si="2"/>
        <v>-552.17401999999993</v>
      </c>
      <c r="J10" s="2">
        <f t="shared" si="3"/>
        <v>13521.290646140633</v>
      </c>
      <c r="K10" s="13">
        <v>105.064564</v>
      </c>
      <c r="L10" s="13">
        <v>29.585822</v>
      </c>
      <c r="M10" s="15">
        <f t="shared" si="4"/>
        <v>450399.17812032002</v>
      </c>
      <c r="N10" s="15">
        <f t="shared" si="5"/>
        <v>126830.86861536</v>
      </c>
      <c r="O10" s="15">
        <f t="shared" si="6"/>
        <v>32677.18069528</v>
      </c>
      <c r="P10" s="15">
        <f t="shared" si="7"/>
        <v>9201.7823584399994</v>
      </c>
      <c r="Q10" s="2">
        <f t="shared" si="8"/>
        <v>0.78960939492555882</v>
      </c>
      <c r="R10" s="2">
        <v>37885</v>
      </c>
    </row>
    <row r="11" spans="1:19" x14ac:dyDescent="0.3">
      <c r="A11" s="1">
        <v>2018</v>
      </c>
      <c r="B11" s="1" t="s">
        <v>67</v>
      </c>
      <c r="C11" s="7">
        <v>5710.22</v>
      </c>
      <c r="D11" s="7">
        <v>889.47</v>
      </c>
      <c r="E11" s="14">
        <f t="shared" si="0"/>
        <v>3025.0622500000004</v>
      </c>
      <c r="F11" s="2">
        <v>4</v>
      </c>
      <c r="G11" s="10">
        <f t="shared" si="1"/>
        <v>12100.249000000002</v>
      </c>
      <c r="H11" s="2">
        <v>326.7</v>
      </c>
      <c r="I11" s="8">
        <f t="shared" si="2"/>
        <v>400.5622500000004</v>
      </c>
      <c r="J11" s="2">
        <f t="shared" si="3"/>
        <v>6284.5046083273019</v>
      </c>
      <c r="K11" s="13">
        <v>103.772521</v>
      </c>
      <c r="L11" s="13">
        <v>29.558285000000001</v>
      </c>
      <c r="M11" s="15">
        <f t="shared" si="4"/>
        <v>592563.92486461997</v>
      </c>
      <c r="N11" s="15">
        <f t="shared" si="5"/>
        <v>168784.3101727</v>
      </c>
      <c r="O11" s="15">
        <f t="shared" si="6"/>
        <v>92302.544253870001</v>
      </c>
      <c r="P11" s="15">
        <f t="shared" si="7"/>
        <v>26291.20775895</v>
      </c>
      <c r="Q11" s="2">
        <f t="shared" si="8"/>
        <v>1.1526263705069459</v>
      </c>
      <c r="R11" s="2">
        <v>49397</v>
      </c>
    </row>
    <row r="12" spans="1:19" x14ac:dyDescent="0.3">
      <c r="A12" s="1">
        <v>2018</v>
      </c>
      <c r="B12" s="1" t="s">
        <v>68</v>
      </c>
      <c r="C12" s="7">
        <v>5736.5</v>
      </c>
      <c r="D12" s="7">
        <v>578.61</v>
      </c>
      <c r="E12" s="14">
        <f t="shared" si="0"/>
        <v>2863.5552699999998</v>
      </c>
      <c r="F12" s="2">
        <v>5</v>
      </c>
      <c r="G12" s="10">
        <f t="shared" si="1"/>
        <v>14317.77635</v>
      </c>
      <c r="H12" s="2">
        <v>644</v>
      </c>
      <c r="I12" s="8">
        <f t="shared" si="2"/>
        <v>239.05526999999984</v>
      </c>
      <c r="J12" s="2">
        <f t="shared" si="3"/>
        <v>4412.2934710362906</v>
      </c>
      <c r="K12" s="13">
        <v>106.11712300000001</v>
      </c>
      <c r="L12" s="13">
        <v>30.843219999999999</v>
      </c>
      <c r="M12" s="15">
        <f t="shared" si="4"/>
        <v>608740.87608950003</v>
      </c>
      <c r="N12" s="15">
        <f t="shared" si="5"/>
        <v>176932.13152999998</v>
      </c>
      <c r="O12" s="15">
        <f t="shared" si="6"/>
        <v>61400.428539030007</v>
      </c>
      <c r="P12" s="15">
        <f t="shared" si="7"/>
        <v>17846.1955242</v>
      </c>
      <c r="Q12" s="2">
        <f t="shared" si="8"/>
        <v>1.0910880652476282</v>
      </c>
      <c r="R12" s="2">
        <v>31203</v>
      </c>
    </row>
    <row r="13" spans="1:19" x14ac:dyDescent="0.3">
      <c r="A13" s="1">
        <v>2018</v>
      </c>
      <c r="B13" s="1" t="s">
        <v>69</v>
      </c>
      <c r="C13" s="7">
        <v>4790.71</v>
      </c>
      <c r="D13" s="7">
        <v>404.28</v>
      </c>
      <c r="E13" s="14">
        <f t="shared" si="0"/>
        <v>2347.4684899999997</v>
      </c>
      <c r="F13" s="2">
        <v>9</v>
      </c>
      <c r="G13" s="10">
        <f t="shared" si="1"/>
        <v>21127.216409999997</v>
      </c>
      <c r="H13" s="2">
        <v>298.39999999999998</v>
      </c>
      <c r="I13" s="8">
        <f t="shared" si="2"/>
        <v>-277.03151000000025</v>
      </c>
      <c r="J13" s="2">
        <f t="shared" si="3"/>
        <v>2745.6111890434554</v>
      </c>
      <c r="K13" s="13">
        <v>103.854991</v>
      </c>
      <c r="L13" s="13">
        <v>30.082841999999999</v>
      </c>
      <c r="M13" s="15">
        <f t="shared" si="4"/>
        <v>497539.14393361</v>
      </c>
      <c r="N13" s="15">
        <f t="shared" si="5"/>
        <v>144118.17199782</v>
      </c>
      <c r="O13" s="15">
        <f t="shared" si="6"/>
        <v>41986.495761479993</v>
      </c>
      <c r="P13" s="15">
        <f t="shared" si="7"/>
        <v>12161.891363759998</v>
      </c>
      <c r="Q13" s="2">
        <f t="shared" si="8"/>
        <v>0.89444575413551253</v>
      </c>
      <c r="R13" s="2">
        <v>42157</v>
      </c>
    </row>
    <row r="14" spans="1:19" x14ac:dyDescent="0.3">
      <c r="A14" s="1">
        <v>2018</v>
      </c>
      <c r="B14" s="1" t="s">
        <v>70</v>
      </c>
      <c r="C14" s="7">
        <v>6535.1</v>
      </c>
      <c r="D14" s="7">
        <v>687.26</v>
      </c>
      <c r="E14" s="14">
        <f t="shared" si="0"/>
        <v>3277.8531200000002</v>
      </c>
      <c r="F14" s="2">
        <v>2</v>
      </c>
      <c r="G14" s="10">
        <f t="shared" si="1"/>
        <v>6555.7062400000004</v>
      </c>
      <c r="H14" s="2">
        <v>455.6</v>
      </c>
      <c r="I14" s="8">
        <f t="shared" si="2"/>
        <v>653.35312000000022</v>
      </c>
      <c r="J14" s="2">
        <f t="shared" si="3"/>
        <v>23316.401919781503</v>
      </c>
      <c r="K14" s="13">
        <v>104.649316</v>
      </c>
      <c r="L14" s="13">
        <v>28.758631000000001</v>
      </c>
      <c r="M14" s="15">
        <f t="shared" si="4"/>
        <v>683893.74499160005</v>
      </c>
      <c r="N14" s="15">
        <f t="shared" si="5"/>
        <v>187940.52944810002</v>
      </c>
      <c r="O14" s="15">
        <f t="shared" si="6"/>
        <v>71921.288914160003</v>
      </c>
      <c r="P14" s="15">
        <f t="shared" si="7"/>
        <v>19764.65674106</v>
      </c>
      <c r="Q14" s="2">
        <f t="shared" si="8"/>
        <v>1.2489461811109734</v>
      </c>
      <c r="R14" s="2">
        <v>44604</v>
      </c>
    </row>
    <row r="15" spans="1:19" x14ac:dyDescent="0.3">
      <c r="A15" s="1">
        <v>2018</v>
      </c>
      <c r="B15" s="1" t="s">
        <v>71</v>
      </c>
      <c r="C15" s="7">
        <v>4052.12</v>
      </c>
      <c r="D15" s="7">
        <v>403.09</v>
      </c>
      <c r="E15" s="14">
        <f t="shared" si="0"/>
        <v>2019.6102900000001</v>
      </c>
      <c r="F15" s="2">
        <v>14</v>
      </c>
      <c r="G15" s="10">
        <f t="shared" si="1"/>
        <v>28274.54406</v>
      </c>
      <c r="H15" s="2">
        <v>324.10000000000002</v>
      </c>
      <c r="I15" s="8">
        <f t="shared" si="2"/>
        <v>-604.88970999999992</v>
      </c>
      <c r="J15" s="2">
        <f t="shared" si="3"/>
        <v>14217.174799859107</v>
      </c>
      <c r="K15" s="13">
        <v>106.639184</v>
      </c>
      <c r="L15" s="13">
        <v>30.462142</v>
      </c>
      <c r="M15" s="15">
        <f t="shared" si="4"/>
        <v>432114.77027008001</v>
      </c>
      <c r="N15" s="15">
        <f t="shared" si="5"/>
        <v>123436.25484103999</v>
      </c>
      <c r="O15" s="15">
        <f t="shared" si="6"/>
        <v>42985.18867856</v>
      </c>
      <c r="P15" s="15">
        <f t="shared" si="7"/>
        <v>12278.98481878</v>
      </c>
      <c r="Q15" s="2">
        <f t="shared" si="8"/>
        <v>0.76952336382538256</v>
      </c>
      <c r="R15" s="2">
        <v>38520</v>
      </c>
    </row>
    <row r="16" spans="1:19" x14ac:dyDescent="0.3">
      <c r="A16" s="1">
        <v>2018</v>
      </c>
      <c r="B16" s="1" t="s">
        <v>72</v>
      </c>
      <c r="C16" s="7">
        <v>2831.08</v>
      </c>
      <c r="D16" s="7">
        <v>208.86</v>
      </c>
      <c r="E16" s="14">
        <f t="shared" si="0"/>
        <v>1370.5034599999999</v>
      </c>
      <c r="F16" s="2">
        <v>17</v>
      </c>
      <c r="G16" s="10">
        <f t="shared" si="1"/>
        <v>23298.558819999998</v>
      </c>
      <c r="H16" s="2">
        <v>572</v>
      </c>
      <c r="I16" s="8">
        <f t="shared" si="2"/>
        <v>-1253.9965400000001</v>
      </c>
      <c r="J16" s="2">
        <f t="shared" si="3"/>
        <v>107837.69192829254</v>
      </c>
      <c r="K16" s="13">
        <v>107.474424</v>
      </c>
      <c r="L16" s="13">
        <v>31.214942000000001</v>
      </c>
      <c r="M16" s="15">
        <f t="shared" si="4"/>
        <v>304268.69229792</v>
      </c>
      <c r="N16" s="15">
        <f t="shared" si="5"/>
        <v>88371.997997359998</v>
      </c>
      <c r="O16" s="15">
        <f t="shared" si="6"/>
        <v>22447.108196640002</v>
      </c>
      <c r="P16" s="15">
        <f t="shared" si="7"/>
        <v>6519.5527861200007</v>
      </c>
      <c r="Q16" s="2">
        <f t="shared" si="8"/>
        <v>0.52219699904258532</v>
      </c>
      <c r="R16" s="2">
        <v>29627</v>
      </c>
    </row>
    <row r="17" spans="1:18" x14ac:dyDescent="0.3">
      <c r="A17" s="1">
        <v>2018</v>
      </c>
      <c r="B17" s="1" t="s">
        <v>73</v>
      </c>
      <c r="C17" s="7">
        <v>3740.58</v>
      </c>
      <c r="D17" s="7">
        <v>320.42</v>
      </c>
      <c r="E17" s="14">
        <f t="shared" si="0"/>
        <v>1835.55088</v>
      </c>
      <c r="F17" s="2">
        <v>15</v>
      </c>
      <c r="G17" s="10">
        <f t="shared" si="1"/>
        <v>27533.263200000001</v>
      </c>
      <c r="H17" s="2">
        <v>154</v>
      </c>
      <c r="I17" s="8">
        <f t="shared" si="2"/>
        <v>-788.94911999999999</v>
      </c>
      <c r="J17" s="2">
        <f t="shared" si="3"/>
        <v>11492.131632671293</v>
      </c>
      <c r="K17" s="13">
        <v>103.048153</v>
      </c>
      <c r="L17" s="13">
        <v>30.015991</v>
      </c>
      <c r="M17" s="15">
        <f t="shared" si="4"/>
        <v>385459.86014874</v>
      </c>
      <c r="N17" s="15">
        <f t="shared" si="5"/>
        <v>112277.21561478</v>
      </c>
      <c r="O17" s="15">
        <f t="shared" si="6"/>
        <v>33018.689184260002</v>
      </c>
      <c r="P17" s="15">
        <f t="shared" si="7"/>
        <v>9617.7238362200005</v>
      </c>
      <c r="Q17" s="2">
        <f t="shared" si="8"/>
        <v>0.69939200381586542</v>
      </c>
      <c r="R17" s="2">
        <v>41985</v>
      </c>
    </row>
    <row r="18" spans="1:18" x14ac:dyDescent="0.3">
      <c r="A18" s="1">
        <v>2018</v>
      </c>
      <c r="B18" s="1" t="s">
        <v>74</v>
      </c>
      <c r="C18" s="7">
        <v>2936.81</v>
      </c>
      <c r="D18" s="7">
        <v>248.54</v>
      </c>
      <c r="E18" s="14">
        <f t="shared" si="0"/>
        <v>1439.44361</v>
      </c>
      <c r="F18" s="2">
        <v>16</v>
      </c>
      <c r="G18" s="10">
        <f t="shared" si="1"/>
        <v>23031.097760000001</v>
      </c>
      <c r="H18" s="2">
        <v>332.2</v>
      </c>
      <c r="I18" s="8">
        <f t="shared" si="2"/>
        <v>-1185.05639</v>
      </c>
      <c r="J18" s="2">
        <f t="shared" si="3"/>
        <v>55931.895779019324</v>
      </c>
      <c r="K18" s="13">
        <v>106.754109</v>
      </c>
      <c r="L18" s="13">
        <v>31.873559</v>
      </c>
      <c r="M18" s="15">
        <f t="shared" si="4"/>
        <v>313516.53485229</v>
      </c>
      <c r="N18" s="15">
        <f t="shared" si="5"/>
        <v>93606.586806790001</v>
      </c>
      <c r="O18" s="15">
        <f t="shared" si="6"/>
        <v>26532.666250859998</v>
      </c>
      <c r="P18" s="15">
        <f t="shared" si="7"/>
        <v>7921.8543538599997</v>
      </c>
      <c r="Q18" s="2">
        <f t="shared" si="8"/>
        <v>0.54846496588416183</v>
      </c>
      <c r="R18" s="2">
        <v>19458</v>
      </c>
    </row>
    <row r="19" spans="1:18" x14ac:dyDescent="0.3">
      <c r="A19" s="1">
        <v>2018</v>
      </c>
      <c r="B19" s="1" t="s">
        <v>75</v>
      </c>
      <c r="C19" s="7">
        <v>2549.9699999999998</v>
      </c>
      <c r="D19" s="7">
        <v>189.91</v>
      </c>
      <c r="E19" s="14">
        <f t="shared" si="0"/>
        <v>1235.4165800000001</v>
      </c>
      <c r="F19" s="2">
        <v>19</v>
      </c>
      <c r="G19" s="10">
        <f t="shared" si="1"/>
        <v>23472.91502</v>
      </c>
      <c r="H19" s="2">
        <v>251.2</v>
      </c>
      <c r="I19" s="8">
        <f t="shared" si="2"/>
        <v>-1389.0834199999999</v>
      </c>
      <c r="J19" s="2">
        <f t="shared" si="3"/>
        <v>58110.97592938337</v>
      </c>
      <c r="K19" s="13">
        <v>104.633825</v>
      </c>
      <c r="L19" s="13">
        <v>30.135162999999999</v>
      </c>
      <c r="M19" s="15">
        <f t="shared" si="4"/>
        <v>266813.11473525001</v>
      </c>
      <c r="N19" s="15">
        <f t="shared" si="5"/>
        <v>76843.761595109987</v>
      </c>
      <c r="O19" s="15">
        <f t="shared" si="6"/>
        <v>19871.009705749999</v>
      </c>
      <c r="P19" s="15">
        <f t="shared" si="7"/>
        <v>5722.9688053299997</v>
      </c>
      <c r="Q19" s="2">
        <f t="shared" si="8"/>
        <v>0.47072543008644002</v>
      </c>
      <c r="R19" s="2">
        <v>42112</v>
      </c>
    </row>
    <row r="20" spans="1:18" x14ac:dyDescent="0.3">
      <c r="A20" s="1">
        <v>2018</v>
      </c>
      <c r="B20" s="1" t="s">
        <v>76</v>
      </c>
      <c r="C20" s="7">
        <v>2369.4699999999998</v>
      </c>
      <c r="D20" s="7">
        <v>165.59</v>
      </c>
      <c r="E20" s="14">
        <f t="shared" si="0"/>
        <v>1141.9088399999998</v>
      </c>
      <c r="F20" s="2">
        <v>20</v>
      </c>
      <c r="G20" s="10">
        <f t="shared" si="1"/>
        <v>22838.176799999997</v>
      </c>
      <c r="H20" s="2">
        <v>94.4</v>
      </c>
      <c r="I20" s="8">
        <f t="shared" si="2"/>
        <v>-1482.5911600000002</v>
      </c>
      <c r="J20" s="2">
        <f t="shared" si="3"/>
        <v>24876.924362047455</v>
      </c>
      <c r="K20" s="13">
        <v>102.23090999999999</v>
      </c>
      <c r="L20" s="13">
        <v>31.905656</v>
      </c>
      <c r="M20" s="15">
        <f t="shared" si="4"/>
        <v>242233.07431769997</v>
      </c>
      <c r="N20" s="15">
        <f t="shared" si="5"/>
        <v>75599.49472232</v>
      </c>
      <c r="O20" s="15">
        <f t="shared" si="6"/>
        <v>16928.4163869</v>
      </c>
      <c r="P20" s="15">
        <f t="shared" si="7"/>
        <v>5283.2575770399999</v>
      </c>
      <c r="Q20" s="2">
        <f t="shared" si="8"/>
        <v>0.4350965808055674</v>
      </c>
      <c r="R20" s="2">
        <v>32552</v>
      </c>
    </row>
    <row r="21" spans="1:18" x14ac:dyDescent="0.3">
      <c r="A21" s="1">
        <v>2018</v>
      </c>
      <c r="B21" s="1" t="s">
        <v>77</v>
      </c>
      <c r="C21" s="7">
        <v>2212.4699999999998</v>
      </c>
      <c r="D21" s="7">
        <v>220.8</v>
      </c>
      <c r="E21" s="14">
        <f t="shared" si="0"/>
        <v>1103.1098099999999</v>
      </c>
      <c r="F21" s="2">
        <v>21</v>
      </c>
      <c r="G21" s="10">
        <f t="shared" si="1"/>
        <v>23165.30601</v>
      </c>
      <c r="H21" s="2">
        <v>119.6</v>
      </c>
      <c r="I21" s="8">
        <f t="shared" si="2"/>
        <v>-1521.3901900000001</v>
      </c>
      <c r="J21" s="2">
        <f t="shared" si="3"/>
        <v>33189.008749945693</v>
      </c>
      <c r="K21" s="13">
        <v>101.968649</v>
      </c>
      <c r="L21" s="13">
        <v>30.055425</v>
      </c>
      <c r="M21" s="15">
        <f t="shared" si="4"/>
        <v>225602.57685302998</v>
      </c>
      <c r="N21" s="15">
        <f t="shared" si="5"/>
        <v>66496.72614975</v>
      </c>
      <c r="O21" s="15">
        <f t="shared" si="6"/>
        <v>22514.677699200001</v>
      </c>
      <c r="P21" s="15">
        <f t="shared" si="7"/>
        <v>6636.2378400000007</v>
      </c>
      <c r="Q21" s="2">
        <f t="shared" si="8"/>
        <v>0.42031315440563466</v>
      </c>
      <c r="R21" s="2">
        <v>24446</v>
      </c>
    </row>
    <row r="22" spans="1:18" x14ac:dyDescent="0.3">
      <c r="A22" s="1">
        <v>2018</v>
      </c>
      <c r="B22" s="1" t="s">
        <v>78</v>
      </c>
      <c r="C22" s="7">
        <v>4651.1400000000003</v>
      </c>
      <c r="D22" s="7">
        <v>436.66</v>
      </c>
      <c r="E22" s="14">
        <f t="shared" si="0"/>
        <v>2303.6746400000002</v>
      </c>
      <c r="F22" s="2">
        <v>10</v>
      </c>
      <c r="G22" s="10">
        <f t="shared" si="1"/>
        <v>23036.746400000004</v>
      </c>
      <c r="H22" s="2">
        <v>490.8</v>
      </c>
      <c r="I22" s="8">
        <f t="shared" si="2"/>
        <v>-320.82535999999982</v>
      </c>
      <c r="J22" s="2">
        <f t="shared" si="3"/>
        <v>6056.529171882119</v>
      </c>
      <c r="K22" s="13">
        <v>102.27418900000001</v>
      </c>
      <c r="L22" s="13">
        <v>27.887442</v>
      </c>
      <c r="M22" s="15">
        <f t="shared" si="4"/>
        <v>475691.57142546005</v>
      </c>
      <c r="N22" s="15">
        <f t="shared" si="5"/>
        <v>129708.39698388001</v>
      </c>
      <c r="O22" s="15">
        <f t="shared" si="6"/>
        <v>44659.047368740008</v>
      </c>
      <c r="P22" s="15">
        <f t="shared" si="7"/>
        <v>12177.330423720001</v>
      </c>
      <c r="Q22" s="2">
        <f t="shared" si="8"/>
        <v>0.87775917309870077</v>
      </c>
      <c r="R22" s="2">
        <v>31472</v>
      </c>
    </row>
    <row r="23" spans="1:18" x14ac:dyDescent="0.3">
      <c r="A23" s="1"/>
      <c r="B23" s="7" t="s">
        <v>79</v>
      </c>
      <c r="C23" s="7">
        <f>SUM(C2:C22)</f>
        <v>109521.60000000001</v>
      </c>
      <c r="D23" s="7">
        <f>SUM(D2:D22)</f>
        <v>11842.6</v>
      </c>
      <c r="I23" s="8"/>
      <c r="K23" s="13"/>
      <c r="L23" s="13"/>
      <c r="M23" s="15">
        <f>SUM(M2:M22)</f>
        <v>11449618.207176428</v>
      </c>
      <c r="N23" s="15">
        <f>SUM(N2:N22)</f>
        <v>3310070.2416315298</v>
      </c>
      <c r="O23" s="15">
        <f>SUM(O2:O22)</f>
        <v>1236834.9342048801</v>
      </c>
      <c r="P23" s="15">
        <f>SUM(P2:P22)</f>
        <v>357543.96506511001</v>
      </c>
    </row>
    <row r="24" spans="1:18" x14ac:dyDescent="0.3">
      <c r="D24" s="2" t="s">
        <v>17</v>
      </c>
      <c r="E24" s="14">
        <f>AVERAGE(E2:E22)</f>
        <v>2624.495095238095</v>
      </c>
      <c r="F24" s="2" t="s">
        <v>10</v>
      </c>
      <c r="G24" s="10">
        <f>SUM(G2:G22)</f>
        <v>424740.63420000003</v>
      </c>
      <c r="H24" s="2">
        <v>8341</v>
      </c>
      <c r="J24" s="2">
        <f>SUM(J2:J22)</f>
        <v>20116895.324612997</v>
      </c>
      <c r="L24" s="2" t="s">
        <v>12</v>
      </c>
      <c r="M24" s="2">
        <f>M23/C23</f>
        <v>104.54210134965548</v>
      </c>
      <c r="N24" s="2">
        <f>N23/C23</f>
        <v>30.222990183046353</v>
      </c>
      <c r="O24" s="2">
        <f>O23/D23</f>
        <v>104.43947563920761</v>
      </c>
      <c r="P24" s="2">
        <f>P23/D23</f>
        <v>30.191340167286743</v>
      </c>
    </row>
    <row r="25" spans="1:18" x14ac:dyDescent="0.3">
      <c r="B25" s="2" t="s">
        <v>57</v>
      </c>
      <c r="C25" s="14">
        <f>E2-E21</f>
        <v>11551.14625</v>
      </c>
      <c r="D25" s="2" t="s">
        <v>13</v>
      </c>
      <c r="E25" s="2">
        <f>1+1/21-G24/(21*21*E24)</f>
        <v>0.68064153200340383</v>
      </c>
      <c r="F25" s="2" t="s">
        <v>14</v>
      </c>
      <c r="G25" s="8">
        <f>SQRT(J24)/E24</f>
        <v>1.7089710766097026</v>
      </c>
    </row>
    <row r="27" spans="1:18" x14ac:dyDescent="0.3">
      <c r="A27" s="25" t="s">
        <v>0</v>
      </c>
      <c r="B27" s="25" t="s">
        <v>1</v>
      </c>
      <c r="C27" s="25" t="s">
        <v>1</v>
      </c>
      <c r="D27" s="25" t="s">
        <v>1</v>
      </c>
    </row>
    <row r="28" spans="1:18" x14ac:dyDescent="0.3">
      <c r="A28" s="4" t="s">
        <v>2</v>
      </c>
      <c r="B28" s="4" t="s">
        <v>3</v>
      </c>
      <c r="C28" s="4" t="s">
        <v>4</v>
      </c>
      <c r="D28" s="4" t="s">
        <v>5</v>
      </c>
    </row>
    <row r="29" spans="1:18" x14ac:dyDescent="0.3">
      <c r="A29" s="4" t="s">
        <v>6</v>
      </c>
      <c r="B29" s="4">
        <v>0.82850000000000001</v>
      </c>
      <c r="C29" s="4">
        <v>0.17150000000000001</v>
      </c>
      <c r="D29" s="4" t="s">
        <v>26</v>
      </c>
    </row>
    <row r="30" spans="1:18" x14ac:dyDescent="0.3">
      <c r="A30" s="4" t="s">
        <v>8</v>
      </c>
      <c r="B30" s="4">
        <v>0.78439999999999999</v>
      </c>
      <c r="C30" s="4">
        <v>0.21560000000000001</v>
      </c>
      <c r="D30" s="4" t="s">
        <v>27</v>
      </c>
    </row>
  </sheetData>
  <mergeCells count="1">
    <mergeCell ref="A27:D27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EF1D-384F-4CE4-83A1-DBFC96EE3EB9}">
  <dimension ref="A1:S30"/>
  <sheetViews>
    <sheetView workbookViewId="0">
      <selection sqref="A1:XFD1"/>
    </sheetView>
  </sheetViews>
  <sheetFormatPr defaultColWidth="9" defaultRowHeight="14" x14ac:dyDescent="0.3"/>
  <cols>
    <col min="1" max="1" width="12.08203125" style="2" customWidth="1"/>
    <col min="2" max="2" width="13.83203125" style="2" customWidth="1"/>
    <col min="3" max="3" width="17" style="2" customWidth="1"/>
    <col min="4" max="4" width="18.25" style="2" customWidth="1"/>
    <col min="5" max="10" width="14.83203125" style="2" customWidth="1"/>
    <col min="11" max="12" width="9" style="2"/>
    <col min="13" max="13" width="11.58203125" style="2" bestFit="1" customWidth="1"/>
    <col min="14" max="16384" width="9" style="2"/>
  </cols>
  <sheetData>
    <row r="1" spans="1:19" ht="13.5" customHeight="1" x14ac:dyDescent="0.3">
      <c r="A1" s="2" t="s">
        <v>83</v>
      </c>
      <c r="B1" s="1" t="s">
        <v>84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92</v>
      </c>
      <c r="H1" s="1" t="s">
        <v>90</v>
      </c>
      <c r="I1" s="1" t="s">
        <v>91</v>
      </c>
      <c r="J1" t="s">
        <v>85</v>
      </c>
      <c r="K1" t="s">
        <v>81</v>
      </c>
      <c r="L1" t="s">
        <v>82</v>
      </c>
      <c r="M1" s="1" t="s">
        <v>98</v>
      </c>
      <c r="N1" s="1" t="s">
        <v>103</v>
      </c>
      <c r="O1" s="2" t="s">
        <v>99</v>
      </c>
      <c r="P1" s="1" t="s">
        <v>101</v>
      </c>
      <c r="Q1" s="1" t="s">
        <v>100</v>
      </c>
      <c r="R1" s="1"/>
      <c r="S1" s="1"/>
    </row>
    <row r="2" spans="1:19" x14ac:dyDescent="0.3">
      <c r="A2" s="1">
        <v>2019</v>
      </c>
      <c r="B2" s="1" t="s">
        <v>58</v>
      </c>
      <c r="C2" s="7">
        <v>27643.07</v>
      </c>
      <c r="D2" s="7">
        <v>4551.34</v>
      </c>
      <c r="E2" s="2">
        <f t="shared" ref="E2:E22" si="0">C2*0.4306+D2*0.5694</f>
        <v>14494.638938</v>
      </c>
      <c r="F2" s="2">
        <f>E2-3005.812472</f>
        <v>11488.826466</v>
      </c>
      <c r="G2" s="2">
        <v>1</v>
      </c>
      <c r="H2" s="2">
        <f t="shared" ref="H2:H22" si="1">E2*G2</f>
        <v>14494.638938</v>
      </c>
      <c r="I2" s="2">
        <v>1658.1</v>
      </c>
      <c r="J2" s="2">
        <f>F2*F2*I2/8375</f>
        <v>26132276.38991712</v>
      </c>
      <c r="K2" s="2">
        <v>104.07274200000001</v>
      </c>
      <c r="L2" s="2">
        <v>30.578983999999998</v>
      </c>
      <c r="M2" s="2">
        <f>C2*K2</f>
        <v>2876890.0921979402</v>
      </c>
      <c r="N2" s="2">
        <f>C2*L2</f>
        <v>845296.99524087994</v>
      </c>
      <c r="O2" s="2">
        <f>D2*K2</f>
        <v>473670.43357428006</v>
      </c>
      <c r="P2" s="2">
        <f>D2*L2</f>
        <v>139175.35303855999</v>
      </c>
      <c r="Q2" s="2">
        <v>103386</v>
      </c>
    </row>
    <row r="3" spans="1:19" x14ac:dyDescent="0.3">
      <c r="A3" s="1">
        <v>2019</v>
      </c>
      <c r="B3" s="1" t="s">
        <v>59</v>
      </c>
      <c r="C3" s="7">
        <v>4730.1499999999996</v>
      </c>
      <c r="D3" s="7">
        <v>440.06</v>
      </c>
      <c r="E3" s="2">
        <f t="shared" si="0"/>
        <v>2287.372754</v>
      </c>
      <c r="F3" s="2">
        <f t="shared" ref="F3:F22" si="2">E3-3005.812472</f>
        <v>-718.43971800000008</v>
      </c>
      <c r="G3" s="2">
        <v>12</v>
      </c>
      <c r="H3" s="2">
        <f t="shared" si="1"/>
        <v>27448.473048</v>
      </c>
      <c r="I3" s="2">
        <v>292.2</v>
      </c>
      <c r="J3" s="2">
        <f t="shared" ref="J3:J22" si="3">F3*F3*I3/8375</f>
        <v>18008.438760412719</v>
      </c>
      <c r="K3" s="2">
        <v>104.785532</v>
      </c>
      <c r="L3" s="2">
        <v>29.345369999999999</v>
      </c>
      <c r="M3" s="2">
        <f t="shared" ref="M3:M22" si="4">C3*K3</f>
        <v>495651.28418979998</v>
      </c>
      <c r="N3" s="2">
        <f t="shared" ref="N3:N22" si="5">C3*L3</f>
        <v>138808.00190549999</v>
      </c>
      <c r="O3" s="2">
        <f t="shared" ref="O3:O22" si="6">D3*K3</f>
        <v>46111.921211920002</v>
      </c>
      <c r="P3" s="2">
        <f t="shared" ref="P3:P22" si="7">D3*L3</f>
        <v>12913.7235222</v>
      </c>
      <c r="Q3" s="2">
        <v>48904</v>
      </c>
    </row>
    <row r="4" spans="1:19" x14ac:dyDescent="0.3">
      <c r="A4" s="1">
        <v>2019</v>
      </c>
      <c r="B4" s="1" t="s">
        <v>60</v>
      </c>
      <c r="C4" s="7">
        <v>3014.81</v>
      </c>
      <c r="D4" s="7">
        <v>415.86</v>
      </c>
      <c r="E4" s="2">
        <f t="shared" si="0"/>
        <v>1534.9678699999999</v>
      </c>
      <c r="F4" s="2">
        <f t="shared" si="2"/>
        <v>-1470.8446020000001</v>
      </c>
      <c r="G4" s="2">
        <v>19</v>
      </c>
      <c r="H4" s="2">
        <f t="shared" si="1"/>
        <v>29164.38953</v>
      </c>
      <c r="I4" s="2">
        <v>121.4</v>
      </c>
      <c r="J4" s="2">
        <f t="shared" si="3"/>
        <v>31359.378933543903</v>
      </c>
      <c r="K4" s="2">
        <v>101.72505</v>
      </c>
      <c r="L4" s="2">
        <v>26.588200000000001</v>
      </c>
      <c r="M4" s="2">
        <f t="shared" si="4"/>
        <v>306681.69799049996</v>
      </c>
      <c r="N4" s="2">
        <f t="shared" si="5"/>
        <v>80158.371241999994</v>
      </c>
      <c r="O4" s="2">
        <f t="shared" si="6"/>
        <v>42303.379292999998</v>
      </c>
      <c r="P4" s="2">
        <f t="shared" si="7"/>
        <v>11056.968852</v>
      </c>
      <c r="Q4" s="2">
        <v>82460</v>
      </c>
    </row>
    <row r="5" spans="1:19" x14ac:dyDescent="0.3">
      <c r="A5" s="1">
        <v>2019</v>
      </c>
      <c r="B5" s="1" t="s">
        <v>61</v>
      </c>
      <c r="C5" s="7">
        <v>5546.82</v>
      </c>
      <c r="D5" s="7">
        <v>596.4</v>
      </c>
      <c r="E5" s="2">
        <f t="shared" si="0"/>
        <v>2728.0508519999994</v>
      </c>
      <c r="F5" s="2">
        <f t="shared" si="2"/>
        <v>-277.76162000000068</v>
      </c>
      <c r="G5" s="2">
        <v>7</v>
      </c>
      <c r="H5" s="2">
        <f t="shared" si="1"/>
        <v>19096.355963999995</v>
      </c>
      <c r="I5" s="2">
        <v>432.9</v>
      </c>
      <c r="J5" s="2">
        <f t="shared" si="3"/>
        <v>3987.9273964467134</v>
      </c>
      <c r="K5" s="2">
        <v>105.448463</v>
      </c>
      <c r="L5" s="2">
        <v>28.876978000000001</v>
      </c>
      <c r="M5" s="2">
        <f t="shared" si="4"/>
        <v>584903.64353766001</v>
      </c>
      <c r="N5" s="2">
        <f t="shared" si="5"/>
        <v>160175.39910996001</v>
      </c>
      <c r="O5" s="2">
        <f t="shared" si="6"/>
        <v>62889.463333200001</v>
      </c>
      <c r="P5" s="2">
        <f t="shared" si="7"/>
        <v>17222.229679200002</v>
      </c>
      <c r="Q5" s="2">
        <v>48105</v>
      </c>
    </row>
    <row r="6" spans="1:19" x14ac:dyDescent="0.3">
      <c r="A6" s="1">
        <v>2019</v>
      </c>
      <c r="B6" s="1" t="s">
        <v>62</v>
      </c>
      <c r="C6" s="7">
        <v>5156.1499999999996</v>
      </c>
      <c r="D6" s="7">
        <v>462.42</v>
      </c>
      <c r="E6" s="2">
        <f t="shared" si="0"/>
        <v>2483.5401379999994</v>
      </c>
      <c r="F6" s="2">
        <f t="shared" si="2"/>
        <v>-522.27233400000068</v>
      </c>
      <c r="G6" s="2">
        <v>10</v>
      </c>
      <c r="H6" s="2">
        <f t="shared" si="1"/>
        <v>24835.401379999996</v>
      </c>
      <c r="I6" s="2">
        <v>356.1</v>
      </c>
      <c r="J6" s="2">
        <f t="shared" si="3"/>
        <v>11597.949132643573</v>
      </c>
      <c r="K6" s="2">
        <v>104.40422700000001</v>
      </c>
      <c r="L6" s="2">
        <v>31.133751</v>
      </c>
      <c r="M6" s="2">
        <f t="shared" si="4"/>
        <v>538323.85504605004</v>
      </c>
      <c r="N6" s="2">
        <f t="shared" si="5"/>
        <v>160530.29021864999</v>
      </c>
      <c r="O6" s="2">
        <f t="shared" si="6"/>
        <v>48278.602649340006</v>
      </c>
      <c r="P6" s="2">
        <f t="shared" si="7"/>
        <v>14396.869137420001</v>
      </c>
      <c r="Q6" s="2">
        <v>65745</v>
      </c>
    </row>
    <row r="7" spans="1:19" x14ac:dyDescent="0.3">
      <c r="A7" s="1">
        <v>2019</v>
      </c>
      <c r="B7" s="1" t="s">
        <v>63</v>
      </c>
      <c r="C7" s="7">
        <v>7414.84</v>
      </c>
      <c r="D7" s="7">
        <v>721.35</v>
      </c>
      <c r="E7" s="2">
        <f t="shared" si="0"/>
        <v>3603.5667940000003</v>
      </c>
      <c r="F7" s="2">
        <f t="shared" si="2"/>
        <v>597.75432200000023</v>
      </c>
      <c r="G7" s="2">
        <v>3</v>
      </c>
      <c r="H7" s="2">
        <f t="shared" si="1"/>
        <v>10810.700382000001</v>
      </c>
      <c r="I7" s="2">
        <v>487.7</v>
      </c>
      <c r="J7" s="2">
        <f t="shared" si="3"/>
        <v>20807.187929834377</v>
      </c>
      <c r="K7" s="2">
        <v>104.685653</v>
      </c>
      <c r="L7" s="2">
        <v>31.473462000000001</v>
      </c>
      <c r="M7" s="2">
        <f t="shared" si="4"/>
        <v>776227.36729051999</v>
      </c>
      <c r="N7" s="2">
        <f t="shared" si="5"/>
        <v>233370.68497608003</v>
      </c>
      <c r="O7" s="2">
        <f t="shared" si="6"/>
        <v>75514.995791549998</v>
      </c>
      <c r="P7" s="2">
        <f t="shared" si="7"/>
        <v>22703.381813700002</v>
      </c>
      <c r="Q7" s="2">
        <v>58685</v>
      </c>
    </row>
    <row r="8" spans="1:19" x14ac:dyDescent="0.3">
      <c r="A8" s="1">
        <v>2019</v>
      </c>
      <c r="B8" s="1" t="s">
        <v>64</v>
      </c>
      <c r="C8" s="7">
        <v>5623.45</v>
      </c>
      <c r="D8" s="7">
        <v>502.62</v>
      </c>
      <c r="E8" s="2">
        <f t="shared" si="0"/>
        <v>2707.649398</v>
      </c>
      <c r="F8" s="2">
        <f t="shared" si="2"/>
        <v>-298.16307400000005</v>
      </c>
      <c r="G8" s="2">
        <v>8</v>
      </c>
      <c r="H8" s="2">
        <f t="shared" si="1"/>
        <v>21661.195184</v>
      </c>
      <c r="I8" s="2">
        <v>267.5</v>
      </c>
      <c r="J8" s="2">
        <f t="shared" si="3"/>
        <v>2839.5314628635392</v>
      </c>
      <c r="K8" s="2">
        <v>105.850532</v>
      </c>
      <c r="L8" s="2">
        <v>32.442338999999997</v>
      </c>
      <c r="M8" s="2">
        <f t="shared" si="4"/>
        <v>595245.17417539994</v>
      </c>
      <c r="N8" s="2">
        <f t="shared" si="5"/>
        <v>182437.87124954996</v>
      </c>
      <c r="O8" s="2">
        <f t="shared" si="6"/>
        <v>53202.594393840001</v>
      </c>
      <c r="P8" s="2">
        <f t="shared" si="7"/>
        <v>16306.168428179999</v>
      </c>
      <c r="Q8" s="2">
        <v>35262</v>
      </c>
    </row>
    <row r="9" spans="1:19" x14ac:dyDescent="0.3">
      <c r="A9" s="1">
        <v>2019</v>
      </c>
      <c r="B9" s="1" t="s">
        <v>65</v>
      </c>
      <c r="C9" s="7">
        <v>5831.41</v>
      </c>
      <c r="D9" s="7">
        <v>563.16999999999996</v>
      </c>
      <c r="E9" s="2">
        <f t="shared" si="0"/>
        <v>2831.6741440000001</v>
      </c>
      <c r="F9" s="2">
        <f t="shared" si="2"/>
        <v>-174.138328</v>
      </c>
      <c r="G9" s="2">
        <v>6</v>
      </c>
      <c r="H9" s="2">
        <f t="shared" si="1"/>
        <v>16990.044864</v>
      </c>
      <c r="I9" s="2">
        <v>318.89999999999998</v>
      </c>
      <c r="J9" s="2">
        <f t="shared" si="3"/>
        <v>1154.671493272464</v>
      </c>
      <c r="K9" s="2">
        <v>105.599143</v>
      </c>
      <c r="L9" s="2">
        <v>30.539141000000001</v>
      </c>
      <c r="M9" s="2">
        <f t="shared" si="4"/>
        <v>615791.89848163002</v>
      </c>
      <c r="N9" s="2">
        <f t="shared" si="5"/>
        <v>178086.25221881</v>
      </c>
      <c r="O9" s="2">
        <f t="shared" si="6"/>
        <v>59470.269363309992</v>
      </c>
      <c r="P9" s="2">
        <f t="shared" si="7"/>
        <v>17198.728036969998</v>
      </c>
      <c r="Q9" s="2">
        <v>42113</v>
      </c>
    </row>
    <row r="10" spans="1:19" x14ac:dyDescent="0.3">
      <c r="A10" s="1">
        <v>2019</v>
      </c>
      <c r="B10" s="1" t="s">
        <v>66</v>
      </c>
      <c r="C10" s="7">
        <v>4642.3500000000004</v>
      </c>
      <c r="D10" s="7">
        <v>362.32</v>
      </c>
      <c r="E10" s="2">
        <f t="shared" si="0"/>
        <v>2205.3009179999999</v>
      </c>
      <c r="F10" s="2">
        <f t="shared" si="2"/>
        <v>-800.51155400000016</v>
      </c>
      <c r="G10" s="2">
        <v>13</v>
      </c>
      <c r="H10" s="2">
        <f t="shared" si="1"/>
        <v>28668.911934</v>
      </c>
      <c r="I10" s="2">
        <v>370</v>
      </c>
      <c r="J10" s="2">
        <f t="shared" si="3"/>
        <v>28310.79842296994</v>
      </c>
      <c r="K10" s="2">
        <v>105.064564</v>
      </c>
      <c r="L10" s="2">
        <v>29.585822</v>
      </c>
      <c r="M10" s="2">
        <f t="shared" si="4"/>
        <v>487746.47868540004</v>
      </c>
      <c r="N10" s="2">
        <f t="shared" si="5"/>
        <v>137347.7407617</v>
      </c>
      <c r="O10" s="2">
        <f t="shared" si="6"/>
        <v>38066.992828480004</v>
      </c>
      <c r="P10" s="2">
        <f t="shared" si="7"/>
        <v>10719.535027039999</v>
      </c>
      <c r="Q10" s="2">
        <v>38743</v>
      </c>
    </row>
    <row r="11" spans="1:19" x14ac:dyDescent="0.3">
      <c r="A11" s="1">
        <v>2019</v>
      </c>
      <c r="B11" s="1" t="s">
        <v>67</v>
      </c>
      <c r="C11" s="7">
        <v>6987.22</v>
      </c>
      <c r="D11" s="7">
        <v>1037.48</v>
      </c>
      <c r="E11" s="2">
        <f t="shared" si="0"/>
        <v>3599.438044</v>
      </c>
      <c r="F11" s="2">
        <f t="shared" si="2"/>
        <v>593.62557199999992</v>
      </c>
      <c r="G11" s="2">
        <v>4</v>
      </c>
      <c r="H11" s="2">
        <f t="shared" si="1"/>
        <v>14397.752176</v>
      </c>
      <c r="I11" s="2">
        <v>327.10000000000002</v>
      </c>
      <c r="J11" s="2">
        <f t="shared" si="3"/>
        <v>13763.247842918709</v>
      </c>
      <c r="K11" s="2">
        <v>103.772521</v>
      </c>
      <c r="L11" s="2">
        <v>29.558285000000001</v>
      </c>
      <c r="M11" s="2">
        <f t="shared" si="4"/>
        <v>725081.43418162002</v>
      </c>
      <c r="N11" s="2">
        <f t="shared" si="5"/>
        <v>206530.24011770001</v>
      </c>
      <c r="O11" s="2">
        <f t="shared" si="6"/>
        <v>107661.91508707999</v>
      </c>
      <c r="P11" s="2">
        <f t="shared" si="7"/>
        <v>30666.129521800001</v>
      </c>
      <c r="Q11" s="2">
        <v>56999</v>
      </c>
    </row>
    <row r="12" spans="1:19" x14ac:dyDescent="0.3">
      <c r="A12" s="1">
        <v>2019</v>
      </c>
      <c r="B12" s="1" t="s">
        <v>68</v>
      </c>
      <c r="C12" s="7">
        <v>7315.6</v>
      </c>
      <c r="D12" s="7">
        <v>741.75</v>
      </c>
      <c r="E12" s="2">
        <f t="shared" si="0"/>
        <v>3572.4498100000001</v>
      </c>
      <c r="F12" s="2">
        <f t="shared" si="2"/>
        <v>566.637338</v>
      </c>
      <c r="G12" s="2">
        <v>5</v>
      </c>
      <c r="H12" s="2">
        <f t="shared" si="1"/>
        <v>17862.249049999999</v>
      </c>
      <c r="I12" s="2">
        <v>643.5</v>
      </c>
      <c r="J12" s="2">
        <f t="shared" si="3"/>
        <v>24670.281929184461</v>
      </c>
      <c r="K12" s="2">
        <v>106.11712300000001</v>
      </c>
      <c r="L12" s="2">
        <v>30.843219999999999</v>
      </c>
      <c r="M12" s="2">
        <f t="shared" si="4"/>
        <v>776310.42501880007</v>
      </c>
      <c r="N12" s="2">
        <f t="shared" si="5"/>
        <v>225636.66023199999</v>
      </c>
      <c r="O12" s="2">
        <f t="shared" si="6"/>
        <v>78712.375985250008</v>
      </c>
      <c r="P12" s="2">
        <f t="shared" si="7"/>
        <v>22877.958435</v>
      </c>
      <c r="Q12" s="2">
        <v>36073</v>
      </c>
    </row>
    <row r="13" spans="1:19" x14ac:dyDescent="0.3">
      <c r="A13" s="1">
        <v>2019</v>
      </c>
      <c r="B13" s="1" t="s">
        <v>69</v>
      </c>
      <c r="C13" s="7">
        <v>5161.54</v>
      </c>
      <c r="D13" s="7">
        <v>476.4</v>
      </c>
      <c r="E13" s="2">
        <f t="shared" si="0"/>
        <v>2493.8212839999997</v>
      </c>
      <c r="F13" s="2">
        <f t="shared" si="2"/>
        <v>-511.99118800000042</v>
      </c>
      <c r="G13" s="2">
        <v>9</v>
      </c>
      <c r="H13" s="2">
        <f t="shared" si="1"/>
        <v>22444.391555999995</v>
      </c>
      <c r="I13" s="2">
        <v>299.5</v>
      </c>
      <c r="J13" s="2">
        <f t="shared" si="3"/>
        <v>9374.2597598329194</v>
      </c>
      <c r="K13" s="2">
        <v>103.854991</v>
      </c>
      <c r="L13" s="2">
        <v>30.082841999999999</v>
      </c>
      <c r="M13" s="2">
        <f t="shared" si="4"/>
        <v>536051.69024614</v>
      </c>
      <c r="N13" s="2">
        <f t="shared" si="5"/>
        <v>155273.79229667998</v>
      </c>
      <c r="O13" s="2">
        <f t="shared" si="6"/>
        <v>49476.517712399997</v>
      </c>
      <c r="P13" s="2">
        <f t="shared" si="7"/>
        <v>14331.465928799998</v>
      </c>
      <c r="Q13" s="2">
        <v>46168</v>
      </c>
    </row>
    <row r="14" spans="1:19" x14ac:dyDescent="0.3">
      <c r="A14" s="1">
        <v>2019</v>
      </c>
      <c r="B14" s="1" t="s">
        <v>70</v>
      </c>
      <c r="C14" s="7">
        <v>7905.73</v>
      </c>
      <c r="D14" s="7">
        <v>826.29</v>
      </c>
      <c r="E14" s="2">
        <f t="shared" si="0"/>
        <v>3874.6968639999996</v>
      </c>
      <c r="F14" s="2">
        <f t="shared" si="2"/>
        <v>868.88439199999948</v>
      </c>
      <c r="G14" s="2">
        <v>2</v>
      </c>
      <c r="H14" s="2">
        <f t="shared" si="1"/>
        <v>7749.3937279999991</v>
      </c>
      <c r="I14" s="2">
        <v>457.3</v>
      </c>
      <c r="J14" s="2">
        <f t="shared" si="3"/>
        <v>41223.074343900989</v>
      </c>
      <c r="K14" s="2">
        <v>104.649316</v>
      </c>
      <c r="L14" s="2">
        <v>28.758631000000001</v>
      </c>
      <c r="M14" s="2">
        <f t="shared" si="4"/>
        <v>827329.23698067991</v>
      </c>
      <c r="N14" s="2">
        <f t="shared" si="5"/>
        <v>227357.97185562999</v>
      </c>
      <c r="O14" s="2">
        <f t="shared" si="6"/>
        <v>86470.683317639996</v>
      </c>
      <c r="P14" s="2">
        <f t="shared" si="7"/>
        <v>23762.969208989998</v>
      </c>
      <c r="Q14" s="2">
        <v>57003</v>
      </c>
    </row>
    <row r="15" spans="1:19" x14ac:dyDescent="0.3">
      <c r="A15" s="1">
        <v>2019</v>
      </c>
      <c r="B15" s="1" t="s">
        <v>71</v>
      </c>
      <c r="C15" s="7">
        <v>4485.6899999999996</v>
      </c>
      <c r="D15" s="7">
        <v>463.1</v>
      </c>
      <c r="E15" s="2">
        <f t="shared" si="0"/>
        <v>2195.2272539999999</v>
      </c>
      <c r="F15" s="2">
        <f t="shared" si="2"/>
        <v>-810.58521800000017</v>
      </c>
      <c r="G15" s="2">
        <v>14</v>
      </c>
      <c r="H15" s="2">
        <f t="shared" si="1"/>
        <v>30733.181556</v>
      </c>
      <c r="I15" s="2">
        <v>325.10000000000002</v>
      </c>
      <c r="J15" s="2">
        <f t="shared" si="3"/>
        <v>25505.245781802871</v>
      </c>
      <c r="K15" s="2">
        <v>106.639184</v>
      </c>
      <c r="L15" s="2">
        <v>30.462142</v>
      </c>
      <c r="M15" s="2">
        <f t="shared" si="4"/>
        <v>478350.32127695996</v>
      </c>
      <c r="N15" s="2">
        <f t="shared" si="5"/>
        <v>136643.72574797997</v>
      </c>
      <c r="O15" s="2">
        <f t="shared" si="6"/>
        <v>49384.606110400004</v>
      </c>
      <c r="P15" s="2">
        <f t="shared" si="7"/>
        <v>14107.017960200001</v>
      </c>
      <c r="Q15" s="2">
        <v>38522</v>
      </c>
    </row>
    <row r="16" spans="1:19" x14ac:dyDescent="0.3">
      <c r="A16" s="1">
        <v>2019</v>
      </c>
      <c r="B16" s="1" t="s">
        <v>72</v>
      </c>
      <c r="C16" s="7">
        <v>4137.1099999999997</v>
      </c>
      <c r="D16" s="7">
        <v>328.11</v>
      </c>
      <c r="E16" s="2">
        <f t="shared" si="0"/>
        <v>1968.2653999999998</v>
      </c>
      <c r="F16" s="2">
        <f t="shared" si="2"/>
        <v>-1037.5470720000003</v>
      </c>
      <c r="G16" s="2">
        <v>16</v>
      </c>
      <c r="H16" s="2">
        <f t="shared" si="1"/>
        <v>31492.246399999996</v>
      </c>
      <c r="I16" s="2">
        <v>574.1</v>
      </c>
      <c r="J16" s="2">
        <f t="shared" si="3"/>
        <v>73793.540808372025</v>
      </c>
      <c r="K16" s="2">
        <v>107.474424</v>
      </c>
      <c r="L16" s="2">
        <v>31.214942000000001</v>
      </c>
      <c r="M16" s="2">
        <f t="shared" si="4"/>
        <v>444633.51427463995</v>
      </c>
      <c r="N16" s="2">
        <f t="shared" si="5"/>
        <v>129139.64869762</v>
      </c>
      <c r="O16" s="2">
        <f t="shared" si="6"/>
        <v>35263.433258639998</v>
      </c>
      <c r="P16" s="2">
        <f t="shared" si="7"/>
        <v>10241.93461962</v>
      </c>
      <c r="Q16" s="2">
        <v>35625</v>
      </c>
    </row>
    <row r="17" spans="1:17" x14ac:dyDescent="0.3">
      <c r="A17" s="1">
        <v>2019</v>
      </c>
      <c r="B17" s="1" t="s">
        <v>73</v>
      </c>
      <c r="C17" s="7">
        <v>4414.62</v>
      </c>
      <c r="D17" s="7">
        <v>391.97</v>
      </c>
      <c r="E17" s="2">
        <f t="shared" si="0"/>
        <v>2124.12309</v>
      </c>
      <c r="F17" s="2">
        <f t="shared" si="2"/>
        <v>-881.68938200000002</v>
      </c>
      <c r="G17" s="2">
        <v>15</v>
      </c>
      <c r="H17" s="2">
        <f t="shared" si="1"/>
        <v>31861.84635</v>
      </c>
      <c r="I17" s="2">
        <v>154.1</v>
      </c>
      <c r="J17" s="2">
        <f t="shared" si="3"/>
        <v>14303.721460500372</v>
      </c>
      <c r="K17" s="2">
        <v>103.048153</v>
      </c>
      <c r="L17" s="2">
        <v>30.015991</v>
      </c>
      <c r="M17" s="2">
        <f t="shared" si="4"/>
        <v>454918.43719685997</v>
      </c>
      <c r="N17" s="2">
        <f t="shared" si="5"/>
        <v>132509.19418841999</v>
      </c>
      <c r="O17" s="2">
        <f t="shared" si="6"/>
        <v>40391.784531410005</v>
      </c>
      <c r="P17" s="2">
        <f t="shared" si="7"/>
        <v>11765.367992270001</v>
      </c>
      <c r="Q17" s="2">
        <v>46984</v>
      </c>
    </row>
    <row r="18" spans="1:17" x14ac:dyDescent="0.3">
      <c r="A18" s="1">
        <v>2019</v>
      </c>
      <c r="B18" s="1" t="s">
        <v>74</v>
      </c>
      <c r="C18" s="7">
        <v>3422.98</v>
      </c>
      <c r="D18" s="7">
        <v>305.20999999999998</v>
      </c>
      <c r="E18" s="2">
        <f t="shared" si="0"/>
        <v>1647.7217619999999</v>
      </c>
      <c r="F18" s="2">
        <f t="shared" si="2"/>
        <v>-1358.0907100000002</v>
      </c>
      <c r="G18" s="2">
        <v>17</v>
      </c>
      <c r="H18" s="2">
        <f t="shared" si="1"/>
        <v>28011.269953999999</v>
      </c>
      <c r="I18" s="2">
        <v>331.9</v>
      </c>
      <c r="J18" s="2">
        <f t="shared" si="3"/>
        <v>73093.707939063665</v>
      </c>
      <c r="K18" s="2">
        <v>106.754109</v>
      </c>
      <c r="L18" s="2">
        <v>31.873559</v>
      </c>
      <c r="M18" s="2">
        <f t="shared" si="4"/>
        <v>365417.18002481997</v>
      </c>
      <c r="N18" s="2">
        <f t="shared" si="5"/>
        <v>109102.55498582</v>
      </c>
      <c r="O18" s="2">
        <f t="shared" si="6"/>
        <v>32582.421607889999</v>
      </c>
      <c r="P18" s="2">
        <f t="shared" si="7"/>
        <v>9728.1289423899998</v>
      </c>
      <c r="Q18" s="2">
        <v>22716</v>
      </c>
    </row>
    <row r="19" spans="1:17" x14ac:dyDescent="0.3">
      <c r="A19" s="1">
        <v>2019</v>
      </c>
      <c r="B19" s="1" t="s">
        <v>75</v>
      </c>
      <c r="C19" s="7">
        <v>2684.55</v>
      </c>
      <c r="D19" s="7">
        <v>220.03</v>
      </c>
      <c r="E19" s="2">
        <f t="shared" si="0"/>
        <v>1281.2523120000001</v>
      </c>
      <c r="F19" s="2">
        <f t="shared" si="2"/>
        <v>-1724.56016</v>
      </c>
      <c r="G19" s="2">
        <v>21</v>
      </c>
      <c r="H19" s="2">
        <f t="shared" si="1"/>
        <v>26906.298552</v>
      </c>
      <c r="I19" s="2">
        <v>250.3</v>
      </c>
      <c r="J19" s="2">
        <f t="shared" si="3"/>
        <v>88885.870888172431</v>
      </c>
      <c r="K19" s="2">
        <v>104.633825</v>
      </c>
      <c r="L19" s="2">
        <v>30.135162999999999</v>
      </c>
      <c r="M19" s="2">
        <f t="shared" si="4"/>
        <v>280894.73490375001</v>
      </c>
      <c r="N19" s="2">
        <f t="shared" si="5"/>
        <v>80899.351831649998</v>
      </c>
      <c r="O19" s="2">
        <f t="shared" si="6"/>
        <v>23022.58051475</v>
      </c>
      <c r="P19" s="2">
        <f t="shared" si="7"/>
        <v>6630.63991489</v>
      </c>
      <c r="Q19" s="2">
        <v>31019</v>
      </c>
    </row>
    <row r="20" spans="1:17" x14ac:dyDescent="0.3">
      <c r="A20" s="1">
        <v>2019</v>
      </c>
      <c r="B20" s="1" t="s">
        <v>76</v>
      </c>
      <c r="C20" s="7">
        <v>3149.64</v>
      </c>
      <c r="D20" s="7">
        <v>226.89</v>
      </c>
      <c r="E20" s="2">
        <f t="shared" si="0"/>
        <v>1485.42615</v>
      </c>
      <c r="F20" s="2">
        <f t="shared" si="2"/>
        <v>-1520.3863220000001</v>
      </c>
      <c r="G20" s="2">
        <v>20</v>
      </c>
      <c r="H20" s="2">
        <f t="shared" si="1"/>
        <v>29708.523000000001</v>
      </c>
      <c r="I20" s="2">
        <v>94.6</v>
      </c>
      <c r="J20" s="2">
        <f t="shared" si="3"/>
        <v>26110.442285921843</v>
      </c>
      <c r="K20" s="2">
        <v>102.23090999999999</v>
      </c>
      <c r="L20" s="2">
        <v>31.905656</v>
      </c>
      <c r="M20" s="2">
        <f t="shared" si="4"/>
        <v>321990.56337239995</v>
      </c>
      <c r="N20" s="2">
        <f t="shared" si="5"/>
        <v>100491.33036384</v>
      </c>
      <c r="O20" s="2">
        <f t="shared" si="6"/>
        <v>23195.171169899997</v>
      </c>
      <c r="P20" s="2">
        <f t="shared" si="7"/>
        <v>7239.0742898399994</v>
      </c>
      <c r="Q20" s="2">
        <v>41278</v>
      </c>
    </row>
    <row r="21" spans="1:17" x14ac:dyDescent="0.3">
      <c r="A21" s="1">
        <v>2019</v>
      </c>
      <c r="B21" s="1" t="s">
        <v>77</v>
      </c>
      <c r="C21" s="7">
        <v>3292.1</v>
      </c>
      <c r="D21" s="7">
        <v>362.13</v>
      </c>
      <c r="E21" s="2">
        <f t="shared" si="0"/>
        <v>1623.7750820000001</v>
      </c>
      <c r="F21" s="2">
        <f t="shared" si="2"/>
        <v>-1382.03739</v>
      </c>
      <c r="G21" s="2">
        <v>18</v>
      </c>
      <c r="H21" s="2">
        <f t="shared" si="1"/>
        <v>29227.951476000002</v>
      </c>
      <c r="I21" s="2">
        <v>119.9</v>
      </c>
      <c r="J21" s="2">
        <f t="shared" si="3"/>
        <v>27344.749725161273</v>
      </c>
      <c r="K21" s="2">
        <v>101.968649</v>
      </c>
      <c r="L21" s="2">
        <v>30.055425</v>
      </c>
      <c r="M21" s="2">
        <f t="shared" si="4"/>
        <v>335690.98937289999</v>
      </c>
      <c r="N21" s="2">
        <f t="shared" si="5"/>
        <v>98945.464642499996</v>
      </c>
      <c r="O21" s="2">
        <f t="shared" si="6"/>
        <v>36925.90686237</v>
      </c>
      <c r="P21" s="2">
        <f t="shared" si="7"/>
        <v>10883.97105525</v>
      </c>
      <c r="Q21" s="2">
        <v>32440</v>
      </c>
    </row>
    <row r="22" spans="1:17" x14ac:dyDescent="0.3">
      <c r="A22" s="1">
        <v>2019</v>
      </c>
      <c r="B22" s="1" t="s">
        <v>78</v>
      </c>
      <c r="C22" s="7">
        <v>4823.97</v>
      </c>
      <c r="D22" s="7">
        <v>530.21</v>
      </c>
      <c r="E22" s="2">
        <f t="shared" si="0"/>
        <v>2379.1030559999999</v>
      </c>
      <c r="F22" s="2">
        <f t="shared" si="2"/>
        <v>-626.70941600000015</v>
      </c>
      <c r="G22" s="2">
        <v>11</v>
      </c>
      <c r="H22" s="2">
        <f t="shared" si="1"/>
        <v>26170.133615999999</v>
      </c>
      <c r="I22" s="2">
        <v>492.8</v>
      </c>
      <c r="J22" s="2">
        <f t="shared" si="3"/>
        <v>23110.977942494163</v>
      </c>
      <c r="K22" s="2">
        <v>102.27418900000001</v>
      </c>
      <c r="L22" s="2">
        <v>27.887442</v>
      </c>
      <c r="M22" s="2">
        <f t="shared" si="4"/>
        <v>493367.61951033009</v>
      </c>
      <c r="N22" s="2">
        <f t="shared" si="5"/>
        <v>134528.18358474001</v>
      </c>
      <c r="O22" s="2">
        <f t="shared" si="6"/>
        <v>54226.797749690006</v>
      </c>
      <c r="P22" s="2">
        <f t="shared" si="7"/>
        <v>14786.200622820001</v>
      </c>
      <c r="Q22" s="2">
        <v>34085</v>
      </c>
    </row>
    <row r="23" spans="1:17" x14ac:dyDescent="0.3">
      <c r="A23" s="1"/>
      <c r="B23" s="7" t="s">
        <v>79</v>
      </c>
      <c r="C23" s="7">
        <f>SUM(C2:C22)</f>
        <v>127383.8</v>
      </c>
      <c r="D23" s="7">
        <f>SUM(D2:D22)</f>
        <v>14525.109999999997</v>
      </c>
      <c r="M23" s="2">
        <f>SUM(M2:M22)</f>
        <v>13317497.637954803</v>
      </c>
      <c r="N23" s="2">
        <f>SUM(N2:N22)</f>
        <v>3853269.7254677098</v>
      </c>
      <c r="O23" s="2">
        <f>SUM(O2:O22)</f>
        <v>1516822.8463463404</v>
      </c>
      <c r="P23" s="2">
        <f>SUM(P2:P22)</f>
        <v>438713.8160271399</v>
      </c>
    </row>
    <row r="24" spans="1:17" x14ac:dyDescent="0.3">
      <c r="D24" s="2" t="s">
        <v>17</v>
      </c>
      <c r="E24" s="2">
        <f>AVERAGE(E2:E22)</f>
        <v>3005.8124720952378</v>
      </c>
      <c r="G24" s="2" t="s">
        <v>10</v>
      </c>
      <c r="H24" s="2">
        <f>SUM(H2:H22)</f>
        <v>489735.34863800008</v>
      </c>
      <c r="I24" s="2">
        <f>SUM(I2:I22)</f>
        <v>8375</v>
      </c>
      <c r="J24" s="2">
        <f>SUM(J2:J22)</f>
        <v>26691521.39415643</v>
      </c>
      <c r="L24" s="2" t="s">
        <v>12</v>
      </c>
      <c r="M24" s="2">
        <f>M23/C23</f>
        <v>104.54624244177677</v>
      </c>
      <c r="N24" s="2">
        <f>N23/C23</f>
        <v>30.249291711094422</v>
      </c>
      <c r="O24" s="2">
        <f>O23/D23</f>
        <v>104.4276323102779</v>
      </c>
      <c r="P24" s="2">
        <f>P23/D23</f>
        <v>30.203820558132776</v>
      </c>
    </row>
    <row r="25" spans="1:17" x14ac:dyDescent="0.3">
      <c r="B25" s="2" t="s">
        <v>57</v>
      </c>
      <c r="C25" s="2">
        <f>E2-E19</f>
        <v>13213.386626</v>
      </c>
      <c r="D25" s="2" t="s">
        <v>13</v>
      </c>
      <c r="E25" s="2">
        <f>1+1/21-H24/(21*21*E24)</f>
        <v>0.67816453076094974</v>
      </c>
      <c r="I25" s="2" t="s">
        <v>14</v>
      </c>
      <c r="J25" s="2">
        <f>SQRT(J24)/E24</f>
        <v>1.7187977729984201</v>
      </c>
    </row>
    <row r="27" spans="1:17" x14ac:dyDescent="0.3">
      <c r="A27" s="25" t="s">
        <v>0</v>
      </c>
      <c r="B27" s="25" t="s">
        <v>1</v>
      </c>
      <c r="C27" s="25" t="s">
        <v>1</v>
      </c>
      <c r="D27" s="25" t="s">
        <v>1</v>
      </c>
    </row>
    <row r="28" spans="1:17" x14ac:dyDescent="0.3">
      <c r="A28" s="4" t="s">
        <v>2</v>
      </c>
      <c r="B28" s="4" t="s">
        <v>3</v>
      </c>
      <c r="C28" s="4" t="s">
        <v>4</v>
      </c>
      <c r="D28" s="4" t="s">
        <v>5</v>
      </c>
    </row>
    <row r="29" spans="1:17" x14ac:dyDescent="0.3">
      <c r="A29" s="4" t="s">
        <v>6</v>
      </c>
      <c r="B29" s="4">
        <v>0.82679999999999998</v>
      </c>
      <c r="C29" s="4">
        <v>0.17319999999999999</v>
      </c>
      <c r="D29" s="4" t="s">
        <v>28</v>
      </c>
    </row>
    <row r="30" spans="1:17" x14ac:dyDescent="0.3">
      <c r="A30" s="4" t="s">
        <v>8</v>
      </c>
      <c r="B30" s="4">
        <v>0.77090000000000003</v>
      </c>
      <c r="C30" s="4">
        <v>0.2291</v>
      </c>
      <c r="D30" s="4" t="s">
        <v>29</v>
      </c>
    </row>
  </sheetData>
  <mergeCells count="1">
    <mergeCell ref="A27:D27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D4E03-69D7-434E-9E17-404FC6B785F4}">
  <dimension ref="A1:S29"/>
  <sheetViews>
    <sheetView workbookViewId="0">
      <selection sqref="A1:XFD1"/>
    </sheetView>
  </sheetViews>
  <sheetFormatPr defaultColWidth="9" defaultRowHeight="14" x14ac:dyDescent="0.3"/>
  <cols>
    <col min="1" max="1" width="11.75" style="2" customWidth="1"/>
    <col min="2" max="2" width="17.58203125" style="2" customWidth="1"/>
    <col min="3" max="3" width="17.25" style="2" customWidth="1"/>
    <col min="4" max="4" width="14.75" style="2" customWidth="1"/>
    <col min="5" max="8" width="14" style="2" customWidth="1"/>
    <col min="9" max="9" width="9" style="2"/>
    <col min="10" max="10" width="11.58203125" style="2" bestFit="1" customWidth="1"/>
    <col min="11" max="12" width="9" style="2"/>
    <col min="13" max="13" width="11.58203125" style="2" bestFit="1" customWidth="1"/>
    <col min="14" max="16384" width="9" style="2"/>
  </cols>
  <sheetData>
    <row r="1" spans="1:19" ht="13.5" customHeight="1" x14ac:dyDescent="0.3">
      <c r="A1" s="2" t="s">
        <v>83</v>
      </c>
      <c r="B1" s="1" t="s">
        <v>84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92</v>
      </c>
      <c r="H1" s="1" t="s">
        <v>90</v>
      </c>
      <c r="I1" s="1" t="s">
        <v>91</v>
      </c>
      <c r="J1" t="s">
        <v>85</v>
      </c>
      <c r="K1" t="s">
        <v>81</v>
      </c>
      <c r="L1" t="s">
        <v>82</v>
      </c>
      <c r="M1" s="1" t="s">
        <v>98</v>
      </c>
      <c r="N1" s="1" t="s">
        <v>103</v>
      </c>
      <c r="O1" s="2" t="s">
        <v>99</v>
      </c>
      <c r="P1" s="1" t="s">
        <v>101</v>
      </c>
      <c r="Q1" s="1" t="s">
        <v>100</v>
      </c>
      <c r="R1" s="1"/>
      <c r="S1" s="1"/>
    </row>
    <row r="2" spans="1:19" x14ac:dyDescent="0.3">
      <c r="A2" s="1">
        <v>2020</v>
      </c>
      <c r="B2" s="1" t="s">
        <v>58</v>
      </c>
      <c r="C2" s="7">
        <v>20395.32</v>
      </c>
      <c r="D2" s="7">
        <v>3002.13</v>
      </c>
      <c r="E2" s="2">
        <f t="shared" ref="E2:E22" si="0">C2*0.4501+D2*0.5499</f>
        <v>10830.804818999999</v>
      </c>
      <c r="F2" s="2">
        <v>1</v>
      </c>
      <c r="G2" s="2">
        <f t="shared" ref="G2:G22" si="1">E2*F2</f>
        <v>10830.804818999999</v>
      </c>
      <c r="H2" s="2">
        <v>2094.6999999999998</v>
      </c>
      <c r="I2" s="2">
        <f>E2-2482.74</f>
        <v>8348.0648189999993</v>
      </c>
      <c r="J2" s="2">
        <f>I2*I2*H2/8371</f>
        <v>17438780.680885881</v>
      </c>
      <c r="K2" s="2">
        <v>104.07274200000001</v>
      </c>
      <c r="L2" s="2">
        <v>30.578983999999998</v>
      </c>
      <c r="M2" s="2">
        <f>C2*K2</f>
        <v>2122596.87636744</v>
      </c>
      <c r="N2" s="2">
        <f>C2*L2</f>
        <v>623668.16395487997</v>
      </c>
      <c r="O2" s="2">
        <f>D2*K2</f>
        <v>312439.90094046004</v>
      </c>
      <c r="P2" s="2">
        <f>D2*L2</f>
        <v>91802.085235919993</v>
      </c>
      <c r="Q2" s="2">
        <f>E2/2482.745253</f>
        <v>4.3624309847789284</v>
      </c>
      <c r="R2" s="2">
        <v>85679</v>
      </c>
    </row>
    <row r="3" spans="1:19" x14ac:dyDescent="0.3">
      <c r="A3" s="1">
        <v>2020</v>
      </c>
      <c r="B3" s="1" t="s">
        <v>59</v>
      </c>
      <c r="C3" s="7">
        <v>2732.13</v>
      </c>
      <c r="D3" s="7">
        <v>235.55</v>
      </c>
      <c r="E3" s="2">
        <f t="shared" si="0"/>
        <v>1359.2606580000001</v>
      </c>
      <c r="F3" s="2">
        <v>19</v>
      </c>
      <c r="G3" s="2">
        <f t="shared" si="1"/>
        <v>25825.952502000004</v>
      </c>
      <c r="H3" s="2">
        <v>249</v>
      </c>
      <c r="I3" s="2">
        <f t="shared" ref="I3:I22" si="2">E3-2482.74</f>
        <v>-1123.4793419999996</v>
      </c>
      <c r="J3" s="2">
        <f t="shared" ref="J3:J22" si="3">I3*I3*H3/8371</f>
        <v>37545.006826339421</v>
      </c>
      <c r="K3" s="2">
        <v>104.785532</v>
      </c>
      <c r="L3" s="2">
        <v>29.345369999999999</v>
      </c>
      <c r="M3" s="2">
        <f t="shared" ref="M3:M22" si="4">C3*K3</f>
        <v>286287.69554316002</v>
      </c>
      <c r="N3" s="2">
        <f t="shared" ref="N3:N22" si="5">C3*L3</f>
        <v>80175.365738099994</v>
      </c>
      <c r="O3" s="2">
        <f t="shared" ref="O3:O22" si="6">D3*K3</f>
        <v>24682.232062600004</v>
      </c>
      <c r="P3" s="2">
        <f t="shared" ref="P3:P22" si="7">D3*L3</f>
        <v>6912.3019034999998</v>
      </c>
      <c r="Q3" s="2">
        <f t="shared" ref="Q3:Q22" si="8">E3/2482.745253</f>
        <v>0.54748293501218115</v>
      </c>
      <c r="R3" s="2">
        <v>58059</v>
      </c>
    </row>
    <row r="4" spans="1:19" x14ac:dyDescent="0.3">
      <c r="A4" s="1">
        <v>2020</v>
      </c>
      <c r="B4" s="1" t="s">
        <v>60</v>
      </c>
      <c r="C4" s="7">
        <v>2197.46</v>
      </c>
      <c r="D4" s="7">
        <v>313.91000000000003</v>
      </c>
      <c r="E4" s="2">
        <f t="shared" si="0"/>
        <v>1161.6958550000002</v>
      </c>
      <c r="F4" s="2">
        <v>20</v>
      </c>
      <c r="G4" s="2">
        <f t="shared" si="1"/>
        <v>23233.917100000002</v>
      </c>
      <c r="H4" s="2">
        <v>121.3</v>
      </c>
      <c r="I4" s="2">
        <f t="shared" si="2"/>
        <v>-1321.0441449999996</v>
      </c>
      <c r="J4" s="2">
        <f t="shared" si="3"/>
        <v>25288.211789225181</v>
      </c>
      <c r="K4" s="2">
        <v>101.72505</v>
      </c>
      <c r="L4" s="2">
        <v>26.588200000000001</v>
      </c>
      <c r="M4" s="2">
        <f t="shared" si="4"/>
        <v>223536.72837299999</v>
      </c>
      <c r="N4" s="2">
        <f t="shared" si="5"/>
        <v>58426.505971999999</v>
      </c>
      <c r="O4" s="2">
        <f t="shared" si="6"/>
        <v>31932.5104455</v>
      </c>
      <c r="P4" s="2">
        <f t="shared" si="7"/>
        <v>8346.3018620000003</v>
      </c>
      <c r="Q4" s="2">
        <f t="shared" si="8"/>
        <v>0.46790779424360063</v>
      </c>
      <c r="R4" s="2">
        <v>85806</v>
      </c>
    </row>
    <row r="5" spans="1:19" x14ac:dyDescent="0.3">
      <c r="A5" s="1">
        <v>2020</v>
      </c>
      <c r="B5" s="1" t="s">
        <v>61</v>
      </c>
      <c r="C5" s="7">
        <v>3944.45</v>
      </c>
      <c r="D5" s="7">
        <v>416.28</v>
      </c>
      <c r="E5" s="2">
        <f t="shared" si="0"/>
        <v>2004.309317</v>
      </c>
      <c r="F5" s="2">
        <v>7</v>
      </c>
      <c r="G5" s="2">
        <f t="shared" si="1"/>
        <v>14030.165219</v>
      </c>
      <c r="H5" s="2">
        <v>425.6</v>
      </c>
      <c r="I5" s="2">
        <f t="shared" si="2"/>
        <v>-478.43068299999982</v>
      </c>
      <c r="J5" s="2">
        <f t="shared" si="3"/>
        <v>11637.570527570922</v>
      </c>
      <c r="K5" s="2">
        <v>105.448463</v>
      </c>
      <c r="L5" s="2">
        <v>28.876978000000001</v>
      </c>
      <c r="M5" s="2">
        <f t="shared" si="4"/>
        <v>415936.18988035002</v>
      </c>
      <c r="N5" s="2">
        <f t="shared" si="5"/>
        <v>113903.7958721</v>
      </c>
      <c r="O5" s="2">
        <f t="shared" si="6"/>
        <v>43896.086177639998</v>
      </c>
      <c r="P5" s="2">
        <f t="shared" si="7"/>
        <v>12020.908401839999</v>
      </c>
      <c r="Q5" s="2">
        <f t="shared" si="8"/>
        <v>0.8072955993282489</v>
      </c>
      <c r="R5" s="2">
        <v>50758</v>
      </c>
    </row>
    <row r="6" spans="1:19" x14ac:dyDescent="0.3">
      <c r="A6" s="1">
        <v>2020</v>
      </c>
      <c r="B6" s="1" t="s">
        <v>62</v>
      </c>
      <c r="C6" s="7">
        <v>3546</v>
      </c>
      <c r="D6" s="7">
        <v>269.61</v>
      </c>
      <c r="E6" s="2">
        <f t="shared" si="0"/>
        <v>1744.3131389999999</v>
      </c>
      <c r="F6" s="2">
        <v>14</v>
      </c>
      <c r="G6" s="2">
        <f t="shared" si="1"/>
        <v>24420.383945999998</v>
      </c>
      <c r="H6" s="2">
        <v>345.7</v>
      </c>
      <c r="I6" s="2">
        <f t="shared" si="2"/>
        <v>-738.42686099999992</v>
      </c>
      <c r="J6" s="2">
        <f t="shared" si="3"/>
        <v>22518.373071474191</v>
      </c>
      <c r="K6" s="2">
        <v>104.40422700000001</v>
      </c>
      <c r="L6" s="2">
        <v>31.133751</v>
      </c>
      <c r="M6" s="2">
        <f t="shared" si="4"/>
        <v>370217.38894200005</v>
      </c>
      <c r="N6" s="2">
        <f t="shared" si="5"/>
        <v>110400.281046</v>
      </c>
      <c r="O6" s="2">
        <f t="shared" si="6"/>
        <v>28148.423641470003</v>
      </c>
      <c r="P6" s="2">
        <f t="shared" si="7"/>
        <v>8393.9706071100009</v>
      </c>
      <c r="Q6" s="2">
        <f t="shared" si="8"/>
        <v>0.70257435268168444</v>
      </c>
      <c r="R6" s="2">
        <v>69443</v>
      </c>
    </row>
    <row r="7" spans="1:19" x14ac:dyDescent="0.3">
      <c r="A7" s="1">
        <v>2020</v>
      </c>
      <c r="B7" s="1" t="s">
        <v>63</v>
      </c>
      <c r="C7" s="7">
        <v>6271.48</v>
      </c>
      <c r="D7" s="7">
        <v>639.84</v>
      </c>
      <c r="E7" s="2">
        <f t="shared" si="0"/>
        <v>3174.6411639999997</v>
      </c>
      <c r="F7" s="2">
        <v>5</v>
      </c>
      <c r="G7" s="2">
        <f t="shared" si="1"/>
        <v>15873.205819999999</v>
      </c>
      <c r="H7" s="2">
        <v>487.1</v>
      </c>
      <c r="I7" s="2">
        <f t="shared" si="2"/>
        <v>691.90116399999988</v>
      </c>
      <c r="J7" s="2">
        <f t="shared" si="3"/>
        <v>27856.651442440882</v>
      </c>
      <c r="K7" s="2">
        <v>104.685653</v>
      </c>
      <c r="L7" s="2">
        <v>31.473462000000001</v>
      </c>
      <c r="M7" s="2">
        <f t="shared" si="4"/>
        <v>656533.97907643998</v>
      </c>
      <c r="N7" s="2">
        <f t="shared" si="5"/>
        <v>197385.18746376</v>
      </c>
      <c r="O7" s="2">
        <f t="shared" si="6"/>
        <v>66982.068215520005</v>
      </c>
      <c r="P7" s="2">
        <f t="shared" si="7"/>
        <v>20137.979926080003</v>
      </c>
      <c r="Q7" s="2">
        <f t="shared" si="8"/>
        <v>1.27868179796697</v>
      </c>
      <c r="R7" s="2">
        <v>61936</v>
      </c>
    </row>
    <row r="8" spans="1:19" x14ac:dyDescent="0.3">
      <c r="A8" s="1">
        <v>2020</v>
      </c>
      <c r="B8" s="1" t="s">
        <v>64</v>
      </c>
      <c r="C8" s="7">
        <v>4584.45</v>
      </c>
      <c r="D8" s="7">
        <v>484.38</v>
      </c>
      <c r="E8" s="2">
        <f t="shared" si="0"/>
        <v>2329.8215069999997</v>
      </c>
      <c r="F8" s="2">
        <v>6</v>
      </c>
      <c r="G8" s="2">
        <f t="shared" si="1"/>
        <v>13978.929041999998</v>
      </c>
      <c r="H8" s="2">
        <v>230.7</v>
      </c>
      <c r="I8" s="2">
        <f t="shared" si="2"/>
        <v>-152.91849300000013</v>
      </c>
      <c r="J8" s="2">
        <f t="shared" si="3"/>
        <v>644.45154834200491</v>
      </c>
      <c r="K8" s="2">
        <v>105.850532</v>
      </c>
      <c r="L8" s="2">
        <v>32.442338999999997</v>
      </c>
      <c r="M8" s="2">
        <f t="shared" si="4"/>
        <v>485266.47142740001</v>
      </c>
      <c r="N8" s="2">
        <f t="shared" si="5"/>
        <v>148730.28102854997</v>
      </c>
      <c r="O8" s="2">
        <f t="shared" si="6"/>
        <v>51271.880690160004</v>
      </c>
      <c r="P8" s="2">
        <f t="shared" si="7"/>
        <v>15714.420164819998</v>
      </c>
      <c r="Q8" s="2">
        <f t="shared" si="8"/>
        <v>0.93840538177840982</v>
      </c>
      <c r="R8" s="2">
        <v>43337</v>
      </c>
    </row>
    <row r="9" spans="1:19" x14ac:dyDescent="0.3">
      <c r="A9" s="1">
        <v>2020</v>
      </c>
      <c r="B9" s="1" t="s">
        <v>65</v>
      </c>
      <c r="C9" s="7">
        <v>3807.91</v>
      </c>
      <c r="D9" s="7">
        <v>386.89</v>
      </c>
      <c r="E9" s="2">
        <f t="shared" si="0"/>
        <v>1926.691102</v>
      </c>
      <c r="F9" s="2">
        <v>9</v>
      </c>
      <c r="G9" s="2">
        <f t="shared" si="1"/>
        <v>17340.219917999999</v>
      </c>
      <c r="H9" s="2">
        <v>281.5</v>
      </c>
      <c r="I9" s="2">
        <f t="shared" si="2"/>
        <v>-556.04889799999978</v>
      </c>
      <c r="J9" s="2">
        <f t="shared" si="3"/>
        <v>10397.454439877492</v>
      </c>
      <c r="K9" s="2">
        <v>105.599143</v>
      </c>
      <c r="L9" s="2">
        <v>30.539141000000001</v>
      </c>
      <c r="M9" s="2">
        <f t="shared" si="4"/>
        <v>402112.03262113</v>
      </c>
      <c r="N9" s="2">
        <f t="shared" si="5"/>
        <v>116290.30040531</v>
      </c>
      <c r="O9" s="2">
        <f t="shared" si="6"/>
        <v>40855.252435269998</v>
      </c>
      <c r="P9" s="2">
        <f t="shared" si="7"/>
        <v>11815.288261489999</v>
      </c>
      <c r="Q9" s="2">
        <f t="shared" si="8"/>
        <v>0.77603253884864032</v>
      </c>
      <c r="R9" s="2">
        <v>49495</v>
      </c>
    </row>
    <row r="10" spans="1:19" x14ac:dyDescent="0.3">
      <c r="A10" s="1">
        <v>2020</v>
      </c>
      <c r="B10" s="1" t="s">
        <v>66</v>
      </c>
      <c r="C10" s="7">
        <v>3895.68</v>
      </c>
      <c r="D10" s="7">
        <v>310.60000000000002</v>
      </c>
      <c r="E10" s="2">
        <f t="shared" si="0"/>
        <v>1924.2445079999998</v>
      </c>
      <c r="F10" s="2">
        <v>10</v>
      </c>
      <c r="G10" s="2">
        <f t="shared" si="1"/>
        <v>19242.445079999998</v>
      </c>
      <c r="H10" s="2">
        <v>314.2</v>
      </c>
      <c r="I10" s="2">
        <f t="shared" si="2"/>
        <v>-558.49549200000001</v>
      </c>
      <c r="J10" s="2">
        <f t="shared" si="3"/>
        <v>11707.608269309996</v>
      </c>
      <c r="K10" s="2">
        <v>105.064564</v>
      </c>
      <c r="L10" s="2">
        <v>29.585822</v>
      </c>
      <c r="M10" s="2">
        <f t="shared" si="4"/>
        <v>409297.92068351997</v>
      </c>
      <c r="N10" s="2">
        <f t="shared" si="5"/>
        <v>115256.89504896</v>
      </c>
      <c r="O10" s="2">
        <f t="shared" si="6"/>
        <v>32633.053578400002</v>
      </c>
      <c r="P10" s="2">
        <f t="shared" si="7"/>
        <v>9189.3563131999999</v>
      </c>
      <c r="Q10" s="2">
        <f t="shared" si="8"/>
        <v>0.77504709984838693</v>
      </c>
      <c r="R10" s="2">
        <v>46228</v>
      </c>
    </row>
    <row r="11" spans="1:19" x14ac:dyDescent="0.3">
      <c r="A11" s="1">
        <v>2020</v>
      </c>
      <c r="B11" s="1" t="s">
        <v>67</v>
      </c>
      <c r="C11" s="7">
        <v>7071.29</v>
      </c>
      <c r="D11" s="7">
        <v>1040.3</v>
      </c>
      <c r="E11" s="2">
        <f t="shared" si="0"/>
        <v>3754.8485989999999</v>
      </c>
      <c r="F11" s="2">
        <v>3</v>
      </c>
      <c r="G11" s="2">
        <f t="shared" si="1"/>
        <v>11264.545796999999</v>
      </c>
      <c r="H11" s="2">
        <v>316.10000000000002</v>
      </c>
      <c r="I11" s="2">
        <f t="shared" si="2"/>
        <v>1272.1085990000001</v>
      </c>
      <c r="J11" s="2">
        <f t="shared" si="3"/>
        <v>61107.64268618849</v>
      </c>
      <c r="K11" s="2">
        <v>103.772521</v>
      </c>
      <c r="L11" s="2">
        <v>29.558285000000001</v>
      </c>
      <c r="M11" s="2">
        <f t="shared" si="4"/>
        <v>733805.59002209001</v>
      </c>
      <c r="N11" s="2">
        <f t="shared" si="5"/>
        <v>209015.20513765002</v>
      </c>
      <c r="O11" s="2">
        <f t="shared" si="6"/>
        <v>107954.55359629999</v>
      </c>
      <c r="P11" s="2">
        <f t="shared" si="7"/>
        <v>30749.483885500002</v>
      </c>
      <c r="Q11" s="2">
        <f t="shared" si="8"/>
        <v>1.5123777175539321</v>
      </c>
      <c r="R11" s="2">
        <v>63259</v>
      </c>
    </row>
    <row r="12" spans="1:19" x14ac:dyDescent="0.3">
      <c r="A12" s="1">
        <v>2020</v>
      </c>
      <c r="B12" s="1" t="s">
        <v>68</v>
      </c>
      <c r="C12" s="7">
        <v>8316.5</v>
      </c>
      <c r="D12" s="7">
        <v>781.27</v>
      </c>
      <c r="E12" s="2">
        <f t="shared" si="0"/>
        <v>4172.877023</v>
      </c>
      <c r="F12" s="2">
        <v>2</v>
      </c>
      <c r="G12" s="2">
        <f t="shared" si="1"/>
        <v>8345.754046</v>
      </c>
      <c r="H12" s="2">
        <v>561</v>
      </c>
      <c r="I12" s="2">
        <f t="shared" si="2"/>
        <v>1690.1370230000002</v>
      </c>
      <c r="J12" s="2">
        <f t="shared" si="3"/>
        <v>191438.52954307548</v>
      </c>
      <c r="K12" s="2">
        <v>106.11712300000001</v>
      </c>
      <c r="L12" s="2">
        <v>30.843219999999999</v>
      </c>
      <c r="M12" s="2">
        <f t="shared" si="4"/>
        <v>882523.05342950008</v>
      </c>
      <c r="N12" s="2">
        <f t="shared" si="5"/>
        <v>256507.63913</v>
      </c>
      <c r="O12" s="2">
        <f t="shared" si="6"/>
        <v>82906.124686210009</v>
      </c>
      <c r="P12" s="2">
        <f t="shared" si="7"/>
        <v>24096.882489399999</v>
      </c>
      <c r="Q12" s="2">
        <f t="shared" si="8"/>
        <v>1.6807511837784188</v>
      </c>
      <c r="R12" s="2">
        <v>42482</v>
      </c>
    </row>
    <row r="13" spans="1:19" x14ac:dyDescent="0.3">
      <c r="A13" s="1">
        <v>2020</v>
      </c>
      <c r="B13" s="1" t="s">
        <v>69</v>
      </c>
      <c r="C13" s="7">
        <v>3994.78</v>
      </c>
      <c r="D13" s="7">
        <v>363.15</v>
      </c>
      <c r="E13" s="2">
        <f t="shared" si="0"/>
        <v>1997.7466630000001</v>
      </c>
      <c r="F13" s="2">
        <v>8</v>
      </c>
      <c r="G13" s="2">
        <f t="shared" si="1"/>
        <v>15981.973304000001</v>
      </c>
      <c r="H13" s="2">
        <v>295.60000000000002</v>
      </c>
      <c r="I13" s="2">
        <f t="shared" si="2"/>
        <v>-484.99333699999966</v>
      </c>
      <c r="J13" s="2">
        <f t="shared" si="3"/>
        <v>8306.1282424808542</v>
      </c>
      <c r="K13" s="2">
        <v>103.854991</v>
      </c>
      <c r="L13" s="2">
        <v>30.082841999999999</v>
      </c>
      <c r="M13" s="2">
        <f t="shared" si="4"/>
        <v>414877.84094698</v>
      </c>
      <c r="N13" s="2">
        <f t="shared" si="5"/>
        <v>120174.33556476</v>
      </c>
      <c r="O13" s="2">
        <f t="shared" si="6"/>
        <v>37714.939981649994</v>
      </c>
      <c r="P13" s="2">
        <f t="shared" si="7"/>
        <v>10924.584072299998</v>
      </c>
      <c r="Q13" s="2">
        <f t="shared" si="8"/>
        <v>0.80465229390169746</v>
      </c>
      <c r="R13" s="2">
        <v>48132</v>
      </c>
    </row>
    <row r="14" spans="1:19" x14ac:dyDescent="0.3">
      <c r="A14" s="1">
        <v>2020</v>
      </c>
      <c r="B14" s="1" t="s">
        <v>70</v>
      </c>
      <c r="C14" s="7">
        <v>6647.41</v>
      </c>
      <c r="D14" s="7">
        <v>669.91</v>
      </c>
      <c r="E14" s="2">
        <f t="shared" si="0"/>
        <v>3360.3827499999998</v>
      </c>
      <c r="F14" s="2">
        <v>4</v>
      </c>
      <c r="G14" s="2">
        <f t="shared" si="1"/>
        <v>13441.530999999999</v>
      </c>
      <c r="H14" s="2">
        <v>459.1</v>
      </c>
      <c r="I14" s="2">
        <f t="shared" si="2"/>
        <v>877.64274999999998</v>
      </c>
      <c r="J14" s="2">
        <f t="shared" si="3"/>
        <v>42244.044359301632</v>
      </c>
      <c r="K14" s="2">
        <v>104.649316</v>
      </c>
      <c r="L14" s="2">
        <v>28.758631000000001</v>
      </c>
      <c r="M14" s="2">
        <f t="shared" si="4"/>
        <v>695646.90967155993</v>
      </c>
      <c r="N14" s="2">
        <f t="shared" si="5"/>
        <v>191170.41129571002</v>
      </c>
      <c r="O14" s="2">
        <f t="shared" si="6"/>
        <v>70105.623281559994</v>
      </c>
      <c r="P14" s="2">
        <f t="shared" si="7"/>
        <v>19265.694493210001</v>
      </c>
      <c r="Q14" s="2">
        <f t="shared" si="8"/>
        <v>1.353494784025673</v>
      </c>
      <c r="R14" s="2">
        <v>61182</v>
      </c>
    </row>
    <row r="15" spans="1:19" x14ac:dyDescent="0.3">
      <c r="A15" s="1">
        <v>2020</v>
      </c>
      <c r="B15" s="1" t="s">
        <v>71</v>
      </c>
      <c r="C15" s="7">
        <v>2777.45</v>
      </c>
      <c r="D15" s="7">
        <v>280.94</v>
      </c>
      <c r="E15" s="2">
        <f t="shared" si="0"/>
        <v>1404.6191509999999</v>
      </c>
      <c r="F15" s="2">
        <v>18</v>
      </c>
      <c r="G15" s="2">
        <f t="shared" si="1"/>
        <v>25283.144717999996</v>
      </c>
      <c r="H15" s="2">
        <v>325.60000000000002</v>
      </c>
      <c r="I15" s="2">
        <f t="shared" si="2"/>
        <v>-1078.1208489999999</v>
      </c>
      <c r="J15" s="2">
        <f t="shared" si="3"/>
        <v>45210.774146432363</v>
      </c>
      <c r="K15" s="2">
        <v>106.639184</v>
      </c>
      <c r="L15" s="2">
        <v>30.462142</v>
      </c>
      <c r="M15" s="2">
        <f t="shared" si="4"/>
        <v>296185.00160079997</v>
      </c>
      <c r="N15" s="2">
        <f t="shared" si="5"/>
        <v>84607.076297899999</v>
      </c>
      <c r="O15" s="2">
        <f t="shared" si="6"/>
        <v>29959.212352959999</v>
      </c>
      <c r="P15" s="2">
        <f t="shared" si="7"/>
        <v>8558.0341734800004</v>
      </c>
      <c r="Q15" s="2">
        <f>E15/2482.745253</f>
        <v>0.56575242639281764</v>
      </c>
      <c r="R15" s="2">
        <v>40073</v>
      </c>
    </row>
    <row r="16" spans="1:19" x14ac:dyDescent="0.3">
      <c r="A16" s="1">
        <v>2020</v>
      </c>
      <c r="B16" s="1" t="s">
        <v>72</v>
      </c>
      <c r="C16" s="7">
        <v>3794.92</v>
      </c>
      <c r="D16" s="7">
        <v>302.57</v>
      </c>
      <c r="E16" s="2">
        <f t="shared" si="0"/>
        <v>1874.476735</v>
      </c>
      <c r="F16" s="2">
        <v>12</v>
      </c>
      <c r="G16" s="2">
        <f t="shared" si="1"/>
        <v>22493.720819999999</v>
      </c>
      <c r="H16" s="2">
        <v>538.70000000000005</v>
      </c>
      <c r="I16" s="2">
        <f t="shared" si="2"/>
        <v>-608.26326499999982</v>
      </c>
      <c r="J16" s="2">
        <f t="shared" si="3"/>
        <v>23809.639027207675</v>
      </c>
      <c r="K16" s="2">
        <v>107.474424</v>
      </c>
      <c r="L16" s="2">
        <v>31.214942000000001</v>
      </c>
      <c r="M16" s="2">
        <f t="shared" si="4"/>
        <v>407856.84112608002</v>
      </c>
      <c r="N16" s="2">
        <f t="shared" si="5"/>
        <v>118458.20769464</v>
      </c>
      <c r="O16" s="2">
        <f t="shared" si="6"/>
        <v>32518.536469679999</v>
      </c>
      <c r="P16" s="2">
        <f t="shared" si="7"/>
        <v>9444.7050009399991</v>
      </c>
      <c r="Q16" s="2">
        <f t="shared" si="8"/>
        <v>0.75500163890556027</v>
      </c>
      <c r="R16" s="2">
        <v>39182</v>
      </c>
    </row>
    <row r="17" spans="1:18" x14ac:dyDescent="0.3">
      <c r="A17" s="1">
        <v>2020</v>
      </c>
      <c r="B17" s="1" t="s">
        <v>73</v>
      </c>
      <c r="C17" s="7">
        <v>3834.15</v>
      </c>
      <c r="D17" s="7">
        <v>342.08</v>
      </c>
      <c r="E17" s="2">
        <f t="shared" si="0"/>
        <v>1913.860707</v>
      </c>
      <c r="F17" s="2">
        <v>11</v>
      </c>
      <c r="G17" s="2">
        <f t="shared" si="1"/>
        <v>21052.467777000002</v>
      </c>
      <c r="H17" s="2">
        <v>143.6</v>
      </c>
      <c r="I17" s="2">
        <f t="shared" si="2"/>
        <v>-568.87929299999973</v>
      </c>
      <c r="J17" s="2">
        <f t="shared" si="3"/>
        <v>5551.589552096545</v>
      </c>
      <c r="K17" s="2">
        <v>103.048153</v>
      </c>
      <c r="L17" s="2">
        <v>30.015991</v>
      </c>
      <c r="M17" s="2">
        <f t="shared" si="4"/>
        <v>395102.07582495001</v>
      </c>
      <c r="N17" s="2">
        <f t="shared" si="5"/>
        <v>115085.81189265</v>
      </c>
      <c r="O17" s="2">
        <f t="shared" si="6"/>
        <v>35250.712178239999</v>
      </c>
      <c r="P17" s="2">
        <f t="shared" si="7"/>
        <v>10267.870201279999</v>
      </c>
      <c r="Q17" s="2">
        <f t="shared" si="8"/>
        <v>0.77086471303787851</v>
      </c>
      <c r="R17" s="2">
        <v>52366</v>
      </c>
    </row>
    <row r="18" spans="1:18" x14ac:dyDescent="0.3">
      <c r="A18" s="1">
        <v>2020</v>
      </c>
      <c r="B18" s="1" t="s">
        <v>74</v>
      </c>
      <c r="C18" s="7">
        <v>2920.55</v>
      </c>
      <c r="D18" s="7">
        <v>261.95999999999998</v>
      </c>
      <c r="E18" s="2">
        <f t="shared" si="0"/>
        <v>1458.591359</v>
      </c>
      <c r="F18" s="2">
        <v>16</v>
      </c>
      <c r="G18" s="2">
        <f t="shared" si="1"/>
        <v>23337.461744</v>
      </c>
      <c r="H18" s="2">
        <v>271.39999999999998</v>
      </c>
      <c r="I18" s="2">
        <f t="shared" si="2"/>
        <v>-1024.1486409999998</v>
      </c>
      <c r="J18" s="2">
        <f t="shared" si="3"/>
        <v>34006.229973382688</v>
      </c>
      <c r="K18" s="2">
        <v>106.754109</v>
      </c>
      <c r="L18" s="2">
        <v>31.873559</v>
      </c>
      <c r="M18" s="2">
        <f t="shared" si="4"/>
        <v>311780.71303995</v>
      </c>
      <c r="N18" s="2">
        <f t="shared" si="5"/>
        <v>93088.322737450013</v>
      </c>
      <c r="O18" s="2">
        <f t="shared" si="6"/>
        <v>27965.306393639999</v>
      </c>
      <c r="P18" s="2">
        <f t="shared" si="7"/>
        <v>8349.59751564</v>
      </c>
      <c r="Q18" s="2">
        <f t="shared" si="8"/>
        <v>0.58749134943970827</v>
      </c>
      <c r="R18" s="2">
        <v>27951</v>
      </c>
    </row>
    <row r="19" spans="1:18" x14ac:dyDescent="0.3">
      <c r="A19" s="1">
        <v>2020</v>
      </c>
      <c r="B19" s="1" t="s">
        <v>75</v>
      </c>
      <c r="C19" s="7">
        <v>1876.83</v>
      </c>
      <c r="D19" s="7">
        <v>145.6</v>
      </c>
      <c r="E19" s="2">
        <f t="shared" si="0"/>
        <v>924.82662299999993</v>
      </c>
      <c r="F19" s="2">
        <v>21</v>
      </c>
      <c r="G19" s="2">
        <f t="shared" si="1"/>
        <v>19421.359082999999</v>
      </c>
      <c r="H19" s="2">
        <v>231</v>
      </c>
      <c r="I19" s="2">
        <f t="shared" si="2"/>
        <v>-1557.9133769999999</v>
      </c>
      <c r="J19" s="2">
        <f t="shared" si="3"/>
        <v>66976.315236460476</v>
      </c>
      <c r="K19" s="2">
        <v>104.633825</v>
      </c>
      <c r="L19" s="2">
        <v>30.135162999999999</v>
      </c>
      <c r="M19" s="2">
        <f t="shared" si="4"/>
        <v>196379.90177475</v>
      </c>
      <c r="N19" s="2">
        <f t="shared" si="5"/>
        <v>56558.577973289997</v>
      </c>
      <c r="O19" s="2">
        <f t="shared" si="6"/>
        <v>15234.68492</v>
      </c>
      <c r="P19" s="2">
        <f t="shared" si="7"/>
        <v>4387.6797327999993</v>
      </c>
      <c r="Q19" s="2">
        <f t="shared" si="8"/>
        <v>0.37250161766798068</v>
      </c>
      <c r="R19" s="2">
        <v>34806</v>
      </c>
    </row>
    <row r="20" spans="1:18" x14ac:dyDescent="0.3">
      <c r="A20" s="1">
        <v>2020</v>
      </c>
      <c r="B20" s="1" t="s">
        <v>76</v>
      </c>
      <c r="C20" s="7">
        <v>3603.23</v>
      </c>
      <c r="D20" s="7">
        <v>301.02</v>
      </c>
      <c r="E20" s="2">
        <f t="shared" si="0"/>
        <v>1787.3447209999999</v>
      </c>
      <c r="F20" s="2">
        <v>13</v>
      </c>
      <c r="G20" s="2">
        <f t="shared" si="1"/>
        <v>23235.481372999999</v>
      </c>
      <c r="H20" s="2">
        <v>82.3</v>
      </c>
      <c r="I20" s="2">
        <f t="shared" si="2"/>
        <v>-695.39527899999985</v>
      </c>
      <c r="J20" s="2">
        <f t="shared" si="3"/>
        <v>4754.2932852426984</v>
      </c>
      <c r="K20" s="2">
        <v>102.23090999999999</v>
      </c>
      <c r="L20" s="2">
        <v>31.905656</v>
      </c>
      <c r="M20" s="2">
        <f t="shared" si="4"/>
        <v>368361.48183929996</v>
      </c>
      <c r="N20" s="2">
        <f t="shared" si="5"/>
        <v>114963.41686888</v>
      </c>
      <c r="O20" s="2">
        <f t="shared" si="6"/>
        <v>30773.548528199997</v>
      </c>
      <c r="P20" s="2">
        <f t="shared" si="7"/>
        <v>9604.2405691200001</v>
      </c>
      <c r="Q20" s="2">
        <f t="shared" si="8"/>
        <v>0.71990661097439623</v>
      </c>
      <c r="R20" s="2">
        <v>49668</v>
      </c>
    </row>
    <row r="21" spans="1:18" x14ac:dyDescent="0.3">
      <c r="A21" s="1">
        <v>2020</v>
      </c>
      <c r="B21" s="1" t="s">
        <v>77</v>
      </c>
      <c r="C21" s="7">
        <v>3101.98</v>
      </c>
      <c r="D21" s="7">
        <v>336.1</v>
      </c>
      <c r="E21" s="2">
        <f t="shared" si="0"/>
        <v>1581.022588</v>
      </c>
      <c r="F21" s="2">
        <v>15</v>
      </c>
      <c r="G21" s="2">
        <f t="shared" si="1"/>
        <v>23715.338820000001</v>
      </c>
      <c r="H21" s="2">
        <v>110.8</v>
      </c>
      <c r="I21" s="2">
        <f t="shared" si="2"/>
        <v>-901.71741199999974</v>
      </c>
      <c r="J21" s="2">
        <f t="shared" si="3"/>
        <v>10762.256296060288</v>
      </c>
      <c r="K21" s="2">
        <v>101.968649</v>
      </c>
      <c r="L21" s="2">
        <v>30.055425</v>
      </c>
      <c r="M21" s="2">
        <f t="shared" si="4"/>
        <v>316304.70982501999</v>
      </c>
      <c r="N21" s="2">
        <f t="shared" si="5"/>
        <v>93231.327241499996</v>
      </c>
      <c r="O21" s="2">
        <f t="shared" si="6"/>
        <v>34271.662928900005</v>
      </c>
      <c r="P21" s="2">
        <f t="shared" si="7"/>
        <v>10101.6283425</v>
      </c>
      <c r="Q21" s="2">
        <f t="shared" si="8"/>
        <v>0.63680419329755533</v>
      </c>
      <c r="R21" s="2">
        <v>36993</v>
      </c>
    </row>
    <row r="22" spans="1:18" x14ac:dyDescent="0.3">
      <c r="A22" s="1">
        <v>2020</v>
      </c>
      <c r="B22" s="1" t="s">
        <v>78</v>
      </c>
      <c r="C22" s="7">
        <v>2888.27</v>
      </c>
      <c r="D22" s="7">
        <v>275.07</v>
      </c>
      <c r="E22" s="2">
        <f t="shared" si="0"/>
        <v>1451.2713200000001</v>
      </c>
      <c r="F22" s="2">
        <v>17</v>
      </c>
      <c r="G22" s="2">
        <f t="shared" si="1"/>
        <v>24671.612440000001</v>
      </c>
      <c r="H22" s="2">
        <v>486</v>
      </c>
      <c r="I22" s="2">
        <f t="shared" si="2"/>
        <v>-1031.4686799999997</v>
      </c>
      <c r="J22" s="2">
        <f t="shared" si="3"/>
        <v>61769.063669929252</v>
      </c>
      <c r="K22" s="2">
        <v>102.27418900000001</v>
      </c>
      <c r="L22" s="2">
        <v>27.887442</v>
      </c>
      <c r="M22" s="2">
        <f t="shared" si="4"/>
        <v>295395.47186302999</v>
      </c>
      <c r="N22" s="2">
        <f t="shared" si="5"/>
        <v>80546.462105340004</v>
      </c>
      <c r="O22" s="2">
        <f t="shared" si="6"/>
        <v>28132.56116823</v>
      </c>
      <c r="P22" s="2">
        <f t="shared" si="7"/>
        <v>7670.99867094</v>
      </c>
      <c r="Q22" s="2">
        <f t="shared" si="8"/>
        <v>0.58454298452343068</v>
      </c>
      <c r="R22" s="2">
        <v>35720</v>
      </c>
    </row>
    <row r="23" spans="1:18" x14ac:dyDescent="0.3">
      <c r="A23" s="1"/>
      <c r="B23" s="7" t="s">
        <v>79</v>
      </c>
      <c r="C23" s="7">
        <f>SUM(C2:C22)</f>
        <v>102202.23999999999</v>
      </c>
      <c r="D23" s="7">
        <f>SUM(D2:D22)</f>
        <v>11159.16</v>
      </c>
      <c r="M23" s="2">
        <f>SUM(M2:M22)</f>
        <v>10686004.873878447</v>
      </c>
      <c r="N23" s="2">
        <f>SUM(N2:N22)</f>
        <v>3097643.5704694302</v>
      </c>
      <c r="O23" s="2">
        <f>SUM(O2:O22)</f>
        <v>1165628.8746725898</v>
      </c>
      <c r="P23" s="2">
        <f>SUM(P2:P22)</f>
        <v>337754.01182307</v>
      </c>
    </row>
    <row r="24" spans="1:18" x14ac:dyDescent="0.3">
      <c r="D24" s="2" t="s">
        <v>17</v>
      </c>
      <c r="E24" s="2">
        <f>AVERAGE(E2:E22)</f>
        <v>2482.7452527619043</v>
      </c>
      <c r="F24" s="2" t="s">
        <v>10</v>
      </c>
      <c r="G24" s="2">
        <f>SUM(G2:G22)</f>
        <v>397020.41436799994</v>
      </c>
      <c r="H24" s="2">
        <v>8371</v>
      </c>
      <c r="J24" s="2">
        <f>SUM(J2:J22)</f>
        <v>18142312.514818326</v>
      </c>
      <c r="L24" s="2" t="s">
        <v>12</v>
      </c>
      <c r="M24" s="2">
        <f>M23/C23</f>
        <v>104.55744290808546</v>
      </c>
      <c r="N24" s="2">
        <f>N23/C23</f>
        <v>30.308959671230596</v>
      </c>
      <c r="O24" s="2">
        <f>O23/D23</f>
        <v>104.45489397701887</v>
      </c>
      <c r="P24" s="2">
        <f>P23/D23</f>
        <v>30.266974559292098</v>
      </c>
    </row>
    <row r="25" spans="1:18" x14ac:dyDescent="0.3">
      <c r="B25" s="2" t="s">
        <v>57</v>
      </c>
      <c r="C25" s="2">
        <f>E2-E19</f>
        <v>9905.978196</v>
      </c>
      <c r="D25" s="2" t="s">
        <v>13</v>
      </c>
      <c r="E25" s="2">
        <f>1+1/21-G24/(21*21*E24)</f>
        <v>0.68500711735676434</v>
      </c>
      <c r="F25" s="2" t="s">
        <v>14</v>
      </c>
      <c r="G25" s="2">
        <f>SQRT(J24)/E24</f>
        <v>1.7155925897747757</v>
      </c>
    </row>
    <row r="26" spans="1:18" x14ac:dyDescent="0.3">
      <c r="A26" s="25" t="s">
        <v>0</v>
      </c>
      <c r="B26" s="25" t="s">
        <v>1</v>
      </c>
      <c r="C26" s="25" t="s">
        <v>1</v>
      </c>
      <c r="D26" s="25" t="s">
        <v>1</v>
      </c>
    </row>
    <row r="27" spans="1:18" x14ac:dyDescent="0.3">
      <c r="A27" s="4" t="s">
        <v>2</v>
      </c>
      <c r="B27" s="4" t="s">
        <v>3</v>
      </c>
      <c r="C27" s="4" t="s">
        <v>4</v>
      </c>
      <c r="D27" s="4" t="s">
        <v>5</v>
      </c>
    </row>
    <row r="28" spans="1:18" x14ac:dyDescent="0.3">
      <c r="A28" s="4" t="s">
        <v>8</v>
      </c>
      <c r="B28" s="4">
        <v>0.81710000000000005</v>
      </c>
      <c r="C28" s="4">
        <v>0.18290000000000001</v>
      </c>
      <c r="D28" s="4" t="s">
        <v>30</v>
      </c>
    </row>
    <row r="29" spans="1:18" x14ac:dyDescent="0.3">
      <c r="A29" s="4" t="s">
        <v>6</v>
      </c>
      <c r="B29" s="4">
        <v>0.85029999999999994</v>
      </c>
      <c r="C29" s="4">
        <v>0.1497</v>
      </c>
      <c r="D29" s="4" t="s">
        <v>31</v>
      </c>
    </row>
  </sheetData>
  <mergeCells count="1">
    <mergeCell ref="A26:D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一叶知秋</dc:creator>
  <cp:lastModifiedBy>lqc</cp:lastModifiedBy>
  <dcterms:created xsi:type="dcterms:W3CDTF">2015-06-05T18:19:34Z</dcterms:created>
  <dcterms:modified xsi:type="dcterms:W3CDTF">2024-05-30T04:01:40Z</dcterms:modified>
</cp:coreProperties>
</file>