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comments4.xml" ContentType="application/vnd.openxmlformats-officedocument.spreadsheetml.comments+xml"/>
  <Override PartName="/xl/threadedComments/threadedComment4.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filterPrivacy="1" defaultThemeVersion="202300"/>
  <xr:revisionPtr revIDLastSave="0" documentId="13_ncr:1_{F1D2223A-BD42-4205-BAD9-56B9C2F03E1B}" xr6:coauthVersionLast="47" xr6:coauthVersionMax="47" xr10:uidLastSave="{00000000-0000-0000-0000-000000000000}"/>
  <bookViews>
    <workbookView xWindow="-120" yWindow="-120" windowWidth="29040" windowHeight="15840" xr2:uid="{0B510441-B88A-4A8A-8D33-B8228E1C092B}"/>
  </bookViews>
  <sheets>
    <sheet name="Contents" sheetId="16" r:id="rId1"/>
    <sheet name="ST1" sheetId="1" r:id="rId2"/>
    <sheet name="ST2" sheetId="15" r:id="rId3"/>
    <sheet name="ST3" sheetId="2" r:id="rId4"/>
    <sheet name="ST4" sheetId="3" r:id="rId5"/>
    <sheet name="ST5" sheetId="4" r:id="rId6"/>
    <sheet name="ST6" sheetId="7" r:id="rId7"/>
    <sheet name="ST7" sheetId="8" r:id="rId8"/>
    <sheet name="ST8" sheetId="9" r:id="rId9"/>
    <sheet name="ST9" sheetId="5" r:id="rId10"/>
    <sheet name="ST10" sheetId="6" r:id="rId11"/>
    <sheet name="ST11" sheetId="10" r:id="rId12"/>
    <sheet name="ST12" sheetId="12" r:id="rId13"/>
    <sheet name="ST13" sheetId="11" r:id="rId14"/>
    <sheet name="ST14" sheetId="13" r:id="rId15"/>
    <sheet name="ST15" sheetId="14" r:id="rId1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3" i="14" l="1"/>
  <c r="B32" i="14"/>
  <c r="B31" i="14"/>
  <c r="B30" i="14"/>
  <c r="B29" i="14"/>
  <c r="B28" i="14"/>
  <c r="B27" i="14"/>
  <c r="B26" i="14"/>
  <c r="Q109" i="11"/>
  <c r="P109" i="11"/>
  <c r="M109" i="11"/>
  <c r="Q108" i="11"/>
  <c r="P108" i="11"/>
  <c r="M108" i="11"/>
  <c r="Q107" i="11"/>
  <c r="P107" i="11"/>
  <c r="M107" i="11"/>
  <c r="Q106" i="11"/>
  <c r="P106" i="11"/>
  <c r="M106" i="11"/>
  <c r="S105" i="11"/>
  <c r="R105" i="11"/>
  <c r="M105" i="11"/>
  <c r="S104" i="11"/>
  <c r="R104" i="11"/>
  <c r="M104" i="11"/>
  <c r="S103" i="11"/>
  <c r="R103" i="11"/>
  <c r="M103" i="11"/>
  <c r="S102" i="11"/>
  <c r="R102" i="11"/>
  <c r="M102" i="11"/>
  <c r="S101" i="11"/>
  <c r="R101" i="11"/>
  <c r="Q101" i="11"/>
  <c r="P101" i="11"/>
  <c r="M101" i="11"/>
  <c r="S100" i="11"/>
  <c r="R100" i="11"/>
  <c r="Q100" i="11"/>
  <c r="P100" i="11"/>
  <c r="M100" i="11"/>
  <c r="S99" i="11"/>
  <c r="R99" i="11"/>
  <c r="Q99" i="11"/>
  <c r="P99" i="11"/>
  <c r="M99" i="11"/>
  <c r="S98" i="11"/>
  <c r="R98" i="11"/>
  <c r="Q98" i="11"/>
  <c r="P98" i="11"/>
  <c r="M98" i="11"/>
  <c r="S97" i="11"/>
  <c r="R97" i="11"/>
  <c r="Q97" i="11"/>
  <c r="P97" i="11"/>
  <c r="O97" i="11"/>
  <c r="N97" i="11"/>
  <c r="S96" i="11"/>
  <c r="R96" i="11"/>
  <c r="Q96" i="11"/>
  <c r="P96" i="11"/>
  <c r="O96" i="11"/>
  <c r="N96" i="11"/>
  <c r="L92" i="13"/>
  <c r="K92" i="13"/>
  <c r="J92" i="13"/>
  <c r="I92" i="13"/>
  <c r="H92" i="13"/>
  <c r="G92" i="13"/>
  <c r="F92" i="13"/>
  <c r="E92" i="13"/>
  <c r="D92" i="13"/>
  <c r="C92" i="13"/>
  <c r="B92" i="13"/>
  <c r="L91" i="13"/>
  <c r="K91" i="13"/>
  <c r="J91" i="13"/>
  <c r="I91" i="13"/>
  <c r="H91" i="13"/>
  <c r="G91" i="13"/>
  <c r="F91" i="13"/>
  <c r="E91" i="13"/>
  <c r="D91" i="13"/>
  <c r="C91" i="13"/>
  <c r="B91" i="13"/>
  <c r="L90" i="13"/>
  <c r="K90" i="13"/>
  <c r="J90" i="13"/>
  <c r="I90" i="13"/>
  <c r="H90" i="13"/>
  <c r="G90" i="13"/>
  <c r="F90" i="13"/>
  <c r="E90" i="13"/>
  <c r="D90" i="13"/>
  <c r="C90" i="13"/>
  <c r="B90" i="13"/>
  <c r="L89" i="13"/>
  <c r="K89" i="13"/>
  <c r="J89" i="13"/>
  <c r="I89" i="13"/>
  <c r="H89" i="13"/>
  <c r="G89" i="13"/>
  <c r="F89" i="13"/>
  <c r="E89" i="13"/>
  <c r="D89" i="13"/>
  <c r="C89" i="13"/>
  <c r="B89" i="13"/>
  <c r="L88" i="13"/>
  <c r="K88" i="13"/>
  <c r="J88" i="13"/>
  <c r="I88" i="13"/>
  <c r="H88" i="13"/>
  <c r="G88" i="13"/>
  <c r="F88" i="13"/>
  <c r="E88" i="13"/>
  <c r="D88" i="13"/>
  <c r="C88" i="13"/>
  <c r="B88" i="13"/>
  <c r="L87" i="13"/>
  <c r="K87" i="13"/>
  <c r="J87" i="13"/>
  <c r="I87" i="13"/>
  <c r="H87" i="13"/>
  <c r="G87" i="13"/>
  <c r="F87" i="13"/>
  <c r="E87" i="13"/>
  <c r="D87" i="13"/>
  <c r="C87" i="13"/>
  <c r="B87" i="13"/>
  <c r="L86" i="13"/>
  <c r="K86" i="13"/>
  <c r="J86" i="13"/>
  <c r="I86" i="13"/>
  <c r="H86" i="13"/>
  <c r="G86" i="13"/>
  <c r="F86" i="13"/>
  <c r="E86" i="13"/>
  <c r="D86" i="13"/>
  <c r="C86" i="13"/>
  <c r="B86" i="13"/>
  <c r="L85" i="13"/>
  <c r="K85" i="13"/>
  <c r="J85" i="13"/>
  <c r="I85" i="13"/>
  <c r="H85" i="13"/>
  <c r="G85" i="13"/>
  <c r="F85" i="13"/>
  <c r="E85" i="13"/>
  <c r="D85" i="13"/>
  <c r="C85" i="13"/>
  <c r="B85" i="13"/>
  <c r="L84" i="13"/>
  <c r="K84" i="13"/>
  <c r="J84" i="13"/>
  <c r="I84" i="13"/>
  <c r="H84" i="13"/>
  <c r="G84" i="13"/>
  <c r="F84" i="13"/>
  <c r="E84" i="13"/>
  <c r="D84" i="13"/>
  <c r="C84" i="13"/>
  <c r="B84" i="13"/>
  <c r="L83" i="13"/>
  <c r="K83" i="13"/>
  <c r="J83" i="13"/>
  <c r="I83" i="13"/>
  <c r="H83" i="13"/>
  <c r="G83" i="13"/>
  <c r="F83" i="13"/>
  <c r="E83" i="13"/>
  <c r="D83" i="13"/>
  <c r="C83" i="13"/>
  <c r="B83" i="13"/>
  <c r="L82" i="13"/>
  <c r="K82" i="13"/>
  <c r="J82" i="13"/>
  <c r="I82" i="13"/>
  <c r="H82" i="13"/>
  <c r="G82" i="13"/>
  <c r="F82" i="13"/>
  <c r="E82" i="13"/>
  <c r="D82" i="13"/>
  <c r="C82" i="13"/>
  <c r="B82" i="13"/>
  <c r="L81" i="13"/>
  <c r="K81" i="13"/>
  <c r="J81" i="13"/>
  <c r="I81" i="13"/>
  <c r="H81" i="13"/>
  <c r="G81" i="13"/>
  <c r="F81" i="13"/>
  <c r="E81" i="13"/>
  <c r="D81" i="13"/>
  <c r="C81" i="13"/>
  <c r="B81" i="13"/>
  <c r="L80" i="13"/>
  <c r="K80" i="13"/>
  <c r="J80" i="13"/>
  <c r="I80" i="13"/>
  <c r="H80" i="13"/>
  <c r="G80" i="13"/>
  <c r="F80" i="13"/>
  <c r="E80" i="13"/>
  <c r="D80" i="13"/>
  <c r="C80" i="13"/>
  <c r="B80" i="13"/>
  <c r="L79" i="13"/>
  <c r="K79" i="13"/>
  <c r="J79" i="13"/>
  <c r="I79" i="13"/>
  <c r="H79" i="13"/>
  <c r="G79" i="13"/>
  <c r="F79" i="13"/>
  <c r="E79" i="13"/>
  <c r="D79" i="13"/>
  <c r="C79" i="13"/>
  <c r="B79" i="13"/>
  <c r="L78" i="13"/>
  <c r="K78" i="13"/>
  <c r="J78" i="13"/>
  <c r="I78" i="13"/>
  <c r="H78" i="13"/>
  <c r="G78" i="13"/>
  <c r="F78" i="13"/>
  <c r="E78" i="13"/>
  <c r="D78" i="13"/>
  <c r="C78" i="13"/>
  <c r="B78" i="13"/>
  <c r="L77" i="13"/>
  <c r="K77" i="13"/>
  <c r="J77" i="13"/>
  <c r="I77" i="13"/>
  <c r="H77" i="13"/>
  <c r="G77" i="13"/>
  <c r="F77" i="13"/>
  <c r="E77" i="13"/>
  <c r="D77" i="13"/>
  <c r="C77" i="13"/>
  <c r="B77" i="13"/>
  <c r="L76" i="13"/>
  <c r="K76" i="13"/>
  <c r="J76" i="13"/>
  <c r="I76" i="13"/>
  <c r="H76" i="13"/>
  <c r="G76" i="13"/>
  <c r="F76" i="13"/>
  <c r="E76" i="13"/>
  <c r="D76" i="13"/>
  <c r="C76" i="13"/>
  <c r="B76" i="13"/>
  <c r="L75" i="13"/>
  <c r="K75" i="13"/>
  <c r="J75" i="13"/>
  <c r="I75" i="13"/>
  <c r="H75" i="13"/>
  <c r="G75" i="13"/>
  <c r="F75" i="13"/>
  <c r="E75" i="13"/>
  <c r="D75" i="13"/>
  <c r="C75" i="13"/>
  <c r="B75" i="13"/>
  <c r="L74" i="13"/>
  <c r="K74" i="13"/>
  <c r="J74" i="13"/>
  <c r="I74" i="13"/>
  <c r="H74" i="13"/>
  <c r="G74" i="13"/>
  <c r="F74" i="13"/>
  <c r="E74" i="13"/>
  <c r="D74" i="13"/>
  <c r="C74" i="13"/>
  <c r="B74" i="13"/>
  <c r="L73" i="13"/>
  <c r="K73" i="13"/>
  <c r="J73" i="13"/>
  <c r="I73" i="13"/>
  <c r="H73" i="13"/>
  <c r="G73" i="13"/>
  <c r="F73" i="13"/>
  <c r="E73" i="13"/>
  <c r="D73" i="13"/>
  <c r="C73" i="13"/>
  <c r="B73" i="13"/>
  <c r="L72" i="13"/>
  <c r="K72" i="13"/>
  <c r="J72" i="13"/>
  <c r="I72" i="13"/>
  <c r="H72" i="13"/>
  <c r="G72" i="13"/>
  <c r="F72" i="13"/>
  <c r="E72" i="13"/>
  <c r="D72" i="13"/>
  <c r="C72" i="13"/>
  <c r="B72" i="13"/>
  <c r="L71" i="13"/>
  <c r="K71" i="13"/>
  <c r="J71" i="13"/>
  <c r="I71" i="13"/>
  <c r="H71" i="13"/>
  <c r="G71" i="13"/>
  <c r="F71" i="13"/>
  <c r="E71" i="13"/>
  <c r="D71" i="13"/>
  <c r="C71" i="13"/>
  <c r="B71" i="13"/>
  <c r="L70" i="13"/>
  <c r="K70" i="13"/>
  <c r="J70" i="13"/>
  <c r="I70" i="13"/>
  <c r="H70" i="13"/>
  <c r="G70" i="13"/>
  <c r="F70" i="13"/>
  <c r="E70" i="13"/>
  <c r="D70" i="13"/>
  <c r="C70" i="13"/>
  <c r="B70" i="13"/>
  <c r="L69" i="13"/>
  <c r="K69" i="13"/>
  <c r="J69" i="13"/>
  <c r="I69" i="13"/>
  <c r="H69" i="13"/>
  <c r="G69" i="13"/>
  <c r="F69" i="13"/>
  <c r="E69" i="13"/>
  <c r="D69" i="13"/>
  <c r="C69" i="13"/>
  <c r="B69" i="13"/>
  <c r="L68" i="13"/>
  <c r="K68" i="13"/>
  <c r="J68" i="13"/>
  <c r="I68" i="13"/>
  <c r="H68" i="13"/>
  <c r="G68" i="13"/>
  <c r="F68" i="13"/>
  <c r="E68" i="13"/>
  <c r="D68" i="13"/>
  <c r="C68" i="13"/>
  <c r="B68" i="13"/>
  <c r="L67" i="13"/>
  <c r="K67" i="13"/>
  <c r="J67" i="13"/>
  <c r="I67" i="13"/>
  <c r="H67" i="13"/>
  <c r="G67" i="13"/>
  <c r="F67" i="13"/>
  <c r="E67" i="13"/>
  <c r="D67" i="13"/>
  <c r="C67" i="13"/>
  <c r="B67" i="13"/>
  <c r="L66" i="13"/>
  <c r="K66" i="13"/>
  <c r="J66" i="13"/>
  <c r="I66" i="13"/>
  <c r="H66" i="13"/>
  <c r="G66" i="13"/>
  <c r="F66" i="13"/>
  <c r="E66" i="13"/>
  <c r="D66" i="13"/>
  <c r="C66" i="13"/>
  <c r="B66" i="13"/>
  <c r="L65" i="13"/>
  <c r="K65" i="13"/>
  <c r="J65" i="13"/>
  <c r="I65" i="13"/>
  <c r="H65" i="13"/>
  <c r="G65" i="13"/>
  <c r="F65" i="13"/>
  <c r="E65" i="13"/>
  <c r="D65" i="13"/>
  <c r="C65" i="13"/>
  <c r="B65" i="13"/>
  <c r="L64" i="13"/>
  <c r="K64" i="13"/>
  <c r="J64" i="13"/>
  <c r="I64" i="13"/>
  <c r="H64" i="13"/>
  <c r="G64" i="13"/>
  <c r="F64" i="13"/>
  <c r="E64" i="13"/>
  <c r="D64" i="13"/>
  <c r="C64" i="13"/>
  <c r="B64" i="13"/>
  <c r="L63" i="13"/>
  <c r="K63" i="13"/>
  <c r="J63" i="13"/>
  <c r="I63" i="13"/>
  <c r="H63" i="13"/>
  <c r="G63" i="13"/>
  <c r="F63" i="13"/>
  <c r="E63" i="13"/>
  <c r="D63" i="13"/>
  <c r="C63" i="13"/>
  <c r="B63" i="13"/>
  <c r="L62" i="13"/>
  <c r="K62" i="13"/>
  <c r="J62" i="13"/>
  <c r="I62" i="13"/>
  <c r="H62" i="13"/>
  <c r="G62" i="13"/>
  <c r="F62" i="13"/>
  <c r="E62" i="13"/>
  <c r="D62" i="13"/>
  <c r="C62" i="13"/>
  <c r="B62" i="13"/>
  <c r="L61" i="13"/>
  <c r="K61" i="13"/>
  <c r="J61" i="13"/>
  <c r="I61" i="13"/>
  <c r="H61" i="13"/>
  <c r="G61" i="13"/>
  <c r="F61" i="13"/>
  <c r="E61" i="13"/>
  <c r="D61" i="13"/>
  <c r="C61" i="13"/>
  <c r="B61" i="13"/>
  <c r="L60" i="13"/>
  <c r="K60" i="13"/>
  <c r="J60" i="13"/>
  <c r="I60" i="13"/>
  <c r="H60" i="13"/>
  <c r="G60" i="13"/>
  <c r="F60" i="13"/>
  <c r="E60" i="13"/>
  <c r="D60" i="13"/>
  <c r="C60" i="13"/>
  <c r="B60" i="13"/>
  <c r="L59" i="13"/>
  <c r="K59" i="13"/>
  <c r="J59" i="13"/>
  <c r="I59" i="13"/>
  <c r="H59" i="13"/>
  <c r="G59" i="13"/>
  <c r="F59" i="13"/>
  <c r="E59" i="13"/>
  <c r="D59" i="13"/>
  <c r="C59" i="13"/>
  <c r="B59" i="13"/>
  <c r="L58" i="13"/>
  <c r="K58" i="13"/>
  <c r="J58" i="13"/>
  <c r="I58" i="13"/>
  <c r="H58" i="13"/>
  <c r="G58" i="13"/>
  <c r="F58" i="13"/>
  <c r="E58" i="13"/>
  <c r="D58" i="13"/>
  <c r="C58" i="13"/>
  <c r="B58" i="13"/>
  <c r="L57" i="13"/>
  <c r="K57" i="13"/>
  <c r="J57" i="13"/>
  <c r="I57" i="13"/>
  <c r="H57" i="13"/>
  <c r="G57" i="13"/>
  <c r="F57" i="13"/>
  <c r="E57" i="13"/>
  <c r="D57" i="13"/>
  <c r="C57" i="13"/>
  <c r="B57" i="13"/>
  <c r="L56" i="13"/>
  <c r="K56" i="13"/>
  <c r="J56" i="13"/>
  <c r="I56" i="13"/>
  <c r="H56" i="13"/>
  <c r="G56" i="13"/>
  <c r="F56" i="13"/>
  <c r="E56" i="13"/>
  <c r="D56" i="13"/>
  <c r="C56" i="13"/>
  <c r="B56" i="13"/>
  <c r="L55" i="13"/>
  <c r="K55" i="13"/>
  <c r="J55" i="13"/>
  <c r="I55" i="13"/>
  <c r="H55" i="13"/>
  <c r="G55" i="13"/>
  <c r="F55" i="13"/>
  <c r="E55" i="13"/>
  <c r="D55" i="13"/>
  <c r="C55" i="13"/>
  <c r="B55" i="13"/>
  <c r="L54" i="13"/>
  <c r="K54" i="13"/>
  <c r="J54" i="13"/>
  <c r="I54" i="13"/>
  <c r="H54" i="13"/>
  <c r="G54" i="13"/>
  <c r="F54" i="13"/>
  <c r="E54" i="13"/>
  <c r="D54" i="13"/>
  <c r="C54" i="13"/>
  <c r="B54" i="13"/>
  <c r="L53" i="13"/>
  <c r="K53" i="13"/>
  <c r="J53" i="13"/>
  <c r="I53" i="13"/>
  <c r="H53" i="13"/>
  <c r="G53" i="13"/>
  <c r="F53" i="13"/>
  <c r="E53" i="13"/>
  <c r="D53" i="13"/>
  <c r="C53" i="13"/>
  <c r="B53" i="13"/>
  <c r="L52" i="13"/>
  <c r="K52" i="13"/>
  <c r="J52" i="13"/>
  <c r="I52" i="13"/>
  <c r="H52" i="13"/>
  <c r="G52" i="13"/>
  <c r="F52" i="13"/>
  <c r="E52" i="13"/>
  <c r="D52" i="13"/>
  <c r="C52" i="13"/>
  <c r="B52" i="13"/>
  <c r="L51" i="13"/>
  <c r="K51" i="13"/>
  <c r="J51" i="13"/>
  <c r="I51" i="13"/>
  <c r="H51" i="13"/>
  <c r="G51" i="13"/>
  <c r="F51" i="13"/>
  <c r="E51" i="13"/>
  <c r="D51" i="13"/>
  <c r="C51" i="13"/>
  <c r="B51" i="13"/>
  <c r="L50" i="13"/>
  <c r="K50" i="13"/>
  <c r="J50" i="13"/>
  <c r="I50" i="13"/>
  <c r="H50" i="13"/>
  <c r="G50" i="13"/>
  <c r="F50" i="13"/>
  <c r="E50" i="13"/>
  <c r="D50" i="13"/>
  <c r="C50" i="13"/>
  <c r="B50" i="13"/>
  <c r="L49" i="13"/>
  <c r="K49" i="13"/>
  <c r="J49" i="13"/>
  <c r="I49" i="13"/>
  <c r="H49" i="13"/>
  <c r="G49" i="13"/>
  <c r="F49" i="13"/>
  <c r="E49" i="13"/>
  <c r="D49" i="13"/>
  <c r="C49" i="13"/>
  <c r="B49" i="13"/>
  <c r="L48" i="13"/>
  <c r="K48" i="13"/>
  <c r="J48" i="13"/>
  <c r="I48" i="13"/>
  <c r="H48" i="13"/>
  <c r="G48" i="13"/>
  <c r="F48" i="13"/>
  <c r="E48" i="13"/>
  <c r="D48" i="13"/>
  <c r="C48" i="13"/>
  <c r="B48" i="13"/>
  <c r="L47" i="13"/>
  <c r="K47" i="13"/>
  <c r="J47" i="13"/>
  <c r="I47" i="13"/>
  <c r="H47" i="13"/>
  <c r="G47" i="13"/>
  <c r="F47" i="13"/>
  <c r="E47" i="13"/>
  <c r="D47" i="13"/>
  <c r="C47" i="13"/>
  <c r="B47" i="13"/>
  <c r="L46" i="13"/>
  <c r="K46" i="13"/>
  <c r="J46" i="13"/>
  <c r="I46" i="13"/>
  <c r="H46" i="13"/>
  <c r="G46" i="13"/>
  <c r="F46" i="13"/>
  <c r="E46" i="13"/>
  <c r="D46" i="13"/>
  <c r="C46" i="13"/>
  <c r="B46" i="13"/>
  <c r="L45" i="13"/>
  <c r="K45" i="13"/>
  <c r="J45" i="13"/>
  <c r="I45" i="13"/>
  <c r="H45" i="13"/>
  <c r="G45" i="13"/>
  <c r="F45" i="13"/>
  <c r="E45" i="13"/>
  <c r="D45" i="13"/>
  <c r="C45" i="13"/>
  <c r="B45" i="13"/>
  <c r="L44" i="13"/>
  <c r="K44" i="13"/>
  <c r="J44" i="13"/>
  <c r="I44" i="13"/>
  <c r="H44" i="13"/>
  <c r="G44" i="13"/>
  <c r="F44" i="13"/>
  <c r="E44" i="13"/>
  <c r="D44" i="13"/>
  <c r="C44" i="13"/>
  <c r="B44" i="13"/>
  <c r="L43" i="13"/>
  <c r="K43" i="13"/>
  <c r="J43" i="13"/>
  <c r="I43" i="13"/>
  <c r="H43" i="13"/>
  <c r="G43" i="13"/>
  <c r="F43" i="13"/>
  <c r="E43" i="13"/>
  <c r="D43" i="13"/>
  <c r="C43" i="13"/>
  <c r="B43" i="13"/>
  <c r="L42" i="13"/>
  <c r="K42" i="13"/>
  <c r="J42" i="13"/>
  <c r="I42" i="13"/>
  <c r="H42" i="13"/>
  <c r="G42" i="13"/>
  <c r="F42" i="13"/>
  <c r="E42" i="13"/>
  <c r="D42" i="13"/>
  <c r="C42" i="13"/>
  <c r="B42" i="13"/>
  <c r="L41" i="13"/>
  <c r="K41" i="13"/>
  <c r="J41" i="13"/>
  <c r="I41" i="13"/>
  <c r="H41" i="13"/>
  <c r="G41" i="13"/>
  <c r="F41" i="13"/>
  <c r="E41" i="13"/>
  <c r="D41" i="13"/>
  <c r="C41" i="13"/>
  <c r="B41" i="13"/>
  <c r="L40" i="13"/>
  <c r="K40" i="13"/>
  <c r="J40" i="13"/>
  <c r="I40" i="13"/>
  <c r="H40" i="13"/>
  <c r="G40" i="13"/>
  <c r="F40" i="13"/>
  <c r="E40" i="13"/>
  <c r="D40" i="13"/>
  <c r="C40" i="13"/>
  <c r="B40" i="13"/>
  <c r="L39" i="13"/>
  <c r="K39" i="13"/>
  <c r="J39" i="13"/>
  <c r="I39" i="13"/>
  <c r="H39" i="13"/>
  <c r="G39" i="13"/>
  <c r="F39" i="13"/>
  <c r="E39" i="13"/>
  <c r="D39" i="13"/>
  <c r="C39" i="13"/>
  <c r="B39" i="13"/>
  <c r="L38" i="13"/>
  <c r="K38" i="13"/>
  <c r="J38" i="13"/>
  <c r="I38" i="13"/>
  <c r="H38" i="13"/>
  <c r="G38" i="13"/>
  <c r="F38" i="13"/>
  <c r="E38" i="13"/>
  <c r="D38" i="13"/>
  <c r="C38" i="13"/>
  <c r="B38" i="13"/>
  <c r="L37" i="13"/>
  <c r="K37" i="13"/>
  <c r="J37" i="13"/>
  <c r="I37" i="13"/>
  <c r="H37" i="13"/>
  <c r="G37" i="13"/>
  <c r="F37" i="13"/>
  <c r="E37" i="13"/>
  <c r="D37" i="13"/>
  <c r="C37" i="13"/>
  <c r="B37" i="13"/>
  <c r="L36" i="13"/>
  <c r="K36" i="13"/>
  <c r="J36" i="13"/>
  <c r="I36" i="13"/>
  <c r="H36" i="13"/>
  <c r="G36" i="13"/>
  <c r="F36" i="13"/>
  <c r="E36" i="13"/>
  <c r="D36" i="13"/>
  <c r="C36" i="13"/>
  <c r="B36" i="13"/>
  <c r="L35" i="13"/>
  <c r="K35" i="13"/>
  <c r="J35" i="13"/>
  <c r="I35" i="13"/>
  <c r="H35" i="13"/>
  <c r="G35" i="13"/>
  <c r="F35" i="13"/>
  <c r="E35" i="13"/>
  <c r="D35" i="13"/>
  <c r="C35" i="13"/>
  <c r="B35" i="13"/>
  <c r="L34" i="13"/>
  <c r="K34" i="13"/>
  <c r="J34" i="13"/>
  <c r="I34" i="13"/>
  <c r="H34" i="13"/>
  <c r="G34" i="13"/>
  <c r="F34" i="13"/>
  <c r="E34" i="13"/>
  <c r="D34" i="13"/>
  <c r="C34" i="13"/>
  <c r="B34" i="13"/>
  <c r="L33" i="13"/>
  <c r="K33" i="13"/>
  <c r="J33" i="13"/>
  <c r="I33" i="13"/>
  <c r="H33" i="13"/>
  <c r="G33" i="13"/>
  <c r="F33" i="13"/>
  <c r="E33" i="13"/>
  <c r="D33" i="13"/>
  <c r="C33" i="13"/>
  <c r="B33" i="13"/>
  <c r="L32" i="13"/>
  <c r="K32" i="13"/>
  <c r="J32" i="13"/>
  <c r="I32" i="13"/>
  <c r="H32" i="13"/>
  <c r="G32" i="13"/>
  <c r="F32" i="13"/>
  <c r="E32" i="13"/>
  <c r="D32" i="13"/>
  <c r="C32" i="13"/>
  <c r="B32" i="13"/>
  <c r="L31" i="13"/>
  <c r="K31" i="13"/>
  <c r="J31" i="13"/>
  <c r="I31" i="13"/>
  <c r="H31" i="13"/>
  <c r="G31" i="13"/>
  <c r="F31" i="13"/>
  <c r="E31" i="13"/>
  <c r="D31" i="13"/>
  <c r="C31" i="13"/>
  <c r="B31" i="13"/>
  <c r="L30" i="13"/>
  <c r="K30" i="13"/>
  <c r="J30" i="13"/>
  <c r="I30" i="13"/>
  <c r="H30" i="13"/>
  <c r="G30" i="13"/>
  <c r="F30" i="13"/>
  <c r="E30" i="13"/>
  <c r="D30" i="13"/>
  <c r="C30" i="13"/>
  <c r="B30" i="13"/>
  <c r="L29" i="13"/>
  <c r="K29" i="13"/>
  <c r="J29" i="13"/>
  <c r="I29" i="13"/>
  <c r="H29" i="13"/>
  <c r="G29" i="13"/>
  <c r="F29" i="13"/>
  <c r="E29" i="13"/>
  <c r="D29" i="13"/>
  <c r="C29" i="13"/>
  <c r="B29" i="13"/>
  <c r="L28" i="13"/>
  <c r="K28" i="13"/>
  <c r="J28" i="13"/>
  <c r="I28" i="13"/>
  <c r="H28" i="13"/>
  <c r="G28" i="13"/>
  <c r="F28" i="13"/>
  <c r="E28" i="13"/>
  <c r="D28" i="13"/>
  <c r="C28" i="13"/>
  <c r="B28" i="13"/>
  <c r="L27" i="13"/>
  <c r="K27" i="13"/>
  <c r="J27" i="13"/>
  <c r="I27" i="13"/>
  <c r="H27" i="13"/>
  <c r="G27" i="13"/>
  <c r="F27" i="13"/>
  <c r="E27" i="13"/>
  <c r="D27" i="13"/>
  <c r="C27" i="13"/>
  <c r="B27" i="13"/>
  <c r="L26" i="13"/>
  <c r="K26" i="13"/>
  <c r="J26" i="13"/>
  <c r="I26" i="13"/>
  <c r="H26" i="13"/>
  <c r="G26" i="13"/>
  <c r="F26" i="13"/>
  <c r="E26" i="13"/>
  <c r="D26" i="13"/>
  <c r="C26" i="13"/>
  <c r="B26" i="13"/>
  <c r="L25" i="13"/>
  <c r="K25" i="13"/>
  <c r="J25" i="13"/>
  <c r="I25" i="13"/>
  <c r="H25" i="13"/>
  <c r="G25" i="13"/>
  <c r="F25" i="13"/>
  <c r="E25" i="13"/>
  <c r="D25" i="13"/>
  <c r="C25" i="13"/>
  <c r="B25" i="13"/>
  <c r="L24" i="13"/>
  <c r="K24" i="13"/>
  <c r="J24" i="13"/>
  <c r="I24" i="13"/>
  <c r="H24" i="13"/>
  <c r="G24" i="13"/>
  <c r="F24" i="13"/>
  <c r="E24" i="13"/>
  <c r="D24" i="13"/>
  <c r="C24" i="13"/>
  <c r="B24" i="13"/>
  <c r="L23" i="13"/>
  <c r="K23" i="13"/>
  <c r="J23" i="13"/>
  <c r="I23" i="13"/>
  <c r="H23" i="13"/>
  <c r="G23" i="13"/>
  <c r="F23" i="13"/>
  <c r="E23" i="13"/>
  <c r="D23" i="13"/>
  <c r="C23" i="13"/>
  <c r="B23" i="13"/>
  <c r="L22" i="13"/>
  <c r="K22" i="13"/>
  <c r="J22" i="13"/>
  <c r="I22" i="13"/>
  <c r="H22" i="13"/>
  <c r="G22" i="13"/>
  <c r="F22" i="13"/>
  <c r="E22" i="13"/>
  <c r="D22" i="13"/>
  <c r="C22" i="13"/>
  <c r="B22" i="13"/>
  <c r="L21" i="13"/>
  <c r="K21" i="13"/>
  <c r="J21" i="13"/>
  <c r="I21" i="13"/>
  <c r="H21" i="13"/>
  <c r="G21" i="13"/>
  <c r="F21" i="13"/>
  <c r="E21" i="13"/>
  <c r="D21" i="13"/>
  <c r="C21" i="13"/>
  <c r="B21" i="13"/>
  <c r="L20" i="13"/>
  <c r="K20" i="13"/>
  <c r="J20" i="13"/>
  <c r="I20" i="13"/>
  <c r="H20" i="13"/>
  <c r="G20" i="13"/>
  <c r="F20" i="13"/>
  <c r="E20" i="13"/>
  <c r="D20" i="13"/>
  <c r="C20" i="13"/>
  <c r="B20" i="13"/>
  <c r="L19" i="13"/>
  <c r="K19" i="13"/>
  <c r="J19" i="13"/>
  <c r="I19" i="13"/>
  <c r="H19" i="13"/>
  <c r="G19" i="13"/>
  <c r="F19" i="13"/>
  <c r="E19" i="13"/>
  <c r="D19" i="13"/>
  <c r="C19" i="13"/>
  <c r="B19" i="13"/>
  <c r="L18" i="13"/>
  <c r="K18" i="13"/>
  <c r="J18" i="13"/>
  <c r="I18" i="13"/>
  <c r="H18" i="13"/>
  <c r="G18" i="13"/>
  <c r="F18" i="13"/>
  <c r="E18" i="13"/>
  <c r="D18" i="13"/>
  <c r="C18" i="13"/>
  <c r="B18" i="13"/>
  <c r="L17" i="13"/>
  <c r="K17" i="13"/>
  <c r="J17" i="13"/>
  <c r="I17" i="13"/>
  <c r="H17" i="13"/>
  <c r="G17" i="13"/>
  <c r="F17" i="13"/>
  <c r="E17" i="13"/>
  <c r="D17" i="13"/>
  <c r="C17" i="13"/>
  <c r="B17" i="13"/>
  <c r="L16" i="13"/>
  <c r="K16" i="13"/>
  <c r="J16" i="13"/>
  <c r="I16" i="13"/>
  <c r="H16" i="13"/>
  <c r="G16" i="13"/>
  <c r="F16" i="13"/>
  <c r="E16" i="13"/>
  <c r="D16" i="13"/>
  <c r="C16" i="13"/>
  <c r="B16" i="13"/>
  <c r="L15" i="13"/>
  <c r="K15" i="13"/>
  <c r="J15" i="13"/>
  <c r="I15" i="13"/>
  <c r="H15" i="13"/>
  <c r="G15" i="13"/>
  <c r="F15" i="13"/>
  <c r="E15" i="13"/>
  <c r="D15" i="13"/>
  <c r="C15" i="13"/>
  <c r="B15" i="13"/>
  <c r="L14" i="13"/>
  <c r="K14" i="13"/>
  <c r="J14" i="13"/>
  <c r="I14" i="13"/>
  <c r="H14" i="13"/>
  <c r="G14" i="13"/>
  <c r="F14" i="13"/>
  <c r="E14" i="13"/>
  <c r="D14" i="13"/>
  <c r="C14" i="13"/>
  <c r="B14" i="13"/>
  <c r="L13" i="13"/>
  <c r="K13" i="13"/>
  <c r="J13" i="13"/>
  <c r="I13" i="13"/>
  <c r="H13" i="13"/>
  <c r="G13" i="13"/>
  <c r="F13" i="13"/>
  <c r="E13" i="13"/>
  <c r="D13" i="13"/>
  <c r="C13" i="13"/>
  <c r="B13" i="13"/>
  <c r="L12" i="13"/>
  <c r="K12" i="13"/>
  <c r="J12" i="13"/>
  <c r="I12" i="13"/>
  <c r="H12" i="13"/>
  <c r="G12" i="13"/>
  <c r="F12" i="13"/>
  <c r="E12" i="13"/>
  <c r="D12" i="13"/>
  <c r="C12" i="13"/>
  <c r="B12" i="13"/>
  <c r="L11" i="13"/>
  <c r="K11" i="13"/>
  <c r="J11" i="13"/>
  <c r="I11" i="13"/>
  <c r="H11" i="13"/>
  <c r="G11" i="13"/>
  <c r="F11" i="13"/>
  <c r="E11" i="13"/>
  <c r="D11" i="13"/>
  <c r="C11" i="13"/>
  <c r="B11" i="13"/>
  <c r="L10" i="13"/>
  <c r="K10" i="13"/>
  <c r="J10" i="13"/>
  <c r="I10" i="13"/>
  <c r="H10" i="13"/>
  <c r="G10" i="13"/>
  <c r="F10" i="13"/>
  <c r="E10" i="13"/>
  <c r="D10" i="13"/>
  <c r="C10" i="13"/>
  <c r="B10" i="13"/>
  <c r="L9" i="13"/>
  <c r="K9" i="13"/>
  <c r="J9" i="13"/>
  <c r="I9" i="13"/>
  <c r="H9" i="13"/>
  <c r="G9" i="13"/>
  <c r="F9" i="13"/>
  <c r="E9" i="13"/>
  <c r="D9" i="13"/>
  <c r="C9" i="13"/>
  <c r="B9" i="13"/>
  <c r="L8" i="13"/>
  <c r="K8" i="13"/>
  <c r="J8" i="13"/>
  <c r="I8" i="13"/>
  <c r="H8" i="13"/>
  <c r="G8" i="13"/>
  <c r="F8" i="13"/>
  <c r="E8" i="13"/>
  <c r="D8" i="13"/>
  <c r="C8" i="13"/>
  <c r="B8" i="13"/>
  <c r="L7" i="13"/>
  <c r="K7" i="13"/>
  <c r="J7" i="13"/>
  <c r="I7" i="13"/>
  <c r="H7" i="13"/>
  <c r="G7" i="13"/>
  <c r="F7" i="13"/>
  <c r="E7" i="13"/>
  <c r="D7" i="13"/>
  <c r="C7" i="13"/>
  <c r="B7" i="13"/>
  <c r="L6" i="13"/>
  <c r="K6" i="13"/>
  <c r="J6" i="13"/>
  <c r="I6" i="13"/>
  <c r="H6" i="13"/>
  <c r="G6" i="13"/>
  <c r="F6" i="13"/>
  <c r="E6" i="13"/>
  <c r="D6" i="13"/>
  <c r="C6" i="13"/>
  <c r="B6" i="13"/>
  <c r="L5" i="13"/>
  <c r="K5" i="13"/>
  <c r="J5" i="13"/>
  <c r="I5" i="13"/>
  <c r="H5" i="13"/>
  <c r="G5" i="13"/>
  <c r="F5" i="13"/>
  <c r="E5" i="13"/>
  <c r="D5" i="13"/>
  <c r="C5" i="13"/>
  <c r="B5" i="13"/>
  <c r="L92" i="11"/>
  <c r="K92" i="11"/>
  <c r="J92" i="11"/>
  <c r="I92" i="11"/>
  <c r="H92" i="11"/>
  <c r="G92" i="11"/>
  <c r="F92" i="11"/>
  <c r="E92" i="11"/>
  <c r="D92" i="11"/>
  <c r="C92" i="11"/>
  <c r="B92" i="11"/>
  <c r="L91" i="11"/>
  <c r="K91" i="11"/>
  <c r="J91" i="11"/>
  <c r="I91" i="11"/>
  <c r="H91" i="11"/>
  <c r="G91" i="11"/>
  <c r="F91" i="11"/>
  <c r="E91" i="11"/>
  <c r="D91" i="11"/>
  <c r="C91" i="11"/>
  <c r="B91" i="11"/>
  <c r="L90" i="11"/>
  <c r="K90" i="11"/>
  <c r="J90" i="11"/>
  <c r="I90" i="11"/>
  <c r="H90" i="11"/>
  <c r="G90" i="11"/>
  <c r="F90" i="11"/>
  <c r="E90" i="11"/>
  <c r="D90" i="11"/>
  <c r="C90" i="11"/>
  <c r="B90" i="11"/>
  <c r="L89" i="11"/>
  <c r="K89" i="11"/>
  <c r="J89" i="11"/>
  <c r="I89" i="11"/>
  <c r="H89" i="11"/>
  <c r="G89" i="11"/>
  <c r="F89" i="11"/>
  <c r="E89" i="11"/>
  <c r="D89" i="11"/>
  <c r="C89" i="11"/>
  <c r="B89" i="11"/>
  <c r="L88" i="11"/>
  <c r="K88" i="11"/>
  <c r="J88" i="11"/>
  <c r="I88" i="11"/>
  <c r="H88" i="11"/>
  <c r="G88" i="11"/>
  <c r="F88" i="11"/>
  <c r="E88" i="11"/>
  <c r="D88" i="11"/>
  <c r="C88" i="11"/>
  <c r="B88" i="11"/>
  <c r="L87" i="11"/>
  <c r="K87" i="11"/>
  <c r="J87" i="11"/>
  <c r="I87" i="11"/>
  <c r="H87" i="11"/>
  <c r="G87" i="11"/>
  <c r="F87" i="11"/>
  <c r="E87" i="11"/>
  <c r="D87" i="11"/>
  <c r="C87" i="11"/>
  <c r="B87" i="11"/>
  <c r="L86" i="11"/>
  <c r="K86" i="11"/>
  <c r="J86" i="11"/>
  <c r="I86" i="11"/>
  <c r="H86" i="11"/>
  <c r="G86" i="11"/>
  <c r="F86" i="11"/>
  <c r="E86" i="11"/>
  <c r="D86" i="11"/>
  <c r="C86" i="11"/>
  <c r="B86" i="11"/>
  <c r="L85" i="11"/>
  <c r="K85" i="11"/>
  <c r="J85" i="11"/>
  <c r="I85" i="11"/>
  <c r="H85" i="11"/>
  <c r="G85" i="11"/>
  <c r="F85" i="11"/>
  <c r="E85" i="11"/>
  <c r="D85" i="11"/>
  <c r="C85" i="11"/>
  <c r="B85" i="11"/>
  <c r="L84" i="11"/>
  <c r="K84" i="11"/>
  <c r="J84" i="11"/>
  <c r="I84" i="11"/>
  <c r="H84" i="11"/>
  <c r="G84" i="11"/>
  <c r="F84" i="11"/>
  <c r="E84" i="11"/>
  <c r="D84" i="11"/>
  <c r="C84" i="11"/>
  <c r="B84" i="11"/>
  <c r="L83" i="11"/>
  <c r="K83" i="11"/>
  <c r="J83" i="11"/>
  <c r="I83" i="11"/>
  <c r="H83" i="11"/>
  <c r="G83" i="11"/>
  <c r="F83" i="11"/>
  <c r="E83" i="11"/>
  <c r="D83" i="11"/>
  <c r="C83" i="11"/>
  <c r="B83" i="11"/>
  <c r="L82" i="11"/>
  <c r="K82" i="11"/>
  <c r="J82" i="11"/>
  <c r="I82" i="11"/>
  <c r="H82" i="11"/>
  <c r="G82" i="11"/>
  <c r="F82" i="11"/>
  <c r="E82" i="11"/>
  <c r="D82" i="11"/>
  <c r="C82" i="11"/>
  <c r="B82" i="11"/>
  <c r="L81" i="11"/>
  <c r="K81" i="11"/>
  <c r="J81" i="11"/>
  <c r="I81" i="11"/>
  <c r="H81" i="11"/>
  <c r="G81" i="11"/>
  <c r="F81" i="11"/>
  <c r="E81" i="11"/>
  <c r="D81" i="11"/>
  <c r="C81" i="11"/>
  <c r="B81" i="11"/>
  <c r="L80" i="11"/>
  <c r="K80" i="11"/>
  <c r="J80" i="11"/>
  <c r="I80" i="11"/>
  <c r="H80" i="11"/>
  <c r="G80" i="11"/>
  <c r="F80" i="11"/>
  <c r="E80" i="11"/>
  <c r="D80" i="11"/>
  <c r="C80" i="11"/>
  <c r="B80" i="11"/>
  <c r="L79" i="11"/>
  <c r="K79" i="11"/>
  <c r="J79" i="11"/>
  <c r="I79" i="11"/>
  <c r="H79" i="11"/>
  <c r="G79" i="11"/>
  <c r="F79" i="11"/>
  <c r="E79" i="11"/>
  <c r="D79" i="11"/>
  <c r="C79" i="11"/>
  <c r="B79" i="11"/>
  <c r="L78" i="11"/>
  <c r="K78" i="11"/>
  <c r="J78" i="11"/>
  <c r="I78" i="11"/>
  <c r="H78" i="11"/>
  <c r="G78" i="11"/>
  <c r="F78" i="11"/>
  <c r="E78" i="11"/>
  <c r="D78" i="11"/>
  <c r="C78" i="11"/>
  <c r="B78" i="11"/>
  <c r="L77" i="11"/>
  <c r="K77" i="11"/>
  <c r="J77" i="11"/>
  <c r="I77" i="11"/>
  <c r="H77" i="11"/>
  <c r="G77" i="11"/>
  <c r="F77" i="11"/>
  <c r="E77" i="11"/>
  <c r="D77" i="11"/>
  <c r="C77" i="11"/>
  <c r="B77" i="11"/>
  <c r="L76" i="11"/>
  <c r="K76" i="11"/>
  <c r="J76" i="11"/>
  <c r="I76" i="11"/>
  <c r="H76" i="11"/>
  <c r="G76" i="11"/>
  <c r="F76" i="11"/>
  <c r="E76" i="11"/>
  <c r="D76" i="11"/>
  <c r="C76" i="11"/>
  <c r="B76" i="11"/>
  <c r="L75" i="11"/>
  <c r="K75" i="11"/>
  <c r="J75" i="11"/>
  <c r="I75" i="11"/>
  <c r="H75" i="11"/>
  <c r="G75" i="11"/>
  <c r="F75" i="11"/>
  <c r="E75" i="11"/>
  <c r="D75" i="11"/>
  <c r="C75" i="11"/>
  <c r="B75" i="11"/>
  <c r="L74" i="11"/>
  <c r="K74" i="11"/>
  <c r="J74" i="11"/>
  <c r="I74" i="11"/>
  <c r="H74" i="11"/>
  <c r="G74" i="11"/>
  <c r="F74" i="11"/>
  <c r="E74" i="11"/>
  <c r="D74" i="11"/>
  <c r="C74" i="11"/>
  <c r="B74" i="11"/>
  <c r="L73" i="11"/>
  <c r="K73" i="11"/>
  <c r="J73" i="11"/>
  <c r="I73" i="11"/>
  <c r="H73" i="11"/>
  <c r="G73" i="11"/>
  <c r="F73" i="11"/>
  <c r="E73" i="11"/>
  <c r="D73" i="11"/>
  <c r="C73" i="11"/>
  <c r="B73" i="11"/>
  <c r="L72" i="11"/>
  <c r="K72" i="11"/>
  <c r="J72" i="11"/>
  <c r="I72" i="11"/>
  <c r="H72" i="11"/>
  <c r="G72" i="11"/>
  <c r="F72" i="11"/>
  <c r="E72" i="11"/>
  <c r="D72" i="11"/>
  <c r="C72" i="11"/>
  <c r="B72" i="11"/>
  <c r="L71" i="11"/>
  <c r="K71" i="11"/>
  <c r="J71" i="11"/>
  <c r="I71" i="11"/>
  <c r="H71" i="11"/>
  <c r="G71" i="11"/>
  <c r="F71" i="11"/>
  <c r="E71" i="11"/>
  <c r="D71" i="11"/>
  <c r="C71" i="11"/>
  <c r="B71" i="11"/>
  <c r="L70" i="11"/>
  <c r="K70" i="11"/>
  <c r="J70" i="11"/>
  <c r="I70" i="11"/>
  <c r="H70" i="11"/>
  <c r="G70" i="11"/>
  <c r="F70" i="11"/>
  <c r="E70" i="11"/>
  <c r="D70" i="11"/>
  <c r="C70" i="11"/>
  <c r="B70" i="11"/>
  <c r="L69" i="11"/>
  <c r="K69" i="11"/>
  <c r="J69" i="11"/>
  <c r="I69" i="11"/>
  <c r="H69" i="11"/>
  <c r="G69" i="11"/>
  <c r="F69" i="11"/>
  <c r="E69" i="11"/>
  <c r="D69" i="11"/>
  <c r="C69" i="11"/>
  <c r="B69" i="11"/>
  <c r="L68" i="11"/>
  <c r="K68" i="11"/>
  <c r="J68" i="11"/>
  <c r="I68" i="11"/>
  <c r="H68" i="11"/>
  <c r="G68" i="11"/>
  <c r="F68" i="11"/>
  <c r="E68" i="11"/>
  <c r="D68" i="11"/>
  <c r="C68" i="11"/>
  <c r="B68" i="11"/>
  <c r="L67" i="11"/>
  <c r="K67" i="11"/>
  <c r="J67" i="11"/>
  <c r="I67" i="11"/>
  <c r="H67" i="11"/>
  <c r="G67" i="11"/>
  <c r="F67" i="11"/>
  <c r="E67" i="11"/>
  <c r="D67" i="11"/>
  <c r="C67" i="11"/>
  <c r="B67" i="11"/>
  <c r="L66" i="11"/>
  <c r="K66" i="11"/>
  <c r="J66" i="11"/>
  <c r="I66" i="11"/>
  <c r="H66" i="11"/>
  <c r="G66" i="11"/>
  <c r="F66" i="11"/>
  <c r="E66" i="11"/>
  <c r="D66" i="11"/>
  <c r="C66" i="11"/>
  <c r="B66" i="11"/>
  <c r="L65" i="11"/>
  <c r="K65" i="11"/>
  <c r="J65" i="11"/>
  <c r="I65" i="11"/>
  <c r="H65" i="11"/>
  <c r="G65" i="11"/>
  <c r="F65" i="11"/>
  <c r="E65" i="11"/>
  <c r="D65" i="11"/>
  <c r="C65" i="11"/>
  <c r="B65" i="11"/>
  <c r="L64" i="11"/>
  <c r="K64" i="11"/>
  <c r="J64" i="11"/>
  <c r="I64" i="11"/>
  <c r="H64" i="11"/>
  <c r="G64" i="11"/>
  <c r="F64" i="11"/>
  <c r="E64" i="11"/>
  <c r="D64" i="11"/>
  <c r="C64" i="11"/>
  <c r="B64" i="11"/>
  <c r="L63" i="11"/>
  <c r="K63" i="11"/>
  <c r="J63" i="11"/>
  <c r="I63" i="11"/>
  <c r="H63" i="11"/>
  <c r="G63" i="11"/>
  <c r="F63" i="11"/>
  <c r="E63" i="11"/>
  <c r="D63" i="11"/>
  <c r="C63" i="11"/>
  <c r="B63" i="11"/>
  <c r="L62" i="11"/>
  <c r="K62" i="11"/>
  <c r="J62" i="11"/>
  <c r="I62" i="11"/>
  <c r="H62" i="11"/>
  <c r="G62" i="11"/>
  <c r="F62" i="11"/>
  <c r="E62" i="11"/>
  <c r="D62" i="11"/>
  <c r="C62" i="11"/>
  <c r="B62" i="11"/>
  <c r="L61" i="11"/>
  <c r="K61" i="11"/>
  <c r="J61" i="11"/>
  <c r="I61" i="11"/>
  <c r="H61" i="11"/>
  <c r="G61" i="11"/>
  <c r="F61" i="11"/>
  <c r="E61" i="11"/>
  <c r="D61" i="11"/>
  <c r="C61" i="11"/>
  <c r="B61" i="11"/>
  <c r="L60" i="11"/>
  <c r="K60" i="11"/>
  <c r="J60" i="11"/>
  <c r="I60" i="11"/>
  <c r="H60" i="11"/>
  <c r="G60" i="11"/>
  <c r="F60" i="11"/>
  <c r="E60" i="11"/>
  <c r="D60" i="11"/>
  <c r="C60" i="11"/>
  <c r="B60" i="11"/>
  <c r="L59" i="11"/>
  <c r="K59" i="11"/>
  <c r="J59" i="11"/>
  <c r="I59" i="11"/>
  <c r="H59" i="11"/>
  <c r="G59" i="11"/>
  <c r="F59" i="11"/>
  <c r="E59" i="11"/>
  <c r="D59" i="11"/>
  <c r="C59" i="11"/>
  <c r="B59" i="11"/>
  <c r="L58" i="11"/>
  <c r="K58" i="11"/>
  <c r="J58" i="11"/>
  <c r="I58" i="11"/>
  <c r="H58" i="11"/>
  <c r="G58" i="11"/>
  <c r="F58" i="11"/>
  <c r="E58" i="11"/>
  <c r="D58" i="11"/>
  <c r="C58" i="11"/>
  <c r="B58" i="11"/>
  <c r="L57" i="11"/>
  <c r="K57" i="11"/>
  <c r="J57" i="11"/>
  <c r="I57" i="11"/>
  <c r="H57" i="11"/>
  <c r="G57" i="11"/>
  <c r="F57" i="11"/>
  <c r="E57" i="11"/>
  <c r="D57" i="11"/>
  <c r="C57" i="11"/>
  <c r="B57" i="11"/>
  <c r="L56" i="11"/>
  <c r="K56" i="11"/>
  <c r="J56" i="11"/>
  <c r="I56" i="11"/>
  <c r="H56" i="11"/>
  <c r="G56" i="11"/>
  <c r="F56" i="11"/>
  <c r="E56" i="11"/>
  <c r="D56" i="11"/>
  <c r="C56" i="11"/>
  <c r="B56" i="11"/>
  <c r="L55" i="11"/>
  <c r="K55" i="11"/>
  <c r="J55" i="11"/>
  <c r="I55" i="11"/>
  <c r="H55" i="11"/>
  <c r="G55" i="11"/>
  <c r="F55" i="11"/>
  <c r="E55" i="11"/>
  <c r="D55" i="11"/>
  <c r="C55" i="11"/>
  <c r="B55" i="11"/>
  <c r="L54" i="11"/>
  <c r="K54" i="11"/>
  <c r="J54" i="11"/>
  <c r="I54" i="11"/>
  <c r="H54" i="11"/>
  <c r="G54" i="11"/>
  <c r="F54" i="11"/>
  <c r="E54" i="11"/>
  <c r="D54" i="11"/>
  <c r="C54" i="11"/>
  <c r="B54" i="11"/>
  <c r="L53" i="11"/>
  <c r="K53" i="11"/>
  <c r="J53" i="11"/>
  <c r="I53" i="11"/>
  <c r="H53" i="11"/>
  <c r="G53" i="11"/>
  <c r="F53" i="11"/>
  <c r="E53" i="11"/>
  <c r="D53" i="11"/>
  <c r="C53" i="11"/>
  <c r="B53" i="11"/>
  <c r="L52" i="11"/>
  <c r="K52" i="11"/>
  <c r="J52" i="11"/>
  <c r="I52" i="11"/>
  <c r="H52" i="11"/>
  <c r="G52" i="11"/>
  <c r="F52" i="11"/>
  <c r="E52" i="11"/>
  <c r="D52" i="11"/>
  <c r="C52" i="11"/>
  <c r="B52" i="11"/>
  <c r="L51" i="11"/>
  <c r="K51" i="11"/>
  <c r="J51" i="11"/>
  <c r="I51" i="11"/>
  <c r="H51" i="11"/>
  <c r="G51" i="11"/>
  <c r="F51" i="11"/>
  <c r="E51" i="11"/>
  <c r="D51" i="11"/>
  <c r="C51" i="11"/>
  <c r="B51" i="11"/>
  <c r="L50" i="11"/>
  <c r="K50" i="11"/>
  <c r="J50" i="11"/>
  <c r="I50" i="11"/>
  <c r="H50" i="11"/>
  <c r="G50" i="11"/>
  <c r="F50" i="11"/>
  <c r="E50" i="11"/>
  <c r="D50" i="11"/>
  <c r="C50" i="11"/>
  <c r="B50" i="11"/>
  <c r="L49" i="11"/>
  <c r="K49" i="11"/>
  <c r="J49" i="11"/>
  <c r="I49" i="11"/>
  <c r="H49" i="11"/>
  <c r="G49" i="11"/>
  <c r="F49" i="11"/>
  <c r="E49" i="11"/>
  <c r="D49" i="11"/>
  <c r="C49" i="11"/>
  <c r="B49" i="11"/>
  <c r="L48" i="11"/>
  <c r="K48" i="11"/>
  <c r="J48" i="11"/>
  <c r="I48" i="11"/>
  <c r="H48" i="11"/>
  <c r="G48" i="11"/>
  <c r="F48" i="11"/>
  <c r="E48" i="11"/>
  <c r="D48" i="11"/>
  <c r="C48" i="11"/>
  <c r="B48" i="11"/>
  <c r="L47" i="11"/>
  <c r="K47" i="11"/>
  <c r="J47" i="11"/>
  <c r="I47" i="11"/>
  <c r="H47" i="11"/>
  <c r="G47" i="11"/>
  <c r="F47" i="11"/>
  <c r="E47" i="11"/>
  <c r="D47" i="11"/>
  <c r="C47" i="11"/>
  <c r="B47" i="11"/>
  <c r="L46" i="11"/>
  <c r="K46" i="11"/>
  <c r="J46" i="11"/>
  <c r="I46" i="11"/>
  <c r="H46" i="11"/>
  <c r="G46" i="11"/>
  <c r="F46" i="11"/>
  <c r="E46" i="11"/>
  <c r="D46" i="11"/>
  <c r="C46" i="11"/>
  <c r="B46" i="11"/>
  <c r="L45" i="11"/>
  <c r="K45" i="11"/>
  <c r="J45" i="11"/>
  <c r="I45" i="11"/>
  <c r="H45" i="11"/>
  <c r="G45" i="11"/>
  <c r="F45" i="11"/>
  <c r="E45" i="11"/>
  <c r="D45" i="11"/>
  <c r="C45" i="11"/>
  <c r="B45" i="11"/>
  <c r="L44" i="11"/>
  <c r="K44" i="11"/>
  <c r="J44" i="11"/>
  <c r="I44" i="11"/>
  <c r="H44" i="11"/>
  <c r="G44" i="11"/>
  <c r="F44" i="11"/>
  <c r="E44" i="11"/>
  <c r="D44" i="11"/>
  <c r="C44" i="11"/>
  <c r="B44" i="11"/>
  <c r="L43" i="11"/>
  <c r="K43" i="11"/>
  <c r="J43" i="11"/>
  <c r="I43" i="11"/>
  <c r="H43" i="11"/>
  <c r="G43" i="11"/>
  <c r="F43" i="11"/>
  <c r="E43" i="11"/>
  <c r="D43" i="11"/>
  <c r="C43" i="11"/>
  <c r="B43" i="11"/>
  <c r="L42" i="11"/>
  <c r="K42" i="11"/>
  <c r="J42" i="11"/>
  <c r="I42" i="11"/>
  <c r="H42" i="11"/>
  <c r="G42" i="11"/>
  <c r="F42" i="11"/>
  <c r="E42" i="11"/>
  <c r="D42" i="11"/>
  <c r="C42" i="11"/>
  <c r="B42" i="11"/>
  <c r="L41" i="11"/>
  <c r="K41" i="11"/>
  <c r="J41" i="11"/>
  <c r="I41" i="11"/>
  <c r="H41" i="11"/>
  <c r="G41" i="11"/>
  <c r="F41" i="11"/>
  <c r="E41" i="11"/>
  <c r="D41" i="11"/>
  <c r="C41" i="11"/>
  <c r="B41" i="11"/>
  <c r="L40" i="11"/>
  <c r="K40" i="11"/>
  <c r="J40" i="11"/>
  <c r="I40" i="11"/>
  <c r="H40" i="11"/>
  <c r="G40" i="11"/>
  <c r="F40" i="11"/>
  <c r="E40" i="11"/>
  <c r="D40" i="11"/>
  <c r="C40" i="11"/>
  <c r="B40" i="11"/>
  <c r="L39" i="11"/>
  <c r="K39" i="11"/>
  <c r="J39" i="11"/>
  <c r="I39" i="11"/>
  <c r="H39" i="11"/>
  <c r="G39" i="11"/>
  <c r="F39" i="11"/>
  <c r="E39" i="11"/>
  <c r="D39" i="11"/>
  <c r="C39" i="11"/>
  <c r="B39" i="11"/>
  <c r="L38" i="11"/>
  <c r="K38" i="11"/>
  <c r="J38" i="11"/>
  <c r="I38" i="11"/>
  <c r="H38" i="11"/>
  <c r="G38" i="11"/>
  <c r="F38" i="11"/>
  <c r="E38" i="11"/>
  <c r="D38" i="11"/>
  <c r="C38" i="11"/>
  <c r="B38" i="11"/>
  <c r="L37" i="11"/>
  <c r="K37" i="11"/>
  <c r="J37" i="11"/>
  <c r="I37" i="11"/>
  <c r="H37" i="11"/>
  <c r="G37" i="11"/>
  <c r="F37" i="11"/>
  <c r="E37" i="11"/>
  <c r="D37" i="11"/>
  <c r="C37" i="11"/>
  <c r="B37" i="11"/>
  <c r="L36" i="11"/>
  <c r="K36" i="11"/>
  <c r="J36" i="11"/>
  <c r="I36" i="11"/>
  <c r="H36" i="11"/>
  <c r="G36" i="11"/>
  <c r="F36" i="11"/>
  <c r="E36" i="11"/>
  <c r="D36" i="11"/>
  <c r="C36" i="11"/>
  <c r="B36" i="11"/>
  <c r="L35" i="11"/>
  <c r="K35" i="11"/>
  <c r="J35" i="11"/>
  <c r="I35" i="11"/>
  <c r="H35" i="11"/>
  <c r="G35" i="11"/>
  <c r="F35" i="11"/>
  <c r="E35" i="11"/>
  <c r="D35" i="11"/>
  <c r="C35" i="11"/>
  <c r="B35" i="11"/>
  <c r="L34" i="11"/>
  <c r="K34" i="11"/>
  <c r="J34" i="11"/>
  <c r="I34" i="11"/>
  <c r="H34" i="11"/>
  <c r="G34" i="11"/>
  <c r="F34" i="11"/>
  <c r="E34" i="11"/>
  <c r="D34" i="11"/>
  <c r="C34" i="11"/>
  <c r="B34" i="11"/>
  <c r="L33" i="11"/>
  <c r="K33" i="11"/>
  <c r="J33" i="11"/>
  <c r="I33" i="11"/>
  <c r="H33" i="11"/>
  <c r="G33" i="11"/>
  <c r="F33" i="11"/>
  <c r="E33" i="11"/>
  <c r="D33" i="11"/>
  <c r="C33" i="11"/>
  <c r="B33" i="11"/>
  <c r="L32" i="11"/>
  <c r="K32" i="11"/>
  <c r="J32" i="11"/>
  <c r="I32" i="11"/>
  <c r="H32" i="11"/>
  <c r="G32" i="11"/>
  <c r="F32" i="11"/>
  <c r="E32" i="11"/>
  <c r="D32" i="11"/>
  <c r="C32" i="11"/>
  <c r="B32" i="11"/>
  <c r="L31" i="11"/>
  <c r="K31" i="11"/>
  <c r="J31" i="11"/>
  <c r="I31" i="11"/>
  <c r="H31" i="11"/>
  <c r="G31" i="11"/>
  <c r="F31" i="11"/>
  <c r="E31" i="11"/>
  <c r="D31" i="11"/>
  <c r="C31" i="11"/>
  <c r="B31" i="11"/>
  <c r="L30" i="11"/>
  <c r="K30" i="11"/>
  <c r="J30" i="11"/>
  <c r="I30" i="11"/>
  <c r="H30" i="11"/>
  <c r="G30" i="11"/>
  <c r="F30" i="11"/>
  <c r="E30" i="11"/>
  <c r="D30" i="11"/>
  <c r="C30" i="11"/>
  <c r="B30" i="11"/>
  <c r="L29" i="11"/>
  <c r="K29" i="11"/>
  <c r="J29" i="11"/>
  <c r="I29" i="11"/>
  <c r="H29" i="11"/>
  <c r="G29" i="11"/>
  <c r="F29" i="11"/>
  <c r="E29" i="11"/>
  <c r="D29" i="11"/>
  <c r="C29" i="11"/>
  <c r="B29" i="11"/>
  <c r="L28" i="11"/>
  <c r="K28" i="11"/>
  <c r="J28" i="11"/>
  <c r="I28" i="11"/>
  <c r="H28" i="11"/>
  <c r="G28" i="11"/>
  <c r="F28" i="11"/>
  <c r="E28" i="11"/>
  <c r="D28" i="11"/>
  <c r="C28" i="11"/>
  <c r="B28" i="11"/>
  <c r="L27" i="11"/>
  <c r="K27" i="11"/>
  <c r="J27" i="11"/>
  <c r="I27" i="11"/>
  <c r="H27" i="11"/>
  <c r="G27" i="11"/>
  <c r="F27" i="11"/>
  <c r="E27" i="11"/>
  <c r="D27" i="11"/>
  <c r="C27" i="11"/>
  <c r="B27" i="11"/>
  <c r="L26" i="11"/>
  <c r="K26" i="11"/>
  <c r="J26" i="11"/>
  <c r="I26" i="11"/>
  <c r="H26" i="11"/>
  <c r="G26" i="11"/>
  <c r="F26" i="11"/>
  <c r="E26" i="11"/>
  <c r="D26" i="11"/>
  <c r="C26" i="11"/>
  <c r="B26" i="11"/>
  <c r="L25" i="11"/>
  <c r="K25" i="11"/>
  <c r="J25" i="11"/>
  <c r="I25" i="11"/>
  <c r="H25" i="11"/>
  <c r="G25" i="11"/>
  <c r="F25" i="11"/>
  <c r="E25" i="11"/>
  <c r="D25" i="11"/>
  <c r="C25" i="11"/>
  <c r="B25" i="11"/>
  <c r="L24" i="11"/>
  <c r="K24" i="11"/>
  <c r="J24" i="11"/>
  <c r="I24" i="11"/>
  <c r="H24" i="11"/>
  <c r="G24" i="11"/>
  <c r="F24" i="11"/>
  <c r="E24" i="11"/>
  <c r="D24" i="11"/>
  <c r="C24" i="11"/>
  <c r="B24" i="11"/>
  <c r="L23" i="11"/>
  <c r="K23" i="11"/>
  <c r="J23" i="11"/>
  <c r="I23" i="11"/>
  <c r="H23" i="11"/>
  <c r="G23" i="11"/>
  <c r="F23" i="11"/>
  <c r="E23" i="11"/>
  <c r="D23" i="11"/>
  <c r="C23" i="11"/>
  <c r="B23" i="11"/>
  <c r="L22" i="11"/>
  <c r="K22" i="11"/>
  <c r="J22" i="11"/>
  <c r="I22" i="11"/>
  <c r="H22" i="11"/>
  <c r="G22" i="11"/>
  <c r="F22" i="11"/>
  <c r="E22" i="11"/>
  <c r="D22" i="11"/>
  <c r="C22" i="11"/>
  <c r="B22" i="11"/>
  <c r="L21" i="11"/>
  <c r="K21" i="11"/>
  <c r="J21" i="11"/>
  <c r="I21" i="11"/>
  <c r="H21" i="11"/>
  <c r="G21" i="11"/>
  <c r="F21" i="11"/>
  <c r="E21" i="11"/>
  <c r="D21" i="11"/>
  <c r="C21" i="11"/>
  <c r="B21" i="11"/>
  <c r="L20" i="11"/>
  <c r="K20" i="11"/>
  <c r="J20" i="11"/>
  <c r="I20" i="11"/>
  <c r="H20" i="11"/>
  <c r="G20" i="11"/>
  <c r="F20" i="11"/>
  <c r="E20" i="11"/>
  <c r="D20" i="11"/>
  <c r="C20" i="11"/>
  <c r="B20" i="11"/>
  <c r="L19" i="11"/>
  <c r="K19" i="11"/>
  <c r="J19" i="11"/>
  <c r="I19" i="11"/>
  <c r="H19" i="11"/>
  <c r="G19" i="11"/>
  <c r="F19" i="11"/>
  <c r="E19" i="11"/>
  <c r="D19" i="11"/>
  <c r="C19" i="11"/>
  <c r="B19" i="11"/>
  <c r="L18" i="11"/>
  <c r="K18" i="11"/>
  <c r="J18" i="11"/>
  <c r="I18" i="11"/>
  <c r="H18" i="11"/>
  <c r="G18" i="11"/>
  <c r="F18" i="11"/>
  <c r="E18" i="11"/>
  <c r="D18" i="11"/>
  <c r="C18" i="11"/>
  <c r="B18" i="11"/>
  <c r="L17" i="11"/>
  <c r="K17" i="11"/>
  <c r="J17" i="11"/>
  <c r="I17" i="11"/>
  <c r="H17" i="11"/>
  <c r="G17" i="11"/>
  <c r="F17" i="11"/>
  <c r="E17" i="11"/>
  <c r="D17" i="11"/>
  <c r="C17" i="11"/>
  <c r="B17" i="11"/>
  <c r="L16" i="11"/>
  <c r="K16" i="11"/>
  <c r="J16" i="11"/>
  <c r="I16" i="11"/>
  <c r="H16" i="11"/>
  <c r="G16" i="11"/>
  <c r="F16" i="11"/>
  <c r="E16" i="11"/>
  <c r="D16" i="11"/>
  <c r="C16" i="11"/>
  <c r="B16" i="11"/>
  <c r="L15" i="11"/>
  <c r="K15" i="11"/>
  <c r="J15" i="11"/>
  <c r="I15" i="11"/>
  <c r="H15" i="11"/>
  <c r="G15" i="11"/>
  <c r="F15" i="11"/>
  <c r="E15" i="11"/>
  <c r="D15" i="11"/>
  <c r="C15" i="11"/>
  <c r="B15" i="11"/>
  <c r="L14" i="11"/>
  <c r="K14" i="11"/>
  <c r="J14" i="11"/>
  <c r="I14" i="11"/>
  <c r="H14" i="11"/>
  <c r="G14" i="11"/>
  <c r="F14" i="11"/>
  <c r="E14" i="11"/>
  <c r="D14" i="11"/>
  <c r="C14" i="11"/>
  <c r="B14" i="11"/>
  <c r="L13" i="11"/>
  <c r="K13" i="11"/>
  <c r="J13" i="11"/>
  <c r="I13" i="11"/>
  <c r="H13" i="11"/>
  <c r="G13" i="11"/>
  <c r="F13" i="11"/>
  <c r="E13" i="11"/>
  <c r="D13" i="11"/>
  <c r="C13" i="11"/>
  <c r="B13" i="11"/>
  <c r="L12" i="11"/>
  <c r="K12" i="11"/>
  <c r="J12" i="11"/>
  <c r="I12" i="11"/>
  <c r="H12" i="11"/>
  <c r="G12" i="11"/>
  <c r="F12" i="11"/>
  <c r="E12" i="11"/>
  <c r="D12" i="11"/>
  <c r="C12" i="11"/>
  <c r="B12" i="11"/>
  <c r="L11" i="11"/>
  <c r="K11" i="11"/>
  <c r="J11" i="11"/>
  <c r="I11" i="11"/>
  <c r="H11" i="11"/>
  <c r="G11" i="11"/>
  <c r="F11" i="11"/>
  <c r="E11" i="11"/>
  <c r="D11" i="11"/>
  <c r="C11" i="11"/>
  <c r="B11" i="11"/>
  <c r="L10" i="11"/>
  <c r="K10" i="11"/>
  <c r="J10" i="11"/>
  <c r="I10" i="11"/>
  <c r="H10" i="11"/>
  <c r="G10" i="11"/>
  <c r="F10" i="11"/>
  <c r="E10" i="11"/>
  <c r="D10" i="11"/>
  <c r="C10" i="11"/>
  <c r="B10" i="11"/>
  <c r="L9" i="11"/>
  <c r="K9" i="11"/>
  <c r="J9" i="11"/>
  <c r="I9" i="11"/>
  <c r="H9" i="11"/>
  <c r="G9" i="11"/>
  <c r="F9" i="11"/>
  <c r="E9" i="11"/>
  <c r="D9" i="11"/>
  <c r="C9" i="11"/>
  <c r="B9" i="11"/>
  <c r="L8" i="11"/>
  <c r="K8" i="11"/>
  <c r="J8" i="11"/>
  <c r="I8" i="11"/>
  <c r="H8" i="11"/>
  <c r="G8" i="11"/>
  <c r="F8" i="11"/>
  <c r="E8" i="11"/>
  <c r="D8" i="11"/>
  <c r="C8" i="11"/>
  <c r="B8" i="11"/>
  <c r="L7" i="11"/>
  <c r="K7" i="11"/>
  <c r="J7" i="11"/>
  <c r="I7" i="11"/>
  <c r="H7" i="11"/>
  <c r="G7" i="11"/>
  <c r="F7" i="11"/>
  <c r="E7" i="11"/>
  <c r="D7" i="11"/>
  <c r="C7" i="11"/>
  <c r="B7" i="11"/>
  <c r="L6" i="11"/>
  <c r="K6" i="11"/>
  <c r="J6" i="11"/>
  <c r="I6" i="11"/>
  <c r="H6" i="11"/>
  <c r="G6" i="11"/>
  <c r="F6" i="11"/>
  <c r="E6" i="11"/>
  <c r="D6" i="11"/>
  <c r="C6" i="11"/>
  <c r="B6" i="11"/>
  <c r="L5" i="11"/>
  <c r="K5" i="11"/>
  <c r="J5" i="11"/>
  <c r="I5" i="11"/>
  <c r="H5" i="11"/>
  <c r="G5" i="11"/>
  <c r="F5" i="11"/>
  <c r="E5" i="11"/>
  <c r="D5" i="11"/>
  <c r="C5" i="11"/>
  <c r="B5" i="11"/>
  <c r="U94" i="12"/>
  <c r="T94" i="12"/>
  <c r="S94" i="12"/>
  <c r="R94" i="12"/>
  <c r="Q94" i="12"/>
  <c r="P94" i="12"/>
  <c r="O94" i="12"/>
  <c r="N94" i="12"/>
  <c r="M94" i="12"/>
  <c r="L94" i="12"/>
  <c r="K94" i="12"/>
  <c r="J94" i="12"/>
  <c r="I94" i="12"/>
  <c r="H94" i="12"/>
  <c r="G94" i="12"/>
  <c r="F94" i="12"/>
  <c r="E94" i="12"/>
  <c r="D94" i="12"/>
  <c r="C94" i="12"/>
  <c r="B94" i="12"/>
  <c r="U93" i="12"/>
  <c r="T93" i="12"/>
  <c r="S93" i="12"/>
  <c r="R93" i="12"/>
  <c r="Q93" i="12"/>
  <c r="P93" i="12"/>
  <c r="O93" i="12"/>
  <c r="N93" i="12"/>
  <c r="M93" i="12"/>
  <c r="L93" i="12"/>
  <c r="K93" i="12"/>
  <c r="J93" i="12"/>
  <c r="I93" i="12"/>
  <c r="H93" i="12"/>
  <c r="G93" i="12"/>
  <c r="F93" i="12"/>
  <c r="E93" i="12"/>
  <c r="D93" i="12"/>
  <c r="C93" i="12"/>
  <c r="B93" i="12"/>
  <c r="U92" i="12"/>
  <c r="T92" i="12"/>
  <c r="S92" i="12"/>
  <c r="R92" i="12"/>
  <c r="Q92" i="12"/>
  <c r="P92" i="12"/>
  <c r="O92" i="12"/>
  <c r="N92" i="12"/>
  <c r="M92" i="12"/>
  <c r="L92" i="12"/>
  <c r="K92" i="12"/>
  <c r="J92" i="12"/>
  <c r="I92" i="12"/>
  <c r="H92" i="12"/>
  <c r="G92" i="12"/>
  <c r="F92" i="12"/>
  <c r="E92" i="12"/>
  <c r="D92" i="12"/>
  <c r="C92" i="12"/>
  <c r="B92" i="12"/>
  <c r="U91" i="12"/>
  <c r="T91" i="12"/>
  <c r="S91" i="12"/>
  <c r="R91" i="12"/>
  <c r="Q91" i="12"/>
  <c r="P91" i="12"/>
  <c r="O91" i="12"/>
  <c r="N91" i="12"/>
  <c r="M91" i="12"/>
  <c r="L91" i="12"/>
  <c r="K91" i="12"/>
  <c r="J91" i="12"/>
  <c r="I91" i="12"/>
  <c r="H91" i="12"/>
  <c r="G91" i="12"/>
  <c r="F91" i="12"/>
  <c r="E91" i="12"/>
  <c r="D91" i="12"/>
  <c r="C91" i="12"/>
  <c r="B91" i="12"/>
  <c r="U90" i="12"/>
  <c r="T90" i="12"/>
  <c r="S90" i="12"/>
  <c r="R90" i="12"/>
  <c r="Q90" i="12"/>
  <c r="P90" i="12"/>
  <c r="O90" i="12"/>
  <c r="N90" i="12"/>
  <c r="M90" i="12"/>
  <c r="L90" i="12"/>
  <c r="K90" i="12"/>
  <c r="J90" i="12"/>
  <c r="I90" i="12"/>
  <c r="H90" i="12"/>
  <c r="G90" i="12"/>
  <c r="F90" i="12"/>
  <c r="E90" i="12"/>
  <c r="D90" i="12"/>
  <c r="C90" i="12"/>
  <c r="B90" i="12"/>
  <c r="U89" i="12"/>
  <c r="T89" i="12"/>
  <c r="S89" i="12"/>
  <c r="R89" i="12"/>
  <c r="Q89" i="12"/>
  <c r="P89" i="12"/>
  <c r="O89" i="12"/>
  <c r="N89" i="12"/>
  <c r="M89" i="12"/>
  <c r="L89" i="12"/>
  <c r="K89" i="12"/>
  <c r="J89" i="12"/>
  <c r="I89" i="12"/>
  <c r="H89" i="12"/>
  <c r="G89" i="12"/>
  <c r="F89" i="12"/>
  <c r="E89" i="12"/>
  <c r="D89" i="12"/>
  <c r="C89" i="12"/>
  <c r="B89" i="12"/>
  <c r="U88" i="12"/>
  <c r="T88" i="12"/>
  <c r="S88" i="12"/>
  <c r="R88" i="12"/>
  <c r="Q88" i="12"/>
  <c r="P88" i="12"/>
  <c r="O88" i="12"/>
  <c r="N88" i="12"/>
  <c r="M88" i="12"/>
  <c r="L88" i="12"/>
  <c r="K88" i="12"/>
  <c r="J88" i="12"/>
  <c r="I88" i="12"/>
  <c r="H88" i="12"/>
  <c r="G88" i="12"/>
  <c r="F88" i="12"/>
  <c r="E88" i="12"/>
  <c r="D88" i="12"/>
  <c r="C88" i="12"/>
  <c r="B88" i="12"/>
  <c r="U87" i="12"/>
  <c r="T87" i="12"/>
  <c r="S87" i="12"/>
  <c r="R87" i="12"/>
  <c r="Q87" i="12"/>
  <c r="P87" i="12"/>
  <c r="O87" i="12"/>
  <c r="N87" i="12"/>
  <c r="M87" i="12"/>
  <c r="L87" i="12"/>
  <c r="K87" i="12"/>
  <c r="J87" i="12"/>
  <c r="I87" i="12"/>
  <c r="H87" i="12"/>
  <c r="G87" i="12"/>
  <c r="F87" i="12"/>
  <c r="E87" i="12"/>
  <c r="D87" i="12"/>
  <c r="C87" i="12"/>
  <c r="B87" i="12"/>
  <c r="U86" i="12"/>
  <c r="T86" i="12"/>
  <c r="S86" i="12"/>
  <c r="R86" i="12"/>
  <c r="Q86" i="12"/>
  <c r="P86" i="12"/>
  <c r="O86" i="12"/>
  <c r="N86" i="12"/>
  <c r="M86" i="12"/>
  <c r="L86" i="12"/>
  <c r="K86" i="12"/>
  <c r="J86" i="12"/>
  <c r="I86" i="12"/>
  <c r="H86" i="12"/>
  <c r="G86" i="12"/>
  <c r="F86" i="12"/>
  <c r="E86" i="12"/>
  <c r="D86" i="12"/>
  <c r="C86" i="12"/>
  <c r="B86" i="12"/>
  <c r="U85" i="12"/>
  <c r="T85" i="12"/>
  <c r="S85" i="12"/>
  <c r="R85" i="12"/>
  <c r="Q85" i="12"/>
  <c r="P85" i="12"/>
  <c r="O85" i="12"/>
  <c r="N85" i="12"/>
  <c r="M85" i="12"/>
  <c r="L85" i="12"/>
  <c r="K85" i="12"/>
  <c r="J85" i="12"/>
  <c r="I85" i="12"/>
  <c r="H85" i="12"/>
  <c r="G85" i="12"/>
  <c r="F85" i="12"/>
  <c r="E85" i="12"/>
  <c r="D85" i="12"/>
  <c r="C85" i="12"/>
  <c r="B85" i="12"/>
  <c r="U84" i="12"/>
  <c r="T84" i="12"/>
  <c r="S84" i="12"/>
  <c r="R84" i="12"/>
  <c r="Q84" i="12"/>
  <c r="P84" i="12"/>
  <c r="O84" i="12"/>
  <c r="N84" i="12"/>
  <c r="M84" i="12"/>
  <c r="L84" i="12"/>
  <c r="K84" i="12"/>
  <c r="J84" i="12"/>
  <c r="I84" i="12"/>
  <c r="H84" i="12"/>
  <c r="G84" i="12"/>
  <c r="F84" i="12"/>
  <c r="E84" i="12"/>
  <c r="D84" i="12"/>
  <c r="C84" i="12"/>
  <c r="B84" i="12"/>
  <c r="U83" i="12"/>
  <c r="T83" i="12"/>
  <c r="S83" i="12"/>
  <c r="R83" i="12"/>
  <c r="Q83" i="12"/>
  <c r="P83" i="12"/>
  <c r="O83" i="12"/>
  <c r="N83" i="12"/>
  <c r="M83" i="12"/>
  <c r="L83" i="12"/>
  <c r="K83" i="12"/>
  <c r="J83" i="12"/>
  <c r="I83" i="12"/>
  <c r="H83" i="12"/>
  <c r="G83" i="12"/>
  <c r="F83" i="12"/>
  <c r="E83" i="12"/>
  <c r="D83" i="12"/>
  <c r="C83" i="12"/>
  <c r="B83" i="12"/>
  <c r="U82" i="12"/>
  <c r="T82" i="12"/>
  <c r="S82" i="12"/>
  <c r="R82" i="12"/>
  <c r="Q82" i="12"/>
  <c r="P82" i="12"/>
  <c r="O82" i="12"/>
  <c r="N82" i="12"/>
  <c r="M82" i="12"/>
  <c r="L82" i="12"/>
  <c r="K82" i="12"/>
  <c r="J82" i="12"/>
  <c r="I82" i="12"/>
  <c r="H82" i="12"/>
  <c r="G82" i="12"/>
  <c r="F82" i="12"/>
  <c r="E82" i="12"/>
  <c r="D82" i="12"/>
  <c r="C82" i="12"/>
  <c r="B82" i="12"/>
  <c r="U81" i="12"/>
  <c r="T81" i="12"/>
  <c r="S81" i="12"/>
  <c r="R81" i="12"/>
  <c r="Q81" i="12"/>
  <c r="P81" i="12"/>
  <c r="O81" i="12"/>
  <c r="N81" i="12"/>
  <c r="M81" i="12"/>
  <c r="L81" i="12"/>
  <c r="K81" i="12"/>
  <c r="J81" i="12"/>
  <c r="I81" i="12"/>
  <c r="H81" i="12"/>
  <c r="G81" i="12"/>
  <c r="F81" i="12"/>
  <c r="E81" i="12"/>
  <c r="D81" i="12"/>
  <c r="C81" i="12"/>
  <c r="B81" i="12"/>
  <c r="U80" i="12"/>
  <c r="T80" i="12"/>
  <c r="S80" i="12"/>
  <c r="R80" i="12"/>
  <c r="Q80" i="12"/>
  <c r="P80" i="12"/>
  <c r="O80" i="12"/>
  <c r="N80" i="12"/>
  <c r="M80" i="12"/>
  <c r="L80" i="12"/>
  <c r="K80" i="12"/>
  <c r="J80" i="12"/>
  <c r="I80" i="12"/>
  <c r="H80" i="12"/>
  <c r="G80" i="12"/>
  <c r="F80" i="12"/>
  <c r="E80" i="12"/>
  <c r="D80" i="12"/>
  <c r="C80" i="12"/>
  <c r="B80" i="12"/>
  <c r="U79" i="12"/>
  <c r="T79" i="12"/>
  <c r="S79" i="12"/>
  <c r="R79" i="12"/>
  <c r="Q79" i="12"/>
  <c r="P79" i="12"/>
  <c r="O79" i="12"/>
  <c r="N79" i="12"/>
  <c r="M79" i="12"/>
  <c r="L79" i="12"/>
  <c r="K79" i="12"/>
  <c r="J79" i="12"/>
  <c r="I79" i="12"/>
  <c r="H79" i="12"/>
  <c r="G79" i="12"/>
  <c r="F79" i="12"/>
  <c r="E79" i="12"/>
  <c r="D79" i="12"/>
  <c r="C79" i="12"/>
  <c r="B79" i="12"/>
  <c r="U78" i="12"/>
  <c r="T78" i="12"/>
  <c r="S78" i="12"/>
  <c r="R78" i="12"/>
  <c r="Q78" i="12"/>
  <c r="P78" i="12"/>
  <c r="O78" i="12"/>
  <c r="N78" i="12"/>
  <c r="M78" i="12"/>
  <c r="L78" i="12"/>
  <c r="K78" i="12"/>
  <c r="J78" i="12"/>
  <c r="I78" i="12"/>
  <c r="H78" i="12"/>
  <c r="G78" i="12"/>
  <c r="F78" i="12"/>
  <c r="E78" i="12"/>
  <c r="D78" i="12"/>
  <c r="C78" i="12"/>
  <c r="B78" i="12"/>
  <c r="U77" i="12"/>
  <c r="T77" i="12"/>
  <c r="S77" i="12"/>
  <c r="R77" i="12"/>
  <c r="Q77" i="12"/>
  <c r="P77" i="12"/>
  <c r="O77" i="12"/>
  <c r="N77" i="12"/>
  <c r="M77" i="12"/>
  <c r="L77" i="12"/>
  <c r="K77" i="12"/>
  <c r="J77" i="12"/>
  <c r="I77" i="12"/>
  <c r="H77" i="12"/>
  <c r="G77" i="12"/>
  <c r="F77" i="12"/>
  <c r="E77" i="12"/>
  <c r="D77" i="12"/>
  <c r="C77" i="12"/>
  <c r="B77" i="12"/>
  <c r="U76" i="12"/>
  <c r="T76" i="12"/>
  <c r="S76" i="12"/>
  <c r="R76" i="12"/>
  <c r="Q76" i="12"/>
  <c r="P76" i="12"/>
  <c r="O76" i="12"/>
  <c r="N76" i="12"/>
  <c r="M76" i="12"/>
  <c r="L76" i="12"/>
  <c r="K76" i="12"/>
  <c r="J76" i="12"/>
  <c r="I76" i="12"/>
  <c r="H76" i="12"/>
  <c r="G76" i="12"/>
  <c r="F76" i="12"/>
  <c r="E76" i="12"/>
  <c r="D76" i="12"/>
  <c r="C76" i="12"/>
  <c r="B76" i="12"/>
  <c r="U75" i="12"/>
  <c r="T75" i="12"/>
  <c r="S75" i="12"/>
  <c r="R75" i="12"/>
  <c r="Q75" i="12"/>
  <c r="P75" i="12"/>
  <c r="O75" i="12"/>
  <c r="N75" i="12"/>
  <c r="M75" i="12"/>
  <c r="L75" i="12"/>
  <c r="K75" i="12"/>
  <c r="J75" i="12"/>
  <c r="I75" i="12"/>
  <c r="H75" i="12"/>
  <c r="G75" i="12"/>
  <c r="F75" i="12"/>
  <c r="E75" i="12"/>
  <c r="D75" i="12"/>
  <c r="C75" i="12"/>
  <c r="B75" i="12"/>
  <c r="U74" i="12"/>
  <c r="T74" i="12"/>
  <c r="S74" i="12"/>
  <c r="R74" i="12"/>
  <c r="Q74" i="12"/>
  <c r="P74" i="12"/>
  <c r="O74" i="12"/>
  <c r="N74" i="12"/>
  <c r="M74" i="12"/>
  <c r="L74" i="12"/>
  <c r="K74" i="12"/>
  <c r="J74" i="12"/>
  <c r="I74" i="12"/>
  <c r="H74" i="12"/>
  <c r="G74" i="12"/>
  <c r="F74" i="12"/>
  <c r="E74" i="12"/>
  <c r="D74" i="12"/>
  <c r="C74" i="12"/>
  <c r="B74" i="12"/>
  <c r="U73" i="12"/>
  <c r="T73" i="12"/>
  <c r="S73" i="12"/>
  <c r="R73" i="12"/>
  <c r="Q73" i="12"/>
  <c r="P73" i="12"/>
  <c r="O73" i="12"/>
  <c r="N73" i="12"/>
  <c r="M73" i="12"/>
  <c r="L73" i="12"/>
  <c r="K73" i="12"/>
  <c r="J73" i="12"/>
  <c r="I73" i="12"/>
  <c r="H73" i="12"/>
  <c r="G73" i="12"/>
  <c r="F73" i="12"/>
  <c r="E73" i="12"/>
  <c r="D73" i="12"/>
  <c r="C73" i="12"/>
  <c r="B73" i="12"/>
  <c r="U72" i="12"/>
  <c r="T72" i="12"/>
  <c r="S72" i="12"/>
  <c r="R72" i="12"/>
  <c r="Q72" i="12"/>
  <c r="P72" i="12"/>
  <c r="O72" i="12"/>
  <c r="N72" i="12"/>
  <c r="M72" i="12"/>
  <c r="L72" i="12"/>
  <c r="K72" i="12"/>
  <c r="J72" i="12"/>
  <c r="I72" i="12"/>
  <c r="H72" i="12"/>
  <c r="G72" i="12"/>
  <c r="F72" i="12"/>
  <c r="E72" i="12"/>
  <c r="D72" i="12"/>
  <c r="C72" i="12"/>
  <c r="B72" i="12"/>
  <c r="U71" i="12"/>
  <c r="T71" i="12"/>
  <c r="S71" i="12"/>
  <c r="R71" i="12"/>
  <c r="Q71" i="12"/>
  <c r="P71" i="12"/>
  <c r="O71" i="12"/>
  <c r="N71" i="12"/>
  <c r="M71" i="12"/>
  <c r="L71" i="12"/>
  <c r="K71" i="12"/>
  <c r="J71" i="12"/>
  <c r="I71" i="12"/>
  <c r="H71" i="12"/>
  <c r="G71" i="12"/>
  <c r="F71" i="12"/>
  <c r="E71" i="12"/>
  <c r="D71" i="12"/>
  <c r="C71" i="12"/>
  <c r="B71" i="12"/>
  <c r="U70" i="12"/>
  <c r="T70" i="12"/>
  <c r="S70" i="12"/>
  <c r="R70" i="12"/>
  <c r="Q70" i="12"/>
  <c r="P70" i="12"/>
  <c r="O70" i="12"/>
  <c r="N70" i="12"/>
  <c r="M70" i="12"/>
  <c r="L70" i="12"/>
  <c r="K70" i="12"/>
  <c r="J70" i="12"/>
  <c r="I70" i="12"/>
  <c r="H70" i="12"/>
  <c r="G70" i="12"/>
  <c r="F70" i="12"/>
  <c r="E70" i="12"/>
  <c r="D70" i="12"/>
  <c r="C70" i="12"/>
  <c r="B70" i="12"/>
  <c r="U69" i="12"/>
  <c r="T69" i="12"/>
  <c r="S69" i="12"/>
  <c r="R69" i="12"/>
  <c r="Q69" i="12"/>
  <c r="P69" i="12"/>
  <c r="O69" i="12"/>
  <c r="N69" i="12"/>
  <c r="M69" i="12"/>
  <c r="L69" i="12"/>
  <c r="K69" i="12"/>
  <c r="J69" i="12"/>
  <c r="I69" i="12"/>
  <c r="H69" i="12"/>
  <c r="G69" i="12"/>
  <c r="F69" i="12"/>
  <c r="E69" i="12"/>
  <c r="D69" i="12"/>
  <c r="C69" i="12"/>
  <c r="B69" i="12"/>
  <c r="U68" i="12"/>
  <c r="T68" i="12"/>
  <c r="S68" i="12"/>
  <c r="R68" i="12"/>
  <c r="Q68" i="12"/>
  <c r="P68" i="12"/>
  <c r="O68" i="12"/>
  <c r="N68" i="12"/>
  <c r="M68" i="12"/>
  <c r="L68" i="12"/>
  <c r="K68" i="12"/>
  <c r="J68" i="12"/>
  <c r="I68" i="12"/>
  <c r="H68" i="12"/>
  <c r="G68" i="12"/>
  <c r="F68" i="12"/>
  <c r="E68" i="12"/>
  <c r="D68" i="12"/>
  <c r="C68" i="12"/>
  <c r="B68" i="12"/>
  <c r="U67" i="12"/>
  <c r="T67" i="12"/>
  <c r="S67" i="12"/>
  <c r="R67" i="12"/>
  <c r="Q67" i="12"/>
  <c r="P67" i="12"/>
  <c r="O67" i="12"/>
  <c r="N67" i="12"/>
  <c r="M67" i="12"/>
  <c r="L67" i="12"/>
  <c r="K67" i="12"/>
  <c r="J67" i="12"/>
  <c r="I67" i="12"/>
  <c r="H67" i="12"/>
  <c r="G67" i="12"/>
  <c r="F67" i="12"/>
  <c r="E67" i="12"/>
  <c r="D67" i="12"/>
  <c r="C67" i="12"/>
  <c r="B67" i="12"/>
  <c r="U66" i="12"/>
  <c r="T66" i="12"/>
  <c r="S66" i="12"/>
  <c r="R66" i="12"/>
  <c r="Q66" i="12"/>
  <c r="P66" i="12"/>
  <c r="O66" i="12"/>
  <c r="N66" i="12"/>
  <c r="M66" i="12"/>
  <c r="L66" i="12"/>
  <c r="K66" i="12"/>
  <c r="J66" i="12"/>
  <c r="I66" i="12"/>
  <c r="H66" i="12"/>
  <c r="G66" i="12"/>
  <c r="F66" i="12"/>
  <c r="E66" i="12"/>
  <c r="D66" i="12"/>
  <c r="C66" i="12"/>
  <c r="B66" i="12"/>
  <c r="U65" i="12"/>
  <c r="T65" i="12"/>
  <c r="S65" i="12"/>
  <c r="R65" i="12"/>
  <c r="Q65" i="12"/>
  <c r="P65" i="12"/>
  <c r="O65" i="12"/>
  <c r="N65" i="12"/>
  <c r="M65" i="12"/>
  <c r="L65" i="12"/>
  <c r="K65" i="12"/>
  <c r="J65" i="12"/>
  <c r="I65" i="12"/>
  <c r="H65" i="12"/>
  <c r="G65" i="12"/>
  <c r="F65" i="12"/>
  <c r="E65" i="12"/>
  <c r="D65" i="12"/>
  <c r="C65" i="12"/>
  <c r="B65" i="12"/>
  <c r="U64" i="12"/>
  <c r="T64" i="12"/>
  <c r="S64" i="12"/>
  <c r="R64" i="12"/>
  <c r="Q64" i="12"/>
  <c r="P64" i="12"/>
  <c r="O64" i="12"/>
  <c r="N64" i="12"/>
  <c r="M64" i="12"/>
  <c r="L64" i="12"/>
  <c r="K64" i="12"/>
  <c r="J64" i="12"/>
  <c r="I64" i="12"/>
  <c r="H64" i="12"/>
  <c r="G64" i="12"/>
  <c r="F64" i="12"/>
  <c r="E64" i="12"/>
  <c r="D64" i="12"/>
  <c r="C64" i="12"/>
  <c r="B64" i="12"/>
  <c r="U63" i="12"/>
  <c r="T63" i="12"/>
  <c r="S63" i="12"/>
  <c r="R63" i="12"/>
  <c r="Q63" i="12"/>
  <c r="P63" i="12"/>
  <c r="O63" i="12"/>
  <c r="N63" i="12"/>
  <c r="M63" i="12"/>
  <c r="L63" i="12"/>
  <c r="K63" i="12"/>
  <c r="J63" i="12"/>
  <c r="I63" i="12"/>
  <c r="H63" i="12"/>
  <c r="G63" i="12"/>
  <c r="F63" i="12"/>
  <c r="E63" i="12"/>
  <c r="D63" i="12"/>
  <c r="C63" i="12"/>
  <c r="B63" i="12"/>
  <c r="U62" i="12"/>
  <c r="T62" i="12"/>
  <c r="S62" i="12"/>
  <c r="R62" i="12"/>
  <c r="Q62" i="12"/>
  <c r="P62" i="12"/>
  <c r="O62" i="12"/>
  <c r="N62" i="12"/>
  <c r="M62" i="12"/>
  <c r="L62" i="12"/>
  <c r="K62" i="12"/>
  <c r="J62" i="12"/>
  <c r="I62" i="12"/>
  <c r="H62" i="12"/>
  <c r="G62" i="12"/>
  <c r="F62" i="12"/>
  <c r="E62" i="12"/>
  <c r="D62" i="12"/>
  <c r="C62" i="12"/>
  <c r="B62" i="12"/>
  <c r="U61" i="12"/>
  <c r="T61" i="12"/>
  <c r="S61" i="12"/>
  <c r="R61" i="12"/>
  <c r="Q61" i="12"/>
  <c r="P61" i="12"/>
  <c r="O61" i="12"/>
  <c r="N61" i="12"/>
  <c r="M61" i="12"/>
  <c r="L61" i="12"/>
  <c r="K61" i="12"/>
  <c r="J61" i="12"/>
  <c r="I61" i="12"/>
  <c r="H61" i="12"/>
  <c r="G61" i="12"/>
  <c r="F61" i="12"/>
  <c r="E61" i="12"/>
  <c r="D61" i="12"/>
  <c r="C61" i="12"/>
  <c r="B61" i="12"/>
  <c r="U60" i="12"/>
  <c r="T60" i="12"/>
  <c r="S60" i="12"/>
  <c r="R60" i="12"/>
  <c r="Q60" i="12"/>
  <c r="P60" i="12"/>
  <c r="O60" i="12"/>
  <c r="N60" i="12"/>
  <c r="M60" i="12"/>
  <c r="L60" i="12"/>
  <c r="K60" i="12"/>
  <c r="J60" i="12"/>
  <c r="I60" i="12"/>
  <c r="H60" i="12"/>
  <c r="G60" i="12"/>
  <c r="F60" i="12"/>
  <c r="E60" i="12"/>
  <c r="D60" i="12"/>
  <c r="C60" i="12"/>
  <c r="B60" i="12"/>
  <c r="U59" i="12"/>
  <c r="T59" i="12"/>
  <c r="S59" i="12"/>
  <c r="R59" i="12"/>
  <c r="Q59" i="12"/>
  <c r="P59" i="12"/>
  <c r="O59" i="12"/>
  <c r="N59" i="12"/>
  <c r="M59" i="12"/>
  <c r="L59" i="12"/>
  <c r="K59" i="12"/>
  <c r="J59" i="12"/>
  <c r="I59" i="12"/>
  <c r="H59" i="12"/>
  <c r="G59" i="12"/>
  <c r="F59" i="12"/>
  <c r="E59" i="12"/>
  <c r="D59" i="12"/>
  <c r="C59" i="12"/>
  <c r="B59" i="12"/>
  <c r="U58" i="12"/>
  <c r="T58" i="12"/>
  <c r="S58" i="12"/>
  <c r="R58" i="12"/>
  <c r="Q58" i="12"/>
  <c r="P58" i="12"/>
  <c r="O58" i="12"/>
  <c r="N58" i="12"/>
  <c r="M58" i="12"/>
  <c r="L58" i="12"/>
  <c r="K58" i="12"/>
  <c r="J58" i="12"/>
  <c r="I58" i="12"/>
  <c r="H58" i="12"/>
  <c r="G58" i="12"/>
  <c r="F58" i="12"/>
  <c r="E58" i="12"/>
  <c r="D58" i="12"/>
  <c r="C58" i="12"/>
  <c r="B58" i="12"/>
  <c r="U57" i="12"/>
  <c r="T57" i="12"/>
  <c r="S57" i="12"/>
  <c r="R57" i="12"/>
  <c r="Q57" i="12"/>
  <c r="P57" i="12"/>
  <c r="O57" i="12"/>
  <c r="N57" i="12"/>
  <c r="M57" i="12"/>
  <c r="L57" i="12"/>
  <c r="K57" i="12"/>
  <c r="J57" i="12"/>
  <c r="I57" i="12"/>
  <c r="H57" i="12"/>
  <c r="G57" i="12"/>
  <c r="F57" i="12"/>
  <c r="E57" i="12"/>
  <c r="D57" i="12"/>
  <c r="C57" i="12"/>
  <c r="B57" i="12"/>
  <c r="U56" i="12"/>
  <c r="T56" i="12"/>
  <c r="S56" i="12"/>
  <c r="R56" i="12"/>
  <c r="Q56" i="12"/>
  <c r="P56" i="12"/>
  <c r="O56" i="12"/>
  <c r="N56" i="12"/>
  <c r="M56" i="12"/>
  <c r="L56" i="12"/>
  <c r="K56" i="12"/>
  <c r="J56" i="12"/>
  <c r="I56" i="12"/>
  <c r="H56" i="12"/>
  <c r="G56" i="12"/>
  <c r="F56" i="12"/>
  <c r="E56" i="12"/>
  <c r="D56" i="12"/>
  <c r="C56" i="12"/>
  <c r="B56" i="12"/>
  <c r="U55" i="12"/>
  <c r="T55" i="12"/>
  <c r="S55" i="12"/>
  <c r="R55" i="12"/>
  <c r="Q55" i="12"/>
  <c r="P55" i="12"/>
  <c r="O55" i="12"/>
  <c r="N55" i="12"/>
  <c r="M55" i="12"/>
  <c r="L55" i="12"/>
  <c r="K55" i="12"/>
  <c r="J55" i="12"/>
  <c r="I55" i="12"/>
  <c r="H55" i="12"/>
  <c r="G55" i="12"/>
  <c r="F55" i="12"/>
  <c r="E55" i="12"/>
  <c r="D55" i="12"/>
  <c r="C55" i="12"/>
  <c r="B55" i="12"/>
  <c r="U54" i="12"/>
  <c r="T54" i="12"/>
  <c r="S54" i="12"/>
  <c r="R54" i="12"/>
  <c r="Q54" i="12"/>
  <c r="P54" i="12"/>
  <c r="O54" i="12"/>
  <c r="N54" i="12"/>
  <c r="M54" i="12"/>
  <c r="L54" i="12"/>
  <c r="K54" i="12"/>
  <c r="J54" i="12"/>
  <c r="I54" i="12"/>
  <c r="H54" i="12"/>
  <c r="G54" i="12"/>
  <c r="F54" i="12"/>
  <c r="E54" i="12"/>
  <c r="D54" i="12"/>
  <c r="C54" i="12"/>
  <c r="B54" i="12"/>
  <c r="U53" i="12"/>
  <c r="T53" i="12"/>
  <c r="S53" i="12"/>
  <c r="R53" i="12"/>
  <c r="Q53" i="12"/>
  <c r="P53" i="12"/>
  <c r="O53" i="12"/>
  <c r="N53" i="12"/>
  <c r="M53" i="12"/>
  <c r="L53" i="12"/>
  <c r="K53" i="12"/>
  <c r="J53" i="12"/>
  <c r="I53" i="12"/>
  <c r="H53" i="12"/>
  <c r="G53" i="12"/>
  <c r="F53" i="12"/>
  <c r="E53" i="12"/>
  <c r="D53" i="12"/>
  <c r="C53" i="12"/>
  <c r="B53" i="12"/>
  <c r="U52" i="12"/>
  <c r="T52" i="12"/>
  <c r="S52" i="12"/>
  <c r="R52" i="12"/>
  <c r="Q52" i="12"/>
  <c r="P52" i="12"/>
  <c r="O52" i="12"/>
  <c r="N52" i="12"/>
  <c r="M52" i="12"/>
  <c r="L52" i="12"/>
  <c r="K52" i="12"/>
  <c r="J52" i="12"/>
  <c r="I52" i="12"/>
  <c r="H52" i="12"/>
  <c r="G52" i="12"/>
  <c r="F52" i="12"/>
  <c r="E52" i="12"/>
  <c r="D52" i="12"/>
  <c r="C52" i="12"/>
  <c r="B52" i="12"/>
  <c r="U51" i="12"/>
  <c r="T51" i="12"/>
  <c r="S51" i="12"/>
  <c r="R51" i="12"/>
  <c r="Q51" i="12"/>
  <c r="P51" i="12"/>
  <c r="O51" i="12"/>
  <c r="N51" i="12"/>
  <c r="M51" i="12"/>
  <c r="L51" i="12"/>
  <c r="K51" i="12"/>
  <c r="J51" i="12"/>
  <c r="I51" i="12"/>
  <c r="H51" i="12"/>
  <c r="G51" i="12"/>
  <c r="F51" i="12"/>
  <c r="E51" i="12"/>
  <c r="D51" i="12"/>
  <c r="C51" i="12"/>
  <c r="B51" i="12"/>
  <c r="U50" i="12"/>
  <c r="T50" i="12"/>
  <c r="S50" i="12"/>
  <c r="R50" i="12"/>
  <c r="Q50" i="12"/>
  <c r="P50" i="12"/>
  <c r="O50" i="12"/>
  <c r="N50" i="12"/>
  <c r="M50" i="12"/>
  <c r="L50" i="12"/>
  <c r="K50" i="12"/>
  <c r="J50" i="12"/>
  <c r="I50" i="12"/>
  <c r="H50" i="12"/>
  <c r="G50" i="12"/>
  <c r="F50" i="12"/>
  <c r="E50" i="12"/>
  <c r="D50" i="12"/>
  <c r="C50" i="12"/>
  <c r="B50" i="12"/>
  <c r="U49" i="12"/>
  <c r="T49" i="12"/>
  <c r="S49" i="12"/>
  <c r="R49" i="12"/>
  <c r="Q49" i="12"/>
  <c r="P49" i="12"/>
  <c r="O49" i="12"/>
  <c r="N49" i="12"/>
  <c r="M49" i="12"/>
  <c r="L49" i="12"/>
  <c r="K49" i="12"/>
  <c r="J49" i="12"/>
  <c r="I49" i="12"/>
  <c r="H49" i="12"/>
  <c r="G49" i="12"/>
  <c r="F49" i="12"/>
  <c r="E49" i="12"/>
  <c r="D49" i="12"/>
  <c r="C49" i="12"/>
  <c r="B49" i="12"/>
  <c r="U48" i="12"/>
  <c r="T48" i="12"/>
  <c r="S48" i="12"/>
  <c r="R48" i="12"/>
  <c r="Q48" i="12"/>
  <c r="P48" i="12"/>
  <c r="O48" i="12"/>
  <c r="N48" i="12"/>
  <c r="M48" i="12"/>
  <c r="L48" i="12"/>
  <c r="K48" i="12"/>
  <c r="J48" i="12"/>
  <c r="I48" i="12"/>
  <c r="H48" i="12"/>
  <c r="G48" i="12"/>
  <c r="F48" i="12"/>
  <c r="E48" i="12"/>
  <c r="D48" i="12"/>
  <c r="C48" i="12"/>
  <c r="B48" i="12"/>
  <c r="U47" i="12"/>
  <c r="T47" i="12"/>
  <c r="S47" i="12"/>
  <c r="R47" i="12"/>
  <c r="Q47" i="12"/>
  <c r="P47" i="12"/>
  <c r="O47" i="12"/>
  <c r="N47" i="12"/>
  <c r="M47" i="12"/>
  <c r="L47" i="12"/>
  <c r="K47" i="12"/>
  <c r="J47" i="12"/>
  <c r="I47" i="12"/>
  <c r="H47" i="12"/>
  <c r="G47" i="12"/>
  <c r="F47" i="12"/>
  <c r="E47" i="12"/>
  <c r="D47" i="12"/>
  <c r="C47" i="12"/>
  <c r="B47" i="12"/>
  <c r="U46" i="12"/>
  <c r="T46" i="12"/>
  <c r="S46" i="12"/>
  <c r="R46" i="12"/>
  <c r="Q46" i="12"/>
  <c r="P46" i="12"/>
  <c r="O46" i="12"/>
  <c r="N46" i="12"/>
  <c r="M46" i="12"/>
  <c r="L46" i="12"/>
  <c r="K46" i="12"/>
  <c r="J46" i="12"/>
  <c r="I46" i="12"/>
  <c r="H46" i="12"/>
  <c r="G46" i="12"/>
  <c r="F46" i="12"/>
  <c r="E46" i="12"/>
  <c r="D46" i="12"/>
  <c r="C46" i="12"/>
  <c r="B46" i="12"/>
  <c r="U45" i="12"/>
  <c r="T45" i="12"/>
  <c r="S45" i="12"/>
  <c r="R45" i="12"/>
  <c r="Q45" i="12"/>
  <c r="P45" i="12"/>
  <c r="O45" i="12"/>
  <c r="N45" i="12"/>
  <c r="M45" i="12"/>
  <c r="L45" i="12"/>
  <c r="K45" i="12"/>
  <c r="J45" i="12"/>
  <c r="I45" i="12"/>
  <c r="H45" i="12"/>
  <c r="G45" i="12"/>
  <c r="F45" i="12"/>
  <c r="E45" i="12"/>
  <c r="D45" i="12"/>
  <c r="C45" i="12"/>
  <c r="B45" i="12"/>
  <c r="U44" i="12"/>
  <c r="T44" i="12"/>
  <c r="S44" i="12"/>
  <c r="R44" i="12"/>
  <c r="Q44" i="12"/>
  <c r="P44" i="12"/>
  <c r="O44" i="12"/>
  <c r="N44" i="12"/>
  <c r="M44" i="12"/>
  <c r="L44" i="12"/>
  <c r="K44" i="12"/>
  <c r="J44" i="12"/>
  <c r="I44" i="12"/>
  <c r="H44" i="12"/>
  <c r="G44" i="12"/>
  <c r="F44" i="12"/>
  <c r="E44" i="12"/>
  <c r="D44" i="12"/>
  <c r="C44" i="12"/>
  <c r="B44" i="12"/>
  <c r="U43" i="12"/>
  <c r="T43" i="12"/>
  <c r="S43" i="12"/>
  <c r="R43" i="12"/>
  <c r="Q43" i="12"/>
  <c r="P43" i="12"/>
  <c r="O43" i="12"/>
  <c r="N43" i="12"/>
  <c r="M43" i="12"/>
  <c r="L43" i="12"/>
  <c r="K43" i="12"/>
  <c r="J43" i="12"/>
  <c r="I43" i="12"/>
  <c r="H43" i="12"/>
  <c r="G43" i="12"/>
  <c r="F43" i="12"/>
  <c r="E43" i="12"/>
  <c r="D43" i="12"/>
  <c r="C43" i="12"/>
  <c r="B43" i="12"/>
  <c r="U42" i="12"/>
  <c r="T42" i="12"/>
  <c r="S42" i="12"/>
  <c r="R42" i="12"/>
  <c r="Q42" i="12"/>
  <c r="P42" i="12"/>
  <c r="O42" i="12"/>
  <c r="N42" i="12"/>
  <c r="M42" i="12"/>
  <c r="L42" i="12"/>
  <c r="K42" i="12"/>
  <c r="J42" i="12"/>
  <c r="I42" i="12"/>
  <c r="H42" i="12"/>
  <c r="G42" i="12"/>
  <c r="F42" i="12"/>
  <c r="E42" i="12"/>
  <c r="D42" i="12"/>
  <c r="C42" i="12"/>
  <c r="B42" i="12"/>
  <c r="U41" i="12"/>
  <c r="T41" i="12"/>
  <c r="S41" i="12"/>
  <c r="R41" i="12"/>
  <c r="Q41" i="12"/>
  <c r="P41" i="12"/>
  <c r="O41" i="12"/>
  <c r="N41" i="12"/>
  <c r="M41" i="12"/>
  <c r="L41" i="12"/>
  <c r="K41" i="12"/>
  <c r="J41" i="12"/>
  <c r="I41" i="12"/>
  <c r="H41" i="12"/>
  <c r="G41" i="12"/>
  <c r="F41" i="12"/>
  <c r="E41" i="12"/>
  <c r="D41" i="12"/>
  <c r="C41" i="12"/>
  <c r="B41" i="12"/>
  <c r="U40" i="12"/>
  <c r="T40" i="12"/>
  <c r="S40" i="12"/>
  <c r="R40" i="12"/>
  <c r="Q40" i="12"/>
  <c r="P40" i="12"/>
  <c r="O40" i="12"/>
  <c r="N40" i="12"/>
  <c r="M40" i="12"/>
  <c r="L40" i="12"/>
  <c r="K40" i="12"/>
  <c r="J40" i="12"/>
  <c r="I40" i="12"/>
  <c r="H40" i="12"/>
  <c r="G40" i="12"/>
  <c r="F40" i="12"/>
  <c r="E40" i="12"/>
  <c r="D40" i="12"/>
  <c r="C40" i="12"/>
  <c r="B40" i="12"/>
  <c r="U39" i="12"/>
  <c r="T39" i="12"/>
  <c r="S39" i="12"/>
  <c r="R39" i="12"/>
  <c r="Q39" i="12"/>
  <c r="P39" i="12"/>
  <c r="O39" i="12"/>
  <c r="N39" i="12"/>
  <c r="M39" i="12"/>
  <c r="L39" i="12"/>
  <c r="K39" i="12"/>
  <c r="J39" i="12"/>
  <c r="I39" i="12"/>
  <c r="H39" i="12"/>
  <c r="G39" i="12"/>
  <c r="F39" i="12"/>
  <c r="E39" i="12"/>
  <c r="D39" i="12"/>
  <c r="C39" i="12"/>
  <c r="B39" i="12"/>
  <c r="U38" i="12"/>
  <c r="T38" i="12"/>
  <c r="S38" i="12"/>
  <c r="R38" i="12"/>
  <c r="Q38" i="12"/>
  <c r="P38" i="12"/>
  <c r="O38" i="12"/>
  <c r="N38" i="12"/>
  <c r="M38" i="12"/>
  <c r="L38" i="12"/>
  <c r="K38" i="12"/>
  <c r="J38" i="12"/>
  <c r="I38" i="12"/>
  <c r="H38" i="12"/>
  <c r="G38" i="12"/>
  <c r="F38" i="12"/>
  <c r="E38" i="12"/>
  <c r="D38" i="12"/>
  <c r="C38" i="12"/>
  <c r="B38" i="12"/>
  <c r="U37" i="12"/>
  <c r="T37" i="12"/>
  <c r="S37" i="12"/>
  <c r="R37" i="12"/>
  <c r="Q37" i="12"/>
  <c r="P37" i="12"/>
  <c r="O37" i="12"/>
  <c r="N37" i="12"/>
  <c r="M37" i="12"/>
  <c r="L37" i="12"/>
  <c r="K37" i="12"/>
  <c r="J37" i="12"/>
  <c r="I37" i="12"/>
  <c r="H37" i="12"/>
  <c r="G37" i="12"/>
  <c r="F37" i="12"/>
  <c r="E37" i="12"/>
  <c r="D37" i="12"/>
  <c r="C37" i="12"/>
  <c r="B37" i="12"/>
  <c r="U36" i="12"/>
  <c r="T36" i="12"/>
  <c r="S36" i="12"/>
  <c r="R36" i="12"/>
  <c r="Q36" i="12"/>
  <c r="P36" i="12"/>
  <c r="O36" i="12"/>
  <c r="N36" i="12"/>
  <c r="M36" i="12"/>
  <c r="L36" i="12"/>
  <c r="K36" i="12"/>
  <c r="J36" i="12"/>
  <c r="I36" i="12"/>
  <c r="H36" i="12"/>
  <c r="G36" i="12"/>
  <c r="F36" i="12"/>
  <c r="E36" i="12"/>
  <c r="D36" i="12"/>
  <c r="C36" i="12"/>
  <c r="B36" i="12"/>
  <c r="U35" i="12"/>
  <c r="T35" i="12"/>
  <c r="S35" i="12"/>
  <c r="R35" i="12"/>
  <c r="Q35" i="12"/>
  <c r="P35" i="12"/>
  <c r="O35" i="12"/>
  <c r="N35" i="12"/>
  <c r="M35" i="12"/>
  <c r="L35" i="12"/>
  <c r="K35" i="12"/>
  <c r="J35" i="12"/>
  <c r="I35" i="12"/>
  <c r="H35" i="12"/>
  <c r="G35" i="12"/>
  <c r="F35" i="12"/>
  <c r="E35" i="12"/>
  <c r="D35" i="12"/>
  <c r="C35" i="12"/>
  <c r="B35" i="12"/>
  <c r="U34" i="12"/>
  <c r="T34" i="12"/>
  <c r="S34" i="12"/>
  <c r="R34" i="12"/>
  <c r="Q34" i="12"/>
  <c r="P34" i="12"/>
  <c r="O34" i="12"/>
  <c r="N34" i="12"/>
  <c r="M34" i="12"/>
  <c r="L34" i="12"/>
  <c r="K34" i="12"/>
  <c r="J34" i="12"/>
  <c r="I34" i="12"/>
  <c r="H34" i="12"/>
  <c r="G34" i="12"/>
  <c r="F34" i="12"/>
  <c r="E34" i="12"/>
  <c r="D34" i="12"/>
  <c r="C34" i="12"/>
  <c r="B34" i="12"/>
  <c r="U33" i="12"/>
  <c r="T33" i="12"/>
  <c r="S33" i="12"/>
  <c r="R33" i="12"/>
  <c r="Q33" i="12"/>
  <c r="P33" i="12"/>
  <c r="O33" i="12"/>
  <c r="N33" i="12"/>
  <c r="M33" i="12"/>
  <c r="L33" i="12"/>
  <c r="K33" i="12"/>
  <c r="J33" i="12"/>
  <c r="I33" i="12"/>
  <c r="H33" i="12"/>
  <c r="G33" i="12"/>
  <c r="F33" i="12"/>
  <c r="E33" i="12"/>
  <c r="D33" i="12"/>
  <c r="C33" i="12"/>
  <c r="B33" i="12"/>
  <c r="U32" i="12"/>
  <c r="T32" i="12"/>
  <c r="S32" i="12"/>
  <c r="R32" i="12"/>
  <c r="Q32" i="12"/>
  <c r="P32" i="12"/>
  <c r="O32" i="12"/>
  <c r="N32" i="12"/>
  <c r="M32" i="12"/>
  <c r="L32" i="12"/>
  <c r="K32" i="12"/>
  <c r="J32" i="12"/>
  <c r="I32" i="12"/>
  <c r="H32" i="12"/>
  <c r="G32" i="12"/>
  <c r="F32" i="12"/>
  <c r="E32" i="12"/>
  <c r="D32" i="12"/>
  <c r="C32" i="12"/>
  <c r="B32" i="12"/>
  <c r="U31" i="12"/>
  <c r="T31" i="12"/>
  <c r="S31" i="12"/>
  <c r="R31" i="12"/>
  <c r="Q31" i="12"/>
  <c r="P31" i="12"/>
  <c r="O31" i="12"/>
  <c r="N31" i="12"/>
  <c r="M31" i="12"/>
  <c r="L31" i="12"/>
  <c r="K31" i="12"/>
  <c r="J31" i="12"/>
  <c r="I31" i="12"/>
  <c r="H31" i="12"/>
  <c r="G31" i="12"/>
  <c r="F31" i="12"/>
  <c r="E31" i="12"/>
  <c r="D31" i="12"/>
  <c r="C31" i="12"/>
  <c r="B31" i="12"/>
  <c r="U30" i="12"/>
  <c r="T30" i="12"/>
  <c r="S30" i="12"/>
  <c r="R30" i="12"/>
  <c r="Q30" i="12"/>
  <c r="P30" i="12"/>
  <c r="O30" i="12"/>
  <c r="N30" i="12"/>
  <c r="M30" i="12"/>
  <c r="L30" i="12"/>
  <c r="K30" i="12"/>
  <c r="J30" i="12"/>
  <c r="I30" i="12"/>
  <c r="H30" i="12"/>
  <c r="G30" i="12"/>
  <c r="F30" i="12"/>
  <c r="E30" i="12"/>
  <c r="D30" i="12"/>
  <c r="C30" i="12"/>
  <c r="B30" i="12"/>
  <c r="U29" i="12"/>
  <c r="T29" i="12"/>
  <c r="S29" i="12"/>
  <c r="R29" i="12"/>
  <c r="Q29" i="12"/>
  <c r="P29" i="12"/>
  <c r="O29" i="12"/>
  <c r="N29" i="12"/>
  <c r="M29" i="12"/>
  <c r="L29" i="12"/>
  <c r="K29" i="12"/>
  <c r="J29" i="12"/>
  <c r="I29" i="12"/>
  <c r="H29" i="12"/>
  <c r="G29" i="12"/>
  <c r="F29" i="12"/>
  <c r="E29" i="12"/>
  <c r="D29" i="12"/>
  <c r="C29" i="12"/>
  <c r="B29" i="12"/>
  <c r="U28" i="12"/>
  <c r="T28" i="12"/>
  <c r="S28" i="12"/>
  <c r="R28" i="12"/>
  <c r="Q28" i="12"/>
  <c r="P28" i="12"/>
  <c r="O28" i="12"/>
  <c r="N28" i="12"/>
  <c r="M28" i="12"/>
  <c r="L28" i="12"/>
  <c r="K28" i="12"/>
  <c r="J28" i="12"/>
  <c r="I28" i="12"/>
  <c r="H28" i="12"/>
  <c r="G28" i="12"/>
  <c r="F28" i="12"/>
  <c r="E28" i="12"/>
  <c r="D28" i="12"/>
  <c r="C28" i="12"/>
  <c r="B28" i="12"/>
  <c r="U27" i="12"/>
  <c r="T27" i="12"/>
  <c r="S27" i="12"/>
  <c r="R27" i="12"/>
  <c r="Q27" i="12"/>
  <c r="P27" i="12"/>
  <c r="O27" i="12"/>
  <c r="N27" i="12"/>
  <c r="M27" i="12"/>
  <c r="L27" i="12"/>
  <c r="K27" i="12"/>
  <c r="J27" i="12"/>
  <c r="I27" i="12"/>
  <c r="H27" i="12"/>
  <c r="G27" i="12"/>
  <c r="F27" i="12"/>
  <c r="E27" i="12"/>
  <c r="D27" i="12"/>
  <c r="C27" i="12"/>
  <c r="B27" i="12"/>
  <c r="U26" i="12"/>
  <c r="T26" i="12"/>
  <c r="S26" i="12"/>
  <c r="R26" i="12"/>
  <c r="Q26" i="12"/>
  <c r="P26" i="12"/>
  <c r="O26" i="12"/>
  <c r="N26" i="12"/>
  <c r="M26" i="12"/>
  <c r="L26" i="12"/>
  <c r="K26" i="12"/>
  <c r="J26" i="12"/>
  <c r="I26" i="12"/>
  <c r="H26" i="12"/>
  <c r="G26" i="12"/>
  <c r="F26" i="12"/>
  <c r="E26" i="12"/>
  <c r="D26" i="12"/>
  <c r="C26" i="12"/>
  <c r="B26" i="12"/>
  <c r="U25" i="12"/>
  <c r="T25" i="12"/>
  <c r="S25" i="12"/>
  <c r="R25" i="12"/>
  <c r="Q25" i="12"/>
  <c r="P25" i="12"/>
  <c r="O25" i="12"/>
  <c r="N25" i="12"/>
  <c r="M25" i="12"/>
  <c r="L25" i="12"/>
  <c r="K25" i="12"/>
  <c r="J25" i="12"/>
  <c r="I25" i="12"/>
  <c r="H25" i="12"/>
  <c r="G25" i="12"/>
  <c r="F25" i="12"/>
  <c r="E25" i="12"/>
  <c r="D25" i="12"/>
  <c r="C25" i="12"/>
  <c r="B25" i="12"/>
  <c r="U24" i="12"/>
  <c r="T24" i="12"/>
  <c r="S24" i="12"/>
  <c r="R24" i="12"/>
  <c r="Q24" i="12"/>
  <c r="P24" i="12"/>
  <c r="O24" i="12"/>
  <c r="N24" i="12"/>
  <c r="M24" i="12"/>
  <c r="L24" i="12"/>
  <c r="K24" i="12"/>
  <c r="J24" i="12"/>
  <c r="I24" i="12"/>
  <c r="H24" i="12"/>
  <c r="G24" i="12"/>
  <c r="F24" i="12"/>
  <c r="E24" i="12"/>
  <c r="D24" i="12"/>
  <c r="C24" i="12"/>
  <c r="B24" i="12"/>
  <c r="U23" i="12"/>
  <c r="T23" i="12"/>
  <c r="S23" i="12"/>
  <c r="R23" i="12"/>
  <c r="Q23" i="12"/>
  <c r="P23" i="12"/>
  <c r="O23" i="12"/>
  <c r="N23" i="12"/>
  <c r="M23" i="12"/>
  <c r="L23" i="12"/>
  <c r="K23" i="12"/>
  <c r="J23" i="12"/>
  <c r="I23" i="12"/>
  <c r="H23" i="12"/>
  <c r="G23" i="12"/>
  <c r="F23" i="12"/>
  <c r="E23" i="12"/>
  <c r="D23" i="12"/>
  <c r="C23" i="12"/>
  <c r="B23" i="12"/>
  <c r="U22" i="12"/>
  <c r="T22" i="12"/>
  <c r="S22" i="12"/>
  <c r="R22" i="12"/>
  <c r="Q22" i="12"/>
  <c r="P22" i="12"/>
  <c r="O22" i="12"/>
  <c r="N22" i="12"/>
  <c r="M22" i="12"/>
  <c r="L22" i="12"/>
  <c r="K22" i="12"/>
  <c r="J22" i="12"/>
  <c r="I22" i="12"/>
  <c r="H22" i="12"/>
  <c r="G22" i="12"/>
  <c r="F22" i="12"/>
  <c r="E22" i="12"/>
  <c r="D22" i="12"/>
  <c r="C22" i="12"/>
  <c r="B22" i="12"/>
  <c r="U21" i="12"/>
  <c r="T21" i="12"/>
  <c r="S21" i="12"/>
  <c r="R21" i="12"/>
  <c r="Q21" i="12"/>
  <c r="P21" i="12"/>
  <c r="O21" i="12"/>
  <c r="N21" i="12"/>
  <c r="M21" i="12"/>
  <c r="L21" i="12"/>
  <c r="K21" i="12"/>
  <c r="J21" i="12"/>
  <c r="I21" i="12"/>
  <c r="H21" i="12"/>
  <c r="G21" i="12"/>
  <c r="F21" i="12"/>
  <c r="E21" i="12"/>
  <c r="D21" i="12"/>
  <c r="C21" i="12"/>
  <c r="B21" i="12"/>
  <c r="U20" i="12"/>
  <c r="T20" i="12"/>
  <c r="S20" i="12"/>
  <c r="R20" i="12"/>
  <c r="Q20" i="12"/>
  <c r="P20" i="12"/>
  <c r="O20" i="12"/>
  <c r="N20" i="12"/>
  <c r="M20" i="12"/>
  <c r="L20" i="12"/>
  <c r="K20" i="12"/>
  <c r="J20" i="12"/>
  <c r="I20" i="12"/>
  <c r="H20" i="12"/>
  <c r="G20" i="12"/>
  <c r="F20" i="12"/>
  <c r="E20" i="12"/>
  <c r="D20" i="12"/>
  <c r="C20" i="12"/>
  <c r="B20" i="12"/>
  <c r="U19" i="12"/>
  <c r="T19" i="12"/>
  <c r="S19" i="12"/>
  <c r="R19" i="12"/>
  <c r="Q19" i="12"/>
  <c r="P19" i="12"/>
  <c r="O19" i="12"/>
  <c r="N19" i="12"/>
  <c r="M19" i="12"/>
  <c r="L19" i="12"/>
  <c r="K19" i="12"/>
  <c r="J19" i="12"/>
  <c r="I19" i="12"/>
  <c r="H19" i="12"/>
  <c r="G19" i="12"/>
  <c r="F19" i="12"/>
  <c r="E19" i="12"/>
  <c r="D19" i="12"/>
  <c r="C19" i="12"/>
  <c r="B19" i="12"/>
  <c r="U18" i="12"/>
  <c r="T18" i="12"/>
  <c r="S18" i="12"/>
  <c r="R18" i="12"/>
  <c r="Q18" i="12"/>
  <c r="P18" i="12"/>
  <c r="O18" i="12"/>
  <c r="N18" i="12"/>
  <c r="M18" i="12"/>
  <c r="L18" i="12"/>
  <c r="K18" i="12"/>
  <c r="J18" i="12"/>
  <c r="I18" i="12"/>
  <c r="H18" i="12"/>
  <c r="G18" i="12"/>
  <c r="F18" i="12"/>
  <c r="E18" i="12"/>
  <c r="D18" i="12"/>
  <c r="C18" i="12"/>
  <c r="B18" i="12"/>
  <c r="U17" i="12"/>
  <c r="T17" i="12"/>
  <c r="S17" i="12"/>
  <c r="R17" i="12"/>
  <c r="Q17" i="12"/>
  <c r="P17" i="12"/>
  <c r="O17" i="12"/>
  <c r="N17" i="12"/>
  <c r="M17" i="12"/>
  <c r="L17" i="12"/>
  <c r="K17" i="12"/>
  <c r="J17" i="12"/>
  <c r="I17" i="12"/>
  <c r="H17" i="12"/>
  <c r="G17" i="12"/>
  <c r="F17" i="12"/>
  <c r="E17" i="12"/>
  <c r="D17" i="12"/>
  <c r="C17" i="12"/>
  <c r="B17" i="12"/>
  <c r="U16" i="12"/>
  <c r="T16" i="12"/>
  <c r="S16" i="12"/>
  <c r="R16" i="12"/>
  <c r="Q16" i="12"/>
  <c r="P16" i="12"/>
  <c r="O16" i="12"/>
  <c r="N16" i="12"/>
  <c r="M16" i="12"/>
  <c r="L16" i="12"/>
  <c r="K16" i="12"/>
  <c r="J16" i="12"/>
  <c r="I16" i="12"/>
  <c r="H16" i="12"/>
  <c r="G16" i="12"/>
  <c r="F16" i="12"/>
  <c r="E16" i="12"/>
  <c r="D16" i="12"/>
  <c r="C16" i="12"/>
  <c r="B16" i="12"/>
  <c r="U15" i="12"/>
  <c r="T15" i="12"/>
  <c r="S15" i="12"/>
  <c r="R15" i="12"/>
  <c r="Q15" i="12"/>
  <c r="P15" i="12"/>
  <c r="O15" i="12"/>
  <c r="N15" i="12"/>
  <c r="M15" i="12"/>
  <c r="L15" i="12"/>
  <c r="K15" i="12"/>
  <c r="J15" i="12"/>
  <c r="I15" i="12"/>
  <c r="H15" i="12"/>
  <c r="G15" i="12"/>
  <c r="F15" i="12"/>
  <c r="E15" i="12"/>
  <c r="D15" i="12"/>
  <c r="C15" i="12"/>
  <c r="B15" i="12"/>
  <c r="U14" i="12"/>
  <c r="T14" i="12"/>
  <c r="S14" i="12"/>
  <c r="R14" i="12"/>
  <c r="Q14" i="12"/>
  <c r="P14" i="12"/>
  <c r="O14" i="12"/>
  <c r="N14" i="12"/>
  <c r="M14" i="12"/>
  <c r="L14" i="12"/>
  <c r="K14" i="12"/>
  <c r="J14" i="12"/>
  <c r="I14" i="12"/>
  <c r="H14" i="12"/>
  <c r="G14" i="12"/>
  <c r="F14" i="12"/>
  <c r="E14" i="12"/>
  <c r="D14" i="12"/>
  <c r="C14" i="12"/>
  <c r="B14" i="12"/>
  <c r="U13" i="12"/>
  <c r="T13" i="12"/>
  <c r="S13" i="12"/>
  <c r="R13" i="12"/>
  <c r="Q13" i="12"/>
  <c r="P13" i="12"/>
  <c r="O13" i="12"/>
  <c r="N13" i="12"/>
  <c r="M13" i="12"/>
  <c r="L13" i="12"/>
  <c r="K13" i="12"/>
  <c r="J13" i="12"/>
  <c r="I13" i="12"/>
  <c r="H13" i="12"/>
  <c r="G13" i="12"/>
  <c r="F13" i="12"/>
  <c r="E13" i="12"/>
  <c r="D13" i="12"/>
  <c r="C13" i="12"/>
  <c r="B13" i="12"/>
  <c r="U12" i="12"/>
  <c r="T12" i="12"/>
  <c r="S12" i="12"/>
  <c r="R12" i="12"/>
  <c r="Q12" i="12"/>
  <c r="P12" i="12"/>
  <c r="O12" i="12"/>
  <c r="N12" i="12"/>
  <c r="M12" i="12"/>
  <c r="L12" i="12"/>
  <c r="K12" i="12"/>
  <c r="J12" i="12"/>
  <c r="I12" i="12"/>
  <c r="H12" i="12"/>
  <c r="G12" i="12"/>
  <c r="F12" i="12"/>
  <c r="E12" i="12"/>
  <c r="D12" i="12"/>
  <c r="C12" i="12"/>
  <c r="B12" i="12"/>
  <c r="U11" i="12"/>
  <c r="T11" i="12"/>
  <c r="S11" i="12"/>
  <c r="R11" i="12"/>
  <c r="Q11" i="12"/>
  <c r="P11" i="12"/>
  <c r="O11" i="12"/>
  <c r="N11" i="12"/>
  <c r="M11" i="12"/>
  <c r="L11" i="12"/>
  <c r="K11" i="12"/>
  <c r="J11" i="12"/>
  <c r="I11" i="12"/>
  <c r="H11" i="12"/>
  <c r="G11" i="12"/>
  <c r="F11" i="12"/>
  <c r="E11" i="12"/>
  <c r="D11" i="12"/>
  <c r="C11" i="12"/>
  <c r="B11" i="12"/>
  <c r="U10" i="12"/>
  <c r="T10" i="12"/>
  <c r="S10" i="12"/>
  <c r="R10" i="12"/>
  <c r="Q10" i="12"/>
  <c r="P10" i="12"/>
  <c r="O10" i="12"/>
  <c r="N10" i="12"/>
  <c r="M10" i="12"/>
  <c r="L10" i="12"/>
  <c r="K10" i="12"/>
  <c r="J10" i="12"/>
  <c r="I10" i="12"/>
  <c r="H10" i="12"/>
  <c r="G10" i="12"/>
  <c r="F10" i="12"/>
  <c r="E10" i="12"/>
  <c r="D10" i="12"/>
  <c r="C10" i="12"/>
  <c r="B10" i="12"/>
  <c r="U9" i="12"/>
  <c r="T9" i="12"/>
  <c r="S9" i="12"/>
  <c r="R9" i="12"/>
  <c r="Q9" i="12"/>
  <c r="P9" i="12"/>
  <c r="O9" i="12"/>
  <c r="N9" i="12"/>
  <c r="M9" i="12"/>
  <c r="L9" i="12"/>
  <c r="K9" i="12"/>
  <c r="J9" i="12"/>
  <c r="I9" i="12"/>
  <c r="H9" i="12"/>
  <c r="G9" i="12"/>
  <c r="F9" i="12"/>
  <c r="E9" i="12"/>
  <c r="D9" i="12"/>
  <c r="C9" i="12"/>
  <c r="B9" i="12"/>
  <c r="U8" i="12"/>
  <c r="T8" i="12"/>
  <c r="S8" i="12"/>
  <c r="R8" i="12"/>
  <c r="Q8" i="12"/>
  <c r="P8" i="12"/>
  <c r="O8" i="12"/>
  <c r="N8" i="12"/>
  <c r="M8" i="12"/>
  <c r="L8" i="12"/>
  <c r="K8" i="12"/>
  <c r="J8" i="12"/>
  <c r="I8" i="12"/>
  <c r="H8" i="12"/>
  <c r="G8" i="12"/>
  <c r="F8" i="12"/>
  <c r="E8" i="12"/>
  <c r="D8" i="12"/>
  <c r="C8" i="12"/>
  <c r="B8" i="12"/>
  <c r="U7" i="12"/>
  <c r="T7" i="12"/>
  <c r="S7" i="12"/>
  <c r="R7" i="12"/>
  <c r="Q7" i="12"/>
  <c r="P7" i="12"/>
  <c r="O7" i="12"/>
  <c r="N7" i="12"/>
  <c r="M7" i="12"/>
  <c r="L7" i="12"/>
  <c r="K7" i="12"/>
  <c r="J7" i="12"/>
  <c r="I7" i="12"/>
  <c r="H7" i="12"/>
  <c r="G7" i="12"/>
  <c r="F7" i="12"/>
  <c r="E7" i="12"/>
  <c r="D7" i="12"/>
  <c r="C7" i="12"/>
  <c r="B7" i="12"/>
  <c r="U6" i="12"/>
  <c r="T6" i="12"/>
  <c r="S6" i="12"/>
  <c r="R6" i="12"/>
  <c r="Q6" i="12"/>
  <c r="P6" i="12"/>
  <c r="O6" i="12"/>
  <c r="N6" i="12"/>
  <c r="M6" i="12"/>
  <c r="L6" i="12"/>
  <c r="K6" i="12"/>
  <c r="J6" i="12"/>
  <c r="I6" i="12"/>
  <c r="H6" i="12"/>
  <c r="G6" i="12"/>
  <c r="F6" i="12"/>
  <c r="E6" i="12"/>
  <c r="D6" i="12"/>
  <c r="C6" i="12"/>
  <c r="B6" i="12"/>
  <c r="U5" i="12"/>
  <c r="T5" i="12"/>
  <c r="S5" i="12"/>
  <c r="R5" i="12"/>
  <c r="Q5" i="12"/>
  <c r="P5" i="12"/>
  <c r="O5" i="12"/>
  <c r="N5" i="12"/>
  <c r="M5" i="12"/>
  <c r="L5" i="12"/>
  <c r="K5" i="12"/>
  <c r="J5" i="12"/>
  <c r="I5" i="12"/>
  <c r="H5" i="12"/>
  <c r="G5" i="12"/>
  <c r="F5" i="12"/>
  <c r="E5" i="12"/>
  <c r="D5" i="12"/>
  <c r="C5" i="12"/>
  <c r="B5" i="12"/>
  <c r="U94" i="10"/>
  <c r="T94" i="10"/>
  <c r="S94" i="10"/>
  <c r="R94" i="10"/>
  <c r="Q94" i="10"/>
  <c r="P94" i="10"/>
  <c r="O94" i="10"/>
  <c r="N94" i="10"/>
  <c r="M94" i="10"/>
  <c r="L94" i="10"/>
  <c r="K94" i="10"/>
  <c r="J94" i="10"/>
  <c r="I94" i="10"/>
  <c r="H94" i="10"/>
  <c r="G94" i="10"/>
  <c r="F94" i="10"/>
  <c r="E94" i="10"/>
  <c r="D94" i="10"/>
  <c r="C94" i="10"/>
  <c r="B94" i="10"/>
  <c r="U93" i="10"/>
  <c r="T93" i="10"/>
  <c r="S93" i="10"/>
  <c r="R93" i="10"/>
  <c r="Q93" i="10"/>
  <c r="P93" i="10"/>
  <c r="O93" i="10"/>
  <c r="N93" i="10"/>
  <c r="M93" i="10"/>
  <c r="L93" i="10"/>
  <c r="K93" i="10"/>
  <c r="J93" i="10"/>
  <c r="I93" i="10"/>
  <c r="H93" i="10"/>
  <c r="G93" i="10"/>
  <c r="F93" i="10"/>
  <c r="E93" i="10"/>
  <c r="D93" i="10"/>
  <c r="C93" i="10"/>
  <c r="B93" i="10"/>
  <c r="U92" i="10"/>
  <c r="T92" i="10"/>
  <c r="S92" i="10"/>
  <c r="R92" i="10"/>
  <c r="Q92" i="10"/>
  <c r="P92" i="10"/>
  <c r="O92" i="10"/>
  <c r="N92" i="10"/>
  <c r="M92" i="10"/>
  <c r="L92" i="10"/>
  <c r="K92" i="10"/>
  <c r="J92" i="10"/>
  <c r="I92" i="10"/>
  <c r="H92" i="10"/>
  <c r="G92" i="10"/>
  <c r="F92" i="10"/>
  <c r="E92" i="10"/>
  <c r="D92" i="10"/>
  <c r="C92" i="10"/>
  <c r="B92" i="10"/>
  <c r="U91" i="10"/>
  <c r="T91" i="10"/>
  <c r="S91" i="10"/>
  <c r="R91" i="10"/>
  <c r="Q91" i="10"/>
  <c r="P91" i="10"/>
  <c r="O91" i="10"/>
  <c r="N91" i="10"/>
  <c r="M91" i="10"/>
  <c r="L91" i="10"/>
  <c r="K91" i="10"/>
  <c r="J91" i="10"/>
  <c r="I91" i="10"/>
  <c r="H91" i="10"/>
  <c r="G91" i="10"/>
  <c r="F91" i="10"/>
  <c r="E91" i="10"/>
  <c r="D91" i="10"/>
  <c r="C91" i="10"/>
  <c r="B91" i="10"/>
  <c r="U90" i="10"/>
  <c r="T90" i="10"/>
  <c r="S90" i="10"/>
  <c r="R90" i="10"/>
  <c r="Q90" i="10"/>
  <c r="P90" i="10"/>
  <c r="O90" i="10"/>
  <c r="N90" i="10"/>
  <c r="M90" i="10"/>
  <c r="L90" i="10"/>
  <c r="K90" i="10"/>
  <c r="J90" i="10"/>
  <c r="I90" i="10"/>
  <c r="H90" i="10"/>
  <c r="G90" i="10"/>
  <c r="F90" i="10"/>
  <c r="E90" i="10"/>
  <c r="D90" i="10"/>
  <c r="C90" i="10"/>
  <c r="B90" i="10"/>
  <c r="U89" i="10"/>
  <c r="T89" i="10"/>
  <c r="S89" i="10"/>
  <c r="R89" i="10"/>
  <c r="Q89" i="10"/>
  <c r="P89" i="10"/>
  <c r="O89" i="10"/>
  <c r="N89" i="10"/>
  <c r="M89" i="10"/>
  <c r="L89" i="10"/>
  <c r="K89" i="10"/>
  <c r="J89" i="10"/>
  <c r="I89" i="10"/>
  <c r="H89" i="10"/>
  <c r="G89" i="10"/>
  <c r="F89" i="10"/>
  <c r="E89" i="10"/>
  <c r="D89" i="10"/>
  <c r="C89" i="10"/>
  <c r="B89" i="10"/>
  <c r="U88" i="10"/>
  <c r="T88" i="10"/>
  <c r="S88" i="10"/>
  <c r="R88" i="10"/>
  <c r="Q88" i="10"/>
  <c r="P88" i="10"/>
  <c r="O88" i="10"/>
  <c r="N88" i="10"/>
  <c r="M88" i="10"/>
  <c r="L88" i="10"/>
  <c r="K88" i="10"/>
  <c r="J88" i="10"/>
  <c r="I88" i="10"/>
  <c r="H88" i="10"/>
  <c r="G88" i="10"/>
  <c r="F88" i="10"/>
  <c r="E88" i="10"/>
  <c r="D88" i="10"/>
  <c r="C88" i="10"/>
  <c r="B88" i="10"/>
  <c r="U87" i="10"/>
  <c r="T87" i="10"/>
  <c r="S87" i="10"/>
  <c r="R87" i="10"/>
  <c r="Q87" i="10"/>
  <c r="P87" i="10"/>
  <c r="O87" i="10"/>
  <c r="N87" i="10"/>
  <c r="M87" i="10"/>
  <c r="L87" i="10"/>
  <c r="K87" i="10"/>
  <c r="J87" i="10"/>
  <c r="I87" i="10"/>
  <c r="H87" i="10"/>
  <c r="G87" i="10"/>
  <c r="F87" i="10"/>
  <c r="E87" i="10"/>
  <c r="D87" i="10"/>
  <c r="C87" i="10"/>
  <c r="B87" i="10"/>
  <c r="U86" i="10"/>
  <c r="T86" i="10"/>
  <c r="S86" i="10"/>
  <c r="R86" i="10"/>
  <c r="Q86" i="10"/>
  <c r="P86" i="10"/>
  <c r="O86" i="10"/>
  <c r="N86" i="10"/>
  <c r="M86" i="10"/>
  <c r="L86" i="10"/>
  <c r="K86" i="10"/>
  <c r="J86" i="10"/>
  <c r="I86" i="10"/>
  <c r="H86" i="10"/>
  <c r="G86" i="10"/>
  <c r="F86" i="10"/>
  <c r="E86" i="10"/>
  <c r="D86" i="10"/>
  <c r="C86" i="10"/>
  <c r="B86" i="10"/>
  <c r="U85" i="10"/>
  <c r="T85" i="10"/>
  <c r="S85" i="10"/>
  <c r="R85" i="10"/>
  <c r="Q85" i="10"/>
  <c r="P85" i="10"/>
  <c r="O85" i="10"/>
  <c r="N85" i="10"/>
  <c r="M85" i="10"/>
  <c r="L85" i="10"/>
  <c r="K85" i="10"/>
  <c r="J85" i="10"/>
  <c r="I85" i="10"/>
  <c r="H85" i="10"/>
  <c r="G85" i="10"/>
  <c r="F85" i="10"/>
  <c r="E85" i="10"/>
  <c r="D85" i="10"/>
  <c r="C85" i="10"/>
  <c r="B85" i="10"/>
  <c r="U84" i="10"/>
  <c r="T84" i="10"/>
  <c r="S84" i="10"/>
  <c r="R84" i="10"/>
  <c r="Q84" i="10"/>
  <c r="P84" i="10"/>
  <c r="O84" i="10"/>
  <c r="N84" i="10"/>
  <c r="M84" i="10"/>
  <c r="L84" i="10"/>
  <c r="K84" i="10"/>
  <c r="J84" i="10"/>
  <c r="I84" i="10"/>
  <c r="H84" i="10"/>
  <c r="G84" i="10"/>
  <c r="F84" i="10"/>
  <c r="E84" i="10"/>
  <c r="D84" i="10"/>
  <c r="C84" i="10"/>
  <c r="B84" i="10"/>
  <c r="U83" i="10"/>
  <c r="T83" i="10"/>
  <c r="S83" i="10"/>
  <c r="R83" i="10"/>
  <c r="Q83" i="10"/>
  <c r="P83" i="10"/>
  <c r="O83" i="10"/>
  <c r="N83" i="10"/>
  <c r="M83" i="10"/>
  <c r="L83" i="10"/>
  <c r="K83" i="10"/>
  <c r="J83" i="10"/>
  <c r="I83" i="10"/>
  <c r="H83" i="10"/>
  <c r="G83" i="10"/>
  <c r="F83" i="10"/>
  <c r="E83" i="10"/>
  <c r="D83" i="10"/>
  <c r="C83" i="10"/>
  <c r="B83" i="10"/>
  <c r="U82" i="10"/>
  <c r="T82" i="10"/>
  <c r="S82" i="10"/>
  <c r="R82" i="10"/>
  <c r="Q82" i="10"/>
  <c r="P82" i="10"/>
  <c r="O82" i="10"/>
  <c r="N82" i="10"/>
  <c r="M82" i="10"/>
  <c r="L82" i="10"/>
  <c r="K82" i="10"/>
  <c r="J82" i="10"/>
  <c r="I82" i="10"/>
  <c r="H82" i="10"/>
  <c r="G82" i="10"/>
  <c r="F82" i="10"/>
  <c r="E82" i="10"/>
  <c r="D82" i="10"/>
  <c r="C82" i="10"/>
  <c r="B82" i="10"/>
  <c r="U81" i="10"/>
  <c r="T81" i="10"/>
  <c r="S81" i="10"/>
  <c r="R81" i="10"/>
  <c r="Q81" i="10"/>
  <c r="P81" i="10"/>
  <c r="O81" i="10"/>
  <c r="N81" i="10"/>
  <c r="M81" i="10"/>
  <c r="L81" i="10"/>
  <c r="K81" i="10"/>
  <c r="J81" i="10"/>
  <c r="I81" i="10"/>
  <c r="H81" i="10"/>
  <c r="G81" i="10"/>
  <c r="F81" i="10"/>
  <c r="E81" i="10"/>
  <c r="D81" i="10"/>
  <c r="C81" i="10"/>
  <c r="B81" i="10"/>
  <c r="U80" i="10"/>
  <c r="T80" i="10"/>
  <c r="S80" i="10"/>
  <c r="R80" i="10"/>
  <c r="Q80" i="10"/>
  <c r="P80" i="10"/>
  <c r="O80" i="10"/>
  <c r="N80" i="10"/>
  <c r="M80" i="10"/>
  <c r="L80" i="10"/>
  <c r="K80" i="10"/>
  <c r="J80" i="10"/>
  <c r="I80" i="10"/>
  <c r="H80" i="10"/>
  <c r="G80" i="10"/>
  <c r="F80" i="10"/>
  <c r="E80" i="10"/>
  <c r="D80" i="10"/>
  <c r="C80" i="10"/>
  <c r="B80" i="10"/>
  <c r="U79" i="10"/>
  <c r="T79" i="10"/>
  <c r="S79" i="10"/>
  <c r="R79" i="10"/>
  <c r="Q79" i="10"/>
  <c r="P79" i="10"/>
  <c r="O79" i="10"/>
  <c r="N79" i="10"/>
  <c r="M79" i="10"/>
  <c r="L79" i="10"/>
  <c r="K79" i="10"/>
  <c r="J79" i="10"/>
  <c r="I79" i="10"/>
  <c r="H79" i="10"/>
  <c r="G79" i="10"/>
  <c r="F79" i="10"/>
  <c r="E79" i="10"/>
  <c r="D79" i="10"/>
  <c r="C79" i="10"/>
  <c r="B79" i="10"/>
  <c r="U78" i="10"/>
  <c r="T78" i="10"/>
  <c r="S78" i="10"/>
  <c r="R78" i="10"/>
  <c r="Q78" i="10"/>
  <c r="P78" i="10"/>
  <c r="O78" i="10"/>
  <c r="N78" i="10"/>
  <c r="M78" i="10"/>
  <c r="L78" i="10"/>
  <c r="K78" i="10"/>
  <c r="J78" i="10"/>
  <c r="I78" i="10"/>
  <c r="H78" i="10"/>
  <c r="G78" i="10"/>
  <c r="F78" i="10"/>
  <c r="E78" i="10"/>
  <c r="D78" i="10"/>
  <c r="C78" i="10"/>
  <c r="B78" i="10"/>
  <c r="U77" i="10"/>
  <c r="T77" i="10"/>
  <c r="S77" i="10"/>
  <c r="R77" i="10"/>
  <c r="Q77" i="10"/>
  <c r="P77" i="10"/>
  <c r="O77" i="10"/>
  <c r="N77" i="10"/>
  <c r="M77" i="10"/>
  <c r="L77" i="10"/>
  <c r="K77" i="10"/>
  <c r="J77" i="10"/>
  <c r="I77" i="10"/>
  <c r="H77" i="10"/>
  <c r="G77" i="10"/>
  <c r="F77" i="10"/>
  <c r="E77" i="10"/>
  <c r="D77" i="10"/>
  <c r="C77" i="10"/>
  <c r="B77" i="10"/>
  <c r="U76" i="10"/>
  <c r="T76" i="10"/>
  <c r="S76" i="10"/>
  <c r="R76" i="10"/>
  <c r="Q76" i="10"/>
  <c r="P76" i="10"/>
  <c r="O76" i="10"/>
  <c r="N76" i="10"/>
  <c r="M76" i="10"/>
  <c r="L76" i="10"/>
  <c r="K76" i="10"/>
  <c r="J76" i="10"/>
  <c r="I76" i="10"/>
  <c r="H76" i="10"/>
  <c r="G76" i="10"/>
  <c r="F76" i="10"/>
  <c r="E76" i="10"/>
  <c r="D76" i="10"/>
  <c r="C76" i="10"/>
  <c r="B76" i="10"/>
  <c r="U75" i="10"/>
  <c r="T75" i="10"/>
  <c r="S75" i="10"/>
  <c r="R75" i="10"/>
  <c r="Q75" i="10"/>
  <c r="P75" i="10"/>
  <c r="O75" i="10"/>
  <c r="N75" i="10"/>
  <c r="M75" i="10"/>
  <c r="L75" i="10"/>
  <c r="K75" i="10"/>
  <c r="J75" i="10"/>
  <c r="I75" i="10"/>
  <c r="H75" i="10"/>
  <c r="G75" i="10"/>
  <c r="F75" i="10"/>
  <c r="E75" i="10"/>
  <c r="D75" i="10"/>
  <c r="C75" i="10"/>
  <c r="B75" i="10"/>
  <c r="U74" i="10"/>
  <c r="T74" i="10"/>
  <c r="S74" i="10"/>
  <c r="R74" i="10"/>
  <c r="Q74" i="10"/>
  <c r="P74" i="10"/>
  <c r="O74" i="10"/>
  <c r="N74" i="10"/>
  <c r="M74" i="10"/>
  <c r="L74" i="10"/>
  <c r="K74" i="10"/>
  <c r="J74" i="10"/>
  <c r="I74" i="10"/>
  <c r="H74" i="10"/>
  <c r="G74" i="10"/>
  <c r="F74" i="10"/>
  <c r="E74" i="10"/>
  <c r="D74" i="10"/>
  <c r="C74" i="10"/>
  <c r="B74" i="10"/>
  <c r="U73" i="10"/>
  <c r="T73" i="10"/>
  <c r="S73" i="10"/>
  <c r="R73" i="10"/>
  <c r="Q73" i="10"/>
  <c r="P73" i="10"/>
  <c r="O73" i="10"/>
  <c r="N73" i="10"/>
  <c r="M73" i="10"/>
  <c r="L73" i="10"/>
  <c r="K73" i="10"/>
  <c r="J73" i="10"/>
  <c r="I73" i="10"/>
  <c r="H73" i="10"/>
  <c r="G73" i="10"/>
  <c r="F73" i="10"/>
  <c r="E73" i="10"/>
  <c r="D73" i="10"/>
  <c r="C73" i="10"/>
  <c r="B73" i="10"/>
  <c r="U72" i="10"/>
  <c r="T72" i="10"/>
  <c r="S72" i="10"/>
  <c r="R72" i="10"/>
  <c r="Q72" i="10"/>
  <c r="P72" i="10"/>
  <c r="O72" i="10"/>
  <c r="N72" i="10"/>
  <c r="M72" i="10"/>
  <c r="L72" i="10"/>
  <c r="K72" i="10"/>
  <c r="J72" i="10"/>
  <c r="I72" i="10"/>
  <c r="H72" i="10"/>
  <c r="G72" i="10"/>
  <c r="F72" i="10"/>
  <c r="E72" i="10"/>
  <c r="D72" i="10"/>
  <c r="C72" i="10"/>
  <c r="B72" i="10"/>
  <c r="U71" i="10"/>
  <c r="T71" i="10"/>
  <c r="S71" i="10"/>
  <c r="R71" i="10"/>
  <c r="Q71" i="10"/>
  <c r="P71" i="10"/>
  <c r="O71" i="10"/>
  <c r="N71" i="10"/>
  <c r="M71" i="10"/>
  <c r="L71" i="10"/>
  <c r="K71" i="10"/>
  <c r="J71" i="10"/>
  <c r="I71" i="10"/>
  <c r="H71" i="10"/>
  <c r="G71" i="10"/>
  <c r="F71" i="10"/>
  <c r="E71" i="10"/>
  <c r="D71" i="10"/>
  <c r="C71" i="10"/>
  <c r="B71" i="10"/>
  <c r="U70" i="10"/>
  <c r="T70" i="10"/>
  <c r="S70" i="10"/>
  <c r="R70" i="10"/>
  <c r="Q70" i="10"/>
  <c r="P70" i="10"/>
  <c r="O70" i="10"/>
  <c r="N70" i="10"/>
  <c r="M70" i="10"/>
  <c r="L70" i="10"/>
  <c r="K70" i="10"/>
  <c r="J70" i="10"/>
  <c r="I70" i="10"/>
  <c r="H70" i="10"/>
  <c r="G70" i="10"/>
  <c r="F70" i="10"/>
  <c r="E70" i="10"/>
  <c r="D70" i="10"/>
  <c r="C70" i="10"/>
  <c r="B70" i="10"/>
  <c r="U69" i="10"/>
  <c r="T69" i="10"/>
  <c r="S69" i="10"/>
  <c r="R69" i="10"/>
  <c r="Q69" i="10"/>
  <c r="P69" i="10"/>
  <c r="O69" i="10"/>
  <c r="N69" i="10"/>
  <c r="M69" i="10"/>
  <c r="L69" i="10"/>
  <c r="K69" i="10"/>
  <c r="J69" i="10"/>
  <c r="I69" i="10"/>
  <c r="H69" i="10"/>
  <c r="G69" i="10"/>
  <c r="F69" i="10"/>
  <c r="E69" i="10"/>
  <c r="D69" i="10"/>
  <c r="C69" i="10"/>
  <c r="B69" i="10"/>
  <c r="U68" i="10"/>
  <c r="T68" i="10"/>
  <c r="S68" i="10"/>
  <c r="R68" i="10"/>
  <c r="Q68" i="10"/>
  <c r="P68" i="10"/>
  <c r="O68" i="10"/>
  <c r="N68" i="10"/>
  <c r="M68" i="10"/>
  <c r="L68" i="10"/>
  <c r="K68" i="10"/>
  <c r="J68" i="10"/>
  <c r="I68" i="10"/>
  <c r="H68" i="10"/>
  <c r="G68" i="10"/>
  <c r="F68" i="10"/>
  <c r="E68" i="10"/>
  <c r="D68" i="10"/>
  <c r="C68" i="10"/>
  <c r="B68" i="10"/>
  <c r="U67" i="10"/>
  <c r="T67" i="10"/>
  <c r="S67" i="10"/>
  <c r="R67" i="10"/>
  <c r="Q67" i="10"/>
  <c r="P67" i="10"/>
  <c r="O67" i="10"/>
  <c r="N67" i="10"/>
  <c r="M67" i="10"/>
  <c r="L67" i="10"/>
  <c r="K67" i="10"/>
  <c r="J67" i="10"/>
  <c r="I67" i="10"/>
  <c r="H67" i="10"/>
  <c r="G67" i="10"/>
  <c r="F67" i="10"/>
  <c r="E67" i="10"/>
  <c r="D67" i="10"/>
  <c r="C67" i="10"/>
  <c r="B67" i="10"/>
  <c r="U66" i="10"/>
  <c r="T66" i="10"/>
  <c r="S66" i="10"/>
  <c r="R66" i="10"/>
  <c r="Q66" i="10"/>
  <c r="P66" i="10"/>
  <c r="O66" i="10"/>
  <c r="N66" i="10"/>
  <c r="M66" i="10"/>
  <c r="L66" i="10"/>
  <c r="K66" i="10"/>
  <c r="J66" i="10"/>
  <c r="I66" i="10"/>
  <c r="H66" i="10"/>
  <c r="G66" i="10"/>
  <c r="F66" i="10"/>
  <c r="E66" i="10"/>
  <c r="D66" i="10"/>
  <c r="C66" i="10"/>
  <c r="B66" i="10"/>
  <c r="U65" i="10"/>
  <c r="T65" i="10"/>
  <c r="S65" i="10"/>
  <c r="R65" i="10"/>
  <c r="Q65" i="10"/>
  <c r="P65" i="10"/>
  <c r="O65" i="10"/>
  <c r="N65" i="10"/>
  <c r="M65" i="10"/>
  <c r="L65" i="10"/>
  <c r="K65" i="10"/>
  <c r="J65" i="10"/>
  <c r="I65" i="10"/>
  <c r="H65" i="10"/>
  <c r="G65" i="10"/>
  <c r="F65" i="10"/>
  <c r="E65" i="10"/>
  <c r="D65" i="10"/>
  <c r="C65" i="10"/>
  <c r="B65" i="10"/>
  <c r="U64" i="10"/>
  <c r="T64" i="10"/>
  <c r="S64" i="10"/>
  <c r="R64" i="10"/>
  <c r="Q64" i="10"/>
  <c r="P64" i="10"/>
  <c r="O64" i="10"/>
  <c r="N64" i="10"/>
  <c r="M64" i="10"/>
  <c r="L64" i="10"/>
  <c r="K64" i="10"/>
  <c r="J64" i="10"/>
  <c r="I64" i="10"/>
  <c r="H64" i="10"/>
  <c r="G64" i="10"/>
  <c r="F64" i="10"/>
  <c r="E64" i="10"/>
  <c r="D64" i="10"/>
  <c r="C64" i="10"/>
  <c r="B64" i="10"/>
  <c r="U63" i="10"/>
  <c r="T63" i="10"/>
  <c r="S63" i="10"/>
  <c r="R63" i="10"/>
  <c r="Q63" i="10"/>
  <c r="P63" i="10"/>
  <c r="O63" i="10"/>
  <c r="N63" i="10"/>
  <c r="M63" i="10"/>
  <c r="L63" i="10"/>
  <c r="K63" i="10"/>
  <c r="J63" i="10"/>
  <c r="I63" i="10"/>
  <c r="H63" i="10"/>
  <c r="G63" i="10"/>
  <c r="F63" i="10"/>
  <c r="E63" i="10"/>
  <c r="D63" i="10"/>
  <c r="C63" i="10"/>
  <c r="B63" i="10"/>
  <c r="U62" i="10"/>
  <c r="T62" i="10"/>
  <c r="S62" i="10"/>
  <c r="R62" i="10"/>
  <c r="Q62" i="10"/>
  <c r="P62" i="10"/>
  <c r="O62" i="10"/>
  <c r="N62" i="10"/>
  <c r="M62" i="10"/>
  <c r="L62" i="10"/>
  <c r="K62" i="10"/>
  <c r="J62" i="10"/>
  <c r="I62" i="10"/>
  <c r="H62" i="10"/>
  <c r="G62" i="10"/>
  <c r="F62" i="10"/>
  <c r="E62" i="10"/>
  <c r="D62" i="10"/>
  <c r="C62" i="10"/>
  <c r="B62" i="10"/>
  <c r="U61" i="10"/>
  <c r="T61" i="10"/>
  <c r="S61" i="10"/>
  <c r="R61" i="10"/>
  <c r="Q61" i="10"/>
  <c r="P61" i="10"/>
  <c r="O61" i="10"/>
  <c r="N61" i="10"/>
  <c r="M61" i="10"/>
  <c r="L61" i="10"/>
  <c r="K61" i="10"/>
  <c r="J61" i="10"/>
  <c r="I61" i="10"/>
  <c r="H61" i="10"/>
  <c r="G61" i="10"/>
  <c r="F61" i="10"/>
  <c r="E61" i="10"/>
  <c r="D61" i="10"/>
  <c r="C61" i="10"/>
  <c r="B61" i="10"/>
  <c r="U60" i="10"/>
  <c r="T60" i="10"/>
  <c r="S60" i="10"/>
  <c r="R60" i="10"/>
  <c r="Q60" i="10"/>
  <c r="P60" i="10"/>
  <c r="O60" i="10"/>
  <c r="N60" i="10"/>
  <c r="M60" i="10"/>
  <c r="L60" i="10"/>
  <c r="K60" i="10"/>
  <c r="J60" i="10"/>
  <c r="I60" i="10"/>
  <c r="H60" i="10"/>
  <c r="G60" i="10"/>
  <c r="F60" i="10"/>
  <c r="E60" i="10"/>
  <c r="D60" i="10"/>
  <c r="C60" i="10"/>
  <c r="B60" i="10"/>
  <c r="U59" i="10"/>
  <c r="T59" i="10"/>
  <c r="S59" i="10"/>
  <c r="R59" i="10"/>
  <c r="Q59" i="10"/>
  <c r="P59" i="10"/>
  <c r="O59" i="10"/>
  <c r="N59" i="10"/>
  <c r="M59" i="10"/>
  <c r="L59" i="10"/>
  <c r="K59" i="10"/>
  <c r="J59" i="10"/>
  <c r="I59" i="10"/>
  <c r="H59" i="10"/>
  <c r="G59" i="10"/>
  <c r="F59" i="10"/>
  <c r="E59" i="10"/>
  <c r="D59" i="10"/>
  <c r="C59" i="10"/>
  <c r="B59" i="10"/>
  <c r="U58" i="10"/>
  <c r="T58" i="10"/>
  <c r="S58" i="10"/>
  <c r="R58" i="10"/>
  <c r="Q58" i="10"/>
  <c r="P58" i="10"/>
  <c r="O58" i="10"/>
  <c r="N58" i="10"/>
  <c r="M58" i="10"/>
  <c r="L58" i="10"/>
  <c r="K58" i="10"/>
  <c r="J58" i="10"/>
  <c r="I58" i="10"/>
  <c r="H58" i="10"/>
  <c r="G58" i="10"/>
  <c r="F58" i="10"/>
  <c r="E58" i="10"/>
  <c r="D58" i="10"/>
  <c r="C58" i="10"/>
  <c r="B58" i="10"/>
  <c r="U57" i="10"/>
  <c r="T57" i="10"/>
  <c r="S57" i="10"/>
  <c r="R57" i="10"/>
  <c r="Q57" i="10"/>
  <c r="P57" i="10"/>
  <c r="O57" i="10"/>
  <c r="N57" i="10"/>
  <c r="M57" i="10"/>
  <c r="L57" i="10"/>
  <c r="K57" i="10"/>
  <c r="J57" i="10"/>
  <c r="I57" i="10"/>
  <c r="H57" i="10"/>
  <c r="G57" i="10"/>
  <c r="F57" i="10"/>
  <c r="E57" i="10"/>
  <c r="D57" i="10"/>
  <c r="C57" i="10"/>
  <c r="B57" i="10"/>
  <c r="U56" i="10"/>
  <c r="T56" i="10"/>
  <c r="S56" i="10"/>
  <c r="R56" i="10"/>
  <c r="Q56" i="10"/>
  <c r="P56" i="10"/>
  <c r="O56" i="10"/>
  <c r="N56" i="10"/>
  <c r="M56" i="10"/>
  <c r="L56" i="10"/>
  <c r="K56" i="10"/>
  <c r="J56" i="10"/>
  <c r="I56" i="10"/>
  <c r="H56" i="10"/>
  <c r="G56" i="10"/>
  <c r="F56" i="10"/>
  <c r="E56" i="10"/>
  <c r="D56" i="10"/>
  <c r="C56" i="10"/>
  <c r="B56" i="10"/>
  <c r="U55" i="10"/>
  <c r="T55" i="10"/>
  <c r="S55" i="10"/>
  <c r="R55" i="10"/>
  <c r="Q55" i="10"/>
  <c r="P55" i="10"/>
  <c r="O55" i="10"/>
  <c r="N55" i="10"/>
  <c r="M55" i="10"/>
  <c r="L55" i="10"/>
  <c r="K55" i="10"/>
  <c r="J55" i="10"/>
  <c r="I55" i="10"/>
  <c r="H55" i="10"/>
  <c r="G55" i="10"/>
  <c r="F55" i="10"/>
  <c r="E55" i="10"/>
  <c r="D55" i="10"/>
  <c r="C55" i="10"/>
  <c r="B55" i="10"/>
  <c r="U54" i="10"/>
  <c r="T54" i="10"/>
  <c r="S54" i="10"/>
  <c r="R54" i="10"/>
  <c r="Q54" i="10"/>
  <c r="P54" i="10"/>
  <c r="O54" i="10"/>
  <c r="N54" i="10"/>
  <c r="M54" i="10"/>
  <c r="L54" i="10"/>
  <c r="K54" i="10"/>
  <c r="J54" i="10"/>
  <c r="I54" i="10"/>
  <c r="H54" i="10"/>
  <c r="G54" i="10"/>
  <c r="F54" i="10"/>
  <c r="E54" i="10"/>
  <c r="D54" i="10"/>
  <c r="C54" i="10"/>
  <c r="B54" i="10"/>
  <c r="U53" i="10"/>
  <c r="T53" i="10"/>
  <c r="S53" i="10"/>
  <c r="R53" i="10"/>
  <c r="Q53" i="10"/>
  <c r="P53" i="10"/>
  <c r="O53" i="10"/>
  <c r="N53" i="10"/>
  <c r="M53" i="10"/>
  <c r="L53" i="10"/>
  <c r="K53" i="10"/>
  <c r="J53" i="10"/>
  <c r="I53" i="10"/>
  <c r="H53" i="10"/>
  <c r="G53" i="10"/>
  <c r="F53" i="10"/>
  <c r="E53" i="10"/>
  <c r="D53" i="10"/>
  <c r="C53" i="10"/>
  <c r="B53" i="10"/>
  <c r="U52" i="10"/>
  <c r="T52" i="10"/>
  <c r="S52" i="10"/>
  <c r="R52" i="10"/>
  <c r="Q52" i="10"/>
  <c r="P52" i="10"/>
  <c r="O52" i="10"/>
  <c r="N52" i="10"/>
  <c r="M52" i="10"/>
  <c r="L52" i="10"/>
  <c r="K52" i="10"/>
  <c r="J52" i="10"/>
  <c r="I52" i="10"/>
  <c r="H52" i="10"/>
  <c r="G52" i="10"/>
  <c r="F52" i="10"/>
  <c r="E52" i="10"/>
  <c r="D52" i="10"/>
  <c r="C52" i="10"/>
  <c r="B52" i="10"/>
  <c r="U51" i="10"/>
  <c r="T51" i="10"/>
  <c r="S51" i="10"/>
  <c r="R51" i="10"/>
  <c r="Q51" i="10"/>
  <c r="P51" i="10"/>
  <c r="O51" i="10"/>
  <c r="N51" i="10"/>
  <c r="M51" i="10"/>
  <c r="L51" i="10"/>
  <c r="K51" i="10"/>
  <c r="J51" i="10"/>
  <c r="I51" i="10"/>
  <c r="H51" i="10"/>
  <c r="G51" i="10"/>
  <c r="F51" i="10"/>
  <c r="E51" i="10"/>
  <c r="D51" i="10"/>
  <c r="C51" i="10"/>
  <c r="B51" i="10"/>
  <c r="U50" i="10"/>
  <c r="T50" i="10"/>
  <c r="S50" i="10"/>
  <c r="R50" i="10"/>
  <c r="Q50" i="10"/>
  <c r="P50" i="10"/>
  <c r="O50" i="10"/>
  <c r="N50" i="10"/>
  <c r="M50" i="10"/>
  <c r="L50" i="10"/>
  <c r="K50" i="10"/>
  <c r="J50" i="10"/>
  <c r="I50" i="10"/>
  <c r="H50" i="10"/>
  <c r="G50" i="10"/>
  <c r="F50" i="10"/>
  <c r="E50" i="10"/>
  <c r="D50" i="10"/>
  <c r="C50" i="10"/>
  <c r="B50" i="10"/>
  <c r="U49" i="10"/>
  <c r="T49" i="10"/>
  <c r="S49" i="10"/>
  <c r="R49" i="10"/>
  <c r="Q49" i="10"/>
  <c r="P49" i="10"/>
  <c r="O49" i="10"/>
  <c r="N49" i="10"/>
  <c r="M49" i="10"/>
  <c r="L49" i="10"/>
  <c r="K49" i="10"/>
  <c r="J49" i="10"/>
  <c r="I49" i="10"/>
  <c r="H49" i="10"/>
  <c r="G49" i="10"/>
  <c r="F49" i="10"/>
  <c r="E49" i="10"/>
  <c r="D49" i="10"/>
  <c r="C49" i="10"/>
  <c r="B49" i="10"/>
  <c r="U48" i="10"/>
  <c r="T48" i="10"/>
  <c r="S48" i="10"/>
  <c r="R48" i="10"/>
  <c r="Q48" i="10"/>
  <c r="P48" i="10"/>
  <c r="O48" i="10"/>
  <c r="N48" i="10"/>
  <c r="M48" i="10"/>
  <c r="L48" i="10"/>
  <c r="K48" i="10"/>
  <c r="J48" i="10"/>
  <c r="I48" i="10"/>
  <c r="H48" i="10"/>
  <c r="G48" i="10"/>
  <c r="F48" i="10"/>
  <c r="E48" i="10"/>
  <c r="D48" i="10"/>
  <c r="C48" i="10"/>
  <c r="B48" i="10"/>
  <c r="U47" i="10"/>
  <c r="T47" i="10"/>
  <c r="S47" i="10"/>
  <c r="R47" i="10"/>
  <c r="Q47" i="10"/>
  <c r="P47" i="10"/>
  <c r="O47" i="10"/>
  <c r="N47" i="10"/>
  <c r="M47" i="10"/>
  <c r="L47" i="10"/>
  <c r="K47" i="10"/>
  <c r="J47" i="10"/>
  <c r="I47" i="10"/>
  <c r="H47" i="10"/>
  <c r="G47" i="10"/>
  <c r="F47" i="10"/>
  <c r="E47" i="10"/>
  <c r="D47" i="10"/>
  <c r="C47" i="10"/>
  <c r="B47" i="10"/>
  <c r="U46" i="10"/>
  <c r="T46" i="10"/>
  <c r="S46" i="10"/>
  <c r="R46" i="10"/>
  <c r="Q46" i="10"/>
  <c r="P46" i="10"/>
  <c r="O46" i="10"/>
  <c r="N46" i="10"/>
  <c r="M46" i="10"/>
  <c r="L46" i="10"/>
  <c r="K46" i="10"/>
  <c r="J46" i="10"/>
  <c r="I46" i="10"/>
  <c r="H46" i="10"/>
  <c r="G46" i="10"/>
  <c r="F46" i="10"/>
  <c r="E46" i="10"/>
  <c r="D46" i="10"/>
  <c r="C46" i="10"/>
  <c r="B46" i="10"/>
  <c r="U45" i="10"/>
  <c r="T45" i="10"/>
  <c r="S45" i="10"/>
  <c r="R45" i="10"/>
  <c r="Q45" i="10"/>
  <c r="P45" i="10"/>
  <c r="O45" i="10"/>
  <c r="N45" i="10"/>
  <c r="M45" i="10"/>
  <c r="L45" i="10"/>
  <c r="K45" i="10"/>
  <c r="J45" i="10"/>
  <c r="I45" i="10"/>
  <c r="H45" i="10"/>
  <c r="G45" i="10"/>
  <c r="F45" i="10"/>
  <c r="E45" i="10"/>
  <c r="D45" i="10"/>
  <c r="C45" i="10"/>
  <c r="B45" i="10"/>
  <c r="U44" i="10"/>
  <c r="T44" i="10"/>
  <c r="S44" i="10"/>
  <c r="R44" i="10"/>
  <c r="Q44" i="10"/>
  <c r="P44" i="10"/>
  <c r="O44" i="10"/>
  <c r="N44" i="10"/>
  <c r="M44" i="10"/>
  <c r="L44" i="10"/>
  <c r="K44" i="10"/>
  <c r="J44" i="10"/>
  <c r="I44" i="10"/>
  <c r="H44" i="10"/>
  <c r="G44" i="10"/>
  <c r="F44" i="10"/>
  <c r="E44" i="10"/>
  <c r="D44" i="10"/>
  <c r="C44" i="10"/>
  <c r="B44" i="10"/>
  <c r="U43" i="10"/>
  <c r="T43" i="10"/>
  <c r="S43" i="10"/>
  <c r="R43" i="10"/>
  <c r="Q43" i="10"/>
  <c r="P43" i="10"/>
  <c r="O43" i="10"/>
  <c r="N43" i="10"/>
  <c r="M43" i="10"/>
  <c r="L43" i="10"/>
  <c r="K43" i="10"/>
  <c r="J43" i="10"/>
  <c r="I43" i="10"/>
  <c r="H43" i="10"/>
  <c r="G43" i="10"/>
  <c r="F43" i="10"/>
  <c r="E43" i="10"/>
  <c r="D43" i="10"/>
  <c r="C43" i="10"/>
  <c r="B43" i="10"/>
  <c r="U42" i="10"/>
  <c r="T42" i="10"/>
  <c r="S42" i="10"/>
  <c r="R42" i="10"/>
  <c r="Q42" i="10"/>
  <c r="P42" i="10"/>
  <c r="O42" i="10"/>
  <c r="N42" i="10"/>
  <c r="M42" i="10"/>
  <c r="L42" i="10"/>
  <c r="K42" i="10"/>
  <c r="J42" i="10"/>
  <c r="I42" i="10"/>
  <c r="H42" i="10"/>
  <c r="G42" i="10"/>
  <c r="F42" i="10"/>
  <c r="E42" i="10"/>
  <c r="D42" i="10"/>
  <c r="C42" i="10"/>
  <c r="B42" i="10"/>
  <c r="U41" i="10"/>
  <c r="T41" i="10"/>
  <c r="S41" i="10"/>
  <c r="R41" i="10"/>
  <c r="Q41" i="10"/>
  <c r="P41" i="10"/>
  <c r="O41" i="10"/>
  <c r="N41" i="10"/>
  <c r="M41" i="10"/>
  <c r="L41" i="10"/>
  <c r="K41" i="10"/>
  <c r="J41" i="10"/>
  <c r="I41" i="10"/>
  <c r="H41" i="10"/>
  <c r="G41" i="10"/>
  <c r="F41" i="10"/>
  <c r="E41" i="10"/>
  <c r="D41" i="10"/>
  <c r="C41" i="10"/>
  <c r="B41" i="10"/>
  <c r="U40" i="10"/>
  <c r="T40" i="10"/>
  <c r="S40" i="10"/>
  <c r="R40" i="10"/>
  <c r="Q40" i="10"/>
  <c r="P40" i="10"/>
  <c r="O40" i="10"/>
  <c r="N40" i="10"/>
  <c r="M40" i="10"/>
  <c r="L40" i="10"/>
  <c r="K40" i="10"/>
  <c r="J40" i="10"/>
  <c r="I40" i="10"/>
  <c r="H40" i="10"/>
  <c r="G40" i="10"/>
  <c r="F40" i="10"/>
  <c r="E40" i="10"/>
  <c r="D40" i="10"/>
  <c r="C40" i="10"/>
  <c r="B40" i="10"/>
  <c r="U39" i="10"/>
  <c r="T39" i="10"/>
  <c r="S39" i="10"/>
  <c r="R39" i="10"/>
  <c r="Q39" i="10"/>
  <c r="P39" i="10"/>
  <c r="O39" i="10"/>
  <c r="N39" i="10"/>
  <c r="M39" i="10"/>
  <c r="L39" i="10"/>
  <c r="K39" i="10"/>
  <c r="J39" i="10"/>
  <c r="I39" i="10"/>
  <c r="H39" i="10"/>
  <c r="G39" i="10"/>
  <c r="F39" i="10"/>
  <c r="E39" i="10"/>
  <c r="D39" i="10"/>
  <c r="C39" i="10"/>
  <c r="B39" i="10"/>
  <c r="U38" i="10"/>
  <c r="T38" i="10"/>
  <c r="S38" i="10"/>
  <c r="R38" i="10"/>
  <c r="Q38" i="10"/>
  <c r="P38" i="10"/>
  <c r="O38" i="10"/>
  <c r="N38" i="10"/>
  <c r="M38" i="10"/>
  <c r="L38" i="10"/>
  <c r="K38" i="10"/>
  <c r="J38" i="10"/>
  <c r="I38" i="10"/>
  <c r="H38" i="10"/>
  <c r="G38" i="10"/>
  <c r="F38" i="10"/>
  <c r="E38" i="10"/>
  <c r="D38" i="10"/>
  <c r="C38" i="10"/>
  <c r="B38" i="10"/>
  <c r="U37" i="10"/>
  <c r="T37" i="10"/>
  <c r="S37" i="10"/>
  <c r="R37" i="10"/>
  <c r="Q37" i="10"/>
  <c r="P37" i="10"/>
  <c r="O37" i="10"/>
  <c r="N37" i="10"/>
  <c r="M37" i="10"/>
  <c r="L37" i="10"/>
  <c r="K37" i="10"/>
  <c r="J37" i="10"/>
  <c r="I37" i="10"/>
  <c r="H37" i="10"/>
  <c r="G37" i="10"/>
  <c r="F37" i="10"/>
  <c r="E37" i="10"/>
  <c r="D37" i="10"/>
  <c r="C37" i="10"/>
  <c r="B37" i="10"/>
  <c r="U36" i="10"/>
  <c r="T36" i="10"/>
  <c r="S36" i="10"/>
  <c r="R36" i="10"/>
  <c r="Q36" i="10"/>
  <c r="P36" i="10"/>
  <c r="O36" i="10"/>
  <c r="N36" i="10"/>
  <c r="M36" i="10"/>
  <c r="L36" i="10"/>
  <c r="K36" i="10"/>
  <c r="J36" i="10"/>
  <c r="I36" i="10"/>
  <c r="H36" i="10"/>
  <c r="G36" i="10"/>
  <c r="F36" i="10"/>
  <c r="E36" i="10"/>
  <c r="D36" i="10"/>
  <c r="C36" i="10"/>
  <c r="B36" i="10"/>
  <c r="U35" i="10"/>
  <c r="T35" i="10"/>
  <c r="S35" i="10"/>
  <c r="R35" i="10"/>
  <c r="Q35" i="10"/>
  <c r="P35" i="10"/>
  <c r="O35" i="10"/>
  <c r="N35" i="10"/>
  <c r="M35" i="10"/>
  <c r="L35" i="10"/>
  <c r="K35" i="10"/>
  <c r="J35" i="10"/>
  <c r="I35" i="10"/>
  <c r="H35" i="10"/>
  <c r="G35" i="10"/>
  <c r="F35" i="10"/>
  <c r="E35" i="10"/>
  <c r="D35" i="10"/>
  <c r="C35" i="10"/>
  <c r="B35" i="10"/>
  <c r="U34" i="10"/>
  <c r="T34" i="10"/>
  <c r="S34" i="10"/>
  <c r="R34" i="10"/>
  <c r="Q34" i="10"/>
  <c r="P34" i="10"/>
  <c r="O34" i="10"/>
  <c r="N34" i="10"/>
  <c r="M34" i="10"/>
  <c r="L34" i="10"/>
  <c r="K34" i="10"/>
  <c r="J34" i="10"/>
  <c r="I34" i="10"/>
  <c r="H34" i="10"/>
  <c r="G34" i="10"/>
  <c r="F34" i="10"/>
  <c r="E34" i="10"/>
  <c r="D34" i="10"/>
  <c r="C34" i="10"/>
  <c r="B34" i="10"/>
  <c r="U33" i="10"/>
  <c r="T33" i="10"/>
  <c r="S33" i="10"/>
  <c r="R33" i="10"/>
  <c r="Q33" i="10"/>
  <c r="P33" i="10"/>
  <c r="O33" i="10"/>
  <c r="N33" i="10"/>
  <c r="M33" i="10"/>
  <c r="L33" i="10"/>
  <c r="K33" i="10"/>
  <c r="J33" i="10"/>
  <c r="I33" i="10"/>
  <c r="H33" i="10"/>
  <c r="G33" i="10"/>
  <c r="F33" i="10"/>
  <c r="E33" i="10"/>
  <c r="D33" i="10"/>
  <c r="C33" i="10"/>
  <c r="B33" i="10"/>
  <c r="U32" i="10"/>
  <c r="T32" i="10"/>
  <c r="S32" i="10"/>
  <c r="R32" i="10"/>
  <c r="Q32" i="10"/>
  <c r="P32" i="10"/>
  <c r="O32" i="10"/>
  <c r="N32" i="10"/>
  <c r="M32" i="10"/>
  <c r="L32" i="10"/>
  <c r="K32" i="10"/>
  <c r="J32" i="10"/>
  <c r="I32" i="10"/>
  <c r="H32" i="10"/>
  <c r="G32" i="10"/>
  <c r="F32" i="10"/>
  <c r="E32" i="10"/>
  <c r="D32" i="10"/>
  <c r="C32" i="10"/>
  <c r="B32" i="10"/>
  <c r="U31" i="10"/>
  <c r="T31" i="10"/>
  <c r="S31" i="10"/>
  <c r="R31" i="10"/>
  <c r="Q31" i="10"/>
  <c r="P31" i="10"/>
  <c r="O31" i="10"/>
  <c r="N31" i="10"/>
  <c r="M31" i="10"/>
  <c r="L31" i="10"/>
  <c r="K31" i="10"/>
  <c r="J31" i="10"/>
  <c r="I31" i="10"/>
  <c r="H31" i="10"/>
  <c r="G31" i="10"/>
  <c r="F31" i="10"/>
  <c r="E31" i="10"/>
  <c r="D31" i="10"/>
  <c r="C31" i="10"/>
  <c r="B31" i="10"/>
  <c r="U30" i="10"/>
  <c r="T30" i="10"/>
  <c r="S30" i="10"/>
  <c r="R30" i="10"/>
  <c r="Q30" i="10"/>
  <c r="P30" i="10"/>
  <c r="O30" i="10"/>
  <c r="N30" i="10"/>
  <c r="M30" i="10"/>
  <c r="L30" i="10"/>
  <c r="K30" i="10"/>
  <c r="J30" i="10"/>
  <c r="I30" i="10"/>
  <c r="H30" i="10"/>
  <c r="G30" i="10"/>
  <c r="F30" i="10"/>
  <c r="E30" i="10"/>
  <c r="D30" i="10"/>
  <c r="C30" i="10"/>
  <c r="B30" i="10"/>
  <c r="U29" i="10"/>
  <c r="T29" i="10"/>
  <c r="S29" i="10"/>
  <c r="R29" i="10"/>
  <c r="Q29" i="10"/>
  <c r="P29" i="10"/>
  <c r="O29" i="10"/>
  <c r="N29" i="10"/>
  <c r="M29" i="10"/>
  <c r="L29" i="10"/>
  <c r="K29" i="10"/>
  <c r="J29" i="10"/>
  <c r="I29" i="10"/>
  <c r="H29" i="10"/>
  <c r="G29" i="10"/>
  <c r="F29" i="10"/>
  <c r="E29" i="10"/>
  <c r="D29" i="10"/>
  <c r="C29" i="10"/>
  <c r="B29" i="10"/>
  <c r="U28" i="10"/>
  <c r="T28" i="10"/>
  <c r="S28" i="10"/>
  <c r="R28" i="10"/>
  <c r="Q28" i="10"/>
  <c r="P28" i="10"/>
  <c r="O28" i="10"/>
  <c r="N28" i="10"/>
  <c r="M28" i="10"/>
  <c r="L28" i="10"/>
  <c r="K28" i="10"/>
  <c r="J28" i="10"/>
  <c r="I28" i="10"/>
  <c r="H28" i="10"/>
  <c r="G28" i="10"/>
  <c r="F28" i="10"/>
  <c r="E28" i="10"/>
  <c r="D28" i="10"/>
  <c r="C28" i="10"/>
  <c r="B28" i="10"/>
  <c r="U27" i="10"/>
  <c r="T27" i="10"/>
  <c r="S27" i="10"/>
  <c r="R27" i="10"/>
  <c r="Q27" i="10"/>
  <c r="P27" i="10"/>
  <c r="O27" i="10"/>
  <c r="N27" i="10"/>
  <c r="M27" i="10"/>
  <c r="L27" i="10"/>
  <c r="K27" i="10"/>
  <c r="J27" i="10"/>
  <c r="I27" i="10"/>
  <c r="H27" i="10"/>
  <c r="G27" i="10"/>
  <c r="F27" i="10"/>
  <c r="E27" i="10"/>
  <c r="D27" i="10"/>
  <c r="C27" i="10"/>
  <c r="B27" i="10"/>
  <c r="U26" i="10"/>
  <c r="T26" i="10"/>
  <c r="S26" i="10"/>
  <c r="R26" i="10"/>
  <c r="Q26" i="10"/>
  <c r="P26" i="10"/>
  <c r="O26" i="10"/>
  <c r="N26" i="10"/>
  <c r="M26" i="10"/>
  <c r="L26" i="10"/>
  <c r="K26" i="10"/>
  <c r="J26" i="10"/>
  <c r="I26" i="10"/>
  <c r="H26" i="10"/>
  <c r="G26" i="10"/>
  <c r="F26" i="10"/>
  <c r="E26" i="10"/>
  <c r="D26" i="10"/>
  <c r="C26" i="10"/>
  <c r="B26" i="10"/>
  <c r="U25" i="10"/>
  <c r="T25" i="10"/>
  <c r="S25" i="10"/>
  <c r="R25" i="10"/>
  <c r="Q25" i="10"/>
  <c r="P25" i="10"/>
  <c r="O25" i="10"/>
  <c r="N25" i="10"/>
  <c r="M25" i="10"/>
  <c r="L25" i="10"/>
  <c r="K25" i="10"/>
  <c r="J25" i="10"/>
  <c r="I25" i="10"/>
  <c r="H25" i="10"/>
  <c r="G25" i="10"/>
  <c r="F25" i="10"/>
  <c r="E25" i="10"/>
  <c r="D25" i="10"/>
  <c r="C25" i="10"/>
  <c r="B25" i="10"/>
  <c r="U24" i="10"/>
  <c r="T24" i="10"/>
  <c r="S24" i="10"/>
  <c r="R24" i="10"/>
  <c r="Q24" i="10"/>
  <c r="P24" i="10"/>
  <c r="O24" i="10"/>
  <c r="N24" i="10"/>
  <c r="M24" i="10"/>
  <c r="L24" i="10"/>
  <c r="K24" i="10"/>
  <c r="J24" i="10"/>
  <c r="I24" i="10"/>
  <c r="H24" i="10"/>
  <c r="G24" i="10"/>
  <c r="F24" i="10"/>
  <c r="E24" i="10"/>
  <c r="D24" i="10"/>
  <c r="C24" i="10"/>
  <c r="B24" i="10"/>
  <c r="U23" i="10"/>
  <c r="T23" i="10"/>
  <c r="S23" i="10"/>
  <c r="R23" i="10"/>
  <c r="Q23" i="10"/>
  <c r="P23" i="10"/>
  <c r="O23" i="10"/>
  <c r="N23" i="10"/>
  <c r="M23" i="10"/>
  <c r="L23" i="10"/>
  <c r="K23" i="10"/>
  <c r="J23" i="10"/>
  <c r="I23" i="10"/>
  <c r="H23" i="10"/>
  <c r="G23" i="10"/>
  <c r="F23" i="10"/>
  <c r="E23" i="10"/>
  <c r="D23" i="10"/>
  <c r="C23" i="10"/>
  <c r="B23" i="10"/>
  <c r="U22" i="10"/>
  <c r="T22" i="10"/>
  <c r="S22" i="10"/>
  <c r="R22" i="10"/>
  <c r="Q22" i="10"/>
  <c r="P22" i="10"/>
  <c r="O22" i="10"/>
  <c r="N22" i="10"/>
  <c r="M22" i="10"/>
  <c r="L22" i="10"/>
  <c r="K22" i="10"/>
  <c r="J22" i="10"/>
  <c r="I22" i="10"/>
  <c r="H22" i="10"/>
  <c r="G22" i="10"/>
  <c r="F22" i="10"/>
  <c r="E22" i="10"/>
  <c r="D22" i="10"/>
  <c r="C22" i="10"/>
  <c r="B22" i="10"/>
  <c r="U21" i="10"/>
  <c r="T21" i="10"/>
  <c r="S21" i="10"/>
  <c r="R21" i="10"/>
  <c r="Q21" i="10"/>
  <c r="P21" i="10"/>
  <c r="O21" i="10"/>
  <c r="N21" i="10"/>
  <c r="M21" i="10"/>
  <c r="L21" i="10"/>
  <c r="K21" i="10"/>
  <c r="J21" i="10"/>
  <c r="I21" i="10"/>
  <c r="H21" i="10"/>
  <c r="G21" i="10"/>
  <c r="F21" i="10"/>
  <c r="E21" i="10"/>
  <c r="D21" i="10"/>
  <c r="C21" i="10"/>
  <c r="B21" i="10"/>
  <c r="U20" i="10"/>
  <c r="T20" i="10"/>
  <c r="S20" i="10"/>
  <c r="R20" i="10"/>
  <c r="Q20" i="10"/>
  <c r="P20" i="10"/>
  <c r="O20" i="10"/>
  <c r="N20" i="10"/>
  <c r="M20" i="10"/>
  <c r="L20" i="10"/>
  <c r="K20" i="10"/>
  <c r="J20" i="10"/>
  <c r="I20" i="10"/>
  <c r="H20" i="10"/>
  <c r="G20" i="10"/>
  <c r="F20" i="10"/>
  <c r="E20" i="10"/>
  <c r="D20" i="10"/>
  <c r="C20" i="10"/>
  <c r="B20" i="10"/>
  <c r="U19" i="10"/>
  <c r="T19" i="10"/>
  <c r="S19" i="10"/>
  <c r="R19" i="10"/>
  <c r="Q19" i="10"/>
  <c r="P19" i="10"/>
  <c r="O19" i="10"/>
  <c r="N19" i="10"/>
  <c r="M19" i="10"/>
  <c r="L19" i="10"/>
  <c r="K19" i="10"/>
  <c r="J19" i="10"/>
  <c r="I19" i="10"/>
  <c r="H19" i="10"/>
  <c r="G19" i="10"/>
  <c r="F19" i="10"/>
  <c r="E19" i="10"/>
  <c r="D19" i="10"/>
  <c r="C19" i="10"/>
  <c r="B19" i="10"/>
  <c r="U18" i="10"/>
  <c r="T18" i="10"/>
  <c r="S18" i="10"/>
  <c r="R18" i="10"/>
  <c r="Q18" i="10"/>
  <c r="P18" i="10"/>
  <c r="O18" i="10"/>
  <c r="N18" i="10"/>
  <c r="M18" i="10"/>
  <c r="L18" i="10"/>
  <c r="K18" i="10"/>
  <c r="J18" i="10"/>
  <c r="I18" i="10"/>
  <c r="H18" i="10"/>
  <c r="G18" i="10"/>
  <c r="F18" i="10"/>
  <c r="E18" i="10"/>
  <c r="D18" i="10"/>
  <c r="C18" i="10"/>
  <c r="B18" i="10"/>
  <c r="U17" i="10"/>
  <c r="T17" i="10"/>
  <c r="S17" i="10"/>
  <c r="R17" i="10"/>
  <c r="Q17" i="10"/>
  <c r="P17" i="10"/>
  <c r="O17" i="10"/>
  <c r="N17" i="10"/>
  <c r="M17" i="10"/>
  <c r="L17" i="10"/>
  <c r="K17" i="10"/>
  <c r="J17" i="10"/>
  <c r="I17" i="10"/>
  <c r="H17" i="10"/>
  <c r="G17" i="10"/>
  <c r="F17" i="10"/>
  <c r="E17" i="10"/>
  <c r="D17" i="10"/>
  <c r="C17" i="10"/>
  <c r="B17" i="10"/>
  <c r="U16" i="10"/>
  <c r="T16" i="10"/>
  <c r="S16" i="10"/>
  <c r="R16" i="10"/>
  <c r="Q16" i="10"/>
  <c r="P16" i="10"/>
  <c r="O16" i="10"/>
  <c r="N16" i="10"/>
  <c r="M16" i="10"/>
  <c r="L16" i="10"/>
  <c r="K16" i="10"/>
  <c r="J16" i="10"/>
  <c r="I16" i="10"/>
  <c r="H16" i="10"/>
  <c r="G16" i="10"/>
  <c r="F16" i="10"/>
  <c r="E16" i="10"/>
  <c r="D16" i="10"/>
  <c r="C16" i="10"/>
  <c r="B16" i="10"/>
  <c r="U15" i="10"/>
  <c r="T15" i="10"/>
  <c r="S15" i="10"/>
  <c r="R15" i="10"/>
  <c r="Q15" i="10"/>
  <c r="P15" i="10"/>
  <c r="O15" i="10"/>
  <c r="N15" i="10"/>
  <c r="M15" i="10"/>
  <c r="L15" i="10"/>
  <c r="K15" i="10"/>
  <c r="J15" i="10"/>
  <c r="I15" i="10"/>
  <c r="H15" i="10"/>
  <c r="G15" i="10"/>
  <c r="F15" i="10"/>
  <c r="E15" i="10"/>
  <c r="D15" i="10"/>
  <c r="C15" i="10"/>
  <c r="B15" i="10"/>
  <c r="U14" i="10"/>
  <c r="T14" i="10"/>
  <c r="S14" i="10"/>
  <c r="R14" i="10"/>
  <c r="Q14" i="10"/>
  <c r="P14" i="10"/>
  <c r="O14" i="10"/>
  <c r="N14" i="10"/>
  <c r="M14" i="10"/>
  <c r="L14" i="10"/>
  <c r="K14" i="10"/>
  <c r="J14" i="10"/>
  <c r="I14" i="10"/>
  <c r="H14" i="10"/>
  <c r="G14" i="10"/>
  <c r="F14" i="10"/>
  <c r="E14" i="10"/>
  <c r="D14" i="10"/>
  <c r="C14" i="10"/>
  <c r="B14" i="10"/>
  <c r="U13" i="10"/>
  <c r="T13" i="10"/>
  <c r="S13" i="10"/>
  <c r="R13" i="10"/>
  <c r="Q13" i="10"/>
  <c r="P13" i="10"/>
  <c r="O13" i="10"/>
  <c r="N13" i="10"/>
  <c r="M13" i="10"/>
  <c r="L13" i="10"/>
  <c r="K13" i="10"/>
  <c r="J13" i="10"/>
  <c r="I13" i="10"/>
  <c r="H13" i="10"/>
  <c r="G13" i="10"/>
  <c r="F13" i="10"/>
  <c r="E13" i="10"/>
  <c r="D13" i="10"/>
  <c r="C13" i="10"/>
  <c r="B13" i="10"/>
  <c r="U12" i="10"/>
  <c r="T12" i="10"/>
  <c r="S12" i="10"/>
  <c r="R12" i="10"/>
  <c r="Q12" i="10"/>
  <c r="P12" i="10"/>
  <c r="O12" i="10"/>
  <c r="N12" i="10"/>
  <c r="M12" i="10"/>
  <c r="L12" i="10"/>
  <c r="K12" i="10"/>
  <c r="J12" i="10"/>
  <c r="I12" i="10"/>
  <c r="H12" i="10"/>
  <c r="G12" i="10"/>
  <c r="F12" i="10"/>
  <c r="E12" i="10"/>
  <c r="D12" i="10"/>
  <c r="C12" i="10"/>
  <c r="B12" i="10"/>
  <c r="U11" i="10"/>
  <c r="T11" i="10"/>
  <c r="S11" i="10"/>
  <c r="R11" i="10"/>
  <c r="Q11" i="10"/>
  <c r="P11" i="10"/>
  <c r="O11" i="10"/>
  <c r="N11" i="10"/>
  <c r="M11" i="10"/>
  <c r="L11" i="10"/>
  <c r="K11" i="10"/>
  <c r="J11" i="10"/>
  <c r="I11" i="10"/>
  <c r="H11" i="10"/>
  <c r="G11" i="10"/>
  <c r="F11" i="10"/>
  <c r="E11" i="10"/>
  <c r="D11" i="10"/>
  <c r="C11" i="10"/>
  <c r="B11" i="10"/>
  <c r="U10" i="10"/>
  <c r="T10" i="10"/>
  <c r="S10" i="10"/>
  <c r="R10" i="10"/>
  <c r="Q10" i="10"/>
  <c r="P10" i="10"/>
  <c r="O10" i="10"/>
  <c r="N10" i="10"/>
  <c r="M10" i="10"/>
  <c r="L10" i="10"/>
  <c r="K10" i="10"/>
  <c r="J10" i="10"/>
  <c r="I10" i="10"/>
  <c r="H10" i="10"/>
  <c r="G10" i="10"/>
  <c r="F10" i="10"/>
  <c r="E10" i="10"/>
  <c r="D10" i="10"/>
  <c r="C10" i="10"/>
  <c r="B10" i="10"/>
  <c r="U9" i="10"/>
  <c r="T9" i="10"/>
  <c r="S9" i="10"/>
  <c r="R9" i="10"/>
  <c r="Q9" i="10"/>
  <c r="P9" i="10"/>
  <c r="O9" i="10"/>
  <c r="N9" i="10"/>
  <c r="M9" i="10"/>
  <c r="L9" i="10"/>
  <c r="K9" i="10"/>
  <c r="J9" i="10"/>
  <c r="I9" i="10"/>
  <c r="H9" i="10"/>
  <c r="G9" i="10"/>
  <c r="F9" i="10"/>
  <c r="E9" i="10"/>
  <c r="D9" i="10"/>
  <c r="C9" i="10"/>
  <c r="B9" i="10"/>
  <c r="U8" i="10"/>
  <c r="T8" i="10"/>
  <c r="S8" i="10"/>
  <c r="R8" i="10"/>
  <c r="Q8" i="10"/>
  <c r="P8" i="10"/>
  <c r="O8" i="10"/>
  <c r="N8" i="10"/>
  <c r="M8" i="10"/>
  <c r="L8" i="10"/>
  <c r="K8" i="10"/>
  <c r="J8" i="10"/>
  <c r="I8" i="10"/>
  <c r="H8" i="10"/>
  <c r="G8" i="10"/>
  <c r="F8" i="10"/>
  <c r="E8" i="10"/>
  <c r="D8" i="10"/>
  <c r="C8" i="10"/>
  <c r="B8" i="10"/>
  <c r="U7" i="10"/>
  <c r="T7" i="10"/>
  <c r="S7" i="10"/>
  <c r="R7" i="10"/>
  <c r="Q7" i="10"/>
  <c r="P7" i="10"/>
  <c r="O7" i="10"/>
  <c r="N7" i="10"/>
  <c r="M7" i="10"/>
  <c r="L7" i="10"/>
  <c r="K7" i="10"/>
  <c r="J7" i="10"/>
  <c r="I7" i="10"/>
  <c r="H7" i="10"/>
  <c r="G7" i="10"/>
  <c r="F7" i="10"/>
  <c r="E7" i="10"/>
  <c r="D7" i="10"/>
  <c r="C7" i="10"/>
  <c r="B7" i="10"/>
  <c r="U6" i="10"/>
  <c r="T6" i="10"/>
  <c r="S6" i="10"/>
  <c r="R6" i="10"/>
  <c r="Q6" i="10"/>
  <c r="P6" i="10"/>
  <c r="O6" i="10"/>
  <c r="N6" i="10"/>
  <c r="M6" i="10"/>
  <c r="L6" i="10"/>
  <c r="K6" i="10"/>
  <c r="J6" i="10"/>
  <c r="I6" i="10"/>
  <c r="H6" i="10"/>
  <c r="G6" i="10"/>
  <c r="F6" i="10"/>
  <c r="E6" i="10"/>
  <c r="D6" i="10"/>
  <c r="C6" i="10"/>
  <c r="B6" i="10"/>
  <c r="U5" i="10"/>
  <c r="T5" i="10"/>
  <c r="S5" i="10"/>
  <c r="R5" i="10"/>
  <c r="Q5" i="10"/>
  <c r="P5" i="10"/>
  <c r="O5" i="10"/>
  <c r="N5" i="10"/>
  <c r="M5" i="10"/>
  <c r="L5" i="10"/>
  <c r="K5" i="10"/>
  <c r="J5" i="10"/>
  <c r="I5" i="10"/>
  <c r="H5" i="10"/>
  <c r="G5" i="10"/>
  <c r="F5" i="10"/>
  <c r="E5" i="10"/>
  <c r="D5" i="10"/>
  <c r="C5" i="10"/>
  <c r="B5" i="10"/>
  <c r="B1249" i="15"/>
  <c r="R14" i="13"/>
  <c r="Q14" i="13"/>
  <c r="Q23" i="13"/>
  <c r="R23" i="13"/>
  <c r="Q22" i="13"/>
  <c r="R22" i="13"/>
  <c r="Q21" i="13"/>
  <c r="R21" i="13"/>
  <c r="Q20" i="13"/>
  <c r="R20" i="13"/>
  <c r="Q19" i="13"/>
  <c r="R19" i="13"/>
  <c r="Q18" i="13"/>
  <c r="R18" i="13"/>
  <c r="Q17" i="13"/>
  <c r="R17" i="13"/>
  <c r="Q16" i="13"/>
  <c r="R16" i="13"/>
  <c r="Q15" i="13"/>
  <c r="R15" i="13"/>
  <c r="A17" i="13"/>
  <c r="A17" i="11"/>
  <c r="A19" i="10"/>
  <c r="A93" i="13"/>
  <c r="A92" i="13"/>
  <c r="A91" i="13"/>
  <c r="A90" i="13"/>
  <c r="A89" i="13"/>
  <c r="A88" i="13"/>
  <c r="A87" i="13"/>
  <c r="A86" i="13"/>
  <c r="A85" i="13"/>
  <c r="A84" i="13"/>
  <c r="A83" i="13"/>
  <c r="A82" i="13"/>
  <c r="A81" i="13"/>
  <c r="A80" i="13"/>
  <c r="A79" i="13"/>
  <c r="A78" i="13"/>
  <c r="A77" i="13"/>
  <c r="A76" i="13"/>
  <c r="A75" i="13"/>
  <c r="A74" i="13"/>
  <c r="A73" i="13"/>
  <c r="A72" i="13"/>
  <c r="A71" i="13"/>
  <c r="A70" i="13"/>
  <c r="A69" i="13"/>
  <c r="A68" i="13"/>
  <c r="A67" i="13"/>
  <c r="A66" i="13"/>
  <c r="A65" i="13"/>
  <c r="A64" i="13"/>
  <c r="A63" i="13"/>
  <c r="A62" i="13"/>
  <c r="A61" i="13"/>
  <c r="A60" i="13"/>
  <c r="A59" i="13"/>
  <c r="A58" i="13"/>
  <c r="A57" i="13"/>
  <c r="A56" i="13"/>
  <c r="A55" i="13"/>
  <c r="A54" i="13"/>
  <c r="A53" i="13"/>
  <c r="A52" i="13"/>
  <c r="A51" i="13"/>
  <c r="A50" i="13"/>
  <c r="A49" i="13"/>
  <c r="A48" i="13"/>
  <c r="A47" i="13"/>
  <c r="A46" i="13"/>
  <c r="A45" i="13"/>
  <c r="A44" i="13"/>
  <c r="A43" i="13"/>
  <c r="A42" i="13"/>
  <c r="A41" i="13"/>
  <c r="A40" i="13"/>
  <c r="A39" i="13"/>
  <c r="A38" i="13"/>
  <c r="A37" i="13"/>
  <c r="A36" i="13"/>
  <c r="A35" i="13"/>
  <c r="A34" i="13"/>
  <c r="A33" i="13"/>
  <c r="A32" i="13"/>
  <c r="A31" i="13"/>
  <c r="A30" i="13"/>
  <c r="A29" i="13"/>
  <c r="A28" i="13"/>
  <c r="A27" i="13"/>
  <c r="A26" i="13"/>
  <c r="A25" i="13"/>
  <c r="A24" i="13"/>
  <c r="A23" i="13"/>
  <c r="A22" i="13"/>
  <c r="A21" i="13"/>
  <c r="A20" i="13"/>
  <c r="A19" i="13"/>
  <c r="A18" i="13"/>
  <c r="A16" i="13"/>
  <c r="A15" i="13"/>
  <c r="A14" i="13"/>
  <c r="A13" i="13"/>
  <c r="A12" i="13"/>
  <c r="A11" i="13"/>
  <c r="A10" i="13"/>
  <c r="A9" i="13"/>
  <c r="A8" i="13"/>
  <c r="A7" i="13"/>
  <c r="A6" i="13"/>
  <c r="A5" i="13"/>
  <c r="L3" i="13"/>
  <c r="K3" i="13"/>
  <c r="J3" i="13"/>
  <c r="I3" i="13"/>
  <c r="H3" i="13"/>
  <c r="G3" i="13"/>
  <c r="F3" i="13"/>
  <c r="E3" i="13"/>
  <c r="D3" i="13"/>
  <c r="C3" i="13"/>
  <c r="B3" i="13"/>
  <c r="A3" i="13"/>
  <c r="L2" i="13"/>
  <c r="K2" i="13"/>
  <c r="J2" i="13"/>
  <c r="I2" i="13"/>
  <c r="H2" i="13"/>
  <c r="G2" i="13"/>
  <c r="F2" i="13"/>
  <c r="E2" i="13"/>
  <c r="D2" i="13"/>
  <c r="C2" i="13"/>
  <c r="B2" i="13"/>
  <c r="A2" i="13"/>
  <c r="A19" i="12"/>
  <c r="K3" i="12"/>
  <c r="J3" i="12"/>
  <c r="I3" i="12"/>
  <c r="H3" i="12"/>
  <c r="G3" i="12"/>
  <c r="F3" i="12"/>
  <c r="E3" i="12"/>
  <c r="D3" i="12"/>
  <c r="C3" i="12"/>
  <c r="B3" i="12"/>
  <c r="A95" i="12"/>
  <c r="A94" i="12"/>
  <c r="A93" i="12"/>
  <c r="A92" i="12"/>
  <c r="A91" i="12"/>
  <c r="A90" i="12"/>
  <c r="A89" i="12"/>
  <c r="A88" i="12"/>
  <c r="A87" i="12"/>
  <c r="A86" i="12"/>
  <c r="A85" i="12"/>
  <c r="A84" i="12"/>
  <c r="A83" i="12"/>
  <c r="A82" i="12"/>
  <c r="A81" i="12"/>
  <c r="A80" i="12"/>
  <c r="A79" i="12"/>
  <c r="A78" i="12"/>
  <c r="A77" i="12"/>
  <c r="A76" i="12"/>
  <c r="A75" i="12"/>
  <c r="A74" i="12"/>
  <c r="A73" i="12"/>
  <c r="A72" i="12"/>
  <c r="A71" i="12"/>
  <c r="A70" i="12"/>
  <c r="A69" i="12"/>
  <c r="A68" i="12"/>
  <c r="A67" i="12"/>
  <c r="A66" i="12"/>
  <c r="A65" i="12"/>
  <c r="A64" i="12"/>
  <c r="A63" i="12"/>
  <c r="A62" i="12"/>
  <c r="A61" i="12"/>
  <c r="A60" i="12"/>
  <c r="A59" i="12"/>
  <c r="A58" i="12"/>
  <c r="A57" i="12"/>
  <c r="A56" i="12"/>
  <c r="A55" i="12"/>
  <c r="A54" i="12"/>
  <c r="A53" i="12"/>
  <c r="A52" i="12"/>
  <c r="A51" i="12"/>
  <c r="A50" i="12"/>
  <c r="A49" i="12"/>
  <c r="A48" i="12"/>
  <c r="A47" i="12"/>
  <c r="A46" i="12"/>
  <c r="A45" i="12"/>
  <c r="A44" i="12"/>
  <c r="A43" i="12"/>
  <c r="A42" i="12"/>
  <c r="A41" i="12"/>
  <c r="A40" i="12"/>
  <c r="A39" i="12"/>
  <c r="A38" i="12"/>
  <c r="A37" i="12"/>
  <c r="A36" i="12"/>
  <c r="A35" i="12"/>
  <c r="A34" i="12"/>
  <c r="A33" i="12"/>
  <c r="A32" i="12"/>
  <c r="A31" i="12"/>
  <c r="A30" i="12"/>
  <c r="A29" i="12"/>
  <c r="A28" i="12"/>
  <c r="A27" i="12"/>
  <c r="A26" i="12"/>
  <c r="A25" i="12"/>
  <c r="A24" i="12"/>
  <c r="A23" i="12"/>
  <c r="A22" i="12"/>
  <c r="A21" i="12"/>
  <c r="A20" i="12"/>
  <c r="A18" i="12"/>
  <c r="A17" i="12"/>
  <c r="A16" i="12"/>
  <c r="A15" i="12"/>
  <c r="A14" i="12"/>
  <c r="A13" i="12"/>
  <c r="A12" i="12"/>
  <c r="A11" i="12"/>
  <c r="A10" i="12"/>
  <c r="A9" i="12"/>
  <c r="A8" i="12"/>
  <c r="A7" i="12"/>
  <c r="A6" i="12"/>
  <c r="A5" i="12"/>
  <c r="U3" i="12"/>
  <c r="T3" i="12"/>
  <c r="S3" i="12"/>
  <c r="R3" i="12"/>
  <c r="Q3" i="12"/>
  <c r="P3" i="12"/>
  <c r="O3" i="12"/>
  <c r="N3" i="12"/>
  <c r="M3" i="12"/>
  <c r="L3" i="12"/>
  <c r="A3" i="12"/>
  <c r="U2" i="12"/>
  <c r="T2" i="12"/>
  <c r="S2" i="12"/>
  <c r="R2" i="12"/>
  <c r="Q2" i="12"/>
  <c r="P2" i="12"/>
  <c r="O2" i="12"/>
  <c r="N2" i="12"/>
  <c r="M2" i="12"/>
  <c r="L2" i="12"/>
  <c r="K2" i="12"/>
  <c r="J2" i="12"/>
  <c r="I2" i="12"/>
  <c r="H2" i="12"/>
  <c r="G2" i="12"/>
  <c r="F2" i="12"/>
  <c r="E2" i="12"/>
  <c r="D2" i="12"/>
  <c r="C2" i="12"/>
  <c r="B2" i="12"/>
  <c r="A2" i="12"/>
  <c r="K3" i="10"/>
  <c r="J3" i="10"/>
  <c r="I3" i="10"/>
  <c r="H3" i="10"/>
  <c r="G3" i="10"/>
  <c r="F3" i="10"/>
  <c r="E3" i="10"/>
  <c r="D3" i="10"/>
  <c r="C3" i="10"/>
  <c r="B3" i="10"/>
  <c r="A95" i="10"/>
  <c r="A93" i="11"/>
  <c r="A92" i="11"/>
  <c r="A91" i="11"/>
  <c r="A90" i="11"/>
  <c r="A89" i="11"/>
  <c r="A88" i="11"/>
  <c r="A87" i="11"/>
  <c r="A86" i="11"/>
  <c r="A85" i="11"/>
  <c r="A84" i="11"/>
  <c r="A83" i="11"/>
  <c r="A81" i="11"/>
  <c r="A80" i="11"/>
  <c r="A79" i="11"/>
  <c r="A78" i="11"/>
  <c r="A77" i="11"/>
  <c r="A76" i="11"/>
  <c r="A75" i="11"/>
  <c r="A74" i="11"/>
  <c r="A73" i="11"/>
  <c r="A72" i="11"/>
  <c r="A71" i="11"/>
  <c r="A70" i="11"/>
  <c r="A69" i="11"/>
  <c r="A68" i="11"/>
  <c r="A67" i="11"/>
  <c r="A66" i="11"/>
  <c r="A65" i="11"/>
  <c r="A64" i="11"/>
  <c r="A63" i="11"/>
  <c r="A62" i="11"/>
  <c r="A61" i="11"/>
  <c r="A60" i="11"/>
  <c r="A59" i="11"/>
  <c r="A58" i="11"/>
  <c r="A57" i="11"/>
  <c r="A56" i="11"/>
  <c r="A55" i="11"/>
  <c r="A54" i="11"/>
  <c r="A53" i="11"/>
  <c r="A52" i="11"/>
  <c r="A51" i="11"/>
  <c r="A50" i="11"/>
  <c r="A49" i="11"/>
  <c r="A48" i="11"/>
  <c r="A47" i="11"/>
  <c r="A46" i="11"/>
  <c r="A45" i="11"/>
  <c r="A44" i="11"/>
  <c r="A43" i="11"/>
  <c r="A42" i="11"/>
  <c r="A41" i="11"/>
  <c r="A40" i="11"/>
  <c r="A39" i="11"/>
  <c r="A38" i="11"/>
  <c r="A37" i="11"/>
  <c r="A36" i="11"/>
  <c r="A35" i="11"/>
  <c r="A34" i="11"/>
  <c r="A33" i="11"/>
  <c r="A32" i="11"/>
  <c r="A31" i="11"/>
  <c r="A30" i="11"/>
  <c r="A29" i="11"/>
  <c r="A28" i="11"/>
  <c r="A27" i="11"/>
  <c r="A26" i="11"/>
  <c r="A25" i="11"/>
  <c r="A24" i="11"/>
  <c r="A23" i="11"/>
  <c r="A22" i="11"/>
  <c r="A21" i="11"/>
  <c r="A20" i="11"/>
  <c r="A19" i="11"/>
  <c r="A18" i="11"/>
  <c r="A16" i="11"/>
  <c r="A15" i="11"/>
  <c r="A14" i="11"/>
  <c r="A13" i="11"/>
  <c r="A12" i="11"/>
  <c r="A11" i="11"/>
  <c r="A10" i="11"/>
  <c r="A9" i="11"/>
  <c r="A8" i="11"/>
  <c r="A7" i="11"/>
  <c r="A6" i="11"/>
  <c r="A5" i="11"/>
  <c r="L4" i="11"/>
  <c r="K4" i="11"/>
  <c r="J4" i="11"/>
  <c r="I4" i="11"/>
  <c r="H4" i="11"/>
  <c r="G4" i="11"/>
  <c r="F4" i="11"/>
  <c r="E4" i="11"/>
  <c r="D4" i="11"/>
  <c r="C4" i="11"/>
  <c r="B4" i="11"/>
  <c r="L3" i="11"/>
  <c r="K3" i="11"/>
  <c r="J3" i="11"/>
  <c r="I3" i="11"/>
  <c r="H3" i="11"/>
  <c r="G3" i="11"/>
  <c r="F3" i="11"/>
  <c r="E3" i="11"/>
  <c r="D3" i="11"/>
  <c r="C3" i="11"/>
  <c r="B3" i="11"/>
  <c r="A3" i="11"/>
  <c r="L2" i="11"/>
  <c r="K2" i="11"/>
  <c r="J2" i="11"/>
  <c r="I2" i="11"/>
  <c r="H2" i="11"/>
  <c r="G2" i="11"/>
  <c r="F2" i="11"/>
  <c r="E2" i="11"/>
  <c r="D2" i="11"/>
  <c r="C2" i="11"/>
  <c r="B2" i="11"/>
  <c r="A2" i="11"/>
  <c r="A94" i="10"/>
  <c r="A93" i="10"/>
  <c r="A92" i="10"/>
  <c r="A91" i="10"/>
  <c r="A90" i="10"/>
  <c r="A89" i="10"/>
  <c r="A88" i="10"/>
  <c r="A87" i="10"/>
  <c r="A86" i="10"/>
  <c r="A85" i="10"/>
  <c r="A84" i="10"/>
  <c r="A83" i="10"/>
  <c r="A82" i="10"/>
  <c r="A81" i="10"/>
  <c r="A80" i="10"/>
  <c r="A79" i="10"/>
  <c r="A78" i="10"/>
  <c r="A77" i="10"/>
  <c r="A76" i="10"/>
  <c r="A75" i="10"/>
  <c r="A74" i="10"/>
  <c r="A73" i="10"/>
  <c r="A72" i="10"/>
  <c r="A71" i="10"/>
  <c r="A70" i="10"/>
  <c r="A69" i="10"/>
  <c r="A68" i="10"/>
  <c r="A67" i="10"/>
  <c r="A66" i="10"/>
  <c r="A65" i="10"/>
  <c r="A64" i="10"/>
  <c r="A63" i="10"/>
  <c r="A62" i="10"/>
  <c r="A61" i="10"/>
  <c r="A60" i="10"/>
  <c r="A59" i="10"/>
  <c r="A58" i="10"/>
  <c r="A57" i="10"/>
  <c r="A56" i="10"/>
  <c r="A55" i="10"/>
  <c r="A54" i="10"/>
  <c r="A53" i="10"/>
  <c r="A52" i="10"/>
  <c r="A51" i="10"/>
  <c r="A50" i="10"/>
  <c r="A49" i="10"/>
  <c r="A48" i="10"/>
  <c r="A47" i="10"/>
  <c r="A46" i="10"/>
  <c r="A45" i="10"/>
  <c r="A44" i="10"/>
  <c r="A43" i="10"/>
  <c r="A42" i="10"/>
  <c r="A41" i="10"/>
  <c r="A40" i="10"/>
  <c r="A39" i="10"/>
  <c r="A38" i="10"/>
  <c r="A37" i="10"/>
  <c r="A36" i="10"/>
  <c r="A35" i="10"/>
  <c r="A34" i="10"/>
  <c r="A33" i="10"/>
  <c r="A32" i="10"/>
  <c r="A31" i="10"/>
  <c r="A30" i="10"/>
  <c r="A29" i="10"/>
  <c r="A28" i="10"/>
  <c r="A27" i="10"/>
  <c r="A26" i="10"/>
  <c r="A25" i="10"/>
  <c r="A24" i="10"/>
  <c r="A23" i="10"/>
  <c r="A22" i="10"/>
  <c r="A21" i="10"/>
  <c r="A20" i="10"/>
  <c r="A18" i="10"/>
  <c r="A17" i="10"/>
  <c r="A16" i="10"/>
  <c r="A15" i="10"/>
  <c r="A14" i="10"/>
  <c r="A13" i="10"/>
  <c r="A12" i="10"/>
  <c r="A11" i="10"/>
  <c r="A10" i="10"/>
  <c r="A9" i="10"/>
  <c r="A8" i="10"/>
  <c r="A7" i="10"/>
  <c r="A6" i="10"/>
  <c r="A5" i="10"/>
  <c r="U4" i="10"/>
  <c r="T4" i="10"/>
  <c r="S4" i="10"/>
  <c r="R4" i="10"/>
  <c r="Q4" i="10"/>
  <c r="P4" i="10"/>
  <c r="O4" i="10"/>
  <c r="N4" i="10"/>
  <c r="M4" i="10"/>
  <c r="L4" i="10"/>
  <c r="K4" i="10"/>
  <c r="J4" i="10"/>
  <c r="I4" i="10"/>
  <c r="H4" i="10"/>
  <c r="G4" i="10"/>
  <c r="F4" i="10"/>
  <c r="E4" i="10"/>
  <c r="D4" i="10"/>
  <c r="C4" i="10"/>
  <c r="B4" i="10"/>
  <c r="U3" i="10"/>
  <c r="T3" i="10"/>
  <c r="S3" i="10"/>
  <c r="R3" i="10"/>
  <c r="Q3" i="10"/>
  <c r="P3" i="10"/>
  <c r="O3" i="10"/>
  <c r="N3" i="10"/>
  <c r="M3" i="10"/>
  <c r="L3" i="10"/>
  <c r="A3" i="10"/>
  <c r="U2" i="10"/>
  <c r="T2" i="10"/>
  <c r="S2" i="10"/>
  <c r="R2" i="10"/>
  <c r="Q2" i="10"/>
  <c r="P2" i="10"/>
  <c r="O2" i="10"/>
  <c r="N2" i="10"/>
  <c r="M2" i="10"/>
  <c r="L2" i="10"/>
  <c r="K2" i="10"/>
  <c r="J2" i="10"/>
  <c r="I2" i="10"/>
  <c r="H2" i="10"/>
  <c r="G2" i="10"/>
  <c r="F2" i="10"/>
  <c r="E2" i="10"/>
  <c r="D2" i="10"/>
  <c r="C2" i="10"/>
  <c r="B2" i="10"/>
  <c r="A2"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tc={CBC61742-CB0B-4704-81FB-3E88E8E2A36F}</author>
  </authors>
  <commentList>
    <comment ref="B10" authorId="0" shapeId="0" xr:uid="{CBC61742-CB0B-4704-81FB-3E88E8E2A36F}">
      <text>
        <t xml:space="preserve">[Threaded comment]
Your version of Excel allows you to read this threaded comment; however, any edits to it will get removed if the file is opened in a newer version of Excel. Learn more: https://go.microsoft.com/fwlink/?linkid=870924
Comment:
    Can we include a tab with the full questionnaire? </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tc={3D3F084E-21CA-468C-89C0-5631D4E36CBE}</author>
  </authors>
  <commentList>
    <comment ref="B10" authorId="0" shapeId="0" xr:uid="{3D3F084E-21CA-468C-89C0-5631D4E36CBE}">
      <text>
        <t xml:space="preserve">[Threaded comment]
Your version of Excel allows you to read this threaded comment; however, any edits to it will get removed if the file is opened in a newer version of Excel. Learn more: https://go.microsoft.com/fwlink/?linkid=870924
Comment:
    Can we include a tab with the full questionnaire? </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tc={55F33989-0EF4-4DBE-A5CF-E5E407C914CC}</author>
  </authors>
  <commentList>
    <comment ref="B6" authorId="0" shapeId="0" xr:uid="{55F33989-0EF4-4DBE-A5CF-E5E407C914CC}">
      <text>
        <t xml:space="preserve">[Threaded comment]
Your version of Excel allows you to read this threaded comment; however, any edits to it will get removed if the file is opened in a newer version of Excel. Learn more: https://go.microsoft.com/fwlink/?linkid=870924
Comment:
    Can we include a tab with the full questionnaire? </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tc={7C954C1B-D517-46C4-97F8-E986A285261F}</author>
  </authors>
  <commentList>
    <comment ref="A1" authorId="0" shapeId="0" xr:uid="{7C954C1B-D517-46C4-97F8-E986A285261F}">
      <text>
        <t>[Threaded comment]
Your version of Excel allows you to read this threaded comment; however, any edits to it will get removed if the file is opened in a newer version of Excel. Learn more: https://go.microsoft.com/fwlink/?linkid=870924
Comment:
    Why doesn't this table include the "mother" items or the overall relationship items (good/bad relationship with mother/father)? I think we should include those too.</t>
      </text>
    </comment>
  </commentList>
</comments>
</file>

<file path=xl/sharedStrings.xml><?xml version="1.0" encoding="utf-8"?>
<sst xmlns="http://schemas.openxmlformats.org/spreadsheetml/2006/main" count="2505" uniqueCount="1152">
  <si>
    <t>Country</t>
  </si>
  <si>
    <t>Languages</t>
  </si>
  <si>
    <t>Sampling Design</t>
  </si>
  <si>
    <t>Sample Source</t>
  </si>
  <si>
    <t>Date of Collection</t>
  </si>
  <si>
    <t>Completes</t>
  </si>
  <si>
    <t>Exclusions &amp; Coverage Rate</t>
  </si>
  <si>
    <t>Intake Response Rate</t>
  </si>
  <si>
    <t>Annual Response Rate</t>
  </si>
  <si>
    <t>Design Effect (annual)</t>
  </si>
  <si>
    <t>MoE (annual)</t>
  </si>
  <si>
    <t>Intake Survey</t>
  </si>
  <si>
    <t>Annual Survey</t>
  </si>
  <si>
    <t>Argentina</t>
  </si>
  <si>
    <t>CAPI: Coverage is</t>
  </si>
  <si>
    <t>Spanish</t>
  </si>
  <si>
    <t>Probability</t>
  </si>
  <si>
    <t>CAPI, CATI</t>
  </si>
  <si>
    <t>11/29/22 -</t>
  </si>
  <si>
    <t>about 96%.</t>
  </si>
  <si>
    <t>CATI: Coverage is expected to be above 90%.</t>
  </si>
  <si>
    <t>Prob: 1.95</t>
  </si>
  <si>
    <t>Total: 1.99</t>
  </si>
  <si>
    <t>Prob: 2.20</t>
  </si>
  <si>
    <t>Total: 1.69</t>
  </si>
  <si>
    <t>Non-</t>
  </si>
  <si>
    <t>CAWI, WP</t>
  </si>
  <si>
    <t>4/11/23 -</t>
  </si>
  <si>
    <t>na</t>
  </si>
  <si>
    <t>probability</t>
  </si>
  <si>
    <t>Recontact</t>
  </si>
  <si>
    <t>Australia</t>
  </si>
  <si>
    <t>English</t>
  </si>
  <si>
    <t>CATI</t>
  </si>
  <si>
    <t>3/21/22 -</t>
  </si>
  <si>
    <t>CATI: Coverage is expected to be about 100%.</t>
  </si>
  <si>
    <t>Prob: 1.55</t>
  </si>
  <si>
    <t>Total: 1.58</t>
  </si>
  <si>
    <t>Prob: 2.10</t>
  </si>
  <si>
    <t>Non- probability</t>
  </si>
  <si>
    <t>WP</t>
  </si>
  <si>
    <t>4/12/23 -</t>
  </si>
  <si>
    <t>Brazil</t>
  </si>
  <si>
    <t>Portuguese</t>
  </si>
  <si>
    <t>11/23/22 -</t>
  </si>
  <si>
    <t>CAPI: Coverage is about 99%.</t>
  </si>
  <si>
    <t>Prob: 1.52</t>
  </si>
  <si>
    <t>Total: 1.79</t>
  </si>
  <si>
    <t>Prob: 1.96</t>
  </si>
  <si>
    <t>Total: 1.14</t>
  </si>
  <si>
    <t>Egypt</t>
  </si>
  <si>
    <t>Arabic</t>
  </si>
  <si>
    <t>CAPI</t>
  </si>
  <si>
    <t>3/9/23 -</t>
  </si>
  <si>
    <t>CAPI: Coverage is about 98%. Five frontier governorates (Matrouh, Red Sea, New Valley, North Sinai and South Sinai) are excluded as they are fairly remote.</t>
  </si>
  <si>
    <t>Germany</t>
  </si>
  <si>
    <t>German</t>
  </si>
  <si>
    <t>8/11/22 -</t>
  </si>
  <si>
    <t>Prob: 1.58</t>
  </si>
  <si>
    <t>Total: 1.65</t>
  </si>
  <si>
    <t>Prob: 1.84</t>
  </si>
  <si>
    <t>Total: 1.29</t>
  </si>
  <si>
    <t>6/12/23 -</t>
  </si>
  <si>
    <t>Hong Kong (S.A.R. of China)</t>
  </si>
  <si>
    <t>Chinese</t>
  </si>
  <si>
    <t>CAWI</t>
  </si>
  <si>
    <t>10/10/23 -</t>
  </si>
  <si>
    <t>Assamese, Bengali, Gujarati, Hindi, Kannada, Malayalam, Marathi, Odia, Punjabi, Tamil, Telegu</t>
  </si>
  <si>
    <t>4/25/23 -</t>
  </si>
  <si>
    <t>CAPI: Coverage is approximately</t>
  </si>
  <si>
    <t>93%. States in the northeastern part of India, remote islands and the states of Jammu &amp; Kashmir were excluded.</t>
  </si>
  <si>
    <t>India*</t>
  </si>
  <si>
    <t>Variable</t>
  </si>
  <si>
    <t>item_wording</t>
  </si>
  <si>
    <t>Factor1</t>
  </si>
  <si>
    <t>Factor2</t>
  </si>
  <si>
    <t>Factor3</t>
  </si>
  <si>
    <t>Factor4</t>
  </si>
  <si>
    <t>approve_govt</t>
  </si>
  <si>
    <t>How much do you approve or disapprove of the job performed by the national government? (1 - Strongly approve to 5 - Strongly disapprove)</t>
  </si>
  <si>
    <t>belonging</t>
  </si>
  <si>
    <t>How would you describe your sense of belonging in your country? (0-very weak to 10-very strong)</t>
  </si>
  <si>
    <t>bodily_pain</t>
  </si>
  <si>
    <t>How much bodily pain have you had during the past 4 weeks? (1 - A lot 2 - Some 3 - Not very much 4 - None at all) reverse coded</t>
  </si>
  <si>
    <t>capable</t>
  </si>
  <si>
    <t>How often do you feel very capable in most things you do in life? (1-Never to 4-Always) (reverse code of raw data)</t>
  </si>
  <si>
    <t>close_to</t>
  </si>
  <si>
    <t>Is there any one special person you know that you feel very close to? For example, someone you can confide in and share your feelings with. If you feel very close to more than one person, select yes( 1 - Yes 2 - No ) recoded 2 as 0</t>
  </si>
  <si>
    <t>comfort_rel1</t>
  </si>
  <si>
    <t>I find comfort or strength in my religion or spirituality ( 1 - Agree 2- Disagree 3 - Not Relevant 4 - Unsure) recoded to 1 if agree; 0 otherwise</t>
  </si>
  <si>
    <t>connected_rel</t>
  </si>
  <si>
    <t>In genral, how often do you feel connected to a religion or a form of spirituality? (1 - Always 2- Often 3 - Rarely 4 - Never) recoded to 1 if always or often; 0 otherwise</t>
  </si>
  <si>
    <t>content</t>
  </si>
  <si>
    <t>I am content with my friendships and relationships (0-strongly disagree to 10-strongly agree)</t>
  </si>
  <si>
    <t>control_worry</t>
  </si>
  <si>
    <t>Not being able to stop or control worrying in last two weeks (1 - Nearly every day 2 - More than half the days 3 - Several days 4- Not at all)</t>
  </si>
  <si>
    <t>covid_death</t>
  </si>
  <si>
    <t>Have you had a family member or close friend die from coronavirus? (1- Yes 2- No) recoded 2 as 0</t>
  </si>
  <si>
    <t>critical1</t>
  </si>
  <si>
    <t>People in my religious community are cirtical of me or my lifestyle ( 1 - Agree 2- Disagree 3 - Not Relevant 4 - Unsure) recoded to 1 if agree; 0 otherwise</t>
  </si>
  <si>
    <t>days_exercise</t>
  </si>
  <si>
    <t>On how many days did you exercise or engage in vigorous physical activity for 30 minutes or more in the past week? (1 day to 7 days)</t>
  </si>
  <si>
    <t>depressed</t>
  </si>
  <si>
    <t>Feeling down, depressed, hopeless in last two weeks (1 - Nearly every day 2 - More than half the days 3 - Several days 4- Not at all)</t>
  </si>
  <si>
    <t>discriminated</t>
  </si>
  <si>
    <t>how often do you feel discriminated against because of any group you are apart of? (1-Always 2-Often 3-Rarely 4-Never)</t>
  </si>
  <si>
    <t>donated</t>
  </si>
  <si>
    <t>In the past month, have you donated money to charity (1 - yes 2- no) recoded 2 to 0</t>
  </si>
  <si>
    <t>drinks</t>
  </si>
  <si>
    <t>Approximately, how many full drinks of alcohol have you had of any kind in the past 7 days, if any? (0-None to max of 97+)</t>
  </si>
  <si>
    <t>expect_good</t>
  </si>
  <si>
    <t>I expect more good things to happen to me than bad (0-strongly disagree to 10-strongly agree)</t>
  </si>
  <si>
    <t>expenses</t>
  </si>
  <si>
    <t>How often do you worry about being able to meet normal monthly expenses? (0 - Worry all of the time 10-Do not ever worry)</t>
  </si>
  <si>
    <t>feel_anxious</t>
  </si>
  <si>
    <t>Feeling nervous, anxious, or on edge in last two weeks (1 - Nearly every day 2 - More than half the days 3 - Several days 4- Not at all)</t>
  </si>
  <si>
    <t>forgive</t>
  </si>
  <si>
    <t>How often have you forgiven those who hurt you? (1-Always 2-Often 3-Rarely 4-Never)</t>
  </si>
  <si>
    <t>freedom</t>
  </si>
  <si>
    <t>I have freedom to pusure things that are important to me (0-strongly disagree to 10-strongly agree)</t>
  </si>
  <si>
    <t>give_up</t>
  </si>
  <si>
    <t>I am always able to give up some happiness now for greater happiness (0-not true of you at all to 10-completely true of you)</t>
  </si>
  <si>
    <t>god_punish1</t>
  </si>
  <si>
    <t>I feel a God or spirtual force is punishing me. (1-Agree 2-Disagree 3-Not relevant 4-Unsure) recoded to 1 if agree; 0 otherwise</t>
  </si>
  <si>
    <t>grateful</t>
  </si>
  <si>
    <t>If I had to list everything that I am grateful for, it would be a long list (0-strongly disagree to 10-strongly agree)</t>
  </si>
  <si>
    <t>group_not_rel</t>
  </si>
  <si>
    <t>How often do you participate in groups that are non-religious, such as book clubs, sports, or political organizations? (1- More than once a week 2- once a week 3- 1 to 3 times per month 4 - a few times a year 5- never)</t>
  </si>
  <si>
    <t>happy</t>
  </si>
  <si>
    <t>In genral, how happy or unhappy do you usually feel (0-extremely unhappy to 10-extremely happy)</t>
  </si>
  <si>
    <t>health_prob</t>
  </si>
  <si>
    <t>Do you have any health problems that prevent you from doing any of the things people your age normally can do? (1-yes; 2-no) recoded 2 to 0</t>
  </si>
  <si>
    <t>help_stranger</t>
  </si>
  <si>
    <t>In the past month, have you helped a stranger or someone you didn't know who needed help? (1-yes; 2-no) recoded 2 to 0</t>
  </si>
  <si>
    <t>hope_future</t>
  </si>
  <si>
    <t>Despite challenges, I always remain hopeful about the future (0-strongly disagree to 10-strongly agree)</t>
  </si>
  <si>
    <t>income_feelings</t>
  </si>
  <si>
    <t>Which one of these phrases comes closest to your own feelings about your household's income these days? (1 - living comfortably on present income 2 - Getting by on present income 3 - Finding it difficult on present income  4 - Finding it very difficult )</t>
  </si>
  <si>
    <t>interest</t>
  </si>
  <si>
    <t>Little interest or pleasure in doing things in last two weeks (1 - Nearly every day 2 - More than half the days 3 - Several days 4- Not at all)</t>
  </si>
  <si>
    <t>life_approach1</t>
  </si>
  <si>
    <t>Religious beliefs lie behind my approach to life (1-Agree 2-Disagree 3-Not relevant 4-Unsure) recoded to 1 if agree; 0 otherwise</t>
  </si>
  <si>
    <t>life_balance</t>
  </si>
  <si>
    <t>In general, how often are the various aspects of your life in balance 1-4 scale; 1 Always 4) Never</t>
  </si>
  <si>
    <t>life_purpose</t>
  </si>
  <si>
    <t>I understand my purpose in life (0-strongly disagree to 10-strongly agree)</t>
  </si>
  <si>
    <t>life_sat</t>
  </si>
  <si>
    <t>As a whole, how satisfied with life are you these days? (0-Not at all satisfied-10-Completely satisfied)</t>
  </si>
  <si>
    <t>lonely</t>
  </si>
  <si>
    <t>how often do you feel loney?</t>
  </si>
  <si>
    <t>loved_by_god1</t>
  </si>
  <si>
    <t>I lfeel loved or cared for by God, the main god I worship, or the spirtual force that guides my life (1-Agree 2-Disagree 3-Not relevant 4-Unsure) recoded to 1 if agree; 0 otherwise</t>
  </si>
  <si>
    <t>mental_health</t>
  </si>
  <si>
    <t>How would you rate your overall mental health (0-poor mental health to 10-excellent mental health)</t>
  </si>
  <si>
    <t>peace</t>
  </si>
  <si>
    <t>In general, how often do you feel you are at peace with your thoughts and feelings (1 - Always 2 - Often 3 - Rarely 4- Never)</t>
  </si>
  <si>
    <t>people_help</t>
  </si>
  <si>
    <t>if in trouble, how often could you count on people in your life like relatives or friends to help you whenever you need them (0-never to 10-always)</t>
  </si>
  <si>
    <t>physical_hlth</t>
  </si>
  <si>
    <t>Overall, how would you rate your physical health (0-Poor physical health to 10-excellent physical health)</t>
  </si>
  <si>
    <t>promote_good</t>
  </si>
  <si>
    <t>I always act to promote good in all circumstances, even in difficult and challenging circumstances (0-Never to 10-Always)</t>
  </si>
  <si>
    <t>sat_live</t>
  </si>
  <si>
    <t>Are you satisfied or dissatisfied with the city or area where you live? (1 - satisfied; 2 - dissatisfied) recoded 2 as 0</t>
  </si>
  <si>
    <t>sat_relatnshp</t>
  </si>
  <si>
    <t>My relationships are as satisfying as I would want them to be (0-strongly disagree to 10-strongly agree)</t>
  </si>
  <si>
    <t>say_in_govt</t>
  </si>
  <si>
    <t>People life me have a say in what the government does. (1 - Agree 2 - Disagree 3- Unsure) recoded 2 and 3 as 0</t>
  </si>
  <si>
    <t>show_love</t>
  </si>
  <si>
    <t>How often do you show someone in your life that you love or care for them (0-Never to 10 - Always)</t>
  </si>
  <si>
    <t>suffering</t>
  </si>
  <si>
    <t>To what extent are you suffering? This can be any type of physical or mental suffering (1 - A lot 2 - Some 3 - Not very much  4 - Not at all)</t>
  </si>
  <si>
    <t>threat_life</t>
  </si>
  <si>
    <t>Think about the biggest threat to life you’ve ever witnessed or experienced first-hand during your life. In the past month, how much have you been bothered by this experience? (1 - A lot 2 - Some 3 - Not very much  4 - Not at all)</t>
  </si>
  <si>
    <t>trust_people</t>
  </si>
  <si>
    <t>How many people in this country trust one another? (1 - All 2- Most 3- Some 4- Not very many 5 - None)</t>
  </si>
  <si>
    <t>volunteered</t>
  </si>
  <si>
    <t>In the past month, have you volunteered your time to an organization? (1- Yes 2- No)</t>
  </si>
  <si>
    <t>wb_fiveyrs</t>
  </si>
  <si>
    <t>Just your best guess, on which step do you think you will stand in the future, say about five years from now? (0 worst possble life you can imagine for yourself to 10 best possible)</t>
  </si>
  <si>
    <t>wb_today</t>
  </si>
  <si>
    <t>On which step of the ladder would you say you personally feel you stand at this time? (0 worst possble life you can imagine for yourself to 10 best possible)</t>
  </si>
  <si>
    <t>worry_safety</t>
  </si>
  <si>
    <t>How often do you worry about safety, food, housing? (0 - Worry all the time to 10 - Do not ever worry)</t>
  </si>
  <si>
    <t>worthwhile</t>
  </si>
  <si>
    <t>Overall, to what extent do you think the things you do in your life are worthwhile (0-not at all worthwhile 10-completely worthwhile)</t>
  </si>
  <si>
    <t>variable_name</t>
  </si>
  <si>
    <t>N</t>
  </si>
  <si>
    <t>Mean</t>
  </si>
  <si>
    <t>SD</t>
  </si>
  <si>
    <t>thriving</t>
  </si>
  <si>
    <t>Thriving in wellbeing (defined as 7 or higher on current  life evalaution and 8 or higher on future life evaluation)</t>
  </si>
  <si>
    <t>happy7</t>
  </si>
  <si>
    <t>Usually feel happy (7 or higher out of 10)</t>
  </si>
  <si>
    <t>depressed1</t>
  </si>
  <si>
    <t>Been bothered in last two weeks by feeling down, depressed, or hopeless: nearly every day</t>
  </si>
  <si>
    <t>depressed2</t>
  </si>
  <si>
    <t>Been bothered in last two weeks by feeling down, depressed, or hopeless: more than half the days</t>
  </si>
  <si>
    <t>depressed3</t>
  </si>
  <si>
    <t>Been bothered in last two weeks by feeling down, depressed, or hopeless: severals days</t>
  </si>
  <si>
    <t>depressed4</t>
  </si>
  <si>
    <t>Been bothered in last two weeks by feeling down, depressed, or hopeless: not at all</t>
  </si>
  <si>
    <t>flove_yes</t>
  </si>
  <si>
    <t>Felt loved by father when growing up</t>
  </si>
  <si>
    <t>flove_no</t>
  </si>
  <si>
    <t>Did not feel loved by father when growing up</t>
  </si>
  <si>
    <t>mlove_yes</t>
  </si>
  <si>
    <t>Felt loved by mother when growing up</t>
  </si>
  <si>
    <t>mlove_no</t>
  </si>
  <si>
    <t>Did not feel loved by mother when growing up</t>
  </si>
  <si>
    <t>Both parents were known</t>
  </si>
  <si>
    <t>Mother but not father was known or dead</t>
  </si>
  <si>
    <t>Father but not mother was known or dead</t>
  </si>
  <si>
    <t>Both parents unknown or dead</t>
  </si>
  <si>
    <t>good_dad1</t>
  </si>
  <si>
    <t>When growing up, relationship with father was: very bad</t>
  </si>
  <si>
    <t>good_dad2</t>
  </si>
  <si>
    <t>When growing up, relationship with father was: somewhat bad</t>
  </si>
  <si>
    <t>good_dad3</t>
  </si>
  <si>
    <t>When growing up, relationship with father was: somewhat good</t>
  </si>
  <si>
    <t>good_dad4</t>
  </si>
  <si>
    <t>When growing up, relationship with father was: very good</t>
  </si>
  <si>
    <t>good_mom1</t>
  </si>
  <si>
    <t>When growing up, relationship with mother was: very bad</t>
  </si>
  <si>
    <t>good_mom2</t>
  </si>
  <si>
    <t>When growing up, relationship with mother was: somewhat bad</t>
  </si>
  <si>
    <t>good_mom3</t>
  </si>
  <si>
    <t>When growing up, relationship with mother was: somewhat good</t>
  </si>
  <si>
    <t>good_mom4</t>
  </si>
  <si>
    <t>When growing up, relationship with mother was: very good</t>
  </si>
  <si>
    <t>outsider_fam</t>
  </si>
  <si>
    <t>Felt like outsider in my family when growing up</t>
  </si>
  <si>
    <t>Demographics</t>
  </si>
  <si>
    <t>male</t>
  </si>
  <si>
    <t>Male</t>
  </si>
  <si>
    <t>other_gender</t>
  </si>
  <si>
    <t>Neither male nor female</t>
  </si>
  <si>
    <t>primary</t>
  </si>
  <si>
    <t>Primary education</t>
  </si>
  <si>
    <t>secondary</t>
  </si>
  <si>
    <t>Secondary education</t>
  </si>
  <si>
    <t>tertiary</t>
  </si>
  <si>
    <t>Tertiary education</t>
  </si>
  <si>
    <t>age_group1</t>
  </si>
  <si>
    <t>Age 18-24</t>
  </si>
  <si>
    <t>age_group2</t>
  </si>
  <si>
    <t>Age 25-34</t>
  </si>
  <si>
    <t>age_group3</t>
  </si>
  <si>
    <t>Age 35-44</t>
  </si>
  <si>
    <t>age_group4</t>
  </si>
  <si>
    <t>Age 45-54</t>
  </si>
  <si>
    <t>age_group5</t>
  </si>
  <si>
    <t>Age 55-64</t>
  </si>
  <si>
    <t>age_group6</t>
  </si>
  <si>
    <t>Age 65-74</t>
  </si>
  <si>
    <t>age_group7</t>
  </si>
  <si>
    <t>Age 75 and older</t>
  </si>
  <si>
    <t>foreign_born</t>
  </si>
  <si>
    <t>Born in other country</t>
  </si>
  <si>
    <t>employed</t>
  </si>
  <si>
    <t>Employed</t>
  </si>
  <si>
    <t>Never married</t>
  </si>
  <si>
    <t>married</t>
  </si>
  <si>
    <t>Married</t>
  </si>
  <si>
    <t>live_alone</t>
  </si>
  <si>
    <t>Live alone</t>
  </si>
  <si>
    <t>no_children</t>
  </si>
  <si>
    <t>Do not have children</t>
  </si>
  <si>
    <t>one_child</t>
  </si>
  <si>
    <t>Have one child</t>
  </si>
  <si>
    <t>two_children</t>
  </si>
  <si>
    <t>Have two children</t>
  </si>
  <si>
    <t>Have three or more children</t>
  </si>
  <si>
    <t>rural</t>
  </si>
  <si>
    <t>Live in rural area</t>
  </si>
  <si>
    <t>village</t>
  </si>
  <si>
    <t>Live in villiage</t>
  </si>
  <si>
    <t>suburb</t>
  </si>
  <si>
    <t>Live in suburb</t>
  </si>
  <si>
    <t>city</t>
  </si>
  <si>
    <t>Live in city</t>
  </si>
  <si>
    <t>Parents were married at age 12</t>
  </si>
  <si>
    <t>was_abused</t>
  </si>
  <si>
    <t>I was abused physically or sexually while growing up</t>
  </si>
  <si>
    <t>Family's household income while growing up: lived comfortably</t>
  </si>
  <si>
    <t>Family's household income while growing up: got by</t>
  </si>
  <si>
    <t>Family's household income while growing up: found it difficult</t>
  </si>
  <si>
    <t>Family's household income while growing up: found it very difficult</t>
  </si>
  <si>
    <t>Country name</t>
  </si>
  <si>
    <t>Sample size</t>
  </si>
  <si>
    <t>Unfamiliar with father while growing up</t>
  </si>
  <si>
    <t>Was abused sexually or physically while growing up</t>
  </si>
  <si>
    <t>Bothered by anxiety (more than half of days)</t>
  </si>
  <si>
    <t>Religion is important part of daily life</t>
  </si>
  <si>
    <t>GDP per capita, PPP-adjusted</t>
  </si>
  <si>
    <t>Indonesia</t>
  </si>
  <si>
    <t>Philippines</t>
  </si>
  <si>
    <t>Nigeria</t>
  </si>
  <si>
    <t>India</t>
  </si>
  <si>
    <t>Poland</t>
  </si>
  <si>
    <t>Israel</t>
  </si>
  <si>
    <t>Tanzania</t>
  </si>
  <si>
    <t>Kenya</t>
  </si>
  <si>
    <t>Spain</t>
  </si>
  <si>
    <t>Turkey</t>
  </si>
  <si>
    <t>Sweden</t>
  </si>
  <si>
    <t>United Kingdom</t>
  </si>
  <si>
    <t>South Africa</t>
  </si>
  <si>
    <t>Mexico</t>
  </si>
  <si>
    <t>United States</t>
  </si>
  <si>
    <t>Japan</t>
  </si>
  <si>
    <t>Hong Kong</t>
  </si>
  <si>
    <t>Thriving in wellbeing (7+ on current life evalaution and 8+ on future)</t>
  </si>
  <si>
    <t>living_structure1</t>
  </si>
  <si>
    <t>living_structure2</t>
  </si>
  <si>
    <t>living_structure3</t>
  </si>
  <si>
    <t>living_structure4</t>
  </si>
  <si>
    <t>good_dad</t>
  </si>
  <si>
    <t>Did not feel like an outsider in my family</t>
  </si>
  <si>
    <t>Quality of relationship with father (1-4 scale) when growing up</t>
  </si>
  <si>
    <t>good_mom</t>
  </si>
  <si>
    <t>Was not abused while growing up</t>
  </si>
  <si>
    <t>Quality of relationship with mother (1-4 scale) when growing up</t>
  </si>
  <si>
    <t>not_outsider_fam</t>
  </si>
  <si>
    <t>not_abused</t>
  </si>
  <si>
    <t>Knew both mom and dad while growing up</t>
  </si>
  <si>
    <t>Identified with a religion when 12-years old</t>
  </si>
  <si>
    <t>Father's frequency of attendance to religious services when respondent was 12-years old</t>
  </si>
  <si>
    <t>Mother's frequency of attendance to religious services when respondent was 12-years old</t>
  </si>
  <si>
    <t>parent_relig</t>
  </si>
  <si>
    <t>relig_import</t>
  </si>
  <si>
    <t>attendance</t>
  </si>
  <si>
    <t>self_relig</t>
  </si>
  <si>
    <t>Religion is an important part of my daily life</t>
  </si>
  <si>
    <t>Frequency of attendance to religious services</t>
  </si>
  <si>
    <t>Identifies with one or more religions</t>
  </si>
  <si>
    <t>="* p&lt;0.05</t>
  </si>
  <si>
    <t xml:space="preserve"> ** p&lt;0.01"</t>
  </si>
  <si>
    <t>country</t>
  </si>
  <si>
    <t>obs</t>
  </si>
  <si>
    <t>PCRQ</t>
  </si>
  <si>
    <t>Flourishing index</t>
  </si>
  <si>
    <t>Internalized mental health index</t>
  </si>
  <si>
    <t>Accepted by God index</t>
  </si>
  <si>
    <t>Financial wellbeing index</t>
  </si>
  <si>
    <t>Parental religiosity index</t>
  </si>
  <si>
    <t>Respondent religiosity index</t>
  </si>
  <si>
    <t>PCRQ effect on flourishing</t>
  </si>
  <si>
    <t>Parental religiosity effect on PCRQ</t>
  </si>
  <si>
    <t>Std Error of PCRQ effect on flourishing</t>
  </si>
  <si>
    <t>Std Error of Parental religiosity effect on PCRQ</t>
  </si>
  <si>
    <t>T-stat of PCRQ effect on flourishing</t>
  </si>
  <si>
    <t>T-stat of Parental religiosity effect on PCRQ</t>
  </si>
  <si>
    <t>Upper bound of PCRQ effect on flourishing</t>
  </si>
  <si>
    <t>Upper bound of Parental religiosity effect on PCRQ</t>
  </si>
  <si>
    <t>Lower bound of PCRQ effect on flourishing</t>
  </si>
  <si>
    <t>Lower bound of Parental religiosity effect on PCRQ</t>
  </si>
  <si>
    <t>ABUSED</t>
  </si>
  <si>
    <t>Variable Label:</t>
  </si>
  <si>
    <t>Physically or Sexually Abused When Growing Up</t>
  </si>
  <si>
    <t>Question Wording:</t>
  </si>
  <si>
    <t>Were you ever physically or sexually abused when you were growing up?</t>
  </si>
  <si>
    <t>Value labels:</t>
  </si>
  <si>
    <t>-98 = (Saw, skipped)</t>
  </si>
  <si>
    <t>1 = Yes</t>
  </si>
  <si>
    <t>2 = No</t>
  </si>
  <si>
    <t>98 = (DK)</t>
  </si>
  <si>
    <t>99 = (Refused)</t>
  </si>
  <si>
    <t>AFTER_DEATH</t>
  </si>
  <si>
    <t>Believe in Life After Death</t>
  </si>
  <si>
    <t>Do you believe in life after death, or not?</t>
  </si>
  <si>
    <t>3 = Unsure</t>
  </si>
  <si>
    <t>APPROVE_GOVT</t>
  </si>
  <si>
    <t>Job Performance of National Government</t>
  </si>
  <si>
    <t>How much do you approve or disapprove of the job performance of the national government of this country?</t>
  </si>
  <si>
    <t>1 = Strongly approve</t>
  </si>
  <si>
    <t>2 = Somewhat approve</t>
  </si>
  <si>
    <t>3 = Neither approve nor disapprove</t>
  </si>
  <si>
    <t>4 = Somewhat disapprove</t>
  </si>
  <si>
    <t>5 = Strongly disapprove</t>
  </si>
  <si>
    <t>ATTEND_SVCS</t>
  </si>
  <si>
    <t>How Often You Attend Religious Services</t>
  </si>
  <si>
    <t>How often do you attend religious services?</t>
  </si>
  <si>
    <t>1 = More than once a week</t>
  </si>
  <si>
    <t>2 = Once a week</t>
  </si>
  <si>
    <t>3 = One to three times a month</t>
  </si>
  <si>
    <t>4 = A few times a year</t>
  </si>
  <si>
    <t>5 = Never</t>
  </si>
  <si>
    <t>BELIEVE_GOD</t>
  </si>
  <si>
    <t>Believe in One God, More Than One God, an Impersonal Spiritual Force, or None of These</t>
  </si>
  <si>
    <t>Do you believe in one God, more than one god, an impersonal spiritual force, or none of these?</t>
  </si>
  <si>
    <t>1 = One God</t>
  </si>
  <si>
    <t>2 = More than one god</t>
  </si>
  <si>
    <t>3 = An impersonal spiritual force</t>
  </si>
  <si>
    <t>4 = None of these</t>
  </si>
  <si>
    <t>5 = Unsure</t>
  </si>
  <si>
    <t>BELONGING</t>
  </si>
  <si>
    <t>Sense of Belonging in Your Country</t>
  </si>
  <si>
    <t>How would you describe your sense of belonging in your country?</t>
  </si>
  <si>
    <t>0 = Very weak</t>
  </si>
  <si>
    <t>10 = Very strong</t>
  </si>
  <si>
    <t>BODILY_PAIN</t>
  </si>
  <si>
    <t>Bodily Pain in Past 4 Weeks</t>
  </si>
  <si>
    <t>How much bodily pain have you had during the past 4 weeks?</t>
  </si>
  <si>
    <t>1 = A lot</t>
  </si>
  <si>
    <t>2 = Some</t>
  </si>
  <si>
    <t>3 = Not very much</t>
  </si>
  <si>
    <t>4 = None at all</t>
  </si>
  <si>
    <t>CAPABLE</t>
  </si>
  <si>
    <t>Feel Very Capable in Most Things You Do in Life</t>
  </si>
  <si>
    <t>How often do you feel very capable in most things you do in life?</t>
  </si>
  <si>
    <t>1 = Always</t>
  </si>
  <si>
    <t>2 = Often</t>
  </si>
  <si>
    <t>3 = Rarely</t>
  </si>
  <si>
    <t>4 = Never</t>
  </si>
  <si>
    <t>CIGARETTES</t>
  </si>
  <si>
    <t>Number of Cigarettes Smoked Each Day</t>
  </si>
  <si>
    <t>About how many cigarettes do you smoke each day, if any?</t>
  </si>
  <si>
    <t>0 = None/Do not smoke</t>
  </si>
  <si>
    <t>97 = 97+</t>
  </si>
  <si>
    <t>CLOSE_TO</t>
  </si>
  <si>
    <t>Know One Special Person You Feel Very Close To</t>
  </si>
  <si>
    <t>Is there any one special person you know that you feel very close to? For example, someone you can confide in and share your feelings with. If you feel very close to more than one person, select Yes.</t>
  </si>
  <si>
    <t>CNTRY_REL_BUD</t>
  </si>
  <si>
    <t>The Teachings of Buddhism Are Very Important in Your Life (Buddhism is Common Religion in Country Yet Not Identified as Current Religion)</t>
  </si>
  <si>
    <t>Buddhism is the most common religion in this country. To what extent do you agree or disagree with the following statement: The teachings of Buddhism are very important in my life.</t>
  </si>
  <si>
    <t>0 = Strongly disagree</t>
  </si>
  <si>
    <t>10 = Strongly agree</t>
  </si>
  <si>
    <t>CNTRY_REL_CHI</t>
  </si>
  <si>
    <t>The Teachings of Chinese Folk/Traditional Religion are Very Important in Your Life (Chinese Folk/Traditional Religion is Common Religion in Country Yet Not Identified as Current Religion)</t>
  </si>
  <si>
    <t>Chinese folk/traditional religion is the most common religion in this country. To what extent do you agree or disagree with the following statement: The teachings of Chinese folk/traditional religion are very important in my life.</t>
  </si>
  <si>
    <t>CNTRY_REL_CHR</t>
  </si>
  <si>
    <t>The Teachings of Christianity Are Very Important in Your Life (Christianity is Common Religion in Country Yet Not Identified as Current Religion)</t>
  </si>
  <si>
    <t>Christianity is the most common religion in this country. To what extent do you agree or disagree with the following statement: The teachings of Christianity are very important in my life.</t>
  </si>
  <si>
    <t>CNTRY_REL_HIN</t>
  </si>
  <si>
    <t>The Teachings of Hinduism Are Very Important in Your Life (Hinduism is Common Religion in Country Yet Not Identified as Current Religion)</t>
  </si>
  <si>
    <t>Hinduism is the most common religion in this country. To what extent do you agree or disagree with the following statement: The teachings of Hinduism are very important in my life.</t>
  </si>
  <si>
    <t>CNTRY_REL_ISL</t>
  </si>
  <si>
    <t>The Teachings of Islam Are Very Important in Your Life (Islam is Common Religion in Country Yet Not Identified as Current Religion)</t>
  </si>
  <si>
    <t>Islam is the most common religion in this country. To what extent do you agree or disagree with the following statement: The teachings of Islam are very important in my life.</t>
  </si>
  <si>
    <t>CNTRY_REL_JUD</t>
  </si>
  <si>
    <t>The Teachings of Judaism Are Very Important in Your Life (Judaism is Common Religion in Country Yet Not Identified as Current Religion)</t>
  </si>
  <si>
    <t>Judaism is the most common religion in this country. To what extent do you agree or disagree with the following statement: The teachings of Judaism are very important in my life.</t>
  </si>
  <si>
    <t> </t>
  </si>
  <si>
    <t>CNTRY_REL_SHI</t>
  </si>
  <si>
    <t>The Teachings of Shinto Are Very Important in Your Life (Shinto is Common Religion in Country Yet Not Identified as Current Religion)</t>
  </si>
  <si>
    <t>Shinto is the most common religion in this country. To what extent do you agree or disagree with the following statement: The teachings of Shinto are very important in my life.</t>
  </si>
  <si>
    <t>COMFORT_REL</t>
  </si>
  <si>
    <t>Find Strength or Comfort in Your Religion or Spirituality</t>
  </si>
  <si>
    <t>I find strength or comfort in my religion or spirituality.</t>
  </si>
  <si>
    <t>1 = Agree</t>
  </si>
  <si>
    <t>2 = Disagree</t>
  </si>
  <si>
    <t>3 = Not relevant</t>
  </si>
  <si>
    <t>4 = Unsure</t>
  </si>
  <si>
    <t>CONNECTED_REL</t>
  </si>
  <si>
    <t>Feel Connected to a Religion or Form of Spirituality</t>
  </si>
  <si>
    <t>In general, how often do you feel connected to a religion or a form of spirituality?</t>
  </si>
  <si>
    <t>CONTENT</t>
  </si>
  <si>
    <t>Content With Your Friendships and Relationships</t>
  </si>
  <si>
    <t>I am content with my friendships and relationships.</t>
  </si>
  <si>
    <t>CONTROL_WORRY</t>
  </si>
  <si>
    <t>Been Bothered in Last Two Weeks By: Not Being Able to Stop or Control Worrying</t>
  </si>
  <si>
    <t>Not being able to stop or control worrying</t>
  </si>
  <si>
    <t>1 = Nearly every day</t>
  </si>
  <si>
    <t>2 = More than half the days</t>
  </si>
  <si>
    <t>3 = Several days</t>
  </si>
  <si>
    <t>4 = Not at all</t>
  </si>
  <si>
    <t>COVID_DEATH</t>
  </si>
  <si>
    <t>Family Member or Close Friend Died From Coronavirus</t>
  </si>
  <si>
    <t>Have you had a family member or close friend die from coronavirus?</t>
  </si>
  <si>
    <t>CRITICAL</t>
  </si>
  <si>
    <t>People in Your Religious Community are Critical of You or Your Lifestyle</t>
  </si>
  <si>
    <t>People in my religious community are critical of me or my lifestyle.</t>
  </si>
  <si>
    <t>DAYS_EXERCISE</t>
  </si>
  <si>
    <t>Number of Days You Exercised in the Past Week</t>
  </si>
  <si>
    <t>On how many days did you exercise or engage in vigorous physical activities for 30 minutes or more in the past week?</t>
  </si>
  <si>
    <t>0 = 0 days</t>
  </si>
  <si>
    <t>1 = 1 day</t>
  </si>
  <si>
    <t>2 = 2 days</t>
  </si>
  <si>
    <t>3 = 3 days</t>
  </si>
  <si>
    <t>4 = 4 days</t>
  </si>
  <si>
    <t>5 = 5 days</t>
  </si>
  <si>
    <t>6 = 6 days</t>
  </si>
  <si>
    <t>7 = 7 days/Every day</t>
  </si>
  <si>
    <t>DEPRESSED</t>
  </si>
  <si>
    <t>Been Bothered in Last Two Weeks By: Feeling Down, Depressed or Hopeless</t>
  </si>
  <si>
    <t>Feeling down, depressed or hopeless</t>
  </si>
  <si>
    <t>DISCRIMINATED</t>
  </si>
  <si>
    <t>Feel Discriminated Against Because of Any Group You Are Part of</t>
  </si>
  <si>
    <t>How often do you feel discriminated against because of any group you are a part of? This might include discrimination because of your religion, political affiliation, race, gender, social class, sexual orientation, or involvement in civic organizations or community groups.</t>
  </si>
  <si>
    <t>DONATED</t>
  </si>
  <si>
    <t>Donated Money to Charity in Past Month</t>
  </si>
  <si>
    <t>In the past month, have you donated money to a charity?</t>
  </si>
  <si>
    <t>DRINKS</t>
  </si>
  <si>
    <t>Number of Alcoholic Drinks You Drank in Past Seven Days</t>
  </si>
  <si>
    <t>Approximately how many full drinks of any kind of alcoholic beverage did you drink in the past seven days, if any? A full drink is a glass of wine, a can or bottle of beer, or a shot of hard liquor.</t>
  </si>
  <si>
    <t>0 = None/Do not drink alcoholic beverages</t>
  </si>
  <si>
    <t>EXPECT_GOOD</t>
  </si>
  <si>
    <t>You Expect More Good Things to Happen to You Than Bad</t>
  </si>
  <si>
    <t>Overall, I expect more good things to happen to me than bad.</t>
  </si>
  <si>
    <t>EXPENSES</t>
  </si>
  <si>
    <t>Worry About Being Able to Meet Normal Monthly Living Expenses</t>
  </si>
  <si>
    <t>How often do you worry about being able to meet normal monthly living expenses?</t>
  </si>
  <si>
    <t>0 = Worry all of the time</t>
  </si>
  <si>
    <t>10 = Do not ever worry</t>
  </si>
  <si>
    <t>FATHER_LOVED</t>
  </si>
  <si>
    <t>Felt Loved by Your Father When Growing Up</t>
  </si>
  <si>
    <t>In general, did you feel loved by your father when you were growing up? If you didn't know your father or if he died, select “Does not apply.”</t>
  </si>
  <si>
    <t>97 = (Does not apply)</t>
  </si>
  <si>
    <t>FATHER_RELATN</t>
  </si>
  <si>
    <t>Relationship With Your Father When Growing Up</t>
  </si>
  <si>
    <t>Please think about your relationship with your father when you were growing up. In general, would you say that relationship was very good, somewhat good, somewhat bad, or very bad? If you didn't know your father or if he died, select “Does not apply.”</t>
  </si>
  <si>
    <t>1 = Very good</t>
  </si>
  <si>
    <t>2 = Somewhat good</t>
  </si>
  <si>
    <t>3 = Somewhat bad</t>
  </si>
  <si>
    <t>4 = Very bad</t>
  </si>
  <si>
    <t>FEEL_ANXIOUS</t>
  </si>
  <si>
    <t>Been Bothered in Last Two Weeks By: Feeling Nervous, Anxious or on Edge</t>
  </si>
  <si>
    <t>Feeling nervous, anxious or on edge</t>
  </si>
  <si>
    <t>FORGIVE</t>
  </si>
  <si>
    <t>How Often You Have Forgiven Those Who Have Hurt You</t>
  </si>
  <si>
    <t>How often have you forgiven those who have hurt you?</t>
  </si>
  <si>
    <t>FREEDOM</t>
  </si>
  <si>
    <t>You Have Freedom in Your Life to Pursue the Things Most Important to You</t>
  </si>
  <si>
    <t>I have the freedom in my life to pursue the things that are most important to me.</t>
  </si>
  <si>
    <t>GIVE_UP</t>
  </si>
  <si>
    <t>You Are Always Able to Give Up Some Happiness Now For Greater Happiness Later</t>
  </si>
  <si>
    <t>I am always able to give up some happiness now for greater happiness later.</t>
  </si>
  <si>
    <t>0 = Not true of you at all</t>
  </si>
  <si>
    <t>10 = Completely true of you</t>
  </si>
  <si>
    <t>GOD_PUNISH</t>
  </si>
  <si>
    <t>You feel God, a God, or a Spiritual Force Is Punishing You</t>
  </si>
  <si>
    <t>I feel God, a god, or a spiritual force is punishing me.</t>
  </si>
  <si>
    <t>GRATEFUL</t>
  </si>
  <si>
    <t>If You Listed Everything You Felt Grateful For, It Would Be a Long List</t>
  </si>
  <si>
    <t>If I had to list everything that I felt grateful for, it would be a very long list.</t>
  </si>
  <si>
    <t>GROUP_NOT_REL</t>
  </si>
  <si>
    <t>Participate in Groups That Are Not Religious</t>
  </si>
  <si>
    <t>How often do you participate in groups that are not religious, such as book clubs, sports, or political organizations?</t>
  </si>
  <si>
    <t>HAPPY</t>
  </si>
  <si>
    <t>How Happy You Usually Feel</t>
  </si>
  <si>
    <t>In general, how happy or unhappy do you usually feel?</t>
  </si>
  <si>
    <t>0 = Extremely unhappy</t>
  </si>
  <si>
    <t>10 = Extremely happy</t>
  </si>
  <si>
    <t>HEALTH_GROWUP</t>
  </si>
  <si>
    <t>Your Health When Growing Up</t>
  </si>
  <si>
    <t>In general, how was your health when you were growing up?</t>
  </si>
  <si>
    <t>1 = Excellent</t>
  </si>
  <si>
    <t>2 = Very good</t>
  </si>
  <si>
    <t>3 = Good</t>
  </si>
  <si>
    <t>4 = Fair</t>
  </si>
  <si>
    <t>5 = Poor</t>
  </si>
  <si>
    <t>HEALTH_PROB</t>
  </si>
  <si>
    <t>Health Problems Prevent You From Doing Things People Your Age Normally Do</t>
  </si>
  <si>
    <t>Do you have any health problems that prevent you from doing any of the things people your age normally can do?</t>
  </si>
  <si>
    <t>HELP_STRANGER</t>
  </si>
  <si>
    <t>Helped a Stranger or Someone You Didn't Know in the Past Month</t>
  </si>
  <si>
    <t>In the past month, have you helped a stranger or someone you didn't know who needed help?</t>
  </si>
  <si>
    <t>HOPE_FUTURE</t>
  </si>
  <si>
    <t>You Always Remain Hopeful About the Future</t>
  </si>
  <si>
    <t>Despite challenges, I always remain hopeful about the future.</t>
  </si>
  <si>
    <t>INCOME_12YRS</t>
  </si>
  <si>
    <t>Feelings About Family's Household Income When Growing Up</t>
  </si>
  <si>
    <t>Which one of these phrases comes closest to your own feelings about your family's household income when you were growing up, such as when YOU were around 12 years old?</t>
  </si>
  <si>
    <t>1 = Lived comfortably</t>
  </si>
  <si>
    <t>2 = Got by</t>
  </si>
  <si>
    <t>3 = Found it difficult</t>
  </si>
  <si>
    <t>4 = Found it very difficult</t>
  </si>
  <si>
    <t>INCOME_DIFF</t>
  </si>
  <si>
    <t>Government Should Take Measures to Reduce Differences in Income Levels</t>
  </si>
  <si>
    <t>The government should take measures to reduce differences in income levels.</t>
  </si>
  <si>
    <t>1 = Strongly agree</t>
  </si>
  <si>
    <t>2 = Somewhat agree</t>
  </si>
  <si>
    <t>3 = Neither agree nor disagree</t>
  </si>
  <si>
    <t>4 = Somewhat disagree</t>
  </si>
  <si>
    <t>5 = Strongly disagree</t>
  </si>
  <si>
    <t>INTEREST</t>
  </si>
  <si>
    <t>Been Bothered in Last Two Weeks By: Little Interest or Pleasure in Doing Things</t>
  </si>
  <si>
    <t>Little interest or pleasure in doing things</t>
  </si>
  <si>
    <t>LIFE_APPROACH</t>
  </si>
  <si>
    <t>Your Religious Beliefs and Practices Are What Lie Behind Your Whole Approach to Life</t>
  </si>
  <si>
    <t>My religious beliefs and practices are what really lie behind my whole approach to life.</t>
  </si>
  <si>
    <t>LIFE_BALANCE</t>
  </si>
  <si>
    <t>The Various Aspects of Your Life Are in Balance</t>
  </si>
  <si>
    <t>In general, how often are the various aspects of your life in balance?</t>
  </si>
  <si>
    <t>LIFE_PURPOSE</t>
  </si>
  <si>
    <t>You Understand Your Purpose in Life</t>
  </si>
  <si>
    <t>I understand my purpose in life.</t>
  </si>
  <si>
    <t>LIFE_SAT</t>
  </si>
  <si>
    <t>How Satisfied Are You With Life as a Whole These Days</t>
  </si>
  <si>
    <t>Overall, how satisfied are you with life as a whole these days?</t>
  </si>
  <si>
    <t>0 = Not at all satisfied with your life</t>
  </si>
  <si>
    <t>10 = Completely satisfied with your life</t>
  </si>
  <si>
    <t>LONELY</t>
  </si>
  <si>
    <t>How Often You Feel Lonely</t>
  </si>
  <si>
    <t>How often do you feel lonely?</t>
  </si>
  <si>
    <t>0 = Always</t>
  </si>
  <si>
    <t>10 = Never</t>
  </si>
  <si>
    <t>LOVED_BY_GOD</t>
  </si>
  <si>
    <t>You Feel Loved by God, the Main God You Worship, or the Spiritual Force That Guides Your Life</t>
  </si>
  <si>
    <t>I feel loved or cared for by God, the main god I worship, or the spiritual force that guides my life.</t>
  </si>
  <si>
    <t>MENTAL_HEALTH</t>
  </si>
  <si>
    <t>Mental Health</t>
  </si>
  <si>
    <t>How would you rate your overall mental health?</t>
  </si>
  <si>
    <t>0 = Poor mental health</t>
  </si>
  <si>
    <t>10 = Excellent mental health</t>
  </si>
  <si>
    <t>MOTHER_LOVED</t>
  </si>
  <si>
    <t>Felt Loved by Your Mother When Growing Up</t>
  </si>
  <si>
    <t>In general, did you feel loved by your mother when you were growing up? If you didn't know your mother or if she died, select “Does not apply.”</t>
  </si>
  <si>
    <t>MOTHER_RELATN</t>
  </si>
  <si>
    <t>Relationship With Your Mother When Growing Up</t>
  </si>
  <si>
    <t>Please think about your relationship with your mother when you were growing up. In general, would you say that relationship was very good, somewhat good, somewhat bad, or very bad? If you didn't know your mother or if she died, select “Does not apply.”</t>
  </si>
  <si>
    <t>OBEY_LAW</t>
  </si>
  <si>
    <t>Whatever The Circumstances, The Law Should Always Be Obeyed</t>
  </si>
  <si>
    <t>Whatever the circumstances, the law should always be obeyed.</t>
  </si>
  <si>
    <t>OUTSIDER</t>
  </si>
  <si>
    <t>Felt Like an Outsider in Your Family When Growing Up</t>
  </si>
  <si>
    <t>When you were growing up, did you feel like an outsider in your family?</t>
  </si>
  <si>
    <t>PARENTS_12YRS</t>
  </si>
  <si>
    <t>Parents Married to Each Other When You Were Around 12 Years Old</t>
  </si>
  <si>
    <t>Were your parents married to each other when YOU were around 12 years old?</t>
  </si>
  <si>
    <t>1 = Yes, married</t>
  </si>
  <si>
    <t>2 = No, divorced</t>
  </si>
  <si>
    <t>3 = No, they were never married</t>
  </si>
  <si>
    <t>4 = No, one or both of them had died</t>
  </si>
  <si>
    <t>PEACE</t>
  </si>
  <si>
    <t>You Feel You Are at Peace With Your Thoughts and Feelings</t>
  </si>
  <si>
    <t>In general, how often do you feel you are at peace with your thoughts and feelings?</t>
  </si>
  <si>
    <t>PEOPLE_HELP</t>
  </si>
  <si>
    <t>You Could Count on People in Your Life to Help You if You Were in Trouble</t>
  </si>
  <si>
    <t>If you were in trouble, how often could you count on people in your life, like relatives or friends, to help you whenever you need them?</t>
  </si>
  <si>
    <t>0 = Never</t>
  </si>
  <si>
    <t>10 = Always</t>
  </si>
  <si>
    <t>PHYSICAL_HLTH</t>
  </si>
  <si>
    <t>Physical Health</t>
  </si>
  <si>
    <t>In general, how would you rate your physical health?</t>
  </si>
  <si>
    <t>0 = Poor physical health</t>
  </si>
  <si>
    <t>10 = Excellent physical health</t>
  </si>
  <si>
    <t>PRAY_MEDITATE</t>
  </si>
  <si>
    <t>How Often You Pray or Meditate</t>
  </si>
  <si>
    <t>How often do you pray or meditate?</t>
  </si>
  <si>
    <t>1 = More than once a day</t>
  </si>
  <si>
    <t>2 = About once a day</t>
  </si>
  <si>
    <t>3 = Sometimes</t>
  </si>
  <si>
    <t>PROMOTE_GOOD</t>
  </si>
  <si>
    <t>You Always Act to Promote Good in All Circumstances</t>
  </si>
  <si>
    <t>I always act to promote good in all circumstances, even in difficult and challenging situations.</t>
  </si>
  <si>
    <t>REL1</t>
  </si>
  <si>
    <t>Religion When Twelve Years Old</t>
  </si>
  <si>
    <t>What was your religion when you were 12 years old?</t>
  </si>
  <si>
    <t>1 = Christianity</t>
  </si>
  <si>
    <t>2 = Islam</t>
  </si>
  <si>
    <t>3 = Hinduism</t>
  </si>
  <si>
    <t>4 = Buddhism</t>
  </si>
  <si>
    <t>5 = Judaism</t>
  </si>
  <si>
    <t>6 = Sikhism</t>
  </si>
  <si>
    <t>7 = Baha’i</t>
  </si>
  <si>
    <t>8 = Jainism</t>
  </si>
  <si>
    <t>9 = Shinto</t>
  </si>
  <si>
    <t>10 = Taoism</t>
  </si>
  <si>
    <t>11 = Confucianism</t>
  </si>
  <si>
    <t>12 = Primal, Animist, or Folk religion</t>
  </si>
  <si>
    <t>13 = Spiritism</t>
  </si>
  <si>
    <t>14 = Umbanda, Candomblé, and other African-derived religions</t>
  </si>
  <si>
    <t>15 = Chinese folk/traditional religion</t>
  </si>
  <si>
    <t>96 = Some other religion</t>
  </si>
  <si>
    <t>97 = No religion/Atheist/Agnostic</t>
  </si>
  <si>
    <t>REL2</t>
  </si>
  <si>
    <t>Current Religion</t>
  </si>
  <si>
    <t>What is your current religion?</t>
  </si>
  <si>
    <t>REL3</t>
  </si>
  <si>
    <t>Christian Denomination or Church You Most Identify With</t>
  </si>
  <si>
    <t>Which of the following denominations or churches do you most identify with, if any?</t>
  </si>
  <si>
    <t>1 = Catholic</t>
  </si>
  <si>
    <t>2 = Orthodox</t>
  </si>
  <si>
    <t>3 = Anglican/Episcopal</t>
  </si>
  <si>
    <t>4 = Presbyterian/Reformed, such as [insert country specific examples]</t>
  </si>
  <si>
    <t>5 = Lutheran</t>
  </si>
  <si>
    <t>6 = Methodist</t>
  </si>
  <si>
    <t>7 = Baptist, such as [insert country specific examples]</t>
  </si>
  <si>
    <t>8 = Pentecostal/Charismatic denominations, such as [insert country specific examples]</t>
  </si>
  <si>
    <t>9 = Independent Church, Holiness, or Evangelical, such as [insert country specific examples]</t>
  </si>
  <si>
    <t>10 = Church of Jesus Christ of Latter-Day Saints/Other Mormon tradition</t>
  </si>
  <si>
    <t>11 = Jehovah’s Witness</t>
  </si>
  <si>
    <t>12 = Seventh Day Adventist</t>
  </si>
  <si>
    <t>13 = Prophetic, Ethiopian, or Zionist (AIC; African Initiated Church)</t>
  </si>
  <si>
    <t>96 = Some other denomination</t>
  </si>
  <si>
    <t>97 = No denomination in particular (just Christian/just Protestant)</t>
  </si>
  <si>
    <t>REL4</t>
  </si>
  <si>
    <t>Islam Sect or School You Most Identify With</t>
  </si>
  <si>
    <t>Which of the following sects or schools do you most identify with?</t>
  </si>
  <si>
    <t>1 = Sunni</t>
  </si>
  <si>
    <t>2 = Shi’a</t>
  </si>
  <si>
    <t>3 = Sufis</t>
  </si>
  <si>
    <t>4 = Bohra</t>
  </si>
  <si>
    <t>5 = Ahmadiyya</t>
  </si>
  <si>
    <t>6 = Khojas</t>
  </si>
  <si>
    <t>7 = Quranists</t>
  </si>
  <si>
    <t>8 = Alevi</t>
  </si>
  <si>
    <t>96 = Some other sect</t>
  </si>
  <si>
    <t>97 = No sect in particular (just Muslim)</t>
  </si>
  <si>
    <t>REL5</t>
  </si>
  <si>
    <t>Hindu Sect or Denomination You Most Identify With</t>
  </si>
  <si>
    <t>Which of the following sects or denominations do you most identify with?</t>
  </si>
  <si>
    <t>1 = Vaishnavite</t>
  </si>
  <si>
    <t>2 = Shaivite</t>
  </si>
  <si>
    <t>3 = Shakta</t>
  </si>
  <si>
    <t>4 = Smarta</t>
  </si>
  <si>
    <t>96 = Some other sect or denomination</t>
  </si>
  <si>
    <t>97 = No sect or denomination in particular (just Hindu)</t>
  </si>
  <si>
    <t>REL6</t>
  </si>
  <si>
    <t>Jewish Denomination or Tradition You Most Identify With</t>
  </si>
  <si>
    <t>Which of the following denominations or traditions do you most identify with?</t>
  </si>
  <si>
    <t>1 = Secular</t>
  </si>
  <si>
    <t>2 = Reform</t>
  </si>
  <si>
    <t>3 = Conservative</t>
  </si>
  <si>
    <t>4 = Orthodox</t>
  </si>
  <si>
    <t>5 = Non-Orthodox</t>
  </si>
  <si>
    <t>6 = Hiloni</t>
  </si>
  <si>
    <t>7 = Masorti lo dati</t>
  </si>
  <si>
    <t>8 = Masorti dati</t>
  </si>
  <si>
    <t>9 = Dati</t>
  </si>
  <si>
    <t>10 = Haredi</t>
  </si>
  <si>
    <t>96 = Some other denomination or tradition (Please specify)</t>
  </si>
  <si>
    <t>97 = No denomination or tradition in particular (just Jewish)</t>
  </si>
  <si>
    <t>REL7</t>
  </si>
  <si>
    <t>Best Described as Atheist, Agnostic, or Neither</t>
  </si>
  <si>
    <t>Which of the following best describes you?</t>
  </si>
  <si>
    <t>1 = Atheist – do not believe in any god</t>
  </si>
  <si>
    <t>2 = Agnostic – unsure whether a God or gods exist</t>
  </si>
  <si>
    <t>3 = Neither</t>
  </si>
  <si>
    <t>REL8</t>
  </si>
  <si>
    <t>Are You Spiritual, Religious, Both, or Neither</t>
  </si>
  <si>
    <t>Would you say you are spiritual, religious, both, or neither?</t>
  </si>
  <si>
    <t>1 = Spiritual</t>
  </si>
  <si>
    <t>2 = Religious</t>
  </si>
  <si>
    <t>3 = Both</t>
  </si>
  <si>
    <t>4 = Neither</t>
  </si>
  <si>
    <t>REL9</t>
  </si>
  <si>
    <t>Buddhist Sect You Most Identify With</t>
  </si>
  <si>
    <t>Which of the following sects do you most identify with?</t>
  </si>
  <si>
    <t>1 = Jodo sect (Honen)</t>
  </si>
  <si>
    <t>2 = Jodoshin sect (Shinran)</t>
  </si>
  <si>
    <t>3 = Rinzai sect (Eisai)</t>
  </si>
  <si>
    <t>4 = Soto sect (Dogen)</t>
  </si>
  <si>
    <t>5 = Ji sect (Ippen)</t>
  </si>
  <si>
    <t>6 = Hokke sect (the Nichiren sect, Nichiren)</t>
  </si>
  <si>
    <t>97 = No sect in particular</t>
  </si>
  <si>
    <t>REL_EXPERIENC</t>
  </si>
  <si>
    <t>Had a Profound Religious or Spiritual Awakening or Experience</t>
  </si>
  <si>
    <t>Have you had a profound religious or spiritual awakening or experience that changed the direction of your life, or not?</t>
  </si>
  <si>
    <t>REL_IMPORTANT</t>
  </si>
  <si>
    <t>Religion an Important Part of Your Daily Life</t>
  </si>
  <si>
    <t>Is religion an important part of your daily life?</t>
  </si>
  <si>
    <t>SACRED_TEXTS</t>
  </si>
  <si>
    <t>Read or Listen to Sacred Texts/Religious Literature</t>
  </si>
  <si>
    <t>How often do you read or listen to sacred texts or other religious literature?</t>
  </si>
  <si>
    <t>SAT_LIVE</t>
  </si>
  <si>
    <t>Satisfaction With City or Area Where You Live</t>
  </si>
  <si>
    <t>Are you satisfied or dissatisfied with the city or area where you live?</t>
  </si>
  <si>
    <t>1 = Satisfied</t>
  </si>
  <si>
    <t>2 = Dissatisfied</t>
  </si>
  <si>
    <t>SAT_RELATNSHP</t>
  </si>
  <si>
    <t>Your Relationships Are as Satisfying As You Want Them to Be</t>
  </si>
  <si>
    <t>My relationships are as satisfying as I would want them to be.</t>
  </si>
  <si>
    <t>SAY_IN_GOVT</t>
  </si>
  <si>
    <t>People Like You Have a Say About What the Government Does</t>
  </si>
  <si>
    <t>Do you agree or disagree with the following statement? People like me have a say about what the government does.</t>
  </si>
  <si>
    <t>SHOW_LOVE</t>
  </si>
  <si>
    <t>You Show Someone in Your Life You Love or Care for Them</t>
  </si>
  <si>
    <t>How often do you show someone in your life that you love or care for them?</t>
  </si>
  <si>
    <t>SUFFERING</t>
  </si>
  <si>
    <t>The Extent to Which You Are Suffering</t>
  </si>
  <si>
    <t>To what extent are you suffering? This can be any type of physical or mental suffering.</t>
  </si>
  <si>
    <t>SVCS_12YRS</t>
  </si>
  <si>
    <t>How Often You Attended Religious Services or Worshiped When You Were Around 12 Years Old</t>
  </si>
  <si>
    <t>How often did you attend religious services or worship at a temple, mosque, shrine, church, or other religious building when you were around 12 years old?</t>
  </si>
  <si>
    <t>1 = At least once a week</t>
  </si>
  <si>
    <t>2 = One to three times a month</t>
  </si>
  <si>
    <t>3 = Less than once a month</t>
  </si>
  <si>
    <t>SVCS_FATHER</t>
  </si>
  <si>
    <t>How Often Your Father Attended Religious Services or Worshiped When You Were Around 12 Years Old</t>
  </si>
  <si>
    <t>How often did your father attend religious services or worship at a temple, mosque, shrine, church, or other religious building when you were around 12 years old?</t>
  </si>
  <si>
    <t>SVCS_MOTHER</t>
  </si>
  <si>
    <t>How Often Your Mother Attended Religious Services or Worshiped When You Were Around 12 Years Old</t>
  </si>
  <si>
    <t>How often did your mother attend religious services or worship at a temple, mosque, shrine, church, or other religious building when you were around 12 years old?</t>
  </si>
  <si>
    <t>TEACHINGS_1</t>
  </si>
  <si>
    <t>The Teachings of Christianity Are Very Important in Your Life (Christianity Identified as Current Religion)</t>
  </si>
  <si>
    <t>To what extent do you agree or disagree with the following statement: The teachings of Christianity are very important in my life.</t>
  </si>
  <si>
    <t>TEACHINGS_2</t>
  </si>
  <si>
    <t>The Teachings of Islam Are Very Important in Your Life (Islam Identified as Current Religion)</t>
  </si>
  <si>
    <t>To what extent do you agree or disagree with the following statement: The teachings of Islam are very important in my life.</t>
  </si>
  <si>
    <t>TEACHINGS_3</t>
  </si>
  <si>
    <t>The Teachings of Hinduism Are Very Important in Your Life (Hinduism Identified as Current Religion)</t>
  </si>
  <si>
    <t>To what extent do you agree or disagree with the following statement: The teachings of Hinduism are very important in my life.</t>
  </si>
  <si>
    <t>TEACHINGS_4</t>
  </si>
  <si>
    <t>The Teachings of Buddhism Are Very Important in Your Life (Buddhism Identified as Current Religion)</t>
  </si>
  <si>
    <t>To what extent do you agree or disagree with the following statement: The teachings of Buddhism are very important in my life.</t>
  </si>
  <si>
    <t>TEACHINGS_5</t>
  </si>
  <si>
    <t>The Teachings of Judaism Are Very Important in Your Life (Judaism Identified as Current Religion)</t>
  </si>
  <si>
    <t>To what extent do you agree or disagree with the following statement: The teachings of Judaism are very important in my life.</t>
  </si>
  <si>
    <t>TEACHINGS_6</t>
  </si>
  <si>
    <t>The Teachings of Sikhism Are Very Important in Your Life (Sikhism Identified as Current Religion)</t>
  </si>
  <si>
    <t>To what extent do you agree or disagree with the following statement: The teachings of Sikhism are very important in my life.</t>
  </si>
  <si>
    <t>TEACHINGS_7</t>
  </si>
  <si>
    <t>The Teachings of Baha'i Are Very Important in Your Life (Baha'i Identified as Current Religion)</t>
  </si>
  <si>
    <t>To what extent do you agree or disagree with the following statement: The teachings of Baha'i are very important in my life.</t>
  </si>
  <si>
    <t>TEACHINGS_8</t>
  </si>
  <si>
    <t>The Teachings of Jainism Are Very Important in Your Life (Jainism Identified as Current Religion)</t>
  </si>
  <si>
    <t>To what extent do you agree or disagree with the following statement: The teachings of Jainism are very important in my life.</t>
  </si>
  <si>
    <t>TEACHINGS_9</t>
  </si>
  <si>
    <t>The Teachings of Shinto Are Very Important in Your Life (Shinto Identified as Current Religion)</t>
  </si>
  <si>
    <t>To what extent do you agree or disagree with the following statement: The teachings of Shinto are very important in my life.</t>
  </si>
  <si>
    <t>TEACHINGS_10</t>
  </si>
  <si>
    <t>The Teachings of Taoism Are Very Important in Your Life (Taoism Identified as Current Religion)</t>
  </si>
  <si>
    <t>To what extent do you agree or disagree with the following statement: The teachings of Taoism are very important in my life.</t>
  </si>
  <si>
    <t>TEACHINGS_11</t>
  </si>
  <si>
    <t>The Teachings of Confucianism Are Very Important in Your Life (Confucianism Identified as Current Religion)</t>
  </si>
  <si>
    <t>To what extent do you agree or disagree with the following statement: The teachings of Confucianism are very important in my life.</t>
  </si>
  <si>
    <t>TEACHINGS_12</t>
  </si>
  <si>
    <t>The Teachings of Primal, Animist, or Folk Religion Are Very Important in Your Life (Primal, Animist, or Folk Identified as Current Religion)</t>
  </si>
  <si>
    <t>To what extent do you agree or disagree with the following statement: The teachings of Primal, Animist, or Folk religion are very important in my life.</t>
  </si>
  <si>
    <t>TEACHINGS_13</t>
  </si>
  <si>
    <t>The Teachings of Spiritism Are Very Important in Your Life (Spiritism Identified as Current Religion)</t>
  </si>
  <si>
    <t>To what extent do you agree or disagree with the following statement: The teachings of Spiritism are very important in my life.</t>
  </si>
  <si>
    <t>TEACHINGS_14</t>
  </si>
  <si>
    <t>The Teachings of African-Derived Religions Are Very Important in Your Life (African‑Derived Religions Identified as Current Religion)</t>
  </si>
  <si>
    <t>To what extent do you agree or disagree with the following statement: The teachings of Umbanda, Candomblé, and other African-derived religions are very important in my life.</t>
  </si>
  <si>
    <t>TEACHINGS_15</t>
  </si>
  <si>
    <t>The Teachings of Chinese Folk/Traditional Religion are Very Important in Your Life (Chinese Folk/Traditional Religion Identified as Current Religion)</t>
  </si>
  <si>
    <t>To what extent do you agree or disagree with the following statement: The teachings of Chinese folk/traditional religion are very important in my life.</t>
  </si>
  <si>
    <t>TELL_BELIEFS</t>
  </si>
  <si>
    <t>You Tell Other People About Your Religion or Spirituality Even When They Have Different Beliefs</t>
  </si>
  <si>
    <t>I tell other people about my religion or spirituality even when they have different beliefs.</t>
  </si>
  <si>
    <t>THREAT_LIFE</t>
  </si>
  <si>
    <t>How Much You've Been Bothered by the Biggest Threat to Life You've Witnessed or Experienced</t>
  </si>
  <si>
    <t>Think about the biggest threat to life you’ve ever witnessed or experienced first-hand during your life. In the past month, how much have you been bothered by this experience?</t>
  </si>
  <si>
    <t>TRAITS1</t>
  </si>
  <si>
    <t>Pair of Traits Applies To You: Extroverted, Enthusiastic</t>
  </si>
  <si>
    <t>Extroverted, enthusiastic</t>
  </si>
  <si>
    <t>1 = Agree strongly</t>
  </si>
  <si>
    <t>2 = Agree moderately</t>
  </si>
  <si>
    <t>3 = Agree a little</t>
  </si>
  <si>
    <t>4 = Neither agree nor disagree</t>
  </si>
  <si>
    <t>5 = Disagree a little</t>
  </si>
  <si>
    <t>6 = Disagree moderately</t>
  </si>
  <si>
    <t>7 = Disagree strongly</t>
  </si>
  <si>
    <t>TRAITS2</t>
  </si>
  <si>
    <t>Pair of Traits Applies To You: Critical, Quarrelsome</t>
  </si>
  <si>
    <t>Critical, quarrelsome</t>
  </si>
  <si>
    <t>TRAITS3</t>
  </si>
  <si>
    <t>Pair of Traits Applies To You: Dependable, Self-disciplined</t>
  </si>
  <si>
    <t>Dependable, self-disciplined</t>
  </si>
  <si>
    <t>TRAITS4</t>
  </si>
  <si>
    <t>Pair of Traits Applies To You: Anxious, Easily Upset</t>
  </si>
  <si>
    <t>Anxious, easily upset</t>
  </si>
  <si>
    <t>TRAITS5</t>
  </si>
  <si>
    <t>Pair of Traits Applies To You: Open to New Experiences, Complex</t>
  </si>
  <si>
    <t>Open to new experiences, complex</t>
  </si>
  <si>
    <t>TRAITS6</t>
  </si>
  <si>
    <t>Pair of Traits Applies To You: Reserved, Quiet</t>
  </si>
  <si>
    <t>Reserved, quiet</t>
  </si>
  <si>
    <t>TRAITS7</t>
  </si>
  <si>
    <t>Pair of Traits Applies To You: Sympathetic, Warm</t>
  </si>
  <si>
    <t>Sympathetic, warm</t>
  </si>
  <si>
    <t>TRAITS8</t>
  </si>
  <si>
    <t>Pair of Traits Applies To You: Disorganized, Careless</t>
  </si>
  <si>
    <t>Disorganized, careless</t>
  </si>
  <si>
    <t>TRAITS9</t>
  </si>
  <si>
    <t>Pair of Traits Applies To You: Calm, Emotionally Stable</t>
  </si>
  <si>
    <t>Calm, emotionally stable</t>
  </si>
  <si>
    <t>TRAITS10</t>
  </si>
  <si>
    <t>Pair of Traits Applies To You: Conventional, Uncreative</t>
  </si>
  <si>
    <t>Conventional, uncreative</t>
  </si>
  <si>
    <t>TRUST_PEOPLE</t>
  </si>
  <si>
    <t>People in This Country Trust One Another</t>
  </si>
  <si>
    <t>How many people in this country trust one another?</t>
  </si>
  <si>
    <t>1 = All</t>
  </si>
  <si>
    <t>2 = Most</t>
  </si>
  <si>
    <t>3 = Some</t>
  </si>
  <si>
    <t>4 = Not very many</t>
  </si>
  <si>
    <t>5 = None</t>
  </si>
  <si>
    <t>VOLUNTEERED</t>
  </si>
  <si>
    <t>Volunteered Your Time to an Organization in Past Month</t>
  </si>
  <si>
    <t>In the past month, have you volunteered your time to an organization?</t>
  </si>
  <si>
    <t>WB_FIVEYRS</t>
  </si>
  <si>
    <t>Life Evaluation: Five Years From Now</t>
  </si>
  <si>
    <t>Just your best guess, on which step do you think you will stand in the future, say about five years from now?</t>
  </si>
  <si>
    <t>0 = Worst possible</t>
  </si>
  <si>
    <t>10 = Best possible</t>
  </si>
  <si>
    <t>WB_TODAY</t>
  </si>
  <si>
    <t>Life Evaluation: Today</t>
  </si>
  <si>
    <t>On which step of the ladder would you say you personally feel you stand at this time?</t>
  </si>
  <si>
    <t>WORRY_SAFETY</t>
  </si>
  <si>
    <t>Worry About Safety, Food, or Housing</t>
  </si>
  <si>
    <t>How often do you worry about safety, food, or housing?</t>
  </si>
  <si>
    <t>WORTHWHILE</t>
  </si>
  <si>
    <t>The Things You Do in Your Life Are Worthwhile</t>
  </si>
  <si>
    <t>Overall, to what extent do you feel the things you do in your life are worthwhile?</t>
  </si>
  <si>
    <t>0 = Not at all worthwhile</t>
  </si>
  <si>
    <t>10 = Completely worthwhile</t>
  </si>
  <si>
    <t>System Variables:</t>
  </si>
  <si>
    <t>ANNUAL_WEIGHT1</t>
  </si>
  <si>
    <t>Annual Weight Year 1</t>
  </si>
  <si>
    <t>COUNTRY</t>
  </si>
  <si>
    <t>Country of Respondent</t>
  </si>
  <si>
    <t>1 = Argentina</t>
  </si>
  <si>
    <t>2 = Australia</t>
  </si>
  <si>
    <t>3 = Brazil</t>
  </si>
  <si>
    <t>4 = Egypt</t>
  </si>
  <si>
    <t>5 = Germany</t>
  </si>
  <si>
    <t>6 = India</t>
  </si>
  <si>
    <t>7 = Indonesia</t>
  </si>
  <si>
    <t>8 = Israel</t>
  </si>
  <si>
    <t>9 = Japan</t>
  </si>
  <si>
    <t>10 = Kenya</t>
  </si>
  <si>
    <t>11 = Mexico</t>
  </si>
  <si>
    <t>12 = Nigeria</t>
  </si>
  <si>
    <t>13 = Philippines</t>
  </si>
  <si>
    <t>14 = Poland</t>
  </si>
  <si>
    <t>16 = South Africa</t>
  </si>
  <si>
    <t>17 = Spain</t>
  </si>
  <si>
    <t>18 = Tanzania</t>
  </si>
  <si>
    <t>19 = Turkey</t>
  </si>
  <si>
    <t>20 = United Kingdom</t>
  </si>
  <si>
    <t>22 = United States</t>
  </si>
  <si>
    <t>23 = Sweden</t>
  </si>
  <si>
    <t>24 = Hong Kong</t>
  </si>
  <si>
    <t>DOI_ANNUAL</t>
  </si>
  <si>
    <t>End Date of Interview - Annual Survey</t>
  </si>
  <si>
    <t>DOI_RECRUIT</t>
  </si>
  <si>
    <t>End Date of Interview - Recruit Survey</t>
  </si>
  <si>
    <t>FULL_PARTIAL</t>
  </si>
  <si>
    <t>Completion Status:</t>
  </si>
  <si>
    <t>1 = Full Complete</t>
  </si>
  <si>
    <t>2 = Partial Complete</t>
  </si>
  <si>
    <t>ID</t>
  </si>
  <si>
    <t>PSU</t>
  </si>
  <si>
    <t>RECRUIT_TYPE</t>
  </si>
  <si>
    <t>Recruit Type</t>
  </si>
  <si>
    <t>1 = Separate Recruitment and Annual Surveys</t>
  </si>
  <si>
    <t>2 = Combined Recruitment and Annual Surveys</t>
  </si>
  <si>
    <t>STRATA</t>
  </si>
  <si>
    <t>Strata</t>
  </si>
  <si>
    <t>WAVE</t>
  </si>
  <si>
    <t>1 = Year 1</t>
  </si>
  <si>
    <t>Demographic Variables:</t>
  </si>
  <si>
    <t>AGE</t>
  </si>
  <si>
    <t>Age of Respondent</t>
  </si>
  <si>
    <t>What is your age? Please enter your age below.</t>
  </si>
  <si>
    <t>99 = 99+</t>
  </si>
  <si>
    <t>998 = (DK)</t>
  </si>
  <si>
    <t>999 = (Refused)</t>
  </si>
  <si>
    <t>BORN_COUNTRY</t>
  </si>
  <si>
    <t>Born in This Country</t>
  </si>
  <si>
    <t>Were you born in this country, or not?</t>
  </si>
  <si>
    <t>1 = Born in this country</t>
  </si>
  <si>
    <t>2 = Born in another country</t>
  </si>
  <si>
    <t>EDUCATION_3</t>
  </si>
  <si>
    <t>Highest Completed Level of Education (Three Levels)</t>
  </si>
  <si>
    <t>1 = Completed elementary education or less (up to 8 years of basic education)</t>
  </si>
  <si>
    <t>2 = Secondary - 3 year TertiarySecondary education and some education beyond secondary education (9-15 years of education)</t>
  </si>
  <si>
    <t>3 = Completed four years of education beyond high school and/or recieved a 4-year college degree.</t>
  </si>
  <si>
    <t>99 = (RF)</t>
  </si>
  <si>
    <t>EMPLOYMENT</t>
  </si>
  <si>
    <t>Employment Status</t>
  </si>
  <si>
    <t>Which of the following best describes your employment status? If you have more than one job, please answer for your primary job.</t>
  </si>
  <si>
    <t>1 = Employed for an employer</t>
  </si>
  <si>
    <t>2 = Self-employed</t>
  </si>
  <si>
    <t>3 = Retired</t>
  </si>
  <si>
    <t>4 = Student</t>
  </si>
  <si>
    <t>5 = Homemaker</t>
  </si>
  <si>
    <t>6 = Unemployed and looking for a job</t>
  </si>
  <si>
    <t>7 = None of these/Other</t>
  </si>
  <si>
    <t>GENDER</t>
  </si>
  <si>
    <t>Gender of Respondent</t>
  </si>
  <si>
    <t>What is your gender?</t>
  </si>
  <si>
    <t>1 = Male</t>
  </si>
  <si>
    <t>2 = Female</t>
  </si>
  <si>
    <t>3 = Other</t>
  </si>
  <si>
    <t>4 = Prefer not to answer</t>
  </si>
  <si>
    <t>INCOME_FEELINGS</t>
  </si>
  <si>
    <t>Feelings About Household Income</t>
  </si>
  <si>
    <t>Which one of these phrases comes closest to your own feelings about your household's income these days?</t>
  </si>
  <si>
    <t>1 = Living comfortably on present income</t>
  </si>
  <si>
    <t>2 = Getting by on present income</t>
  </si>
  <si>
    <t>3 = Finding it difficult on present income</t>
  </si>
  <si>
    <t>4 = Finding it very difficult on present income</t>
  </si>
  <si>
    <t>MARITAL_STATUS</t>
  </si>
  <si>
    <t>Marital Status</t>
  </si>
  <si>
    <t>What is your current marital status?</t>
  </si>
  <si>
    <t>1 = Single/Never been married</t>
  </si>
  <si>
    <t>2 = Married</t>
  </si>
  <si>
    <t>3 = Separated</t>
  </si>
  <si>
    <t>4 = Divorced</t>
  </si>
  <si>
    <t>5 = Widowed</t>
  </si>
  <si>
    <t>6 = Domestic partner</t>
  </si>
  <si>
    <t>NUM_CHILDREN</t>
  </si>
  <si>
    <t>Number of Children Under 18 Years of Age in Household</t>
  </si>
  <si>
    <t>How many children under 18 years of age are now living in your household?</t>
  </si>
  <si>
    <t>0 = None</t>
  </si>
  <si>
    <t>NUM_HOUSEHOLD</t>
  </si>
  <si>
    <t>Number of People 18 or Older Who Currently Live In Household</t>
  </si>
  <si>
    <t>Including yourself, how many people, age 18 or older, currently live in your household? Please only think about people, age 18 or older, who live in your household most of the time.</t>
  </si>
  <si>
    <t>96 = 96+</t>
  </si>
  <si>
    <t>OWN_RENT_HOME</t>
  </si>
  <si>
    <t>Rent or Own the Home You Live in</t>
  </si>
  <si>
    <t>Which of the following best describes the home you live in?</t>
  </si>
  <si>
    <t>1 = Someone in this household OWNS this home</t>
  </si>
  <si>
    <t>2 = Someone in this household RENTS this home</t>
  </si>
  <si>
    <t>5 = Rent</t>
  </si>
  <si>
    <t>6 = Own</t>
  </si>
  <si>
    <t>7 = Something else</t>
  </si>
  <si>
    <t>URBAN_RURAL</t>
  </si>
  <si>
    <t>Urban/Rural</t>
  </si>
  <si>
    <t>Do you live in…?</t>
  </si>
  <si>
    <t>1 = A rural area or on a farm</t>
  </si>
  <si>
    <t>2 = A small town or village</t>
  </si>
  <si>
    <t>3 = A large city</t>
  </si>
  <si>
    <t>4 = A suburb of a large city</t>
  </si>
  <si>
    <t>Supplementary Table 2. Item name, wording, and response coding in the original questionnaire</t>
  </si>
  <si>
    <t>Wellbeing outcomes, full set used in flourishing index</t>
  </si>
  <si>
    <t>Parental and self-religiosity items</t>
  </si>
  <si>
    <t>REsvcs_father</t>
  </si>
  <si>
    <t>REsvcs_mother</t>
  </si>
  <si>
    <t>child_poverty1</t>
  </si>
  <si>
    <t>child_poverty2</t>
  </si>
  <si>
    <t>child_poverty3</t>
  </si>
  <si>
    <t>child_poverty4</t>
  </si>
  <si>
    <t>parents_married</t>
  </si>
  <si>
    <t>never_married</t>
  </si>
  <si>
    <t>three_plus_children</t>
  </si>
  <si>
    <t>Subset of wellbeing outcomes, recoded for clarity</t>
  </si>
  <si>
    <t>Parent-child relationship items, tabulated for clarity</t>
  </si>
  <si>
    <t>Supplementary Table 3: Factor loadings for principal factor anlaysis, with oblique rotation and oblimin set to zero. Eigenvalues are 10.3, 6.1, 5.0, and 4.3.</t>
  </si>
  <si>
    <t>Supplementary Table 4: Items comprising the flourishing index (factor 1) sorted by their loading. Loadings for factor 2 are shown for comparison. Alpha=0.93 for the 19 retained items.</t>
  </si>
  <si>
    <t>Supplementary Table 5: Items comprising the internalized mental health index (factor 2) sorted by their loading. Loadings for factor 1 are shown for comparison. Alpha=.84 for the 7 retained items.</t>
  </si>
  <si>
    <t>Note: please see the "ST2" tab for full text of each item</t>
  </si>
  <si>
    <t>Supplementary Table 6: Items comprising the Parent-child Relationship Quality Index (PCRQ) sorted by their loading. Alpha=.70 for the 5 retained items.</t>
  </si>
  <si>
    <t>Supplementary Table 7: Items comprising the parental religiosity index. Alpha=.67 for the 3 items.</t>
  </si>
  <si>
    <t>Supplementary Table 8: Items comprising the respondent religiosity index. Alpha=.61 for the 3 items.</t>
  </si>
  <si>
    <t>Supplementary Table 9: Summary statistics of individual-level variables used from Global Flourishing Study</t>
  </si>
  <si>
    <t>Supplementary Table 10: Country-level summary statistics</t>
  </si>
  <si>
    <t>Supplementary Table 11. Full results of multilevel model estimation, predicting flourishing index and internalized mental health index using parent-child relationship quality index with and without demographic controls and country-level variables. PCRQ, flourishing, and mental health are standardized to have mean of 0 and standard deviation of 1.</t>
  </si>
  <si>
    <t>Supplementary Table 12. T-statistics of full results of multilevel model estimation, predicting flourishing index and internalized mental health index using parent-child relationship quality index with and without demographic controls and country-level variables. PCRQ, flourishing, and mental health are standardized to have mean of 0 and standard deviation of 1.</t>
  </si>
  <si>
    <t>Supplementary Table 13. Full results of multilevel model estimation, predicting parent-child relationship quality index with and without demographic controls and country-level variables.  PCRQ and parental religiosity are standardized to have a mean of 0 and standard deviation of 1.</t>
  </si>
  <si>
    <t>Supplementary Table 14. T-statistics for full results of multilevel model estimation, predicting parent-child relationship quality index with and without demographic controls and country-level variables.  PCRQ and parental religiosity are standardized to have a mean of 0 and standard deviation of 1.</t>
  </si>
  <si>
    <t>Supplementary Table 15: country-level effect sizes of PCRQ on flourishing and parental religiosity on PCRQ</t>
  </si>
  <si>
    <t>country_name</t>
  </si>
  <si>
    <t>Nfl</t>
  </si>
  <si>
    <t>mlove_yes_raw</t>
  </si>
  <si>
    <t>mlove_no_raw</t>
  </si>
  <si>
    <t>mlove_no_mom_raw</t>
  </si>
  <si>
    <t>flove_yes_raw</t>
  </si>
  <si>
    <t>flove_no_raw</t>
  </si>
  <si>
    <t>flove_no_dad_raw</t>
  </si>
  <si>
    <t>bothered_by_anxiety</t>
  </si>
  <si>
    <t>gdp_pc_max2020_22</t>
  </si>
  <si>
    <t>Unfamiliar with mother while growing up</t>
  </si>
  <si>
    <t>HOPE</t>
  </si>
  <si>
    <t>ACCEPTED_BY_GOD</t>
  </si>
  <si>
    <t>FINANCIAL</t>
  </si>
  <si>
    <t>parent_relig_index</t>
  </si>
  <si>
    <t>self_relig_index</t>
  </si>
  <si>
    <t>gdp</t>
  </si>
  <si>
    <t>B1</t>
  </si>
  <si>
    <t>B2</t>
  </si>
  <si>
    <t>SE1</t>
  </si>
  <si>
    <t>SE2</t>
  </si>
  <si>
    <t>T1</t>
  </si>
  <si>
    <t>T2</t>
  </si>
  <si>
    <t>UP1</t>
  </si>
  <si>
    <t>LO1</t>
  </si>
  <si>
    <t>UP2</t>
  </si>
  <si>
    <t>LO2</t>
  </si>
  <si>
    <t>iso</t>
  </si>
  <si>
    <t>country_num</t>
  </si>
  <si>
    <t>v2x_polyarchy</t>
  </si>
  <si>
    <t>zwvs_traditional</t>
  </si>
  <si>
    <t>zwps_index</t>
  </si>
  <si>
    <t>lngdp</t>
  </si>
  <si>
    <t>zmort_rate</t>
  </si>
  <si>
    <t>wps_education</t>
  </si>
  <si>
    <t>wps_employment</t>
  </si>
  <si>
    <t>wps_fin_inclusion</t>
  </si>
  <si>
    <t>wps_cell_phone</t>
  </si>
  <si>
    <t>wps_parliament</t>
  </si>
  <si>
    <t>wps_no_legal_discrimination</t>
  </si>
  <si>
    <t>wps_justice</t>
  </si>
  <si>
    <t>wps_mortality_ratio</t>
  </si>
  <si>
    <t>wps_son_bias</t>
  </si>
  <si>
    <t>wps_partner_violence</t>
  </si>
  <si>
    <t>wps_safety</t>
  </si>
  <si>
    <t>wps_terrorism</t>
  </si>
  <si>
    <t>wps_conflict</t>
  </si>
  <si>
    <t>parent_died</t>
  </si>
  <si>
    <t>flove_no_dad</t>
  </si>
  <si>
    <t>mlove_no_mom</t>
  </si>
  <si>
    <t>child_poverty</t>
  </si>
  <si>
    <t>ARG</t>
  </si>
  <si>
    <t>AUS</t>
  </si>
  <si>
    <t>BRA</t>
  </si>
  <si>
    <t>EGY</t>
  </si>
  <si>
    <t>DEU</t>
  </si>
  <si>
    <t>IND</t>
  </si>
  <si>
    <t>IDN</t>
  </si>
  <si>
    <t>ISR</t>
  </si>
  <si>
    <t>JPN</t>
  </si>
  <si>
    <t>KEN</t>
  </si>
  <si>
    <t>MEX</t>
  </si>
  <si>
    <t>NGA</t>
  </si>
  <si>
    <t>PHL</t>
  </si>
  <si>
    <t>POL</t>
  </si>
  <si>
    <t>ZAF</t>
  </si>
  <si>
    <t>ESP</t>
  </si>
  <si>
    <t>TZA</t>
  </si>
  <si>
    <t>TUR</t>
  </si>
  <si>
    <t>GBR</t>
  </si>
  <si>
    <t>USA</t>
  </si>
  <si>
    <t>SWE</t>
  </si>
  <si>
    <t>HKG</t>
  </si>
  <si>
    <t>Cor(GDP, Flourishing)</t>
  </si>
  <si>
    <t>Cor(GDP, PCRQ)</t>
  </si>
  <si>
    <t>Cor(GDP, Internalized health)</t>
  </si>
  <si>
    <t>Cor(GDP, Financial security)</t>
  </si>
  <si>
    <t>GDP per capita, USD PPP-adjusted</t>
  </si>
  <si>
    <t>Thriving in wellbeing, (7+ on current life evaluation, 8+ on future)</t>
  </si>
  <si>
    <t>Cor(GDP, percent thriving in wellbeing)</t>
  </si>
  <si>
    <t>Cor(Flourishing, thriving)</t>
  </si>
  <si>
    <t>Electoral Democracy index</t>
  </si>
  <si>
    <t>Secular values index</t>
  </si>
  <si>
    <t>Women's peace and security index</t>
  </si>
  <si>
    <t>Cor(Flourishing, secular index)</t>
  </si>
  <si>
    <t>Cor(PCRQ, secular index)</t>
  </si>
  <si>
    <t>Selected correlations</t>
  </si>
  <si>
    <t>ST1</t>
  </si>
  <si>
    <t>ST2</t>
  </si>
  <si>
    <t>ST3</t>
  </si>
  <si>
    <t>ST4</t>
  </si>
  <si>
    <t>ST5</t>
  </si>
  <si>
    <t>ST6</t>
  </si>
  <si>
    <t>ST7</t>
  </si>
  <si>
    <t>ST8</t>
  </si>
  <si>
    <t>ST9</t>
  </si>
  <si>
    <t>ST10</t>
  </si>
  <si>
    <t>ST11</t>
  </si>
  <si>
    <t>ST12</t>
  </si>
  <si>
    <t>ST13</t>
  </si>
  <si>
    <t>ST14</t>
  </si>
  <si>
    <t>ST15</t>
  </si>
  <si>
    <t>Suppmentary Table 1. Meta data for the Global Flourishing Study</t>
  </si>
  <si>
    <t>Supplementary Table 15: Country-level effect sizes of PCRQ on flourishing and parental religiosity on PCRQ</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</si>
</sst>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quot;$&quot;#,##0"/>
    <numFmt numFmtId="166" formatCode="0.0%"/>
  </numFmts>
  <fonts count="14" x14ac:knownFonts="1">
    <font>
      <sz val="11"/>
      <color theme="1"/>
      <name val="Aptos Narrow"/>
      <family val="2"/>
      <scheme val="minor"/>
    </font>
    <font>
      <sz val="11"/>
      <color theme="1"/>
      <name val="Aptos Narrow"/>
      <family val="2"/>
      <scheme val="minor"/>
    </font>
    <font>
      <b/>
      <sz val="11"/>
      <color theme="1"/>
      <name val="Aptos Narrow"/>
      <family val="2"/>
      <scheme val="minor"/>
    </font>
    <font>
      <b/>
      <sz val="11"/>
      <color theme="1"/>
      <name val="Arial"/>
      <family val="2"/>
    </font>
    <font>
      <sz val="11"/>
      <color theme="1"/>
      <name val="Arial"/>
      <family val="2"/>
    </font>
    <font>
      <sz val="11"/>
      <name val="Arial"/>
      <family val="2"/>
    </font>
    <font>
      <sz val="11"/>
      <color rgb="FF23282A"/>
      <name val="Arial"/>
      <family val="2"/>
    </font>
    <font>
      <sz val="11"/>
      <color theme="2" tint="-0.499984740745262"/>
      <name val="Aptos Narrow"/>
      <family val="2"/>
      <scheme val="minor"/>
    </font>
    <font>
      <b/>
      <sz val="11"/>
      <color theme="9" tint="-0.249977111117893"/>
      <name val="Aptos Narrow"/>
      <family val="2"/>
      <scheme val="minor"/>
    </font>
    <font>
      <sz val="11"/>
      <color theme="1" tint="0.499984740745262"/>
      <name val="Aptos Narrow"/>
      <family val="2"/>
      <scheme val="minor"/>
    </font>
    <font>
      <i/>
      <sz val="11"/>
      <color theme="1"/>
      <name val="Aptos Narrow"/>
      <family val="2"/>
      <scheme val="minor"/>
    </font>
    <font>
      <b/>
      <sz val="11"/>
      <color theme="2" tint="-0.499984740745262"/>
      <name val="Aptos Narrow"/>
      <family val="2"/>
      <scheme val="minor"/>
    </font>
    <font>
      <b/>
      <sz val="11"/>
      <color theme="1" tint="0.499984740745262"/>
      <name val="Aptos Narrow"/>
      <family val="2"/>
      <scheme val="minor"/>
    </font>
    <font>
      <sz val="8"/>
      <name val="Aptos Narrow"/>
      <family val="2"/>
      <scheme val="minor"/>
    </font>
  </fonts>
  <fills count="5">
    <fill>
      <patternFill patternType="none"/>
    </fill>
    <fill>
      <patternFill patternType="gray125"/>
    </fill>
    <fill>
      <patternFill patternType="solid">
        <fgColor rgb="FFEEEEEE"/>
        <bgColor indexed="64"/>
      </patternFill>
    </fill>
    <fill>
      <patternFill patternType="solid">
        <fgColor theme="2"/>
        <bgColor indexed="64"/>
      </patternFill>
    </fill>
    <fill>
      <patternFill patternType="solid">
        <fgColor theme="7" tint="0.79998168889431442"/>
        <bgColor indexed="64"/>
      </patternFill>
    </fill>
  </fills>
  <borders count="23">
    <border>
      <left/>
      <right/>
      <top/>
      <bottom/>
      <diagonal/>
    </border>
    <border>
      <left style="medium">
        <color rgb="FF23282A"/>
      </left>
      <right style="medium">
        <color rgb="FFA9B8C3"/>
      </right>
      <top style="medium">
        <color rgb="FF23282A"/>
      </top>
      <bottom/>
      <diagonal/>
    </border>
    <border>
      <left style="medium">
        <color rgb="FF23282A"/>
      </left>
      <right style="medium">
        <color rgb="FFA9B8C3"/>
      </right>
      <top/>
      <bottom/>
      <diagonal/>
    </border>
    <border>
      <left style="medium">
        <color rgb="FF23282A"/>
      </left>
      <right style="medium">
        <color rgb="FFA9B8C3"/>
      </right>
      <top/>
      <bottom style="medium">
        <color rgb="FF23282A"/>
      </bottom>
      <diagonal/>
    </border>
    <border>
      <left/>
      <right style="medium">
        <color rgb="FFA9B8C3"/>
      </right>
      <top style="medium">
        <color rgb="FF23282A"/>
      </top>
      <bottom/>
      <diagonal/>
    </border>
    <border>
      <left/>
      <right style="medium">
        <color rgb="FFA9B8C3"/>
      </right>
      <top/>
      <bottom/>
      <diagonal/>
    </border>
    <border>
      <left/>
      <right style="medium">
        <color rgb="FFA9B8C3"/>
      </right>
      <top/>
      <bottom style="medium">
        <color rgb="FF23282A"/>
      </bottom>
      <diagonal/>
    </border>
    <border>
      <left/>
      <right style="medium">
        <color rgb="FFA9B8C3"/>
      </right>
      <top/>
      <bottom style="medium">
        <color rgb="FFA9B8C3"/>
      </bottom>
      <diagonal/>
    </border>
    <border>
      <left/>
      <right style="medium">
        <color rgb="FF23282A"/>
      </right>
      <top style="medium">
        <color rgb="FF23282A"/>
      </top>
      <bottom/>
      <diagonal/>
    </border>
    <border>
      <left/>
      <right style="medium">
        <color rgb="FF23282A"/>
      </right>
      <top/>
      <bottom/>
      <diagonal/>
    </border>
    <border>
      <left/>
      <right style="medium">
        <color rgb="FF23282A"/>
      </right>
      <top/>
      <bottom style="medium">
        <color rgb="FF23282A"/>
      </bottom>
      <diagonal/>
    </border>
    <border>
      <left style="medium">
        <color rgb="FF23282A"/>
      </left>
      <right style="medium">
        <color rgb="FF23282A"/>
      </right>
      <top/>
      <bottom style="medium">
        <color rgb="FF23282A"/>
      </bottom>
      <diagonal/>
    </border>
    <border>
      <left style="medium">
        <color rgb="FF23282A"/>
      </left>
      <right style="medium">
        <color rgb="FF23282A"/>
      </right>
      <top/>
      <bottom/>
      <diagonal/>
    </border>
    <border>
      <left style="medium">
        <color rgb="FFA9B8C3"/>
      </left>
      <right/>
      <top style="medium">
        <color rgb="FF23282A"/>
      </top>
      <bottom/>
      <diagonal/>
    </border>
    <border>
      <left style="medium">
        <color rgb="FFA9B8C3"/>
      </left>
      <right/>
      <top/>
      <bottom/>
      <diagonal/>
    </border>
    <border>
      <left style="medium">
        <color rgb="FFA9B8C3"/>
      </left>
      <right/>
      <top/>
      <bottom style="medium">
        <color rgb="FFA9B8C3"/>
      </bottom>
      <diagonal/>
    </border>
    <border>
      <left style="medium">
        <color rgb="FFA9B8C3"/>
      </left>
      <right style="medium">
        <color rgb="FFA9B8C3"/>
      </right>
      <top style="medium">
        <color rgb="FF23282A"/>
      </top>
      <bottom/>
      <diagonal/>
    </border>
    <border>
      <left style="medium">
        <color rgb="FFA9B8C3"/>
      </left>
      <right style="medium">
        <color rgb="FFA9B8C3"/>
      </right>
      <top/>
      <bottom/>
      <diagonal/>
    </border>
    <border>
      <left style="medium">
        <color rgb="FFA9B8C3"/>
      </left>
      <right style="medium">
        <color rgb="FFA9B8C3"/>
      </right>
      <top/>
      <bottom style="medium">
        <color rgb="FF23282A"/>
      </bottom>
      <diagonal/>
    </border>
    <border>
      <left style="medium">
        <color rgb="FF23282A"/>
      </left>
      <right style="medium">
        <color rgb="FF23282A"/>
      </right>
      <top style="medium">
        <color rgb="FF23282A"/>
      </top>
      <bottom/>
      <diagonal/>
    </border>
    <border>
      <left/>
      <right/>
      <top/>
      <bottom style="medium">
        <color rgb="FF23282A"/>
      </bottom>
      <diagonal/>
    </border>
    <border>
      <left/>
      <right/>
      <top/>
      <bottom style="thin">
        <color auto="1"/>
      </bottom>
      <diagonal/>
    </border>
    <border>
      <left/>
      <right/>
      <top style="thin">
        <color auto="1"/>
      </top>
      <bottom/>
      <diagonal/>
    </border>
  </borders>
  <cellStyleXfs count="2">
    <xf numFmtId="0" fontId="0" fillId="0" borderId="0"/>
    <xf numFmtId="9" fontId="1" fillId="0" borderId="0" applyFont="0" applyFill="0" applyBorder="0" applyAlignment="0" applyProtection="0"/>
  </cellStyleXfs>
  <cellXfs count="91">
    <xf numFmtId="0" fontId="0" fillId="0" borderId="0" xfId="0"/>
    <xf numFmtId="0" fontId="4" fillId="0" borderId="0" xfId="0" applyFont="1"/>
    <xf numFmtId="0" fontId="5" fillId="0" borderId="0" xfId="0" applyFont="1"/>
    <xf numFmtId="3" fontId="6" fillId="0" borderId="9" xfId="0" applyNumberFormat="1" applyFont="1" applyBorder="1" applyAlignment="1">
      <alignment horizontal="center" vertical="center" wrapText="1"/>
    </xf>
    <xf numFmtId="0" fontId="6" fillId="0" borderId="9" xfId="0" applyFont="1" applyBorder="1" applyAlignment="1">
      <alignment horizontal="center" vertical="center" wrapText="1"/>
    </xf>
    <xf numFmtId="3" fontId="6" fillId="0" borderId="10" xfId="0" applyNumberFormat="1" applyFont="1" applyBorder="1" applyAlignment="1">
      <alignment horizontal="center" vertical="center" wrapText="1"/>
    </xf>
    <xf numFmtId="0" fontId="6" fillId="0" borderId="10" xfId="0" applyFont="1" applyBorder="1" applyAlignment="1">
      <alignment horizontal="center" vertical="center" wrapText="1"/>
    </xf>
    <xf numFmtId="0" fontId="5" fillId="0" borderId="4" xfId="0" applyFont="1" applyBorder="1" applyAlignment="1">
      <alignment horizontal="center" vertical="center" textRotation="90" wrapText="1"/>
    </xf>
    <xf numFmtId="0" fontId="5" fillId="0" borderId="8" xfId="0" applyFont="1" applyBorder="1" applyAlignment="1">
      <alignment horizontal="center" vertical="center" textRotation="90" wrapText="1"/>
    </xf>
    <xf numFmtId="0" fontId="5" fillId="0" borderId="5" xfId="0" applyFont="1" applyBorder="1" applyAlignment="1">
      <alignment horizontal="center" vertical="center" wrapText="1"/>
    </xf>
    <xf numFmtId="0" fontId="5" fillId="0" borderId="5" xfId="0" applyFont="1" applyBorder="1" applyAlignment="1">
      <alignment horizontal="center" vertical="center" textRotation="90" wrapText="1"/>
    </xf>
    <xf numFmtId="0" fontId="5" fillId="0" borderId="9" xfId="0" applyFont="1" applyBorder="1" applyAlignment="1">
      <alignment horizontal="center" vertical="center" wrapText="1"/>
    </xf>
    <xf numFmtId="0" fontId="5" fillId="0" borderId="5" xfId="0" applyFont="1" applyBorder="1" applyAlignment="1">
      <alignment horizontal="center" vertical="top" textRotation="90" wrapText="1"/>
    </xf>
    <xf numFmtId="0" fontId="5" fillId="0" borderId="9" xfId="0" applyFont="1" applyBorder="1" applyAlignment="1">
      <alignment horizontal="center" vertical="top" textRotation="90" wrapText="1"/>
    </xf>
    <xf numFmtId="0" fontId="5" fillId="0" borderId="6" xfId="0" applyFont="1" applyBorder="1" applyAlignment="1">
      <alignment horizontal="center" vertical="top" textRotation="90" wrapText="1"/>
    </xf>
    <xf numFmtId="0" fontId="5" fillId="0" borderId="6" xfId="0" applyFont="1" applyBorder="1" applyAlignment="1">
      <alignment horizontal="center" vertical="center" wrapText="1"/>
    </xf>
    <xf numFmtId="0" fontId="5" fillId="0" borderId="10" xfId="0" applyFont="1" applyBorder="1" applyAlignment="1">
      <alignment horizontal="center" vertical="top" textRotation="90" wrapText="1"/>
    </xf>
    <xf numFmtId="0" fontId="4" fillId="0" borderId="9" xfId="0" applyFont="1" applyBorder="1" applyAlignment="1">
      <alignment horizontal="center" vertical="center" wrapText="1"/>
    </xf>
    <xf numFmtId="14" fontId="6" fillId="0" borderId="9" xfId="0" applyNumberFormat="1" applyFont="1" applyBorder="1" applyAlignment="1">
      <alignment horizontal="center" vertical="center" wrapText="1"/>
    </xf>
    <xf numFmtId="0" fontId="4" fillId="0" borderId="9" xfId="0" applyFont="1" applyBorder="1" applyAlignment="1">
      <alignment horizontal="center" vertical="top" wrapText="1"/>
    </xf>
    <xf numFmtId="0" fontId="4" fillId="0" borderId="10" xfId="0" applyFont="1" applyBorder="1" applyAlignment="1">
      <alignment horizontal="center" vertical="top" wrapText="1"/>
    </xf>
    <xf numFmtId="0" fontId="4" fillId="0" borderId="10" xfId="0" applyFont="1" applyBorder="1" applyAlignment="1">
      <alignment horizontal="center" vertical="center" wrapText="1"/>
    </xf>
    <xf numFmtId="14" fontId="6" fillId="0" borderId="10" xfId="0" applyNumberFormat="1" applyFont="1" applyBorder="1" applyAlignment="1">
      <alignment horizontal="center" vertical="center" wrapText="1"/>
    </xf>
    <xf numFmtId="0" fontId="4" fillId="0" borderId="0" xfId="0" applyFont="1" applyAlignment="1">
      <alignment horizontal="center"/>
    </xf>
    <xf numFmtId="2" fontId="0" fillId="0" borderId="0" xfId="0" applyNumberFormat="1"/>
    <xf numFmtId="0" fontId="0" fillId="0" borderId="21" xfId="0" applyBorder="1"/>
    <xf numFmtId="0" fontId="2" fillId="0" borderId="0" xfId="0" applyFont="1"/>
    <xf numFmtId="0" fontId="2" fillId="0" borderId="0" xfId="0" applyFont="1" applyAlignment="1">
      <alignment horizontal="center"/>
    </xf>
    <xf numFmtId="0" fontId="0" fillId="0" borderId="0" xfId="0" applyAlignment="1">
      <alignment horizontal="left"/>
    </xf>
    <xf numFmtId="0" fontId="0" fillId="0" borderId="0" xfId="0" applyAlignment="1">
      <alignment horizontal="left" wrapText="1"/>
    </xf>
    <xf numFmtId="9" fontId="0" fillId="0" borderId="0" xfId="1" applyFont="1" applyAlignment="1">
      <alignment horizontal="left" wrapText="1"/>
    </xf>
    <xf numFmtId="165" fontId="0" fillId="0" borderId="0" xfId="0" applyNumberFormat="1" applyAlignment="1">
      <alignment horizontal="left" wrapText="1"/>
    </xf>
    <xf numFmtId="9" fontId="0" fillId="0" borderId="0" xfId="1" applyFont="1" applyAlignment="1">
      <alignment horizontal="left"/>
    </xf>
    <xf numFmtId="165" fontId="0" fillId="0" borderId="0" xfId="0" applyNumberFormat="1" applyAlignment="1">
      <alignment horizontal="left"/>
    </xf>
    <xf numFmtId="0" fontId="0" fillId="0" borderId="22" xfId="0" applyBorder="1"/>
    <xf numFmtId="0" fontId="0" fillId="0" borderId="22" xfId="0" applyBorder="1" applyAlignment="1">
      <alignment horizontal="center"/>
    </xf>
    <xf numFmtId="164" fontId="0" fillId="0" borderId="22" xfId="0" applyNumberFormat="1" applyBorder="1"/>
    <xf numFmtId="0" fontId="0" fillId="0" borderId="21" xfId="0" applyBorder="1" applyAlignment="1">
      <alignment vertical="center"/>
    </xf>
    <xf numFmtId="0" fontId="0" fillId="0" borderId="0" xfId="0" applyAlignment="1">
      <alignment wrapText="1"/>
    </xf>
    <xf numFmtId="2" fontId="2" fillId="0" borderId="0" xfId="0" applyNumberFormat="1" applyFont="1"/>
    <xf numFmtId="0" fontId="7" fillId="0" borderId="0" xfId="0" applyFont="1"/>
    <xf numFmtId="0" fontId="8" fillId="0" borderId="0" xfId="0" applyFont="1"/>
    <xf numFmtId="0" fontId="8" fillId="0" borderId="0" xfId="0" applyFont="1" applyAlignment="1">
      <alignment horizontal="center"/>
    </xf>
    <xf numFmtId="0" fontId="9" fillId="0" borderId="0" xfId="0" applyFont="1"/>
    <xf numFmtId="0" fontId="8" fillId="0" borderId="21" xfId="0" applyFont="1" applyBorder="1"/>
    <xf numFmtId="0" fontId="7" fillId="0" borderId="21" xfId="0" applyFont="1" applyBorder="1"/>
    <xf numFmtId="0" fontId="10" fillId="0" borderId="0" xfId="0" applyFont="1"/>
    <xf numFmtId="0" fontId="11" fillId="0" borderId="0" xfId="0" applyFont="1" applyAlignment="1">
      <alignment horizontal="center"/>
    </xf>
    <xf numFmtId="0" fontId="12" fillId="0" borderId="0" xfId="0" applyFont="1"/>
    <xf numFmtId="0" fontId="9" fillId="0" borderId="21" xfId="0" applyFont="1" applyBorder="1"/>
    <xf numFmtId="49" fontId="0" fillId="0" borderId="0" xfId="0" applyNumberFormat="1"/>
    <xf numFmtId="0" fontId="0" fillId="0" borderId="0" xfId="0" applyAlignment="1">
      <alignment horizontal="center"/>
    </xf>
    <xf numFmtId="164" fontId="0" fillId="0" borderId="0" xfId="0" applyNumberFormat="1" applyAlignment="1">
      <alignment horizontal="center"/>
    </xf>
    <xf numFmtId="0" fontId="0" fillId="0" borderId="21" xfId="0" applyBorder="1" applyAlignment="1">
      <alignment horizontal="center"/>
    </xf>
    <xf numFmtId="164" fontId="0" fillId="0" borderId="21" xfId="0" applyNumberFormat="1" applyBorder="1" applyAlignment="1">
      <alignment horizontal="center"/>
    </xf>
    <xf numFmtId="166" fontId="0" fillId="0" borderId="0" xfId="1" applyNumberFormat="1" applyFont="1" applyAlignment="1">
      <alignment horizontal="left"/>
    </xf>
    <xf numFmtId="0" fontId="0" fillId="3" borderId="0" xfId="0" applyFill="1"/>
    <xf numFmtId="0" fontId="0" fillId="4" borderId="0" xfId="0" applyFill="1"/>
    <xf numFmtId="1" fontId="0" fillId="0" borderId="0" xfId="0" applyNumberFormat="1"/>
    <xf numFmtId="165" fontId="0" fillId="0" borderId="0" xfId="0" applyNumberFormat="1"/>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6" fillId="2" borderId="19"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2" borderId="11" xfId="0" applyFont="1" applyFill="1" applyBorder="1" applyAlignment="1">
      <alignment horizontal="center" vertical="center" wrapText="1"/>
    </xf>
    <xf numFmtId="3" fontId="6" fillId="0" borderId="19" xfId="0" applyNumberFormat="1" applyFont="1" applyBorder="1" applyAlignment="1">
      <alignment horizontal="center" vertical="center" wrapText="1"/>
    </xf>
    <xf numFmtId="3" fontId="6" fillId="0" borderId="11" xfId="0" applyNumberFormat="1" applyFont="1" applyBorder="1" applyAlignment="1">
      <alignment horizontal="center" vertical="center" wrapText="1"/>
    </xf>
    <xf numFmtId="0" fontId="6" fillId="0" borderId="19"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3" fillId="0" borderId="20" xfId="0" applyFont="1" applyBorder="1" applyAlignment="1">
      <alignment horizontal="left" vertical="center" wrapText="1"/>
    </xf>
    <xf numFmtId="0" fontId="2" fillId="0" borderId="21" xfId="0" applyFont="1" applyBorder="1" applyAlignment="1">
      <alignment wrapText="1"/>
    </xf>
    <xf numFmtId="0" fontId="0" fillId="0" borderId="21" xfId="0" applyBorder="1" applyAlignment="1">
      <alignment wrapText="1"/>
    </xf>
    <xf numFmtId="0" fontId="2" fillId="0" borderId="21" xfId="0" applyFont="1" applyBorder="1" applyAlignment="1">
      <alignment horizontal="left" wrapText="1"/>
    </xf>
    <xf numFmtId="0" fontId="2" fillId="0" borderId="21" xfId="0" applyFont="1" applyBorder="1" applyAlignment="1">
      <alignment horizontal="center" wrapText="1"/>
    </xf>
    <xf numFmtId="0" fontId="0" fillId="0" borderId="21" xfId="0" applyBorder="1" applyAlignment="1">
      <alignment horizontal="center" wrapText="1"/>
    </xf>
    <xf numFmtId="0" fontId="2" fillId="0" borderId="0" xfId="0" applyFont="1" applyAlignment="1">
      <alignment horizontal="left" wrapText="1"/>
    </xf>
    <xf numFmtId="0" fontId="0" fillId="0" borderId="0" xfId="0" applyAlignment="1">
      <alignment horizontal="left" wrapText="1"/>
    </xf>
    <xf numFmtId="0" fontId="0" fillId="0" borderId="0" xfId="0" applyAlignment="1">
      <alignment wrapText="1"/>
    </xf>
    <xf numFmtId="0" fontId="2" fillId="0" borderId="0" xfId="0" applyFont="1" applyAlignment="1">
      <alignment wrapText="1"/>
    </xf>
    <xf numFmtId="0" fontId="2" fillId="0" borderId="20" xfId="0" applyFont="1" applyBorder="1" applyAlignment="1">
      <alignment horizontal="left"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B10" dT="2024-05-05T19:23:39.07" personId="{00000000-0000-0000-0000-000000000000}" id="{CBC61742-CB0B-4704-81FB-3E88E8E2A36F}">
    <text xml:space="preserve">Can we include a tab with the full questionnaire? </text>
  </threadedComment>
</ThreadedComments>
</file>

<file path=xl/threadedComments/threadedComment2.xml><?xml version="1.0" encoding="utf-8"?>
<ThreadedComments xmlns="http://schemas.microsoft.com/office/spreadsheetml/2018/threadedcomments" xmlns:x="http://schemas.openxmlformats.org/spreadsheetml/2006/main">
  <threadedComment ref="B10" dT="2024-05-05T19:23:39.07" personId="{00000000-0000-0000-0000-000000000000}" id="{3D3F084E-21CA-468C-89C0-5631D4E36CBE}">
    <text xml:space="preserve">Can we include a tab with the full questionnaire? </text>
  </threadedComment>
</ThreadedComments>
</file>

<file path=xl/threadedComments/threadedComment3.xml><?xml version="1.0" encoding="utf-8"?>
<ThreadedComments xmlns="http://schemas.microsoft.com/office/spreadsheetml/2018/threadedcomments" xmlns:x="http://schemas.openxmlformats.org/spreadsheetml/2006/main">
  <threadedComment ref="B6" dT="2024-05-05T19:23:39.07" personId="{00000000-0000-0000-0000-000000000000}" id="{55F33989-0EF4-4DBE-A5CF-E5E407C914CC}">
    <text xml:space="preserve">Can we include a tab with the full questionnaire? </text>
  </threadedComment>
</ThreadedComments>
</file>

<file path=xl/threadedComments/threadedComment4.xml><?xml version="1.0" encoding="utf-8"?>
<ThreadedComments xmlns="http://schemas.microsoft.com/office/spreadsheetml/2018/threadedcomments" xmlns:x="http://schemas.openxmlformats.org/spreadsheetml/2006/main">
  <threadedComment ref="A1" dT="2024-05-05T20:12:45.05" personId="{00000000-0000-0000-0000-000000000000}" id="{7C954C1B-D517-46C4-97F8-E986A285261F}">
    <text>Why doesn't this table include the "mother" items or the overall relationship items (good/bad relationship with mother/father)? I think we should include those too.</text>
  </threadedComment>
</ThreadedComment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0.bin"/><Relationship Id="rId4" Type="http://schemas.microsoft.com/office/2017/10/relationships/threadedComment" Target="../threadedComments/threadedComment4.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 Id="rId4" Type="http://schemas.microsoft.com/office/2017/10/relationships/threadedComment" Target="../threadedComments/threadedComment1.xml"/></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 Id="rId4" Type="http://schemas.microsoft.com/office/2017/10/relationships/threadedComment" Target="../threadedComments/threadedComment2.xml"/></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 Id="rId4" Type="http://schemas.microsoft.com/office/2017/10/relationships/threadedComment" Target="../threadedComments/threadedComment3.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9D129A-AD7C-4EE2-BA12-978E0341F478}">
  <dimension ref="A1:B15"/>
  <sheetViews>
    <sheetView tabSelected="1" workbookViewId="0"/>
  </sheetViews>
  <sheetFormatPr defaultRowHeight="15" x14ac:dyDescent="0.25"/>
  <sheetData>
    <row r="1" spans="1:2" x14ac:dyDescent="0.25">
      <c r="A1" t="s">
        <v>1135</v>
      </c>
      <c r="B1" t="s">
        <v>1150</v>
      </c>
    </row>
    <row r="2" spans="1:2" x14ac:dyDescent="0.25">
      <c r="A2" t="s">
        <v>1136</v>
      </c>
      <c r="B2" t="s">
        <v>1020</v>
      </c>
    </row>
    <row r="3" spans="1:2" x14ac:dyDescent="0.25">
      <c r="A3" t="s">
        <v>1137</v>
      </c>
      <c r="B3" t="s">
        <v>1034</v>
      </c>
    </row>
    <row r="4" spans="1:2" x14ac:dyDescent="0.25">
      <c r="A4" t="s">
        <v>1138</v>
      </c>
      <c r="B4" t="s">
        <v>1035</v>
      </c>
    </row>
    <row r="5" spans="1:2" x14ac:dyDescent="0.25">
      <c r="A5" t="s">
        <v>1139</v>
      </c>
      <c r="B5" t="s">
        <v>1036</v>
      </c>
    </row>
    <row r="6" spans="1:2" x14ac:dyDescent="0.25">
      <c r="A6" t="s">
        <v>1140</v>
      </c>
      <c r="B6" t="s">
        <v>1038</v>
      </c>
    </row>
    <row r="7" spans="1:2" x14ac:dyDescent="0.25">
      <c r="A7" t="s">
        <v>1141</v>
      </c>
      <c r="B7" t="s">
        <v>1039</v>
      </c>
    </row>
    <row r="8" spans="1:2" x14ac:dyDescent="0.25">
      <c r="A8" t="s">
        <v>1142</v>
      </c>
      <c r="B8" t="s">
        <v>1040</v>
      </c>
    </row>
    <row r="9" spans="1:2" x14ac:dyDescent="0.25">
      <c r="A9" t="s">
        <v>1143</v>
      </c>
      <c r="B9" t="s">
        <v>1041</v>
      </c>
    </row>
    <row r="10" spans="1:2" x14ac:dyDescent="0.25">
      <c r="A10" t="s">
        <v>1144</v>
      </c>
      <c r="B10" t="s">
        <v>1042</v>
      </c>
    </row>
    <row r="11" spans="1:2" x14ac:dyDescent="0.25">
      <c r="A11" t="s">
        <v>1145</v>
      </c>
      <c r="B11" t="s">
        <v>1043</v>
      </c>
    </row>
    <row r="12" spans="1:2" x14ac:dyDescent="0.25">
      <c r="A12" t="s">
        <v>1146</v>
      </c>
      <c r="B12" t="s">
        <v>1044</v>
      </c>
    </row>
    <row r="13" spans="1:2" x14ac:dyDescent="0.25">
      <c r="A13" t="s">
        <v>1147</v>
      </c>
      <c r="B13" t="s">
        <v>1045</v>
      </c>
    </row>
    <row r="14" spans="1:2" x14ac:dyDescent="0.25">
      <c r="A14" t="s">
        <v>1148</v>
      </c>
      <c r="B14" t="s">
        <v>1046</v>
      </c>
    </row>
    <row r="15" spans="1:2" x14ac:dyDescent="0.25">
      <c r="A15" t="s">
        <v>1149</v>
      </c>
      <c r="B15" t="s">
        <v>1047</v>
      </c>
    </row>
  </sheetData>
  <phoneticPr fontId="13"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D4645D-3BF7-48F1-9CAB-B6BAFA2CCCE0}">
  <dimension ref="A1:E93"/>
  <sheetViews>
    <sheetView workbookViewId="0">
      <selection sqref="A1:E1"/>
    </sheetView>
  </sheetViews>
  <sheetFormatPr defaultColWidth="9.140625" defaultRowHeight="15" x14ac:dyDescent="0.25"/>
  <cols>
    <col min="1" max="1" width="35.85546875" style="51" customWidth="1"/>
    <col min="2" max="2" width="201.5703125" style="51" bestFit="1" customWidth="1"/>
    <col min="3" max="3" width="9.140625" style="51"/>
    <col min="4" max="5" width="9.140625" style="52"/>
  </cols>
  <sheetData>
    <row r="1" spans="1:5" x14ac:dyDescent="0.25">
      <c r="A1" s="84" t="s">
        <v>1041</v>
      </c>
      <c r="B1" s="85"/>
      <c r="C1" s="85"/>
      <c r="D1" s="85"/>
      <c r="E1" s="85"/>
    </row>
    <row r="2" spans="1:5" x14ac:dyDescent="0.25">
      <c r="A2" s="51" t="s">
        <v>72</v>
      </c>
      <c r="C2" s="51" t="s">
        <v>187</v>
      </c>
      <c r="D2" s="52" t="s">
        <v>188</v>
      </c>
      <c r="E2" s="52" t="s">
        <v>189</v>
      </c>
    </row>
    <row r="3" spans="1:5" x14ac:dyDescent="0.25">
      <c r="B3" s="27" t="s">
        <v>1032</v>
      </c>
    </row>
    <row r="4" spans="1:5" x14ac:dyDescent="0.25">
      <c r="A4" s="51" t="s">
        <v>190</v>
      </c>
      <c r="B4" s="51" t="s">
        <v>191</v>
      </c>
      <c r="C4" s="51">
        <v>198844</v>
      </c>
      <c r="D4" s="52">
        <v>0.43402239999999997</v>
      </c>
      <c r="E4" s="52">
        <v>0.49562909999999999</v>
      </c>
    </row>
    <row r="5" spans="1:5" x14ac:dyDescent="0.25">
      <c r="A5" s="51" t="s">
        <v>192</v>
      </c>
      <c r="B5" s="51" t="s">
        <v>193</v>
      </c>
      <c r="C5" s="51">
        <v>202460</v>
      </c>
      <c r="D5" s="52">
        <v>0.64446579999999998</v>
      </c>
      <c r="E5" s="52">
        <v>0.47867609999999999</v>
      </c>
    </row>
    <row r="6" spans="1:5" x14ac:dyDescent="0.25">
      <c r="A6" s="51" t="s">
        <v>194</v>
      </c>
      <c r="B6" s="51" t="s">
        <v>195</v>
      </c>
      <c r="C6" s="51">
        <v>202176</v>
      </c>
      <c r="D6" s="52">
        <v>8.8961600000000002E-2</v>
      </c>
      <c r="E6" s="52">
        <v>0.28468900000000003</v>
      </c>
    </row>
    <row r="7" spans="1:5" x14ac:dyDescent="0.25">
      <c r="A7" s="51" t="s">
        <v>196</v>
      </c>
      <c r="B7" s="51" t="s">
        <v>197</v>
      </c>
      <c r="C7" s="51">
        <v>202176</v>
      </c>
      <c r="D7" s="52">
        <v>0.12634090000000001</v>
      </c>
      <c r="E7" s="52">
        <v>0.33223399999999997</v>
      </c>
    </row>
    <row r="8" spans="1:5" x14ac:dyDescent="0.25">
      <c r="A8" s="51" t="s">
        <v>198</v>
      </c>
      <c r="B8" s="51" t="s">
        <v>199</v>
      </c>
      <c r="C8" s="51">
        <v>202176</v>
      </c>
      <c r="D8" s="52">
        <v>0.3005042</v>
      </c>
      <c r="E8" s="52">
        <v>0.45847840000000001</v>
      </c>
    </row>
    <row r="9" spans="1:5" x14ac:dyDescent="0.25">
      <c r="A9" s="51" t="s">
        <v>200</v>
      </c>
      <c r="B9" s="51" t="s">
        <v>201</v>
      </c>
      <c r="C9" s="51">
        <v>202176</v>
      </c>
      <c r="D9" s="52">
        <v>0.4841934</v>
      </c>
      <c r="E9" s="52">
        <v>0.49975130000000001</v>
      </c>
    </row>
    <row r="10" spans="1:5" x14ac:dyDescent="0.25">
      <c r="B10" s="27" t="s">
        <v>1021</v>
      </c>
    </row>
    <row r="11" spans="1:5" x14ac:dyDescent="0.25">
      <c r="A11" s="51" t="s">
        <v>134</v>
      </c>
      <c r="B11" s="51" t="s">
        <v>135</v>
      </c>
      <c r="C11" s="51">
        <v>199758</v>
      </c>
      <c r="D11" s="51">
        <v>7.9252200000000004</v>
      </c>
      <c r="E11" s="51">
        <v>2.308522</v>
      </c>
    </row>
    <row r="12" spans="1:5" x14ac:dyDescent="0.25">
      <c r="A12" s="51" t="s">
        <v>92</v>
      </c>
      <c r="B12" s="51" t="s">
        <v>93</v>
      </c>
      <c r="C12" s="51">
        <v>202168</v>
      </c>
      <c r="D12" s="51">
        <v>7.5573759999999996</v>
      </c>
      <c r="E12" s="51">
        <v>2.483663</v>
      </c>
    </row>
    <row r="13" spans="1:5" x14ac:dyDescent="0.25">
      <c r="A13" s="51" t="s">
        <v>124</v>
      </c>
      <c r="B13" s="51" t="s">
        <v>125</v>
      </c>
      <c r="C13" s="51">
        <v>199498</v>
      </c>
      <c r="D13" s="51">
        <v>7.7746130000000004</v>
      </c>
      <c r="E13" s="51">
        <v>2.4292639999999999</v>
      </c>
    </row>
    <row r="14" spans="1:5" x14ac:dyDescent="0.25">
      <c r="A14" s="51" t="s">
        <v>160</v>
      </c>
      <c r="B14" s="51" t="s">
        <v>161</v>
      </c>
      <c r="C14" s="51">
        <v>202221</v>
      </c>
      <c r="D14" s="51">
        <v>7.8787859999999998</v>
      </c>
      <c r="E14" s="51">
        <v>2.1035010000000001</v>
      </c>
    </row>
    <row r="15" spans="1:5" x14ac:dyDescent="0.25">
      <c r="A15" s="51" t="s">
        <v>184</v>
      </c>
      <c r="B15" s="51" t="s">
        <v>185</v>
      </c>
      <c r="C15" s="51">
        <v>202301</v>
      </c>
      <c r="D15" s="51">
        <v>7.2958369999999997</v>
      </c>
      <c r="E15" s="51">
        <v>2.4736630000000002</v>
      </c>
    </row>
    <row r="16" spans="1:5" x14ac:dyDescent="0.25">
      <c r="A16" s="51" t="s">
        <v>164</v>
      </c>
      <c r="B16" s="51" t="s">
        <v>165</v>
      </c>
      <c r="C16" s="51">
        <v>202898</v>
      </c>
      <c r="D16" s="51">
        <v>6.9579029999999999</v>
      </c>
      <c r="E16" s="51">
        <v>7.2146650000000001</v>
      </c>
    </row>
    <row r="17" spans="1:5" x14ac:dyDescent="0.25">
      <c r="A17" s="51" t="s">
        <v>110</v>
      </c>
      <c r="B17" s="51" t="s">
        <v>111</v>
      </c>
      <c r="C17" s="51">
        <v>202056</v>
      </c>
      <c r="D17" s="51">
        <v>7.9922000000000004</v>
      </c>
      <c r="E17" s="51">
        <v>2.3230580000000001</v>
      </c>
    </row>
    <row r="18" spans="1:5" x14ac:dyDescent="0.25">
      <c r="A18" s="51" t="s">
        <v>178</v>
      </c>
      <c r="B18" s="51" t="s">
        <v>179</v>
      </c>
      <c r="C18" s="51">
        <v>199148</v>
      </c>
      <c r="D18" s="51">
        <v>7.4958660000000004</v>
      </c>
      <c r="E18" s="51">
        <v>2.303884</v>
      </c>
    </row>
    <row r="19" spans="1:5" x14ac:dyDescent="0.25">
      <c r="A19" s="51" t="s">
        <v>168</v>
      </c>
      <c r="B19" s="51" t="s">
        <v>169</v>
      </c>
      <c r="C19" s="51">
        <v>202515</v>
      </c>
      <c r="D19" s="51">
        <v>8.1216109999999997</v>
      </c>
      <c r="E19" s="51">
        <v>2.2544919999999999</v>
      </c>
    </row>
    <row r="20" spans="1:5" x14ac:dyDescent="0.25">
      <c r="A20" s="51" t="s">
        <v>144</v>
      </c>
      <c r="B20" s="51" t="s">
        <v>145</v>
      </c>
      <c r="C20" s="51">
        <v>202090</v>
      </c>
      <c r="D20" s="51">
        <v>7.4088370000000001</v>
      </c>
      <c r="E20" s="51">
        <v>2.5944150000000001</v>
      </c>
    </row>
    <row r="21" spans="1:5" x14ac:dyDescent="0.25">
      <c r="A21" s="51" t="s">
        <v>128</v>
      </c>
      <c r="B21" s="51" t="s">
        <v>129</v>
      </c>
      <c r="C21" s="51">
        <v>202460</v>
      </c>
      <c r="D21" s="51">
        <v>6.9857469999999999</v>
      </c>
      <c r="E21" s="51">
        <v>2.3777379999999999</v>
      </c>
    </row>
    <row r="22" spans="1:5" x14ac:dyDescent="0.25">
      <c r="A22" s="51" t="s">
        <v>118</v>
      </c>
      <c r="B22" s="51" t="s">
        <v>119</v>
      </c>
      <c r="C22" s="51">
        <v>202437</v>
      </c>
      <c r="D22" s="51">
        <v>7.6688999999999998</v>
      </c>
      <c r="E22" s="51">
        <v>2.4520430000000002</v>
      </c>
    </row>
    <row r="23" spans="1:5" x14ac:dyDescent="0.25">
      <c r="A23" s="51" t="s">
        <v>120</v>
      </c>
      <c r="B23" s="51" t="s">
        <v>121</v>
      </c>
      <c r="C23" s="51">
        <v>202070</v>
      </c>
      <c r="D23" s="51">
        <v>7.2897990000000004</v>
      </c>
      <c r="E23" s="51">
        <v>2.4759319999999998</v>
      </c>
    </row>
    <row r="24" spans="1:5" x14ac:dyDescent="0.25">
      <c r="A24" s="51" t="s">
        <v>146</v>
      </c>
      <c r="B24" s="51" t="s">
        <v>147</v>
      </c>
      <c r="C24" s="51">
        <v>202199</v>
      </c>
      <c r="D24" s="51">
        <v>6.8223649999999996</v>
      </c>
      <c r="E24" s="51">
        <v>2.601181</v>
      </c>
    </row>
    <row r="25" spans="1:5" x14ac:dyDescent="0.25">
      <c r="A25" s="51" t="s">
        <v>156</v>
      </c>
      <c r="B25" s="51" t="s">
        <v>157</v>
      </c>
      <c r="C25" s="51">
        <v>202305</v>
      </c>
      <c r="D25" s="51">
        <v>7.3977320000000004</v>
      </c>
      <c r="E25" s="51">
        <v>2.8405300000000002</v>
      </c>
    </row>
    <row r="26" spans="1:5" x14ac:dyDescent="0.25">
      <c r="A26" s="51" t="s">
        <v>180</v>
      </c>
      <c r="B26" s="51" t="s">
        <v>181</v>
      </c>
      <c r="C26" s="51">
        <v>202412</v>
      </c>
      <c r="D26" s="51">
        <v>6.4143220000000003</v>
      </c>
      <c r="E26" s="51">
        <v>2.4643730000000001</v>
      </c>
    </row>
    <row r="27" spans="1:5" x14ac:dyDescent="0.25">
      <c r="A27" s="51" t="s">
        <v>152</v>
      </c>
      <c r="B27" s="51" t="s">
        <v>153</v>
      </c>
      <c r="C27" s="51">
        <v>202508</v>
      </c>
      <c r="D27" s="51">
        <v>7.5465020000000003</v>
      </c>
      <c r="E27" s="51">
        <v>2.422787</v>
      </c>
    </row>
    <row r="28" spans="1:5" x14ac:dyDescent="0.25">
      <c r="A28" s="51" t="s">
        <v>158</v>
      </c>
      <c r="B28" s="51" t="s">
        <v>159</v>
      </c>
      <c r="C28" s="51">
        <v>202548</v>
      </c>
      <c r="D28" s="51">
        <v>7.0650060000000003</v>
      </c>
      <c r="E28" s="51">
        <v>2.3839540000000001</v>
      </c>
    </row>
    <row r="29" spans="1:5" x14ac:dyDescent="0.25">
      <c r="A29" s="51" t="s">
        <v>80</v>
      </c>
      <c r="B29" s="51" t="s">
        <v>81</v>
      </c>
      <c r="C29" s="51">
        <v>201661</v>
      </c>
      <c r="D29" s="51">
        <v>7.5830469999999996</v>
      </c>
      <c r="E29" s="51">
        <v>2.6199249999999998</v>
      </c>
    </row>
    <row r="30" spans="1:5" x14ac:dyDescent="0.25">
      <c r="A30" s="51" t="s">
        <v>114</v>
      </c>
      <c r="B30" s="51" t="s">
        <v>115</v>
      </c>
      <c r="C30" s="51">
        <v>202129</v>
      </c>
      <c r="D30" s="51">
        <v>3.0646930000000001</v>
      </c>
      <c r="E30" s="51">
        <v>0.99053729999999995</v>
      </c>
    </row>
    <row r="31" spans="1:5" x14ac:dyDescent="0.25">
      <c r="A31" s="51" t="s">
        <v>94</v>
      </c>
      <c r="B31" s="51" t="s">
        <v>95</v>
      </c>
      <c r="C31" s="51">
        <v>202211</v>
      </c>
      <c r="D31" s="51">
        <v>3.1633089999999999</v>
      </c>
      <c r="E31" s="51">
        <v>1.012867</v>
      </c>
    </row>
    <row r="32" spans="1:5" x14ac:dyDescent="0.25">
      <c r="A32" s="51" t="s">
        <v>102</v>
      </c>
      <c r="B32" s="51" t="s">
        <v>103</v>
      </c>
      <c r="C32" s="51">
        <v>202176</v>
      </c>
      <c r="D32" s="51">
        <v>3.179929</v>
      </c>
      <c r="E32" s="51">
        <v>0.96644229999999998</v>
      </c>
    </row>
    <row r="33" spans="1:5" x14ac:dyDescent="0.25">
      <c r="A33" s="51" t="s">
        <v>170</v>
      </c>
      <c r="B33" s="51" t="s">
        <v>171</v>
      </c>
      <c r="C33" s="51">
        <v>202121</v>
      </c>
      <c r="D33" s="51">
        <v>2.6954030000000002</v>
      </c>
      <c r="E33" s="51">
        <v>0.94396530000000001</v>
      </c>
    </row>
    <row r="34" spans="1:5" x14ac:dyDescent="0.25">
      <c r="A34" s="51" t="s">
        <v>138</v>
      </c>
      <c r="B34" s="51" t="s">
        <v>139</v>
      </c>
      <c r="C34" s="51">
        <v>202026</v>
      </c>
      <c r="D34" s="51">
        <v>3.0503650000000002</v>
      </c>
      <c r="E34" s="51">
        <v>1.018537</v>
      </c>
    </row>
    <row r="35" spans="1:5" x14ac:dyDescent="0.25">
      <c r="A35" s="51" t="s">
        <v>82</v>
      </c>
      <c r="B35" s="51" t="s">
        <v>83</v>
      </c>
      <c r="C35" s="51">
        <v>202541</v>
      </c>
      <c r="D35" s="51">
        <v>2.6659030000000001</v>
      </c>
      <c r="E35" s="51">
        <v>0.96999749999999996</v>
      </c>
    </row>
    <row r="36" spans="1:5" x14ac:dyDescent="0.25">
      <c r="A36" s="51" t="s">
        <v>172</v>
      </c>
      <c r="B36" s="51" t="s">
        <v>173</v>
      </c>
      <c r="C36" s="51">
        <v>202089</v>
      </c>
      <c r="D36" s="51">
        <v>2.90476</v>
      </c>
      <c r="E36" s="51">
        <v>1.0179769999999999</v>
      </c>
    </row>
    <row r="37" spans="1:5" x14ac:dyDescent="0.25">
      <c r="B37" s="27" t="s">
        <v>1033</v>
      </c>
    </row>
    <row r="38" spans="1:5" x14ac:dyDescent="0.25">
      <c r="A38" s="51" t="s">
        <v>202</v>
      </c>
      <c r="B38" s="51" t="s">
        <v>203</v>
      </c>
      <c r="C38" s="51">
        <v>199868</v>
      </c>
      <c r="D38" s="52">
        <v>0.81427039999999995</v>
      </c>
      <c r="E38" s="52">
        <v>0.38888929999999999</v>
      </c>
    </row>
    <row r="39" spans="1:5" x14ac:dyDescent="0.25">
      <c r="A39" s="51" t="s">
        <v>204</v>
      </c>
      <c r="B39" s="51" t="s">
        <v>205</v>
      </c>
      <c r="C39" s="51">
        <v>199868</v>
      </c>
      <c r="D39" s="52">
        <v>0.1078716</v>
      </c>
      <c r="E39" s="52">
        <v>0.31021890000000002</v>
      </c>
    </row>
    <row r="40" spans="1:5" x14ac:dyDescent="0.25">
      <c r="A40" s="51" t="s">
        <v>206</v>
      </c>
      <c r="B40" s="51" t="s">
        <v>207</v>
      </c>
      <c r="C40" s="51">
        <v>201528</v>
      </c>
      <c r="D40" s="52">
        <v>0.89055150000000005</v>
      </c>
      <c r="E40" s="52">
        <v>0.31220189999999998</v>
      </c>
    </row>
    <row r="41" spans="1:5" x14ac:dyDescent="0.25">
      <c r="A41" s="51" t="s">
        <v>208</v>
      </c>
      <c r="B41" s="51" t="s">
        <v>209</v>
      </c>
      <c r="C41" s="51">
        <v>201528</v>
      </c>
      <c r="D41" s="52">
        <v>7.0275099999999993E-2</v>
      </c>
      <c r="E41" s="52">
        <v>0.25561060000000002</v>
      </c>
    </row>
    <row r="42" spans="1:5" x14ac:dyDescent="0.25">
      <c r="A42" s="51" t="s">
        <v>313</v>
      </c>
      <c r="B42" s="51" t="s">
        <v>210</v>
      </c>
      <c r="C42" s="51">
        <v>199020</v>
      </c>
      <c r="D42" s="52">
        <v>0.90538529999999995</v>
      </c>
      <c r="E42" s="52">
        <v>0.29268280000000002</v>
      </c>
    </row>
    <row r="43" spans="1:5" x14ac:dyDescent="0.25">
      <c r="A43" s="51" t="s">
        <v>314</v>
      </c>
      <c r="B43" s="51" t="s">
        <v>211</v>
      </c>
      <c r="C43" s="51">
        <v>199020</v>
      </c>
      <c r="D43" s="52">
        <v>5.5269199999999997E-2</v>
      </c>
      <c r="E43" s="52">
        <v>0.2285055</v>
      </c>
    </row>
    <row r="44" spans="1:5" x14ac:dyDescent="0.25">
      <c r="A44" s="51" t="s">
        <v>315</v>
      </c>
      <c r="B44" s="51" t="s">
        <v>212</v>
      </c>
      <c r="C44" s="51">
        <v>199020</v>
      </c>
      <c r="D44" s="52">
        <v>1.6870599999999999E-2</v>
      </c>
      <c r="E44" s="52">
        <v>0.12878680000000001</v>
      </c>
    </row>
    <row r="45" spans="1:5" x14ac:dyDescent="0.25">
      <c r="A45" s="51" t="s">
        <v>316</v>
      </c>
      <c r="B45" s="51" t="s">
        <v>213</v>
      </c>
      <c r="C45" s="51">
        <v>199020</v>
      </c>
      <c r="D45" s="52">
        <v>2.2474999999999998E-2</v>
      </c>
      <c r="E45" s="52">
        <v>0.14822270000000001</v>
      </c>
    </row>
    <row r="46" spans="1:5" x14ac:dyDescent="0.25">
      <c r="A46" s="51" t="s">
        <v>214</v>
      </c>
      <c r="B46" s="51" t="s">
        <v>215</v>
      </c>
      <c r="C46" s="51">
        <v>187809</v>
      </c>
      <c r="D46" s="52">
        <v>4.4241500000000003E-2</v>
      </c>
      <c r="E46" s="52">
        <v>0.2056317</v>
      </c>
    </row>
    <row r="47" spans="1:5" x14ac:dyDescent="0.25">
      <c r="A47" s="51" t="s">
        <v>216</v>
      </c>
      <c r="B47" s="51" t="s">
        <v>217</v>
      </c>
      <c r="C47" s="51">
        <v>187809</v>
      </c>
      <c r="D47" s="52">
        <v>8.4171599999999999E-2</v>
      </c>
      <c r="E47" s="52">
        <v>0.2776457</v>
      </c>
    </row>
    <row r="48" spans="1:5" x14ac:dyDescent="0.25">
      <c r="A48" s="51" t="s">
        <v>218</v>
      </c>
      <c r="B48" s="51" t="s">
        <v>219</v>
      </c>
      <c r="C48" s="51">
        <v>187809</v>
      </c>
      <c r="D48" s="52">
        <v>0.2968633</v>
      </c>
      <c r="E48" s="52">
        <v>0.45687699999999998</v>
      </c>
    </row>
    <row r="49" spans="1:5" x14ac:dyDescent="0.25">
      <c r="A49" s="51" t="s">
        <v>220</v>
      </c>
      <c r="B49" s="51" t="s">
        <v>221</v>
      </c>
      <c r="C49" s="51">
        <v>187809</v>
      </c>
      <c r="D49" s="52">
        <v>0.5747236</v>
      </c>
      <c r="E49" s="52">
        <v>0.4943862</v>
      </c>
    </row>
    <row r="50" spans="1:5" x14ac:dyDescent="0.25">
      <c r="A50" s="51" t="s">
        <v>222</v>
      </c>
      <c r="B50" s="51" t="s">
        <v>223</v>
      </c>
      <c r="C50" s="51">
        <v>195971</v>
      </c>
      <c r="D50" s="52">
        <v>2.3671899999999999E-2</v>
      </c>
      <c r="E50" s="52">
        <v>0.1520253</v>
      </c>
    </row>
    <row r="51" spans="1:5" x14ac:dyDescent="0.25">
      <c r="A51" s="51" t="s">
        <v>224</v>
      </c>
      <c r="B51" s="51" t="s">
        <v>225</v>
      </c>
      <c r="C51" s="51">
        <v>195971</v>
      </c>
      <c r="D51" s="52">
        <v>5.6423899999999999E-2</v>
      </c>
      <c r="E51" s="52">
        <v>0.2307391</v>
      </c>
    </row>
    <row r="52" spans="1:5" x14ac:dyDescent="0.25">
      <c r="A52" s="51" t="s">
        <v>226</v>
      </c>
      <c r="B52" s="51" t="s">
        <v>227</v>
      </c>
      <c r="C52" s="51">
        <v>195971</v>
      </c>
      <c r="D52" s="52">
        <v>0.26722879999999999</v>
      </c>
      <c r="E52" s="52">
        <v>0.44251390000000002</v>
      </c>
    </row>
    <row r="53" spans="1:5" x14ac:dyDescent="0.25">
      <c r="A53" s="51" t="s">
        <v>228</v>
      </c>
      <c r="B53" s="51" t="s">
        <v>229</v>
      </c>
      <c r="C53" s="51">
        <v>195971</v>
      </c>
      <c r="D53" s="52">
        <v>0.65267529999999996</v>
      </c>
      <c r="E53" s="52">
        <v>0.47612120000000002</v>
      </c>
    </row>
    <row r="54" spans="1:5" x14ac:dyDescent="0.25">
      <c r="A54" s="51" t="s">
        <v>230</v>
      </c>
      <c r="B54" s="51" t="s">
        <v>231</v>
      </c>
      <c r="C54" s="51">
        <v>199538</v>
      </c>
      <c r="D54" s="52">
        <v>0.14431530000000001</v>
      </c>
      <c r="E54" s="52">
        <v>0.35141</v>
      </c>
    </row>
    <row r="55" spans="1:5" x14ac:dyDescent="0.25">
      <c r="B55" s="27" t="s">
        <v>1022</v>
      </c>
    </row>
    <row r="56" spans="1:5" x14ac:dyDescent="0.25">
      <c r="A56" s="51" t="s">
        <v>329</v>
      </c>
      <c r="B56" s="51" t="s">
        <v>326</v>
      </c>
      <c r="C56" s="51">
        <v>201959</v>
      </c>
      <c r="D56" s="51">
        <v>0.83158869999999996</v>
      </c>
      <c r="E56" s="51">
        <v>0.37423200000000001</v>
      </c>
    </row>
    <row r="57" spans="1:5" x14ac:dyDescent="0.25">
      <c r="A57" s="51" t="s">
        <v>1023</v>
      </c>
      <c r="B57" s="51" t="s">
        <v>327</v>
      </c>
      <c r="C57" s="51">
        <v>169776</v>
      </c>
      <c r="D57" s="51">
        <v>2.5398809999999998</v>
      </c>
      <c r="E57" s="51">
        <v>1.261223</v>
      </c>
    </row>
    <row r="58" spans="1:5" x14ac:dyDescent="0.25">
      <c r="A58" s="51" t="s">
        <v>1024</v>
      </c>
      <c r="B58" s="51" t="s">
        <v>328</v>
      </c>
      <c r="C58" s="51">
        <v>179073</v>
      </c>
      <c r="D58" s="51">
        <v>2.7727040000000001</v>
      </c>
      <c r="E58" s="51">
        <v>1.211401</v>
      </c>
    </row>
    <row r="59" spans="1:5" x14ac:dyDescent="0.25">
      <c r="A59" s="51" t="s">
        <v>330</v>
      </c>
      <c r="B59" s="51" t="s">
        <v>333</v>
      </c>
      <c r="C59" s="51">
        <v>199869</v>
      </c>
      <c r="D59" s="51">
        <v>0.56791469999999999</v>
      </c>
      <c r="E59" s="51">
        <v>0.49536740000000001</v>
      </c>
    </row>
    <row r="60" spans="1:5" x14ac:dyDescent="0.25">
      <c r="A60" s="51" t="s">
        <v>331</v>
      </c>
      <c r="B60" s="51" t="s">
        <v>334</v>
      </c>
      <c r="C60" s="51">
        <v>202181</v>
      </c>
      <c r="D60" s="51">
        <v>2.5058739999999999</v>
      </c>
      <c r="E60" s="51">
        <v>1.4728570000000001</v>
      </c>
    </row>
    <row r="61" spans="1:5" x14ac:dyDescent="0.25">
      <c r="A61" s="51" t="s">
        <v>332</v>
      </c>
      <c r="B61" s="51" t="s">
        <v>335</v>
      </c>
      <c r="C61" s="51">
        <v>201371</v>
      </c>
      <c r="D61">
        <v>0.76504519999999998</v>
      </c>
      <c r="E61">
        <v>0.4239716</v>
      </c>
    </row>
    <row r="62" spans="1:5" x14ac:dyDescent="0.25">
      <c r="B62" s="27" t="s">
        <v>232</v>
      </c>
    </row>
    <row r="63" spans="1:5" x14ac:dyDescent="0.25">
      <c r="A63" s="51" t="s">
        <v>233</v>
      </c>
      <c r="B63" s="51" t="s">
        <v>234</v>
      </c>
      <c r="C63" s="51">
        <v>202649</v>
      </c>
      <c r="D63" s="52">
        <v>0.48484569999999999</v>
      </c>
      <c r="E63" s="52">
        <v>0.49977149999999998</v>
      </c>
    </row>
    <row r="64" spans="1:5" x14ac:dyDescent="0.25">
      <c r="A64" s="51" t="s">
        <v>235</v>
      </c>
      <c r="B64" s="51" t="s">
        <v>236</v>
      </c>
      <c r="C64" s="51">
        <v>202649</v>
      </c>
      <c r="D64" s="52">
        <v>3.8164000000000002E-3</v>
      </c>
      <c r="E64" s="52">
        <v>6.1659499999999999E-2</v>
      </c>
    </row>
    <row r="65" spans="1:5" x14ac:dyDescent="0.25">
      <c r="A65" s="51" t="s">
        <v>237</v>
      </c>
      <c r="B65" s="51" t="s">
        <v>238</v>
      </c>
      <c r="C65" s="51">
        <v>202711</v>
      </c>
      <c r="D65" s="52">
        <v>0.22239149999999999</v>
      </c>
      <c r="E65" s="52">
        <v>0.4158538</v>
      </c>
    </row>
    <row r="66" spans="1:5" x14ac:dyDescent="0.25">
      <c r="A66" s="51" t="s">
        <v>239</v>
      </c>
      <c r="B66" s="51" t="s">
        <v>240</v>
      </c>
      <c r="C66" s="51">
        <v>202711</v>
      </c>
      <c r="D66" s="52">
        <v>0.56772049999999996</v>
      </c>
      <c r="E66" s="52">
        <v>0.4953939</v>
      </c>
    </row>
    <row r="67" spans="1:5" x14ac:dyDescent="0.25">
      <c r="A67" s="51" t="s">
        <v>241</v>
      </c>
      <c r="B67" s="51" t="s">
        <v>242</v>
      </c>
      <c r="C67" s="51">
        <v>202711</v>
      </c>
      <c r="D67" s="52">
        <v>0.20988789999999999</v>
      </c>
      <c r="E67" s="52">
        <v>0.40722940000000002</v>
      </c>
    </row>
    <row r="68" spans="1:5" x14ac:dyDescent="0.25">
      <c r="A68" s="51" t="s">
        <v>243</v>
      </c>
      <c r="B68" s="51" t="s">
        <v>244</v>
      </c>
      <c r="C68" s="51">
        <v>202878</v>
      </c>
      <c r="D68" s="52">
        <v>0.1407592</v>
      </c>
      <c r="E68" s="52">
        <v>0.34777390000000002</v>
      </c>
    </row>
    <row r="69" spans="1:5" x14ac:dyDescent="0.25">
      <c r="A69" s="51" t="s">
        <v>245</v>
      </c>
      <c r="B69" s="51" t="s">
        <v>246</v>
      </c>
      <c r="C69" s="51">
        <v>202878</v>
      </c>
      <c r="D69" s="52">
        <v>0.20655599999999999</v>
      </c>
      <c r="E69" s="52">
        <v>0.404835</v>
      </c>
    </row>
    <row r="70" spans="1:5" x14ac:dyDescent="0.25">
      <c r="A70" s="51" t="s">
        <v>247</v>
      </c>
      <c r="B70" s="51" t="s">
        <v>248</v>
      </c>
      <c r="C70" s="51">
        <v>202878</v>
      </c>
      <c r="D70" s="52">
        <v>0.1810167</v>
      </c>
      <c r="E70" s="52">
        <v>0.38503300000000001</v>
      </c>
    </row>
    <row r="71" spans="1:5" x14ac:dyDescent="0.25">
      <c r="A71" s="51" t="s">
        <v>249</v>
      </c>
      <c r="B71" s="51" t="s">
        <v>250</v>
      </c>
      <c r="C71" s="51">
        <v>202878</v>
      </c>
      <c r="D71" s="52">
        <v>0.15884609999999999</v>
      </c>
      <c r="E71" s="52">
        <v>0.36553340000000001</v>
      </c>
    </row>
    <row r="72" spans="1:5" x14ac:dyDescent="0.25">
      <c r="A72" s="51" t="s">
        <v>251</v>
      </c>
      <c r="B72" s="51" t="s">
        <v>252</v>
      </c>
      <c r="C72" s="51">
        <v>202878</v>
      </c>
      <c r="D72" s="52">
        <v>0.14371880000000001</v>
      </c>
      <c r="E72" s="52">
        <v>0.35080529999999999</v>
      </c>
    </row>
    <row r="73" spans="1:5" x14ac:dyDescent="0.25">
      <c r="A73" s="51" t="s">
        <v>253</v>
      </c>
      <c r="B73" s="51" t="s">
        <v>254</v>
      </c>
      <c r="C73" s="51">
        <v>202878</v>
      </c>
      <c r="D73" s="52">
        <v>0.1200148</v>
      </c>
      <c r="E73" s="52">
        <v>0.32497959999999998</v>
      </c>
    </row>
    <row r="74" spans="1:5" x14ac:dyDescent="0.25">
      <c r="A74" s="51" t="s">
        <v>255</v>
      </c>
      <c r="B74" s="51" t="s">
        <v>256</v>
      </c>
      <c r="C74" s="51">
        <v>202878</v>
      </c>
      <c r="D74" s="52">
        <v>4.2428500000000001E-2</v>
      </c>
      <c r="E74" s="52">
        <v>0.2015653</v>
      </c>
    </row>
    <row r="75" spans="1:5" x14ac:dyDescent="0.25">
      <c r="A75" s="51" t="s">
        <v>257</v>
      </c>
      <c r="B75" s="51" t="s">
        <v>258</v>
      </c>
      <c r="C75" s="51">
        <v>200839</v>
      </c>
      <c r="D75" s="52">
        <v>4.8802499999999999E-2</v>
      </c>
      <c r="E75" s="52">
        <v>0.21545549999999999</v>
      </c>
    </row>
    <row r="76" spans="1:5" x14ac:dyDescent="0.25">
      <c r="A76" s="51" t="s">
        <v>259</v>
      </c>
      <c r="B76" s="51" t="s">
        <v>260</v>
      </c>
      <c r="C76" s="51">
        <v>193297</v>
      </c>
      <c r="D76" s="52">
        <v>0.5906112</v>
      </c>
      <c r="E76" s="52">
        <v>0.4917223</v>
      </c>
    </row>
    <row r="77" spans="1:5" x14ac:dyDescent="0.25">
      <c r="A77" s="51" t="s">
        <v>1030</v>
      </c>
      <c r="B77" s="51" t="s">
        <v>261</v>
      </c>
      <c r="C77" s="51">
        <v>202019</v>
      </c>
      <c r="D77" s="52">
        <v>0.26391419999999999</v>
      </c>
      <c r="E77" s="52">
        <v>0.44075439999999999</v>
      </c>
    </row>
    <row r="78" spans="1:5" x14ac:dyDescent="0.25">
      <c r="A78" s="51" t="s">
        <v>262</v>
      </c>
      <c r="B78" s="51" t="s">
        <v>263</v>
      </c>
      <c r="C78" s="51">
        <v>202019</v>
      </c>
      <c r="D78" s="52">
        <v>0.52648620000000002</v>
      </c>
      <c r="E78" s="52">
        <v>0.4992992</v>
      </c>
    </row>
    <row r="79" spans="1:5" x14ac:dyDescent="0.25">
      <c r="A79" s="51" t="s">
        <v>264</v>
      </c>
      <c r="B79" s="51" t="s">
        <v>265</v>
      </c>
      <c r="C79" s="51">
        <v>200711</v>
      </c>
      <c r="D79" s="52">
        <v>0.20371600000000001</v>
      </c>
      <c r="E79" s="52">
        <v>0.40276119999999999</v>
      </c>
    </row>
    <row r="80" spans="1:5" x14ac:dyDescent="0.25">
      <c r="A80" s="51" t="s">
        <v>266</v>
      </c>
      <c r="B80" s="51" t="s">
        <v>267</v>
      </c>
      <c r="C80" s="51">
        <v>201387</v>
      </c>
      <c r="D80" s="52">
        <v>0.5425219</v>
      </c>
      <c r="E80" s="52">
        <v>0.49818980000000002</v>
      </c>
    </row>
    <row r="81" spans="1:5" x14ac:dyDescent="0.25">
      <c r="A81" s="51" t="s">
        <v>268</v>
      </c>
      <c r="B81" s="51" t="s">
        <v>269</v>
      </c>
      <c r="C81" s="51">
        <v>201387</v>
      </c>
      <c r="D81" s="52">
        <v>0.16932939999999999</v>
      </c>
      <c r="E81" s="52">
        <v>0.37504349999999997</v>
      </c>
    </row>
    <row r="82" spans="1:5" x14ac:dyDescent="0.25">
      <c r="A82" s="51" t="s">
        <v>270</v>
      </c>
      <c r="B82" s="51" t="s">
        <v>271</v>
      </c>
      <c r="C82" s="51">
        <v>201387</v>
      </c>
      <c r="D82" s="52">
        <v>0.15070910000000001</v>
      </c>
      <c r="E82" s="52">
        <v>0.35776599999999997</v>
      </c>
    </row>
    <row r="83" spans="1:5" x14ac:dyDescent="0.25">
      <c r="A83" s="51" t="s">
        <v>1031</v>
      </c>
      <c r="B83" s="51" t="s">
        <v>272</v>
      </c>
      <c r="C83" s="51">
        <v>201387</v>
      </c>
      <c r="D83" s="52">
        <v>0.1374396</v>
      </c>
      <c r="E83" s="52">
        <v>0.3443117</v>
      </c>
    </row>
    <row r="84" spans="1:5" x14ac:dyDescent="0.25">
      <c r="A84" s="51" t="s">
        <v>273</v>
      </c>
      <c r="B84" s="51" t="s">
        <v>274</v>
      </c>
      <c r="C84" s="51">
        <v>201645</v>
      </c>
      <c r="D84" s="52">
        <v>0.18774640000000001</v>
      </c>
      <c r="E84" s="52">
        <v>0.39051049999999998</v>
      </c>
    </row>
    <row r="85" spans="1:5" x14ac:dyDescent="0.25">
      <c r="A85" s="51" t="s">
        <v>275</v>
      </c>
      <c r="B85" s="51" t="s">
        <v>276</v>
      </c>
      <c r="C85" s="51">
        <v>201645</v>
      </c>
      <c r="D85" s="52">
        <v>0.357348</v>
      </c>
      <c r="E85" s="52">
        <v>0.47921970000000003</v>
      </c>
    </row>
    <row r="86" spans="1:5" x14ac:dyDescent="0.25">
      <c r="A86" s="51" t="s">
        <v>277</v>
      </c>
      <c r="B86" s="51" t="s">
        <v>278</v>
      </c>
      <c r="C86" s="51">
        <v>201645</v>
      </c>
      <c r="D86" s="52">
        <v>0.18387039999999999</v>
      </c>
      <c r="E86" s="52">
        <v>0.38737939999999998</v>
      </c>
    </row>
    <row r="87" spans="1:5" x14ac:dyDescent="0.25">
      <c r="A87" s="51" t="s">
        <v>279</v>
      </c>
      <c r="B87" s="51" t="s">
        <v>280</v>
      </c>
      <c r="C87" s="51">
        <v>201645</v>
      </c>
      <c r="D87" s="52">
        <v>0.27103519999999998</v>
      </c>
      <c r="E87" s="52">
        <v>0.44449529999999998</v>
      </c>
    </row>
    <row r="88" spans="1:5" x14ac:dyDescent="0.25">
      <c r="A88" s="51" t="s">
        <v>1029</v>
      </c>
      <c r="B88" s="51" t="s">
        <v>281</v>
      </c>
      <c r="C88" s="51">
        <v>195586</v>
      </c>
      <c r="D88" s="52">
        <v>0.77648510000000004</v>
      </c>
      <c r="E88" s="52">
        <v>0.41660160000000002</v>
      </c>
    </row>
    <row r="89" spans="1:5" x14ac:dyDescent="0.25">
      <c r="A89" s="51" t="s">
        <v>282</v>
      </c>
      <c r="B89" s="51" t="s">
        <v>283</v>
      </c>
      <c r="C89" s="51">
        <v>196375</v>
      </c>
      <c r="D89" s="52">
        <v>0.14838489999999999</v>
      </c>
      <c r="E89" s="52">
        <v>0.35548200000000002</v>
      </c>
    </row>
    <row r="90" spans="1:5" x14ac:dyDescent="0.25">
      <c r="A90" s="51" t="s">
        <v>1025</v>
      </c>
      <c r="B90" s="51" t="s">
        <v>284</v>
      </c>
      <c r="C90" s="51">
        <v>202280</v>
      </c>
      <c r="D90" s="52">
        <v>0.35166989999999998</v>
      </c>
      <c r="E90" s="52">
        <v>0.47749269999999999</v>
      </c>
    </row>
    <row r="91" spans="1:5" x14ac:dyDescent="0.25">
      <c r="A91" s="51" t="s">
        <v>1026</v>
      </c>
      <c r="B91" s="51" t="s">
        <v>285</v>
      </c>
      <c r="C91" s="51">
        <v>202280</v>
      </c>
      <c r="D91" s="52">
        <v>0.40925859999999997</v>
      </c>
      <c r="E91" s="52">
        <v>0.49169829999999998</v>
      </c>
    </row>
    <row r="92" spans="1:5" x14ac:dyDescent="0.25">
      <c r="A92" s="51" t="s">
        <v>1027</v>
      </c>
      <c r="B92" s="51" t="s">
        <v>286</v>
      </c>
      <c r="C92" s="51">
        <v>202280</v>
      </c>
      <c r="D92" s="52">
        <v>0.1768749</v>
      </c>
      <c r="E92" s="52">
        <v>0.38156370000000001</v>
      </c>
    </row>
    <row r="93" spans="1:5" x14ac:dyDescent="0.25">
      <c r="A93" s="53" t="s">
        <v>1028</v>
      </c>
      <c r="B93" s="53" t="s">
        <v>287</v>
      </c>
      <c r="C93" s="53">
        <v>202280</v>
      </c>
      <c r="D93" s="54">
        <v>6.2196599999999998E-2</v>
      </c>
      <c r="E93" s="54">
        <v>0.24151300000000001</v>
      </c>
    </row>
  </sheetData>
  <mergeCells count="1">
    <mergeCell ref="A1:E1"/>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00C7C-03D5-425D-821D-E8DFFEFCD33A}">
  <dimension ref="A1:M25"/>
  <sheetViews>
    <sheetView workbookViewId="0">
      <selection sqref="A1:M1"/>
    </sheetView>
  </sheetViews>
  <sheetFormatPr defaultColWidth="9.140625" defaultRowHeight="15" x14ac:dyDescent="0.25"/>
  <cols>
    <col min="1" max="1" width="15.140625" style="28" bestFit="1" customWidth="1"/>
    <col min="2" max="13" width="21.140625" style="28" customWidth="1"/>
    <col min="14" max="16384" width="9.140625" style="28"/>
  </cols>
  <sheetData>
    <row r="1" spans="1:13" x14ac:dyDescent="0.25">
      <c r="A1" s="86" t="s">
        <v>1042</v>
      </c>
      <c r="B1" s="87"/>
      <c r="C1" s="87"/>
      <c r="D1" s="87"/>
      <c r="E1" s="87"/>
      <c r="F1" s="87"/>
      <c r="G1" s="87"/>
      <c r="H1" s="87"/>
      <c r="I1" s="87"/>
      <c r="J1" s="87"/>
      <c r="K1" s="87"/>
      <c r="L1" s="87"/>
      <c r="M1" s="87"/>
    </row>
    <row r="2" spans="1:13" x14ac:dyDescent="0.25">
      <c r="A2" s="28" t="s">
        <v>1048</v>
      </c>
      <c r="B2" s="28" t="s">
        <v>1049</v>
      </c>
      <c r="C2" s="28" t="s">
        <v>1050</v>
      </c>
      <c r="D2" s="28" t="s">
        <v>1051</v>
      </c>
      <c r="E2" s="28" t="s">
        <v>1052</v>
      </c>
      <c r="F2" s="28" t="s">
        <v>1053</v>
      </c>
      <c r="G2" s="28" t="s">
        <v>1054</v>
      </c>
      <c r="H2" s="28" t="s">
        <v>1055</v>
      </c>
      <c r="I2" s="28" t="s">
        <v>282</v>
      </c>
      <c r="J2" s="28" t="s">
        <v>190</v>
      </c>
      <c r="K2" s="28" t="s">
        <v>1056</v>
      </c>
      <c r="L2" s="28" t="s">
        <v>330</v>
      </c>
      <c r="M2" s="28" t="s">
        <v>1057</v>
      </c>
    </row>
    <row r="3" spans="1:13" ht="60" x14ac:dyDescent="0.25">
      <c r="A3" s="29" t="s">
        <v>288</v>
      </c>
      <c r="B3" s="29" t="s">
        <v>289</v>
      </c>
      <c r="C3" s="30" t="s">
        <v>207</v>
      </c>
      <c r="D3" s="30" t="s">
        <v>209</v>
      </c>
      <c r="E3" s="30" t="s">
        <v>1058</v>
      </c>
      <c r="F3" s="30" t="s">
        <v>203</v>
      </c>
      <c r="G3" s="30" t="s">
        <v>205</v>
      </c>
      <c r="H3" s="30" t="s">
        <v>290</v>
      </c>
      <c r="I3" s="30" t="s">
        <v>291</v>
      </c>
      <c r="J3" s="30" t="s">
        <v>312</v>
      </c>
      <c r="K3" s="30" t="s">
        <v>292</v>
      </c>
      <c r="L3" s="30" t="s">
        <v>293</v>
      </c>
      <c r="M3" s="31" t="s">
        <v>294</v>
      </c>
    </row>
    <row r="4" spans="1:13" x14ac:dyDescent="0.25">
      <c r="A4" s="28" t="s">
        <v>295</v>
      </c>
      <c r="B4" s="28">
        <v>6915</v>
      </c>
      <c r="C4" s="55">
        <v>0.97378500000000001</v>
      </c>
      <c r="D4" s="32">
        <v>1.5642E-2</v>
      </c>
      <c r="E4" s="32">
        <v>1.0573000000000001E-2</v>
      </c>
      <c r="F4" s="32">
        <v>0.95707500000000001</v>
      </c>
      <c r="G4" s="32">
        <v>2.4514000000000001E-2</v>
      </c>
      <c r="H4" s="32">
        <v>1.8411E-2</v>
      </c>
      <c r="I4" s="32">
        <v>7.0280899999999993E-2</v>
      </c>
      <c r="J4" s="32">
        <v>0.54473720000000003</v>
      </c>
      <c r="K4" s="32">
        <v>0.12878729999999999</v>
      </c>
      <c r="L4" s="32">
        <v>0.99118360000000005</v>
      </c>
      <c r="M4" s="33">
        <v>12409.76</v>
      </c>
    </row>
    <row r="5" spans="1:13" x14ac:dyDescent="0.25">
      <c r="A5" s="28" t="s">
        <v>296</v>
      </c>
      <c r="B5" s="28">
        <v>5190</v>
      </c>
      <c r="C5" s="55">
        <v>0.96653800000000001</v>
      </c>
      <c r="D5" s="32">
        <v>1.9377999999999999E-2</v>
      </c>
      <c r="E5" s="32">
        <v>1.4083999999999999E-2</v>
      </c>
      <c r="F5" s="32">
        <v>0.94778600000000002</v>
      </c>
      <c r="G5" s="32">
        <v>2.7781E-2</v>
      </c>
      <c r="H5" s="32">
        <v>2.4433E-2</v>
      </c>
      <c r="I5" s="32">
        <v>7.9930799999999996E-2</v>
      </c>
      <c r="J5" s="32">
        <v>0.37599519999999997</v>
      </c>
      <c r="K5" s="32">
        <v>0.35348249999999998</v>
      </c>
      <c r="L5" s="32">
        <v>0.94163660000000005</v>
      </c>
      <c r="M5" s="33">
        <v>8581.9380000000001</v>
      </c>
    </row>
    <row r="6" spans="1:13" x14ac:dyDescent="0.25">
      <c r="A6" s="28" t="s">
        <v>297</v>
      </c>
      <c r="B6" s="28">
        <v>6797</v>
      </c>
      <c r="C6" s="55">
        <v>0.97093099999999999</v>
      </c>
      <c r="D6" s="32">
        <v>9.5219999999999992E-3</v>
      </c>
      <c r="E6" s="32">
        <v>1.9546999999999998E-2</v>
      </c>
      <c r="F6" s="32">
        <v>0.94577699999999998</v>
      </c>
      <c r="G6" s="32">
        <v>2.1752000000000001E-2</v>
      </c>
      <c r="H6" s="32">
        <v>3.2472000000000001E-2</v>
      </c>
      <c r="I6" s="32">
        <v>0.13070909999999999</v>
      </c>
      <c r="J6" s="32">
        <v>0.31045260000000002</v>
      </c>
      <c r="K6" s="32">
        <v>0.29536459999999998</v>
      </c>
      <c r="L6" s="32">
        <v>0.9782284</v>
      </c>
      <c r="M6" s="33">
        <v>4963.16</v>
      </c>
    </row>
    <row r="7" spans="1:13" x14ac:dyDescent="0.25">
      <c r="A7" s="28" t="s">
        <v>298</v>
      </c>
      <c r="B7" s="28">
        <v>12647</v>
      </c>
      <c r="C7" s="55">
        <v>0.96281499999999998</v>
      </c>
      <c r="D7" s="32">
        <v>1.3641E-2</v>
      </c>
      <c r="E7" s="32">
        <v>2.3543999999999999E-2</v>
      </c>
      <c r="F7" s="32">
        <v>0.93419399999999997</v>
      </c>
      <c r="G7" s="32">
        <v>2.3604E-2</v>
      </c>
      <c r="H7" s="32">
        <v>4.2202000000000003E-2</v>
      </c>
      <c r="I7" s="32">
        <v>0.1223764</v>
      </c>
      <c r="J7" s="32">
        <v>0.33933790000000003</v>
      </c>
      <c r="K7" s="32">
        <v>0.31365500000000002</v>
      </c>
      <c r="L7" s="32">
        <v>0.89688000000000001</v>
      </c>
      <c r="M7" s="33">
        <v>7112.04</v>
      </c>
    </row>
    <row r="8" spans="1:13" x14ac:dyDescent="0.25">
      <c r="A8" s="28" t="s">
        <v>50</v>
      </c>
      <c r="B8" s="28">
        <v>4710</v>
      </c>
      <c r="C8" s="55">
        <v>0.97120899999999999</v>
      </c>
      <c r="D8" s="32">
        <v>1.0851E-2</v>
      </c>
      <c r="E8" s="32">
        <v>1.7940000000000001E-2</v>
      </c>
      <c r="F8" s="32">
        <v>0.93211299999999997</v>
      </c>
      <c r="G8" s="32">
        <v>1.8301000000000001E-2</v>
      </c>
      <c r="H8" s="32">
        <v>4.9585999999999998E-2</v>
      </c>
      <c r="I8" s="32">
        <v>8.6273500000000003E-2</v>
      </c>
      <c r="J8" s="32">
        <v>0.24180960000000001</v>
      </c>
      <c r="K8" s="32">
        <v>0.39558209999999999</v>
      </c>
      <c r="L8" s="32">
        <v>0.99080539999999995</v>
      </c>
      <c r="M8" s="33">
        <v>12780.76</v>
      </c>
    </row>
    <row r="9" spans="1:13" x14ac:dyDescent="0.25">
      <c r="A9" s="28" t="s">
        <v>299</v>
      </c>
      <c r="B9" s="28">
        <v>9965</v>
      </c>
      <c r="C9" s="55">
        <v>0.95514600000000005</v>
      </c>
      <c r="D9" s="32">
        <v>3.6316000000000001E-2</v>
      </c>
      <c r="E9" s="32">
        <v>8.5380000000000005E-3</v>
      </c>
      <c r="F9" s="32">
        <v>0.89540900000000001</v>
      </c>
      <c r="G9" s="32">
        <v>6.234E-2</v>
      </c>
      <c r="H9" s="32">
        <v>4.2250999999999997E-2</v>
      </c>
      <c r="I9" s="32">
        <v>3.1479699999999999E-2</v>
      </c>
      <c r="J9" s="32">
        <v>0.46877790000000003</v>
      </c>
      <c r="K9" s="32">
        <v>0.11589729999999999</v>
      </c>
      <c r="L9" s="32">
        <v>0.58113579999999998</v>
      </c>
      <c r="M9" s="33">
        <v>37706.61</v>
      </c>
    </row>
    <row r="10" spans="1:13" x14ac:dyDescent="0.25">
      <c r="A10" s="28" t="s">
        <v>300</v>
      </c>
      <c r="B10" s="28">
        <v>3606</v>
      </c>
      <c r="C10" s="55">
        <v>0.95649499999999998</v>
      </c>
      <c r="D10" s="32">
        <v>2.8299000000000001E-2</v>
      </c>
      <c r="E10" s="32">
        <v>1.5206000000000001E-2</v>
      </c>
      <c r="F10" s="32">
        <v>0.88052900000000001</v>
      </c>
      <c r="G10" s="32">
        <v>6.5123E-2</v>
      </c>
      <c r="H10" s="32">
        <v>5.4348E-2</v>
      </c>
      <c r="I10" s="32"/>
      <c r="J10" s="32">
        <v>0.61905600000000005</v>
      </c>
      <c r="K10" s="32">
        <v>0.1244821</v>
      </c>
      <c r="L10" s="32">
        <v>0.49527680000000002</v>
      </c>
      <c r="M10" s="33">
        <v>44393.3</v>
      </c>
    </row>
    <row r="11" spans="1:13" x14ac:dyDescent="0.25">
      <c r="A11" s="28" t="s">
        <v>301</v>
      </c>
      <c r="B11" s="28">
        <v>8938</v>
      </c>
      <c r="C11" s="55">
        <v>0.95102299999999995</v>
      </c>
      <c r="D11" s="32">
        <v>1.3325E-2</v>
      </c>
      <c r="E11" s="32">
        <v>3.5652000000000003E-2</v>
      </c>
      <c r="F11" s="32">
        <v>0.88051699999999999</v>
      </c>
      <c r="G11" s="32">
        <v>5.3293E-2</v>
      </c>
      <c r="H11" s="32">
        <v>6.6189999999999999E-2</v>
      </c>
      <c r="I11" s="32">
        <v>7.9154000000000002E-2</v>
      </c>
      <c r="J11" s="32">
        <v>0.20395840000000001</v>
      </c>
      <c r="K11" s="32">
        <v>0.31213059999999998</v>
      </c>
      <c r="L11" s="32">
        <v>0.9841955</v>
      </c>
      <c r="M11" s="33">
        <v>2623.8620000000001</v>
      </c>
    </row>
    <row r="12" spans="1:13" x14ac:dyDescent="0.25">
      <c r="A12" s="28" t="s">
        <v>302</v>
      </c>
      <c r="B12" s="28">
        <v>11245</v>
      </c>
      <c r="C12" s="55">
        <v>0.95415399999999995</v>
      </c>
      <c r="D12" s="32">
        <v>2.1269E-2</v>
      </c>
      <c r="E12" s="32">
        <v>2.4577000000000002E-2</v>
      </c>
      <c r="F12" s="32">
        <v>0.86612599999999995</v>
      </c>
      <c r="G12" s="32">
        <v>4.5461000000000001E-2</v>
      </c>
      <c r="H12" s="32">
        <v>8.8413000000000005E-2</v>
      </c>
      <c r="I12" s="32">
        <v>0.1146711</v>
      </c>
      <c r="J12" s="32">
        <v>0.30064980000000002</v>
      </c>
      <c r="K12" s="32">
        <v>0.27252409999999999</v>
      </c>
      <c r="L12" s="32">
        <v>0.96398099999999998</v>
      </c>
      <c r="M12" s="33">
        <v>4881.5320000000002</v>
      </c>
    </row>
    <row r="13" spans="1:13" x14ac:dyDescent="0.25">
      <c r="A13" s="28" t="s">
        <v>303</v>
      </c>
      <c r="B13" s="28">
        <v>6248</v>
      </c>
      <c r="C13" s="55">
        <v>0.90422400000000003</v>
      </c>
      <c r="D13" s="32">
        <v>6.2756999999999993E-2</v>
      </c>
      <c r="E13" s="32">
        <v>3.3019E-2</v>
      </c>
      <c r="F13" s="32">
        <v>0.85874899999999998</v>
      </c>
      <c r="G13" s="32">
        <v>8.8858000000000006E-2</v>
      </c>
      <c r="H13" s="32">
        <v>5.2393000000000002E-2</v>
      </c>
      <c r="I13" s="32">
        <v>0.1068183</v>
      </c>
      <c r="J13" s="32">
        <v>0.43822430000000001</v>
      </c>
      <c r="K13" s="32">
        <v>0.27988299999999999</v>
      </c>
      <c r="L13" s="32">
        <v>0.34228940000000002</v>
      </c>
      <c r="M13" s="33">
        <v>40223.01</v>
      </c>
    </row>
    <row r="14" spans="1:13" x14ac:dyDescent="0.25">
      <c r="A14" s="28" t="s">
        <v>31</v>
      </c>
      <c r="B14" s="28">
        <v>3807</v>
      </c>
      <c r="C14" s="55">
        <v>0.90584900000000002</v>
      </c>
      <c r="D14" s="32">
        <v>8.4996000000000002E-2</v>
      </c>
      <c r="E14" s="32">
        <v>9.1559999999999992E-3</v>
      </c>
      <c r="F14" s="32">
        <v>0.83329900000000001</v>
      </c>
      <c r="G14" s="32">
        <v>0.126052</v>
      </c>
      <c r="H14" s="32">
        <v>4.0648999999999998E-2</v>
      </c>
      <c r="I14" s="32">
        <v>0.26288539999999999</v>
      </c>
      <c r="J14" s="32">
        <v>0.51881500000000003</v>
      </c>
      <c r="K14" s="32">
        <v>0.20532909999999999</v>
      </c>
      <c r="L14" s="32">
        <v>0.24004349999999999</v>
      </c>
      <c r="M14" s="33">
        <v>51090.26</v>
      </c>
    </row>
    <row r="15" spans="1:13" x14ac:dyDescent="0.25">
      <c r="A15" s="28" t="s">
        <v>304</v>
      </c>
      <c r="B15" s="28">
        <v>1445</v>
      </c>
      <c r="C15" s="55">
        <v>0.91532999999999998</v>
      </c>
      <c r="D15" s="32">
        <v>6.6461000000000006E-2</v>
      </c>
      <c r="E15" s="32">
        <v>1.8208999999999999E-2</v>
      </c>
      <c r="F15" s="32">
        <v>0.82906999999999997</v>
      </c>
      <c r="G15" s="32">
        <v>0.12565399999999999</v>
      </c>
      <c r="H15" s="32">
        <v>4.5275000000000003E-2</v>
      </c>
      <c r="I15" s="32">
        <v>0.10935979999999999</v>
      </c>
      <c r="J15" s="32">
        <v>0.223166</v>
      </c>
      <c r="K15" s="32">
        <v>0.4007348</v>
      </c>
      <c r="L15" s="32">
        <v>0.76980930000000003</v>
      </c>
      <c r="M15" s="33">
        <v>33149.5</v>
      </c>
    </row>
    <row r="16" spans="1:13" x14ac:dyDescent="0.25">
      <c r="A16" s="28" t="s">
        <v>55</v>
      </c>
      <c r="B16" s="28">
        <v>9424</v>
      </c>
      <c r="C16" s="55">
        <v>0.88949</v>
      </c>
      <c r="D16" s="32">
        <v>7.6179999999999998E-2</v>
      </c>
      <c r="E16" s="32">
        <v>3.4329999999999999E-2</v>
      </c>
      <c r="F16" s="32">
        <v>0.81358799999999998</v>
      </c>
      <c r="G16" s="32">
        <v>0.120281</v>
      </c>
      <c r="H16" s="32">
        <v>6.6131999999999996E-2</v>
      </c>
      <c r="I16" s="32">
        <v>0.11544409999999999</v>
      </c>
      <c r="J16" s="32">
        <v>0.41893580000000002</v>
      </c>
      <c r="K16" s="32">
        <v>0.1430804</v>
      </c>
      <c r="L16" s="32">
        <v>0.28607270000000001</v>
      </c>
      <c r="M16" s="33">
        <v>53969.63</v>
      </c>
    </row>
    <row r="17" spans="1:13" x14ac:dyDescent="0.25">
      <c r="A17" s="28" t="s">
        <v>305</v>
      </c>
      <c r="B17" s="28">
        <v>15005</v>
      </c>
      <c r="C17" s="55">
        <v>0.89159200000000005</v>
      </c>
      <c r="D17" s="32">
        <v>8.9327000000000004E-2</v>
      </c>
      <c r="E17" s="32">
        <v>1.9081000000000001E-2</v>
      </c>
      <c r="F17" s="32">
        <v>0.81260200000000005</v>
      </c>
      <c r="G17" s="32">
        <v>0.130519</v>
      </c>
      <c r="H17" s="32">
        <v>5.6878999999999999E-2</v>
      </c>
      <c r="I17" s="32">
        <v>0.1523032</v>
      </c>
      <c r="J17" s="32">
        <v>0.55672779999999999</v>
      </c>
      <c r="K17" s="32">
        <v>0.14725969999999999</v>
      </c>
      <c r="L17" s="32">
        <v>0.16185260000000001</v>
      </c>
      <c r="M17" s="33">
        <v>55359.34</v>
      </c>
    </row>
    <row r="18" spans="1:13" x14ac:dyDescent="0.25">
      <c r="A18" s="28" t="s">
        <v>306</v>
      </c>
      <c r="B18" s="28">
        <v>5332</v>
      </c>
      <c r="C18" s="55">
        <v>0.87319199999999997</v>
      </c>
      <c r="D18" s="32">
        <v>0.100387</v>
      </c>
      <c r="E18" s="32">
        <v>2.6421E-2</v>
      </c>
      <c r="F18" s="32">
        <v>0.79801</v>
      </c>
      <c r="G18" s="32">
        <v>0.13770499999999999</v>
      </c>
      <c r="H18" s="32">
        <v>6.4284999999999995E-2</v>
      </c>
      <c r="I18" s="32">
        <v>0.1623781</v>
      </c>
      <c r="J18" s="32">
        <v>0.41190949999999998</v>
      </c>
      <c r="K18" s="32">
        <v>0.24996950000000001</v>
      </c>
      <c r="L18" s="32">
        <v>0.3134769</v>
      </c>
      <c r="M18" s="33">
        <v>47587.17</v>
      </c>
    </row>
    <row r="19" spans="1:13" x14ac:dyDescent="0.25">
      <c r="A19" s="28" t="s">
        <v>42</v>
      </c>
      <c r="B19" s="28">
        <v>11938</v>
      </c>
      <c r="C19" s="55">
        <v>0.90153799999999995</v>
      </c>
      <c r="D19" s="32">
        <v>7.7903E-2</v>
      </c>
      <c r="E19" s="32">
        <v>2.0559000000000001E-2</v>
      </c>
      <c r="F19" s="32">
        <v>0.79416200000000003</v>
      </c>
      <c r="G19" s="32">
        <v>0.152092</v>
      </c>
      <c r="H19" s="32">
        <v>5.3746000000000002E-2</v>
      </c>
      <c r="I19" s="32">
        <v>0.20437669999999999</v>
      </c>
      <c r="J19" s="32">
        <v>0.50891019999999998</v>
      </c>
      <c r="K19" s="32">
        <v>0.40320990000000001</v>
      </c>
      <c r="L19" s="32">
        <v>0.79860419999999999</v>
      </c>
      <c r="M19" s="33">
        <v>15093.46</v>
      </c>
    </row>
    <row r="20" spans="1:13" x14ac:dyDescent="0.25">
      <c r="A20" s="28" t="s">
        <v>307</v>
      </c>
      <c r="B20" s="28">
        <v>2564</v>
      </c>
      <c r="C20" s="55">
        <v>0.93446300000000004</v>
      </c>
      <c r="D20" s="32">
        <v>2.7872999999999998E-2</v>
      </c>
      <c r="E20" s="32">
        <v>3.7664999999999997E-2</v>
      </c>
      <c r="F20" s="32">
        <v>0.78325999999999996</v>
      </c>
      <c r="G20" s="32">
        <v>8.3234000000000002E-2</v>
      </c>
      <c r="H20" s="32">
        <v>0.13350600000000001</v>
      </c>
      <c r="I20" s="32">
        <v>0.17304949999999999</v>
      </c>
      <c r="J20" s="32">
        <v>0.35050799999999999</v>
      </c>
      <c r="K20" s="32">
        <v>0.21901899999999999</v>
      </c>
      <c r="L20" s="32">
        <v>0.91306719999999997</v>
      </c>
      <c r="M20" s="33">
        <v>13478.75</v>
      </c>
    </row>
    <row r="21" spans="1:13" x14ac:dyDescent="0.25">
      <c r="A21" s="28" t="s">
        <v>308</v>
      </c>
      <c r="B21" s="28">
        <v>5732</v>
      </c>
      <c r="C21" s="55">
        <v>0.88870400000000005</v>
      </c>
      <c r="D21" s="32">
        <v>6.5188999999999997E-2</v>
      </c>
      <c r="E21" s="32">
        <v>4.6108000000000003E-2</v>
      </c>
      <c r="F21" s="32">
        <v>0.78323500000000001</v>
      </c>
      <c r="G21" s="32">
        <v>0.12017600000000001</v>
      </c>
      <c r="H21" s="32">
        <v>9.6588999999999994E-2</v>
      </c>
      <c r="I21" s="32">
        <v>0.1642787</v>
      </c>
      <c r="J21" s="32">
        <v>0.59512830000000005</v>
      </c>
      <c r="K21" s="32">
        <v>0.2272642</v>
      </c>
      <c r="L21" s="32">
        <v>0.69844620000000002</v>
      </c>
      <c r="M21" s="33">
        <v>20254.78</v>
      </c>
    </row>
    <row r="22" spans="1:13" x14ac:dyDescent="0.25">
      <c r="A22" s="28" t="s">
        <v>309</v>
      </c>
      <c r="B22" s="28">
        <v>38229</v>
      </c>
      <c r="C22" s="55">
        <v>0.85424500000000003</v>
      </c>
      <c r="D22" s="32">
        <v>0.121407</v>
      </c>
      <c r="E22" s="32">
        <v>2.4348000000000002E-2</v>
      </c>
      <c r="F22" s="32">
        <v>0.749332</v>
      </c>
      <c r="G22" s="32">
        <v>0.16601299999999999</v>
      </c>
      <c r="H22" s="32">
        <v>8.4654999999999994E-2</v>
      </c>
      <c r="I22" s="32">
        <v>0.26334190000000002</v>
      </c>
      <c r="J22" s="32">
        <v>0.55570790000000003</v>
      </c>
      <c r="K22" s="32">
        <v>0.22146389999999999</v>
      </c>
      <c r="L22" s="32">
        <v>0.46682610000000002</v>
      </c>
      <c r="M22" s="33">
        <v>64623.13</v>
      </c>
    </row>
    <row r="23" spans="1:13" x14ac:dyDescent="0.25">
      <c r="A23" s="28" t="s">
        <v>13</v>
      </c>
      <c r="B23" s="28">
        <v>6653</v>
      </c>
      <c r="C23" s="55">
        <v>0.84968600000000005</v>
      </c>
      <c r="D23" s="32">
        <v>9.3315999999999996E-2</v>
      </c>
      <c r="E23" s="32">
        <v>5.6998E-2</v>
      </c>
      <c r="F23" s="32">
        <v>0.74360499999999996</v>
      </c>
      <c r="G23" s="32">
        <v>0.135435</v>
      </c>
      <c r="H23" s="32">
        <v>0.12096</v>
      </c>
      <c r="I23" s="32">
        <v>0.19805149999999999</v>
      </c>
      <c r="J23" s="32">
        <v>0.50368420000000003</v>
      </c>
      <c r="K23" s="32">
        <v>0.35019119999999998</v>
      </c>
      <c r="L23" s="32">
        <v>0.52476270000000003</v>
      </c>
      <c r="M23" s="33">
        <v>22461.439999999999</v>
      </c>
    </row>
    <row r="24" spans="1:13" x14ac:dyDescent="0.25">
      <c r="A24" s="28" t="s">
        <v>310</v>
      </c>
      <c r="B24" s="28">
        <v>20471</v>
      </c>
      <c r="C24" s="55">
        <v>0.73699599999999998</v>
      </c>
      <c r="D24" s="32">
        <v>0.118047</v>
      </c>
      <c r="E24" s="32">
        <v>0.144957</v>
      </c>
      <c r="F24" s="32">
        <v>0.65886299999999998</v>
      </c>
      <c r="G24" s="32">
        <v>0.170184</v>
      </c>
      <c r="H24" s="32">
        <v>0.17095299999999999</v>
      </c>
      <c r="I24" s="32">
        <v>7.2816099999999995E-2</v>
      </c>
      <c r="J24" s="32">
        <v>0.24874389999999999</v>
      </c>
      <c r="K24" s="32">
        <v>0.2004959</v>
      </c>
      <c r="L24" s="32">
        <v>0.10271039999999999</v>
      </c>
      <c r="M24" s="33">
        <v>41837.910000000003</v>
      </c>
    </row>
    <row r="25" spans="1:13" x14ac:dyDescent="0.25">
      <c r="A25" s="28" t="s">
        <v>311</v>
      </c>
      <c r="B25" s="28">
        <v>3007</v>
      </c>
      <c r="C25" s="55">
        <v>0.71935400000000005</v>
      </c>
      <c r="D25" s="32">
        <v>9.5495999999999998E-2</v>
      </c>
      <c r="E25" s="32">
        <v>0.18515000000000001</v>
      </c>
      <c r="F25" s="32">
        <v>0.65400700000000001</v>
      </c>
      <c r="G25" s="32">
        <v>0.121433</v>
      </c>
      <c r="H25" s="32">
        <v>0.22456000000000001</v>
      </c>
      <c r="I25" s="32">
        <v>0.1058788</v>
      </c>
      <c r="J25" s="32">
        <v>0.43380200000000002</v>
      </c>
      <c r="K25" s="32">
        <v>0.24599109999999999</v>
      </c>
      <c r="L25" s="32">
        <v>0.39726230000000001</v>
      </c>
      <c r="M25" s="33">
        <v>60037.45</v>
      </c>
    </row>
  </sheetData>
  <sortState xmlns:xlrd2="http://schemas.microsoft.com/office/spreadsheetml/2017/richdata2" ref="A4:M25">
    <sortCondition descending="1" ref="F4:F25"/>
  </sortState>
  <mergeCells count="1">
    <mergeCell ref="A1:M1"/>
  </mergeCells>
  <pageMargins left="0.7" right="0.7" top="0.75" bottom="0.75" header="0.3" footer="0.3"/>
  <pageSetup orientation="portrait"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F37B34-8B7F-48EF-A6DD-4CA20FC43DFB}">
  <dimension ref="A1:U95"/>
  <sheetViews>
    <sheetView workbookViewId="0">
      <pane ySplit="3" topLeftCell="A4" activePane="bottomLeft" state="frozen"/>
      <selection pane="bottomLeft" sqref="A1:U1"/>
    </sheetView>
  </sheetViews>
  <sheetFormatPr defaultRowHeight="15" x14ac:dyDescent="0.25"/>
  <cols>
    <col min="1" max="1" width="47.7109375" bestFit="1" customWidth="1"/>
  </cols>
  <sheetData>
    <row r="1" spans="1:21" s="38" customFormat="1" ht="81" customHeight="1" x14ac:dyDescent="0.25">
      <c r="A1" s="89" t="s">
        <v>1043</v>
      </c>
      <c r="B1" s="89"/>
      <c r="C1" s="89"/>
      <c r="D1" s="89"/>
      <c r="E1" s="89"/>
      <c r="F1" s="89"/>
      <c r="G1" s="89"/>
      <c r="H1" s="89"/>
      <c r="I1" s="89"/>
      <c r="J1" s="89"/>
      <c r="K1" s="89"/>
      <c r="L1" s="89"/>
      <c r="M1" s="89"/>
      <c r="N1" s="89"/>
      <c r="O1" s="89"/>
      <c r="P1" s="89"/>
      <c r="Q1" s="89"/>
      <c r="R1" s="89"/>
      <c r="S1" s="89"/>
      <c r="T1" s="89"/>
      <c r="U1" s="89"/>
    </row>
    <row r="2" spans="1:21" x14ac:dyDescent="0.25">
      <c r="A2" t="str">
        <f>""</f>
        <v/>
      </c>
      <c r="B2" s="56" t="str">
        <f>"(1)"</f>
        <v>(1)</v>
      </c>
      <c r="C2" s="56" t="str">
        <f>"(2)"</f>
        <v>(2)</v>
      </c>
      <c r="D2" s="56" t="str">
        <f>"(3)"</f>
        <v>(3)</v>
      </c>
      <c r="E2" s="56" t="str">
        <f>"(4)"</f>
        <v>(4)</v>
      </c>
      <c r="F2" s="56" t="str">
        <f>"(5)"</f>
        <v>(5)</v>
      </c>
      <c r="G2" s="56" t="str">
        <f>"(6)"</f>
        <v>(6)</v>
      </c>
      <c r="H2" s="56" t="str">
        <f>"(7)"</f>
        <v>(7)</v>
      </c>
      <c r="I2" s="56" t="str">
        <f>"(8)"</f>
        <v>(8)</v>
      </c>
      <c r="J2" s="56" t="str">
        <f>"(9)"</f>
        <v>(9)</v>
      </c>
      <c r="K2" s="56" t="str">
        <f>"(10)"</f>
        <v>(10)</v>
      </c>
      <c r="L2" s="57" t="str">
        <f>"(11)"</f>
        <v>(11)</v>
      </c>
      <c r="M2" s="57" t="str">
        <f>"(12)"</f>
        <v>(12)</v>
      </c>
      <c r="N2" s="57" t="str">
        <f>"(13)"</f>
        <v>(13)</v>
      </c>
      <c r="O2" s="57" t="str">
        <f>"(14)"</f>
        <v>(14)</v>
      </c>
      <c r="P2" s="57" t="str">
        <f>"(15)"</f>
        <v>(15)</v>
      </c>
      <c r="Q2" s="57" t="str">
        <f>"(16)"</f>
        <v>(16)</v>
      </c>
      <c r="R2" s="57" t="str">
        <f>"(17)"</f>
        <v>(17)</v>
      </c>
      <c r="S2" s="57" t="str">
        <f>"(18)"</f>
        <v>(18)</v>
      </c>
      <c r="T2" s="57" t="str">
        <f>"(19)"</f>
        <v>(19)</v>
      </c>
      <c r="U2" s="57" t="str">
        <f>"(20)"</f>
        <v>(20)</v>
      </c>
    </row>
    <row r="3" spans="1:21" x14ac:dyDescent="0.25">
      <c r="A3" t="str">
        <f>""</f>
        <v/>
      </c>
      <c r="B3" s="56" t="str">
        <f>"Flourishing index"</f>
        <v>Flourishing index</v>
      </c>
      <c r="C3" s="56" t="str">
        <f t="shared" ref="C3:K3" si="0">"Flourishing index"</f>
        <v>Flourishing index</v>
      </c>
      <c r="D3" s="56" t="str">
        <f t="shared" si="0"/>
        <v>Flourishing index</v>
      </c>
      <c r="E3" s="56" t="str">
        <f t="shared" si="0"/>
        <v>Flourishing index</v>
      </c>
      <c r="F3" s="56" t="str">
        <f t="shared" si="0"/>
        <v>Flourishing index</v>
      </c>
      <c r="G3" s="56" t="str">
        <f t="shared" si="0"/>
        <v>Flourishing index</v>
      </c>
      <c r="H3" s="56" t="str">
        <f t="shared" si="0"/>
        <v>Flourishing index</v>
      </c>
      <c r="I3" s="56" t="str">
        <f t="shared" si="0"/>
        <v>Flourishing index</v>
      </c>
      <c r="J3" s="56" t="str">
        <f t="shared" si="0"/>
        <v>Flourishing index</v>
      </c>
      <c r="K3" s="56" t="str">
        <f t="shared" si="0"/>
        <v>Flourishing index</v>
      </c>
      <c r="L3" s="57" t="str">
        <f t="shared" ref="L3:U3" si="1">"Internalized mental health index"</f>
        <v>Internalized mental health index</v>
      </c>
      <c r="M3" s="57" t="str">
        <f t="shared" si="1"/>
        <v>Internalized mental health index</v>
      </c>
      <c r="N3" s="57" t="str">
        <f t="shared" si="1"/>
        <v>Internalized mental health index</v>
      </c>
      <c r="O3" s="57" t="str">
        <f t="shared" si="1"/>
        <v>Internalized mental health index</v>
      </c>
      <c r="P3" s="57" t="str">
        <f t="shared" si="1"/>
        <v>Internalized mental health index</v>
      </c>
      <c r="Q3" s="57" t="str">
        <f t="shared" si="1"/>
        <v>Internalized mental health index</v>
      </c>
      <c r="R3" s="57" t="str">
        <f t="shared" si="1"/>
        <v>Internalized mental health index</v>
      </c>
      <c r="S3" s="57" t="str">
        <f t="shared" si="1"/>
        <v>Internalized mental health index</v>
      </c>
      <c r="T3" s="57" t="str">
        <f t="shared" si="1"/>
        <v>Internalized mental health index</v>
      </c>
      <c r="U3" s="57" t="str">
        <f t="shared" si="1"/>
        <v>Internalized mental health index</v>
      </c>
    </row>
    <row r="4" spans="1:21" x14ac:dyDescent="0.25">
      <c r="B4" t="str">
        <f>""</f>
        <v/>
      </c>
      <c r="C4" t="str">
        <f>""</f>
        <v/>
      </c>
      <c r="D4" t="str">
        <f>""</f>
        <v/>
      </c>
      <c r="E4" t="str">
        <f>""</f>
        <v/>
      </c>
      <c r="F4" t="str">
        <f>""</f>
        <v/>
      </c>
      <c r="G4" t="str">
        <f>""</f>
        <v/>
      </c>
      <c r="H4" t="str">
        <f>""</f>
        <v/>
      </c>
      <c r="I4" t="str">
        <f>""</f>
        <v/>
      </c>
      <c r="J4" t="str">
        <f>""</f>
        <v/>
      </c>
      <c r="K4" t="str">
        <f>""</f>
        <v/>
      </c>
      <c r="L4" t="str">
        <f>""</f>
        <v/>
      </c>
      <c r="M4" t="str">
        <f>""</f>
        <v/>
      </c>
      <c r="N4" t="str">
        <f>""</f>
        <v/>
      </c>
      <c r="O4" t="str">
        <f>""</f>
        <v/>
      </c>
      <c r="P4" t="str">
        <f>""</f>
        <v/>
      </c>
      <c r="Q4" t="str">
        <f>""</f>
        <v/>
      </c>
      <c r="R4" t="str">
        <f>""</f>
        <v/>
      </c>
      <c r="S4" t="str">
        <f>""</f>
        <v/>
      </c>
      <c r="T4" t="str">
        <f>""</f>
        <v/>
      </c>
      <c r="U4" t="str">
        <f>""</f>
        <v/>
      </c>
    </row>
    <row r="5" spans="1:21" x14ac:dyDescent="0.25">
      <c r="A5" t="str">
        <f>"Parent-child relationship quality index"</f>
        <v>Parent-child relationship quality index</v>
      </c>
      <c r="B5" t="str">
        <f>"0.211**"</f>
        <v>0.211**</v>
      </c>
      <c r="C5" t="str">
        <f>"0.184**"</f>
        <v>0.184**</v>
      </c>
      <c r="D5" t="str">
        <f>"0.158**"</f>
        <v>0.158**</v>
      </c>
      <c r="E5" t="str">
        <f>"-0.187"</f>
        <v>-0.187</v>
      </c>
      <c r="F5" t="str">
        <f>"0.158**"</f>
        <v>0.158**</v>
      </c>
      <c r="G5" t="str">
        <f>"0.132**"</f>
        <v>0.132**</v>
      </c>
      <c r="H5" t="str">
        <f>"0.158**"</f>
        <v>0.158**</v>
      </c>
      <c r="I5" t="str">
        <f>"0.113"</f>
        <v>0.113</v>
      </c>
      <c r="J5" t="str">
        <f>"0.158**"</f>
        <v>0.158**</v>
      </c>
      <c r="K5" t="str">
        <f>"0.130**"</f>
        <v>0.130**</v>
      </c>
      <c r="L5" t="str">
        <f>"0.183**"</f>
        <v>0.183**</v>
      </c>
      <c r="M5" t="str">
        <f>"0.137**"</f>
        <v>0.137**</v>
      </c>
      <c r="N5" t="str">
        <f>"0.128**"</f>
        <v>0.128**</v>
      </c>
      <c r="O5" t="str">
        <f>"0.079"</f>
        <v>0.079</v>
      </c>
      <c r="P5" t="str">
        <f>"0.128**"</f>
        <v>0.128**</v>
      </c>
      <c r="Q5" t="str">
        <f>"0.120**"</f>
        <v>0.120**</v>
      </c>
      <c r="R5" t="str">
        <f>"0.128**"</f>
        <v>0.128**</v>
      </c>
      <c r="S5" t="str">
        <f>"0.118**"</f>
        <v>0.118**</v>
      </c>
      <c r="T5" t="str">
        <f>"0.128**"</f>
        <v>0.128**</v>
      </c>
      <c r="U5" t="str">
        <f>"0.119**"</f>
        <v>0.119**</v>
      </c>
    </row>
    <row r="6" spans="1:21" x14ac:dyDescent="0.25">
      <c r="A6" t="str">
        <f>""</f>
        <v/>
      </c>
      <c r="B6" t="str">
        <f>"(0.010)"</f>
        <v>(0.010)</v>
      </c>
      <c r="C6" t="str">
        <f>"(0.013)"</f>
        <v>(0.013)</v>
      </c>
      <c r="D6" t="str">
        <f>"(0.010)"</f>
        <v>(0.010)</v>
      </c>
      <c r="E6" t="str">
        <f>"(0.106)"</f>
        <v>(0.106)</v>
      </c>
      <c r="F6" t="str">
        <f>"(0.010)"</f>
        <v>(0.010)</v>
      </c>
      <c r="G6" t="str">
        <f>"(0.009)"</f>
        <v>(0.009)</v>
      </c>
      <c r="H6" t="str">
        <f>"(0.010)"</f>
        <v>(0.010)</v>
      </c>
      <c r="I6" t="str">
        <f>"(0.060)"</f>
        <v>(0.060)</v>
      </c>
      <c r="J6" t="str">
        <f>"(0.010)"</f>
        <v>(0.010)</v>
      </c>
      <c r="K6" t="str">
        <f>"(0.014)"</f>
        <v>(0.014)</v>
      </c>
      <c r="L6" t="str">
        <f>"(0.007)"</f>
        <v>(0.007)</v>
      </c>
      <c r="M6" t="str">
        <f>"(0.008)"</f>
        <v>(0.008)</v>
      </c>
      <c r="N6" t="str">
        <f>"(0.008)"</f>
        <v>(0.008)</v>
      </c>
      <c r="O6" t="str">
        <f>"(0.110)"</f>
        <v>(0.110)</v>
      </c>
      <c r="P6" t="str">
        <f>"(0.008)"</f>
        <v>(0.008)</v>
      </c>
      <c r="Q6" t="str">
        <f>"(0.008)"</f>
        <v>(0.008)</v>
      </c>
      <c r="R6" t="str">
        <f>"(0.008)"</f>
        <v>(0.008)</v>
      </c>
      <c r="S6" t="str">
        <f>"(0.028)"</f>
        <v>(0.028)</v>
      </c>
      <c r="T6" t="str">
        <f>"(0.008)"</f>
        <v>(0.008)</v>
      </c>
      <c r="U6" t="str">
        <f>"(0.011)"</f>
        <v>(0.011)</v>
      </c>
    </row>
    <row r="7" spans="1:21" x14ac:dyDescent="0.25">
      <c r="A7" t="str">
        <f>"Respondet is male"</f>
        <v>Respondet is male</v>
      </c>
      <c r="B7" t="str">
        <f>"-0.101**"</f>
        <v>-0.101**</v>
      </c>
      <c r="C7" t="str">
        <f>"-0.101**"</f>
        <v>-0.101**</v>
      </c>
      <c r="D7" t="str">
        <f>"-0.093**"</f>
        <v>-0.093**</v>
      </c>
      <c r="E7" t="str">
        <f>"-0.094**"</f>
        <v>-0.094**</v>
      </c>
      <c r="F7" t="str">
        <f t="shared" ref="F7:K7" si="2">"-0.093**"</f>
        <v>-0.093**</v>
      </c>
      <c r="G7" t="str">
        <f t="shared" si="2"/>
        <v>-0.093**</v>
      </c>
      <c r="H7" t="str">
        <f t="shared" si="2"/>
        <v>-0.093**</v>
      </c>
      <c r="I7" t="str">
        <f t="shared" si="2"/>
        <v>-0.093**</v>
      </c>
      <c r="J7" t="str">
        <f t="shared" si="2"/>
        <v>-0.093**</v>
      </c>
      <c r="K7" t="str">
        <f t="shared" si="2"/>
        <v>-0.093**</v>
      </c>
      <c r="L7" t="str">
        <f>"0.090**"</f>
        <v>0.090**</v>
      </c>
      <c r="M7" t="str">
        <f t="shared" ref="M7:U7" si="3">"0.074**"</f>
        <v>0.074**</v>
      </c>
      <c r="N7" t="str">
        <f t="shared" si="3"/>
        <v>0.074**</v>
      </c>
      <c r="O7" t="str">
        <f t="shared" si="3"/>
        <v>0.074**</v>
      </c>
      <c r="P7" t="str">
        <f t="shared" si="3"/>
        <v>0.074**</v>
      </c>
      <c r="Q7" t="str">
        <f t="shared" si="3"/>
        <v>0.074**</v>
      </c>
      <c r="R7" t="str">
        <f t="shared" si="3"/>
        <v>0.074**</v>
      </c>
      <c r="S7" t="str">
        <f t="shared" si="3"/>
        <v>0.074**</v>
      </c>
      <c r="T7" t="str">
        <f t="shared" si="3"/>
        <v>0.074**</v>
      </c>
      <c r="U7" t="str">
        <f t="shared" si="3"/>
        <v>0.074**</v>
      </c>
    </row>
    <row r="8" spans="1:21" x14ac:dyDescent="0.25">
      <c r="A8" t="str">
        <f>""</f>
        <v/>
      </c>
      <c r="B8" t="str">
        <f>"(0.022)"</f>
        <v>(0.022)</v>
      </c>
      <c r="C8" t="str">
        <f>"(0.023)"</f>
        <v>(0.023)</v>
      </c>
      <c r="D8" t="str">
        <f>"(0.017)"</f>
        <v>(0.017)</v>
      </c>
      <c r="E8" t="str">
        <f>"(0.017)"</f>
        <v>(0.017)</v>
      </c>
      <c r="F8" t="str">
        <f>"(0.017)"</f>
        <v>(0.017)</v>
      </c>
      <c r="G8" t="str">
        <f>"(0.017)"</f>
        <v>(0.017)</v>
      </c>
      <c r="H8" t="str">
        <f>"(0.017)"</f>
        <v>(0.017)</v>
      </c>
      <c r="I8" t="str">
        <f>"(0.018)"</f>
        <v>(0.018)</v>
      </c>
      <c r="J8" t="str">
        <f>"(0.017)"</f>
        <v>(0.017)</v>
      </c>
      <c r="K8" t="str">
        <f>"(0.018)"</f>
        <v>(0.018)</v>
      </c>
      <c r="L8" t="str">
        <f>"(0.019)"</f>
        <v>(0.019)</v>
      </c>
      <c r="M8" t="str">
        <f>"(0.018)"</f>
        <v>(0.018)</v>
      </c>
      <c r="N8" t="str">
        <f>"(0.016)"</f>
        <v>(0.016)</v>
      </c>
      <c r="O8" t="str">
        <f>"(0.017)"</f>
        <v>(0.017)</v>
      </c>
      <c r="P8" t="str">
        <f>"(0.016)"</f>
        <v>(0.016)</v>
      </c>
      <c r="Q8" t="str">
        <f>"(0.016)"</f>
        <v>(0.016)</v>
      </c>
      <c r="R8" t="str">
        <f>"(0.016)"</f>
        <v>(0.016)</v>
      </c>
      <c r="S8" t="str">
        <f>"(0.016)"</f>
        <v>(0.016)</v>
      </c>
      <c r="T8" t="str">
        <f>"(0.016)"</f>
        <v>(0.016)</v>
      </c>
      <c r="U8" t="str">
        <f>"(0.017)"</f>
        <v>(0.017)</v>
      </c>
    </row>
    <row r="9" spans="1:21" x14ac:dyDescent="0.25">
      <c r="A9" t="str">
        <f>"Did not select male or female"</f>
        <v>Did not select male or female</v>
      </c>
      <c r="B9" t="str">
        <f>"-0.483**"</f>
        <v>-0.483**</v>
      </c>
      <c r="C9" t="str">
        <f>"-0.474**"</f>
        <v>-0.474**</v>
      </c>
      <c r="D9" t="str">
        <f>"-0.397**"</f>
        <v>-0.397**</v>
      </c>
      <c r="E9" t="str">
        <f>"-0.394**"</f>
        <v>-0.394**</v>
      </c>
      <c r="F9" t="str">
        <f>"-0.398**"</f>
        <v>-0.398**</v>
      </c>
      <c r="G9" t="str">
        <f>"-0.399**"</f>
        <v>-0.399**</v>
      </c>
      <c r="H9" t="str">
        <f>"-0.398**"</f>
        <v>-0.398**</v>
      </c>
      <c r="I9" t="str">
        <f>"-0.396**"</f>
        <v>-0.396**</v>
      </c>
      <c r="J9" t="str">
        <f>"-0.397**"</f>
        <v>-0.397**</v>
      </c>
      <c r="K9" t="str">
        <f>"-0.396**"</f>
        <v>-0.396**</v>
      </c>
      <c r="L9" t="str">
        <f>"-0.260**"</f>
        <v>-0.260**</v>
      </c>
      <c r="M9" t="str">
        <f>"-0.246**"</f>
        <v>-0.246**</v>
      </c>
      <c r="N9" t="str">
        <f>"-0.228**"</f>
        <v>-0.228**</v>
      </c>
      <c r="O9" t="str">
        <f>"-0.227**"</f>
        <v>-0.227**</v>
      </c>
      <c r="P9" t="str">
        <f>"-0.228**"</f>
        <v>-0.228**</v>
      </c>
      <c r="Q9" t="str">
        <f>"-0.228**"</f>
        <v>-0.228**</v>
      </c>
      <c r="R9" t="str">
        <f>"-0.228**"</f>
        <v>-0.228**</v>
      </c>
      <c r="S9" t="str">
        <f>"-0.228**"</f>
        <v>-0.228**</v>
      </c>
      <c r="T9" t="str">
        <f>"-0.228**"</f>
        <v>-0.228**</v>
      </c>
      <c r="U9" t="str">
        <f>"-0.227**"</f>
        <v>-0.227**</v>
      </c>
    </row>
    <row r="10" spans="1:21" x14ac:dyDescent="0.25">
      <c r="A10" t="str">
        <f>""</f>
        <v/>
      </c>
      <c r="B10" t="str">
        <f>"(0.109)"</f>
        <v>(0.109)</v>
      </c>
      <c r="C10" t="str">
        <f>"(0.116)"</f>
        <v>(0.116)</v>
      </c>
      <c r="D10" t="str">
        <f>"(0.107)"</f>
        <v>(0.107)</v>
      </c>
      <c r="E10" t="str">
        <f>"(0.107)"</f>
        <v>(0.107)</v>
      </c>
      <c r="F10" t="str">
        <f>"(0.107)"</f>
        <v>(0.107)</v>
      </c>
      <c r="G10" t="str">
        <f>"(0.106)"</f>
        <v>(0.106)</v>
      </c>
      <c r="H10" t="str">
        <f>"(0.107)"</f>
        <v>(0.107)</v>
      </c>
      <c r="I10" t="str">
        <f>"(0.107)"</f>
        <v>(0.107)</v>
      </c>
      <c r="J10" t="str">
        <f>"(0.107)"</f>
        <v>(0.107)</v>
      </c>
      <c r="K10" t="str">
        <f>"(0.107)"</f>
        <v>(0.107)</v>
      </c>
      <c r="L10" t="str">
        <f>"(0.066)"</f>
        <v>(0.066)</v>
      </c>
      <c r="M10" t="str">
        <f>"(0.074)"</f>
        <v>(0.074)</v>
      </c>
      <c r="N10" t="str">
        <f t="shared" ref="N10:U10" si="4">"(0.070)"</f>
        <v>(0.070)</v>
      </c>
      <c r="O10" t="str">
        <f t="shared" si="4"/>
        <v>(0.070)</v>
      </c>
      <c r="P10" t="str">
        <f t="shared" si="4"/>
        <v>(0.070)</v>
      </c>
      <c r="Q10" t="str">
        <f t="shared" si="4"/>
        <v>(0.070)</v>
      </c>
      <c r="R10" t="str">
        <f t="shared" si="4"/>
        <v>(0.070)</v>
      </c>
      <c r="S10" t="str">
        <f t="shared" si="4"/>
        <v>(0.070)</v>
      </c>
      <c r="T10" t="str">
        <f t="shared" si="4"/>
        <v>(0.070)</v>
      </c>
      <c r="U10" t="str">
        <f t="shared" si="4"/>
        <v>(0.070)</v>
      </c>
    </row>
    <row r="11" spans="1:21" x14ac:dyDescent="0.25">
      <c r="A11" t="str">
        <f>"secondary education"</f>
        <v>secondary education</v>
      </c>
      <c r="B11" t="str">
        <f>"0.043"</f>
        <v>0.043</v>
      </c>
      <c r="C11" t="str">
        <f>"0.018"</f>
        <v>0.018</v>
      </c>
      <c r="D11" t="str">
        <f>"0.014"</f>
        <v>0.014</v>
      </c>
      <c r="E11" t="str">
        <f>"0.017"</f>
        <v>0.017</v>
      </c>
      <c r="F11" t="str">
        <f>"0.014"</f>
        <v>0.014</v>
      </c>
      <c r="G11" t="str">
        <f>"0.016"</f>
        <v>0.016</v>
      </c>
      <c r="H11" t="str">
        <f>"0.014"</f>
        <v>0.014</v>
      </c>
      <c r="I11" t="str">
        <f>"0.014"</f>
        <v>0.014</v>
      </c>
      <c r="J11" t="str">
        <f>"0.014"</f>
        <v>0.014</v>
      </c>
      <c r="K11" t="str">
        <f>"0.016"</f>
        <v>0.016</v>
      </c>
      <c r="L11" t="str">
        <f>"0.090**"</f>
        <v>0.090**</v>
      </c>
      <c r="M11" t="str">
        <f>"0.076**"</f>
        <v>0.076**</v>
      </c>
      <c r="N11" t="str">
        <f>"0.070**"</f>
        <v>0.070**</v>
      </c>
      <c r="O11" t="str">
        <f>"0.070**"</f>
        <v>0.070**</v>
      </c>
      <c r="P11" t="str">
        <f>"0.070**"</f>
        <v>0.070**</v>
      </c>
      <c r="Q11" t="str">
        <f>"0.071**"</f>
        <v>0.071**</v>
      </c>
      <c r="R11" t="str">
        <f>"0.070**"</f>
        <v>0.070**</v>
      </c>
      <c r="S11" t="str">
        <f>"0.070**"</f>
        <v>0.070**</v>
      </c>
      <c r="T11" t="str">
        <f>"0.070**"</f>
        <v>0.070**</v>
      </c>
      <c r="U11" t="str">
        <f>"0.070**"</f>
        <v>0.070**</v>
      </c>
    </row>
    <row r="12" spans="1:21" x14ac:dyDescent="0.25">
      <c r="A12" t="str">
        <f>""</f>
        <v/>
      </c>
      <c r="B12" t="str">
        <f>"(0.038)"</f>
        <v>(0.038)</v>
      </c>
      <c r="C12" t="str">
        <f>"(0.040)"</f>
        <v>(0.040)</v>
      </c>
      <c r="D12" t="str">
        <f>"(0.035)"</f>
        <v>(0.035)</v>
      </c>
      <c r="E12" t="str">
        <f>"(0.036)"</f>
        <v>(0.036)</v>
      </c>
      <c r="F12" t="str">
        <f>"(0.035)"</f>
        <v>(0.035)</v>
      </c>
      <c r="G12" t="str">
        <f>"(0.036)"</f>
        <v>(0.036)</v>
      </c>
      <c r="H12" t="str">
        <f>"(0.035)"</f>
        <v>(0.035)</v>
      </c>
      <c r="I12" t="str">
        <f>"(0.036)"</f>
        <v>(0.036)</v>
      </c>
      <c r="J12" t="str">
        <f>"(0.035)"</f>
        <v>(0.035)</v>
      </c>
      <c r="K12" t="str">
        <f>"(0.036)"</f>
        <v>(0.036)</v>
      </c>
      <c r="L12" t="str">
        <f>"(0.026)"</f>
        <v>(0.026)</v>
      </c>
      <c r="M12" t="str">
        <f>"(0.026)"</f>
        <v>(0.026)</v>
      </c>
      <c r="N12" t="str">
        <f t="shared" ref="N12:U12" si="5">"(0.025)"</f>
        <v>(0.025)</v>
      </c>
      <c r="O12" t="str">
        <f t="shared" si="5"/>
        <v>(0.025)</v>
      </c>
      <c r="P12" t="str">
        <f t="shared" si="5"/>
        <v>(0.025)</v>
      </c>
      <c r="Q12" t="str">
        <f t="shared" si="5"/>
        <v>(0.025)</v>
      </c>
      <c r="R12" t="str">
        <f t="shared" si="5"/>
        <v>(0.025)</v>
      </c>
      <c r="S12" t="str">
        <f t="shared" si="5"/>
        <v>(0.025)</v>
      </c>
      <c r="T12" t="str">
        <f t="shared" si="5"/>
        <v>(0.025)</v>
      </c>
      <c r="U12" t="str">
        <f t="shared" si="5"/>
        <v>(0.025)</v>
      </c>
    </row>
    <row r="13" spans="1:21" x14ac:dyDescent="0.25">
      <c r="A13" t="str">
        <f>"tertiary education"</f>
        <v>tertiary education</v>
      </c>
      <c r="B13" t="str">
        <f>"0.101*"</f>
        <v>0.101*</v>
      </c>
      <c r="C13" t="str">
        <f>"0.060"</f>
        <v>0.060</v>
      </c>
      <c r="D13" t="str">
        <f>"0.035"</f>
        <v>0.035</v>
      </c>
      <c r="E13" t="str">
        <f>"0.037"</f>
        <v>0.037</v>
      </c>
      <c r="F13" t="str">
        <f>"0.035"</f>
        <v>0.035</v>
      </c>
      <c r="G13" t="str">
        <f>"0.037"</f>
        <v>0.037</v>
      </c>
      <c r="H13" t="str">
        <f>"0.034"</f>
        <v>0.034</v>
      </c>
      <c r="I13" t="str">
        <f>"0.035"</f>
        <v>0.035</v>
      </c>
      <c r="J13" t="str">
        <f>"0.035"</f>
        <v>0.035</v>
      </c>
      <c r="K13" t="str">
        <f>"0.036"</f>
        <v>0.036</v>
      </c>
      <c r="L13" t="str">
        <f>"0.178**"</f>
        <v>0.178**</v>
      </c>
      <c r="M13" t="str">
        <f>"0.149**"</f>
        <v>0.149**</v>
      </c>
      <c r="N13" t="str">
        <f>"0.116**"</f>
        <v>0.116**</v>
      </c>
      <c r="O13" t="str">
        <f>"0.116**"</f>
        <v>0.116**</v>
      </c>
      <c r="P13" t="str">
        <f>"0.116**"</f>
        <v>0.116**</v>
      </c>
      <c r="Q13" t="str">
        <f>"0.117**"</f>
        <v>0.117**</v>
      </c>
      <c r="R13" t="str">
        <f>"0.116**"</f>
        <v>0.116**</v>
      </c>
      <c r="S13" t="str">
        <f>"0.116**"</f>
        <v>0.116**</v>
      </c>
      <c r="T13" t="str">
        <f>"0.116**"</f>
        <v>0.116**</v>
      </c>
      <c r="U13" t="str">
        <f>"0.116**"</f>
        <v>0.116**</v>
      </c>
    </row>
    <row r="14" spans="1:21" x14ac:dyDescent="0.25">
      <c r="A14" t="str">
        <f>""</f>
        <v/>
      </c>
      <c r="B14" t="str">
        <f>"(0.044)"</f>
        <v>(0.044)</v>
      </c>
      <c r="C14" t="str">
        <f>"(0.044)"</f>
        <v>(0.044)</v>
      </c>
      <c r="D14" t="str">
        <f t="shared" ref="D14:K14" si="6">"(0.038)"</f>
        <v>(0.038)</v>
      </c>
      <c r="E14" t="str">
        <f t="shared" si="6"/>
        <v>(0.038)</v>
      </c>
      <c r="F14" t="str">
        <f t="shared" si="6"/>
        <v>(0.038)</v>
      </c>
      <c r="G14" t="str">
        <f t="shared" si="6"/>
        <v>(0.038)</v>
      </c>
      <c r="H14" t="str">
        <f t="shared" si="6"/>
        <v>(0.038)</v>
      </c>
      <c r="I14" t="str">
        <f t="shared" si="6"/>
        <v>(0.038)</v>
      </c>
      <c r="J14" t="str">
        <f t="shared" si="6"/>
        <v>(0.038)</v>
      </c>
      <c r="K14" t="str">
        <f t="shared" si="6"/>
        <v>(0.038)</v>
      </c>
      <c r="L14" t="str">
        <f>"(0.032)"</f>
        <v>(0.032)</v>
      </c>
      <c r="M14" t="str">
        <f>"(0.032)"</f>
        <v>(0.032)</v>
      </c>
      <c r="N14" t="str">
        <f t="shared" ref="N14:U14" si="7">"(0.031)"</f>
        <v>(0.031)</v>
      </c>
      <c r="O14" t="str">
        <f t="shared" si="7"/>
        <v>(0.031)</v>
      </c>
      <c r="P14" t="str">
        <f t="shared" si="7"/>
        <v>(0.031)</v>
      </c>
      <c r="Q14" t="str">
        <f t="shared" si="7"/>
        <v>(0.031)</v>
      </c>
      <c r="R14" t="str">
        <f t="shared" si="7"/>
        <v>(0.031)</v>
      </c>
      <c r="S14" t="str">
        <f t="shared" si="7"/>
        <v>(0.031)</v>
      </c>
      <c r="T14" t="str">
        <f t="shared" si="7"/>
        <v>(0.031)</v>
      </c>
      <c r="U14" t="str">
        <f t="shared" si="7"/>
        <v>(0.031)</v>
      </c>
    </row>
    <row r="15" spans="1:21" x14ac:dyDescent="0.25">
      <c r="A15" t="str">
        <f>"household income-national rank"</f>
        <v>household income-national rank</v>
      </c>
      <c r="B15" t="str">
        <f>"0.005**"</f>
        <v>0.005**</v>
      </c>
      <c r="C15" t="str">
        <f>"0.004**"</f>
        <v>0.004**</v>
      </c>
      <c r="D15" t="str">
        <f t="shared" ref="D15:K15" si="8">"0.002**"</f>
        <v>0.002**</v>
      </c>
      <c r="E15" t="str">
        <f t="shared" si="8"/>
        <v>0.002**</v>
      </c>
      <c r="F15" t="str">
        <f t="shared" si="8"/>
        <v>0.002**</v>
      </c>
      <c r="G15" t="str">
        <f t="shared" si="8"/>
        <v>0.002**</v>
      </c>
      <c r="H15" t="str">
        <f t="shared" si="8"/>
        <v>0.002**</v>
      </c>
      <c r="I15" t="str">
        <f t="shared" si="8"/>
        <v>0.002**</v>
      </c>
      <c r="J15" t="str">
        <f t="shared" si="8"/>
        <v>0.002**</v>
      </c>
      <c r="K15" t="str">
        <f t="shared" si="8"/>
        <v>0.002**</v>
      </c>
      <c r="L15" t="str">
        <f>"0.005**"</f>
        <v>0.005**</v>
      </c>
      <c r="M15" t="str">
        <f>"0.005**"</f>
        <v>0.005**</v>
      </c>
      <c r="N15" t="str">
        <f t="shared" ref="N15:U15" si="9">"0.002**"</f>
        <v>0.002**</v>
      </c>
      <c r="O15" t="str">
        <f t="shared" si="9"/>
        <v>0.002**</v>
      </c>
      <c r="P15" t="str">
        <f t="shared" si="9"/>
        <v>0.002**</v>
      </c>
      <c r="Q15" t="str">
        <f t="shared" si="9"/>
        <v>0.002**</v>
      </c>
      <c r="R15" t="str">
        <f t="shared" si="9"/>
        <v>0.002**</v>
      </c>
      <c r="S15" t="str">
        <f t="shared" si="9"/>
        <v>0.002**</v>
      </c>
      <c r="T15" t="str">
        <f t="shared" si="9"/>
        <v>0.002**</v>
      </c>
      <c r="U15" t="str">
        <f t="shared" si="9"/>
        <v>0.002**</v>
      </c>
    </row>
    <row r="16" spans="1:21" x14ac:dyDescent="0.25">
      <c r="A16" t="str">
        <f>""</f>
        <v/>
      </c>
      <c r="B16" t="str">
        <f>"(0.001)"</f>
        <v>(0.001)</v>
      </c>
      <c r="C16" t="str">
        <f>"(0.001)"</f>
        <v>(0.001)</v>
      </c>
      <c r="D16" t="str">
        <f t="shared" ref="D16:K16" si="10">"(0.000)"</f>
        <v>(0.000)</v>
      </c>
      <c r="E16" t="str">
        <f t="shared" si="10"/>
        <v>(0.000)</v>
      </c>
      <c r="F16" t="str">
        <f t="shared" si="10"/>
        <v>(0.000)</v>
      </c>
      <c r="G16" t="str">
        <f t="shared" si="10"/>
        <v>(0.000)</v>
      </c>
      <c r="H16" t="str">
        <f t="shared" si="10"/>
        <v>(0.000)</v>
      </c>
      <c r="I16" t="str">
        <f t="shared" si="10"/>
        <v>(0.000)</v>
      </c>
      <c r="J16" t="str">
        <f t="shared" si="10"/>
        <v>(0.000)</v>
      </c>
      <c r="K16" t="str">
        <f t="shared" si="10"/>
        <v>(0.000)</v>
      </c>
      <c r="L16" t="str">
        <f>"(0.001)"</f>
        <v>(0.001)</v>
      </c>
      <c r="M16" t="str">
        <f>"(0.001)"</f>
        <v>(0.001)</v>
      </c>
      <c r="N16" t="str">
        <f t="shared" ref="N16:U16" si="11">"(0.000)"</f>
        <v>(0.000)</v>
      </c>
      <c r="O16" t="str">
        <f t="shared" si="11"/>
        <v>(0.000)</v>
      </c>
      <c r="P16" t="str">
        <f t="shared" si="11"/>
        <v>(0.000)</v>
      </c>
      <c r="Q16" t="str">
        <f t="shared" si="11"/>
        <v>(0.000)</v>
      </c>
      <c r="R16" t="str">
        <f t="shared" si="11"/>
        <v>(0.000)</v>
      </c>
      <c r="S16" t="str">
        <f t="shared" si="11"/>
        <v>(0.000)</v>
      </c>
      <c r="T16" t="str">
        <f t="shared" si="11"/>
        <v>(0.000)</v>
      </c>
      <c r="U16" t="str">
        <f t="shared" si="11"/>
        <v>(0.000)</v>
      </c>
    </row>
    <row r="17" spans="1:21" x14ac:dyDescent="0.25">
      <c r="A17" t="str">
        <f>"Ages 25-34"</f>
        <v>Ages 25-34</v>
      </c>
      <c r="B17" t="str">
        <f>"-0.154**"</f>
        <v>-0.154**</v>
      </c>
      <c r="C17" t="str">
        <f>"-0.140**"</f>
        <v>-0.140**</v>
      </c>
      <c r="D17" t="str">
        <f>"-0.080**"</f>
        <v>-0.080**</v>
      </c>
      <c r="E17" t="str">
        <f>"-0.078**"</f>
        <v>-0.078**</v>
      </c>
      <c r="F17" t="str">
        <f>"-0.080**"</f>
        <v>-0.080**</v>
      </c>
      <c r="G17" t="str">
        <f>"-0.078**"</f>
        <v>-0.078**</v>
      </c>
      <c r="H17" t="str">
        <f>"-0.080**"</f>
        <v>-0.080**</v>
      </c>
      <c r="I17" t="str">
        <f>"-0.079**"</f>
        <v>-0.079**</v>
      </c>
      <c r="J17" t="str">
        <f>"-0.080**"</f>
        <v>-0.080**</v>
      </c>
      <c r="K17" t="str">
        <f>"-0.079**"</f>
        <v>-0.079**</v>
      </c>
      <c r="L17" t="str">
        <f>"-0.051"</f>
        <v>-0.051</v>
      </c>
      <c r="M17" t="str">
        <f>"-0.042"</f>
        <v>-0.042</v>
      </c>
      <c r="N17" t="str">
        <f>"-0.000"</f>
        <v>-0.000</v>
      </c>
      <c r="O17" t="str">
        <f>"0.000"</f>
        <v>0.000</v>
      </c>
      <c r="P17" t="str">
        <f>"-0.000"</f>
        <v>-0.000</v>
      </c>
      <c r="Q17" t="str">
        <f>"0.000"</f>
        <v>0.000</v>
      </c>
      <c r="R17" t="str">
        <f>"-0.000"</f>
        <v>-0.000</v>
      </c>
      <c r="S17" t="str">
        <f>"-0.000"</f>
        <v>-0.000</v>
      </c>
      <c r="T17" t="str">
        <f>"-0.000"</f>
        <v>-0.000</v>
      </c>
      <c r="U17" t="str">
        <f>"0.000"</f>
        <v>0.000</v>
      </c>
    </row>
    <row r="18" spans="1:21" x14ac:dyDescent="0.25">
      <c r="A18" t="str">
        <f>""</f>
        <v/>
      </c>
      <c r="B18" t="str">
        <f>"(0.040)"</f>
        <v>(0.040)</v>
      </c>
      <c r="C18" t="str">
        <f>"(0.042)"</f>
        <v>(0.042)</v>
      </c>
      <c r="D18" t="str">
        <f t="shared" ref="D18:K18" si="12">"(0.028)"</f>
        <v>(0.028)</v>
      </c>
      <c r="E18" t="str">
        <f t="shared" si="12"/>
        <v>(0.028)</v>
      </c>
      <c r="F18" t="str">
        <f t="shared" si="12"/>
        <v>(0.028)</v>
      </c>
      <c r="G18" t="str">
        <f t="shared" si="12"/>
        <v>(0.028)</v>
      </c>
      <c r="H18" t="str">
        <f t="shared" si="12"/>
        <v>(0.028)</v>
      </c>
      <c r="I18" t="str">
        <f t="shared" si="12"/>
        <v>(0.028)</v>
      </c>
      <c r="J18" t="str">
        <f t="shared" si="12"/>
        <v>(0.028)</v>
      </c>
      <c r="K18" t="str">
        <f t="shared" si="12"/>
        <v>(0.028)</v>
      </c>
      <c r="L18" t="str">
        <f>"(0.033)"</f>
        <v>(0.033)</v>
      </c>
      <c r="M18" t="str">
        <f>"(0.033)"</f>
        <v>(0.033)</v>
      </c>
      <c r="N18" t="str">
        <f t="shared" ref="N18:U18" si="13">"(0.029)"</f>
        <v>(0.029)</v>
      </c>
      <c r="O18" t="str">
        <f t="shared" si="13"/>
        <v>(0.029)</v>
      </c>
      <c r="P18" t="str">
        <f t="shared" si="13"/>
        <v>(0.029)</v>
      </c>
      <c r="Q18" t="str">
        <f t="shared" si="13"/>
        <v>(0.029)</v>
      </c>
      <c r="R18" t="str">
        <f t="shared" si="13"/>
        <v>(0.029)</v>
      </c>
      <c r="S18" t="str">
        <f t="shared" si="13"/>
        <v>(0.029)</v>
      </c>
      <c r="T18" t="str">
        <f t="shared" si="13"/>
        <v>(0.029)</v>
      </c>
      <c r="U18" t="str">
        <f t="shared" si="13"/>
        <v>(0.029)</v>
      </c>
    </row>
    <row r="19" spans="1:21" x14ac:dyDescent="0.25">
      <c r="A19" t="str">
        <f>"Ages 35-44"</f>
        <v>Ages 35-44</v>
      </c>
      <c r="B19" t="str">
        <f>"-0.201**"</f>
        <v>-0.201**</v>
      </c>
      <c r="C19" t="str">
        <f>"-0.178**"</f>
        <v>-0.178**</v>
      </c>
      <c r="D19" t="str">
        <f>"-0.107**"</f>
        <v>-0.107**</v>
      </c>
      <c r="E19" t="str">
        <f>"-0.106**"</f>
        <v>-0.106**</v>
      </c>
      <c r="F19" t="str">
        <f>"-0.107**"</f>
        <v>-0.107**</v>
      </c>
      <c r="G19" t="str">
        <f>"-0.105**"</f>
        <v>-0.105**</v>
      </c>
      <c r="H19" t="str">
        <f>"-0.108**"</f>
        <v>-0.108**</v>
      </c>
      <c r="I19" t="str">
        <f>"-0.107**"</f>
        <v>-0.107**</v>
      </c>
      <c r="J19" t="str">
        <f>"-0.107**"</f>
        <v>-0.107**</v>
      </c>
      <c r="K19" t="str">
        <f>"-0.105**"</f>
        <v>-0.105**</v>
      </c>
      <c r="L19" t="str">
        <f>"-0.034"</f>
        <v>-0.034</v>
      </c>
      <c r="M19" t="str">
        <f>"-0.012"</f>
        <v>-0.012</v>
      </c>
      <c r="N19" t="str">
        <f>"0.044"</f>
        <v>0.044</v>
      </c>
      <c r="O19" t="str">
        <f>"0.044"</f>
        <v>0.044</v>
      </c>
      <c r="P19" t="str">
        <f>"0.044"</f>
        <v>0.044</v>
      </c>
      <c r="Q19" t="str">
        <f>"0.045"</f>
        <v>0.045</v>
      </c>
      <c r="R19" t="str">
        <f>"0.044"</f>
        <v>0.044</v>
      </c>
      <c r="S19" t="str">
        <f>"0.044"</f>
        <v>0.044</v>
      </c>
      <c r="T19" t="str">
        <f>"0.044"</f>
        <v>0.044</v>
      </c>
      <c r="U19" t="str">
        <f>"0.044"</f>
        <v>0.044</v>
      </c>
    </row>
    <row r="20" spans="1:21" x14ac:dyDescent="0.25">
      <c r="A20" t="str">
        <f>""</f>
        <v/>
      </c>
      <c r="B20" t="str">
        <f>"(0.039)"</f>
        <v>(0.039)</v>
      </c>
      <c r="C20" t="str">
        <f>"(0.040)"</f>
        <v>(0.040)</v>
      </c>
      <c r="D20" t="str">
        <f>"(0.034)"</f>
        <v>(0.034)</v>
      </c>
      <c r="E20" t="str">
        <f>"(0.035)"</f>
        <v>(0.035)</v>
      </c>
      <c r="F20" t="str">
        <f t="shared" ref="F20:K20" si="14">"(0.034)"</f>
        <v>(0.034)</v>
      </c>
      <c r="G20" t="str">
        <f t="shared" si="14"/>
        <v>(0.034)</v>
      </c>
      <c r="H20" t="str">
        <f t="shared" si="14"/>
        <v>(0.034)</v>
      </c>
      <c r="I20" t="str">
        <f t="shared" si="14"/>
        <v>(0.034)</v>
      </c>
      <c r="J20" t="str">
        <f t="shared" si="14"/>
        <v>(0.034)</v>
      </c>
      <c r="K20" t="str">
        <f t="shared" si="14"/>
        <v>(0.034)</v>
      </c>
      <c r="L20" t="str">
        <f>"(0.044)"</f>
        <v>(0.044)</v>
      </c>
      <c r="M20" t="str">
        <f>"(0.042)"</f>
        <v>(0.042)</v>
      </c>
      <c r="N20" t="str">
        <f t="shared" ref="N20:U20" si="15">"(0.041)"</f>
        <v>(0.041)</v>
      </c>
      <c r="O20" t="str">
        <f t="shared" si="15"/>
        <v>(0.041)</v>
      </c>
      <c r="P20" t="str">
        <f t="shared" si="15"/>
        <v>(0.041)</v>
      </c>
      <c r="Q20" t="str">
        <f t="shared" si="15"/>
        <v>(0.041)</v>
      </c>
      <c r="R20" t="str">
        <f t="shared" si="15"/>
        <v>(0.041)</v>
      </c>
      <c r="S20" t="str">
        <f t="shared" si="15"/>
        <v>(0.041)</v>
      </c>
      <c r="T20" t="str">
        <f t="shared" si="15"/>
        <v>(0.041)</v>
      </c>
      <c r="U20" t="str">
        <f t="shared" si="15"/>
        <v>(0.041)</v>
      </c>
    </row>
    <row r="21" spans="1:21" x14ac:dyDescent="0.25">
      <c r="A21" t="str">
        <f>"Ages 45-54"</f>
        <v>Ages 45-54</v>
      </c>
      <c r="B21" t="str">
        <f>"-0.175**"</f>
        <v>-0.175**</v>
      </c>
      <c r="C21" t="str">
        <f>"-0.145**"</f>
        <v>-0.145**</v>
      </c>
      <c r="D21" t="str">
        <f>"-0.086*"</f>
        <v>-0.086*</v>
      </c>
      <c r="E21" t="str">
        <f>"-0.084*"</f>
        <v>-0.084*</v>
      </c>
      <c r="F21" t="str">
        <f>"-0.086*"</f>
        <v>-0.086*</v>
      </c>
      <c r="G21" t="str">
        <f>"-0.084*"</f>
        <v>-0.084*</v>
      </c>
      <c r="H21" t="str">
        <f>"-0.087*"</f>
        <v>-0.087*</v>
      </c>
      <c r="I21" t="str">
        <f>"-0.086*"</f>
        <v>-0.086*</v>
      </c>
      <c r="J21" t="str">
        <f>"-0.086*"</f>
        <v>-0.086*</v>
      </c>
      <c r="K21" t="str">
        <f>"-0.084*"</f>
        <v>-0.084*</v>
      </c>
      <c r="L21" t="str">
        <f>"-0.004"</f>
        <v>-0.004</v>
      </c>
      <c r="M21" t="str">
        <f>"0.018"</f>
        <v>0.018</v>
      </c>
      <c r="N21" t="str">
        <f>"0.078"</f>
        <v>0.078</v>
      </c>
      <c r="O21" t="str">
        <f>"0.079"</f>
        <v>0.079</v>
      </c>
      <c r="P21" t="str">
        <f>"0.078"</f>
        <v>0.078</v>
      </c>
      <c r="Q21" t="str">
        <f>"0.079"</f>
        <v>0.079</v>
      </c>
      <c r="R21" t="str">
        <f>"0.078"</f>
        <v>0.078</v>
      </c>
      <c r="S21" t="str">
        <f>"0.078"</f>
        <v>0.078</v>
      </c>
      <c r="T21" t="str">
        <f>"0.078"</f>
        <v>0.078</v>
      </c>
      <c r="U21" t="str">
        <f>"0.079"</f>
        <v>0.079</v>
      </c>
    </row>
    <row r="22" spans="1:21" x14ac:dyDescent="0.25">
      <c r="A22" t="str">
        <f>""</f>
        <v/>
      </c>
      <c r="B22" t="str">
        <f>"(0.042)"</f>
        <v>(0.042)</v>
      </c>
      <c r="C22" t="str">
        <f>"(0.042)"</f>
        <v>(0.042)</v>
      </c>
      <c r="D22" t="str">
        <f t="shared" ref="D22:K22" si="16">"(0.043)"</f>
        <v>(0.043)</v>
      </c>
      <c r="E22" t="str">
        <f t="shared" si="16"/>
        <v>(0.043)</v>
      </c>
      <c r="F22" t="str">
        <f t="shared" si="16"/>
        <v>(0.043)</v>
      </c>
      <c r="G22" t="str">
        <f t="shared" si="16"/>
        <v>(0.043)</v>
      </c>
      <c r="H22" t="str">
        <f t="shared" si="16"/>
        <v>(0.043)</v>
      </c>
      <c r="I22" t="str">
        <f t="shared" si="16"/>
        <v>(0.043)</v>
      </c>
      <c r="J22" t="str">
        <f t="shared" si="16"/>
        <v>(0.043)</v>
      </c>
      <c r="K22" t="str">
        <f t="shared" si="16"/>
        <v>(0.043)</v>
      </c>
      <c r="L22" t="str">
        <f>"(0.048)"</f>
        <v>(0.048)</v>
      </c>
      <c r="M22" t="str">
        <f>"(0.048)"</f>
        <v>(0.048)</v>
      </c>
      <c r="N22" t="str">
        <f t="shared" ref="N22:U22" si="17">"(0.051)"</f>
        <v>(0.051)</v>
      </c>
      <c r="O22" t="str">
        <f t="shared" si="17"/>
        <v>(0.051)</v>
      </c>
      <c r="P22" t="str">
        <f t="shared" si="17"/>
        <v>(0.051)</v>
      </c>
      <c r="Q22" t="str">
        <f t="shared" si="17"/>
        <v>(0.051)</v>
      </c>
      <c r="R22" t="str">
        <f t="shared" si="17"/>
        <v>(0.051)</v>
      </c>
      <c r="S22" t="str">
        <f t="shared" si="17"/>
        <v>(0.051)</v>
      </c>
      <c r="T22" t="str">
        <f t="shared" si="17"/>
        <v>(0.051)</v>
      </c>
      <c r="U22" t="str">
        <f t="shared" si="17"/>
        <v>(0.051)</v>
      </c>
    </row>
    <row r="23" spans="1:21" x14ac:dyDescent="0.25">
      <c r="A23" t="str">
        <f>"Ages 55-64"</f>
        <v>Ages 55-64</v>
      </c>
      <c r="B23" t="str">
        <f>"-0.062"</f>
        <v>-0.062</v>
      </c>
      <c r="C23" t="str">
        <f>"-0.032"</f>
        <v>-0.032</v>
      </c>
      <c r="D23" t="str">
        <f>"-0.012"</f>
        <v>-0.012</v>
      </c>
      <c r="E23" t="str">
        <f>"-0.010"</f>
        <v>-0.010</v>
      </c>
      <c r="F23" t="str">
        <f>"-0.012"</f>
        <v>-0.012</v>
      </c>
      <c r="G23" t="str">
        <f>"-0.009"</f>
        <v>-0.009</v>
      </c>
      <c r="H23" t="str">
        <f>"-0.012"</f>
        <v>-0.012</v>
      </c>
      <c r="I23" t="str">
        <f>"-0.012"</f>
        <v>-0.012</v>
      </c>
      <c r="J23" t="str">
        <f>"-0.012"</f>
        <v>-0.012</v>
      </c>
      <c r="K23" t="str">
        <f>"-0.010"</f>
        <v>-0.010</v>
      </c>
      <c r="L23" t="str">
        <f>"0.095"</f>
        <v>0.095</v>
      </c>
      <c r="M23" t="str">
        <f>"0.112"</f>
        <v>0.112</v>
      </c>
      <c r="N23" t="str">
        <f>"0.153*"</f>
        <v>0.153*</v>
      </c>
      <c r="O23" t="str">
        <f>"0.153**"</f>
        <v>0.153**</v>
      </c>
      <c r="P23" t="str">
        <f>"0.153*"</f>
        <v>0.153*</v>
      </c>
      <c r="Q23" t="str">
        <f>"0.154**"</f>
        <v>0.154**</v>
      </c>
      <c r="R23" t="str">
        <f>"0.153*"</f>
        <v>0.153*</v>
      </c>
      <c r="S23" t="str">
        <f>"0.153*"</f>
        <v>0.153*</v>
      </c>
      <c r="T23" t="str">
        <f>"0.153*"</f>
        <v>0.153*</v>
      </c>
      <c r="U23" t="str">
        <f>"0.153**"</f>
        <v>0.153**</v>
      </c>
    </row>
    <row r="24" spans="1:21" x14ac:dyDescent="0.25">
      <c r="A24" t="str">
        <f>""</f>
        <v/>
      </c>
      <c r="B24" t="str">
        <f>"(0.051)"</f>
        <v>(0.051)</v>
      </c>
      <c r="C24" t="str">
        <f>"(0.050)"</f>
        <v>(0.050)</v>
      </c>
      <c r="D24" t="str">
        <f>"(0.046)"</f>
        <v>(0.046)</v>
      </c>
      <c r="E24" t="str">
        <f>"(0.046)"</f>
        <v>(0.046)</v>
      </c>
      <c r="F24" t="str">
        <f>"(0.046)"</f>
        <v>(0.046)</v>
      </c>
      <c r="G24" t="str">
        <f>"(0.045)"</f>
        <v>(0.045)</v>
      </c>
      <c r="H24" t="str">
        <f>"(0.046)"</f>
        <v>(0.046)</v>
      </c>
      <c r="I24" t="str">
        <f>"(0.046)"</f>
        <v>(0.046)</v>
      </c>
      <c r="J24" t="str">
        <f>"(0.046)"</f>
        <v>(0.046)</v>
      </c>
      <c r="K24" t="str">
        <f>"(0.046)"</f>
        <v>(0.046)</v>
      </c>
      <c r="L24" t="str">
        <f>"(0.057)"</f>
        <v>(0.057)</v>
      </c>
      <c r="M24" t="str">
        <f>"(0.059)"</f>
        <v>(0.059)</v>
      </c>
      <c r="N24" t="str">
        <f>"(0.060)"</f>
        <v>(0.060)</v>
      </c>
      <c r="O24" t="str">
        <f>"(0.059)"</f>
        <v>(0.059)</v>
      </c>
      <c r="P24" t="str">
        <f>"(0.060)"</f>
        <v>(0.060)</v>
      </c>
      <c r="Q24" t="str">
        <f>"(0.060)"</f>
        <v>(0.060)</v>
      </c>
      <c r="R24" t="str">
        <f>"(0.060)"</f>
        <v>(0.060)</v>
      </c>
      <c r="S24" t="str">
        <f>"(0.060)"</f>
        <v>(0.060)</v>
      </c>
      <c r="T24" t="str">
        <f>"(0.060)"</f>
        <v>(0.060)</v>
      </c>
      <c r="U24" t="str">
        <f>"(0.059)"</f>
        <v>(0.059)</v>
      </c>
    </row>
    <row r="25" spans="1:21" x14ac:dyDescent="0.25">
      <c r="A25" t="str">
        <f>"Ages 65-74"</f>
        <v>Ages 65-74</v>
      </c>
      <c r="B25" t="str">
        <f>"0.085"</f>
        <v>0.085</v>
      </c>
      <c r="C25" t="str">
        <f>"0.115*"</f>
        <v>0.115*</v>
      </c>
      <c r="D25" t="str">
        <f>"0.092*"</f>
        <v>0.092*</v>
      </c>
      <c r="E25" t="str">
        <f>"0.094*"</f>
        <v>0.094*</v>
      </c>
      <c r="F25" t="str">
        <f>"0.092*"</f>
        <v>0.092*</v>
      </c>
      <c r="G25" t="str">
        <f>"0.093*"</f>
        <v>0.093*</v>
      </c>
      <c r="H25" t="str">
        <f>"0.092*"</f>
        <v>0.092*</v>
      </c>
      <c r="I25" t="str">
        <f>"0.093*"</f>
        <v>0.093*</v>
      </c>
      <c r="J25" t="str">
        <f>"0.092*"</f>
        <v>0.092*</v>
      </c>
      <c r="K25" t="str">
        <f>"0.094*"</f>
        <v>0.094*</v>
      </c>
      <c r="L25" t="str">
        <f>"0.215**"</f>
        <v>0.215**</v>
      </c>
      <c r="M25" t="str">
        <f>"0.232**"</f>
        <v>0.232**</v>
      </c>
      <c r="N25" t="str">
        <f>"0.241**"</f>
        <v>0.241**</v>
      </c>
      <c r="O25" t="str">
        <f>"0.241**"</f>
        <v>0.241**</v>
      </c>
      <c r="P25" t="str">
        <f>"0.241**"</f>
        <v>0.241**</v>
      </c>
      <c r="Q25" t="str">
        <f>"0.241**"</f>
        <v>0.241**</v>
      </c>
      <c r="R25" t="str">
        <f>"0.240**"</f>
        <v>0.240**</v>
      </c>
      <c r="S25" t="str">
        <f>"0.240**"</f>
        <v>0.240**</v>
      </c>
      <c r="T25" t="str">
        <f>"0.240**"</f>
        <v>0.240**</v>
      </c>
      <c r="U25" t="str">
        <f>"0.241**"</f>
        <v>0.241**</v>
      </c>
    </row>
    <row r="26" spans="1:21" x14ac:dyDescent="0.25">
      <c r="A26" t="str">
        <f>""</f>
        <v/>
      </c>
      <c r="B26" t="str">
        <f>"(0.056)"</f>
        <v>(0.056)</v>
      </c>
      <c r="C26" t="str">
        <f>"(0.054)"</f>
        <v>(0.054)</v>
      </c>
      <c r="D26" t="str">
        <f t="shared" ref="D26:K26" si="18">"(0.045)"</f>
        <v>(0.045)</v>
      </c>
      <c r="E26" t="str">
        <f t="shared" si="18"/>
        <v>(0.045)</v>
      </c>
      <c r="F26" t="str">
        <f t="shared" si="18"/>
        <v>(0.045)</v>
      </c>
      <c r="G26" t="str">
        <f t="shared" si="18"/>
        <v>(0.045)</v>
      </c>
      <c r="H26" t="str">
        <f t="shared" si="18"/>
        <v>(0.045)</v>
      </c>
      <c r="I26" t="str">
        <f t="shared" si="18"/>
        <v>(0.045)</v>
      </c>
      <c r="J26" t="str">
        <f t="shared" si="18"/>
        <v>(0.045)</v>
      </c>
      <c r="K26" t="str">
        <f t="shared" si="18"/>
        <v>(0.045)</v>
      </c>
      <c r="L26" t="str">
        <f>"(0.072)"</f>
        <v>(0.072)</v>
      </c>
      <c r="M26" t="str">
        <f>"(0.072)"</f>
        <v>(0.072)</v>
      </c>
      <c r="N26" t="str">
        <f t="shared" ref="N26:U26" si="19">"(0.070)"</f>
        <v>(0.070)</v>
      </c>
      <c r="O26" t="str">
        <f t="shared" si="19"/>
        <v>(0.070)</v>
      </c>
      <c r="P26" t="str">
        <f t="shared" si="19"/>
        <v>(0.070)</v>
      </c>
      <c r="Q26" t="str">
        <f t="shared" si="19"/>
        <v>(0.070)</v>
      </c>
      <c r="R26" t="str">
        <f t="shared" si="19"/>
        <v>(0.070)</v>
      </c>
      <c r="S26" t="str">
        <f t="shared" si="19"/>
        <v>(0.070)</v>
      </c>
      <c r="T26" t="str">
        <f t="shared" si="19"/>
        <v>(0.070)</v>
      </c>
      <c r="U26" t="str">
        <f t="shared" si="19"/>
        <v>(0.070)</v>
      </c>
    </row>
    <row r="27" spans="1:21" x14ac:dyDescent="0.25">
      <c r="A27" t="str">
        <f>"Ages 75 and older"</f>
        <v>Ages 75 and older</v>
      </c>
      <c r="B27" t="str">
        <f>"0.194**"</f>
        <v>0.194**</v>
      </c>
      <c r="C27" t="str">
        <f>"0.237**"</f>
        <v>0.237**</v>
      </c>
      <c r="D27" t="str">
        <f>"0.153**"</f>
        <v>0.153**</v>
      </c>
      <c r="E27" t="str">
        <f>"0.154**"</f>
        <v>0.154**</v>
      </c>
      <c r="F27" t="str">
        <f t="shared" ref="F27:K27" si="20">"0.153**"</f>
        <v>0.153**</v>
      </c>
      <c r="G27" t="str">
        <f t="shared" si="20"/>
        <v>0.153**</v>
      </c>
      <c r="H27" t="str">
        <f t="shared" si="20"/>
        <v>0.153**</v>
      </c>
      <c r="I27" t="str">
        <f t="shared" si="20"/>
        <v>0.153**</v>
      </c>
      <c r="J27" t="str">
        <f t="shared" si="20"/>
        <v>0.153**</v>
      </c>
      <c r="K27" t="str">
        <f t="shared" si="20"/>
        <v>0.153**</v>
      </c>
      <c r="L27" t="str">
        <f>"0.272**"</f>
        <v>0.272**</v>
      </c>
      <c r="M27" t="str">
        <f>"0.286**"</f>
        <v>0.286**</v>
      </c>
      <c r="N27" t="str">
        <f t="shared" ref="N27:U27" si="21">"0.260**"</f>
        <v>0.260**</v>
      </c>
      <c r="O27" t="str">
        <f t="shared" si="21"/>
        <v>0.260**</v>
      </c>
      <c r="P27" t="str">
        <f t="shared" si="21"/>
        <v>0.260**</v>
      </c>
      <c r="Q27" t="str">
        <f t="shared" si="21"/>
        <v>0.260**</v>
      </c>
      <c r="R27" t="str">
        <f t="shared" si="21"/>
        <v>0.260**</v>
      </c>
      <c r="S27" t="str">
        <f t="shared" si="21"/>
        <v>0.260**</v>
      </c>
      <c r="T27" t="str">
        <f t="shared" si="21"/>
        <v>0.260**</v>
      </c>
      <c r="U27" t="str">
        <f t="shared" si="21"/>
        <v>0.260**</v>
      </c>
    </row>
    <row r="28" spans="1:21" x14ac:dyDescent="0.25">
      <c r="A28" t="str">
        <f>""</f>
        <v/>
      </c>
      <c r="B28" t="str">
        <f>"(0.067)"</f>
        <v>(0.067)</v>
      </c>
      <c r="C28" t="str">
        <f>"(0.059)"</f>
        <v>(0.059)</v>
      </c>
      <c r="D28" t="str">
        <f t="shared" ref="D28:K28" si="22">"(0.049)"</f>
        <v>(0.049)</v>
      </c>
      <c r="E28" t="str">
        <f t="shared" si="22"/>
        <v>(0.049)</v>
      </c>
      <c r="F28" t="str">
        <f t="shared" si="22"/>
        <v>(0.049)</v>
      </c>
      <c r="G28" t="str">
        <f t="shared" si="22"/>
        <v>(0.049)</v>
      </c>
      <c r="H28" t="str">
        <f t="shared" si="22"/>
        <v>(0.049)</v>
      </c>
      <c r="I28" t="str">
        <f t="shared" si="22"/>
        <v>(0.049)</v>
      </c>
      <c r="J28" t="str">
        <f t="shared" si="22"/>
        <v>(0.049)</v>
      </c>
      <c r="K28" t="str">
        <f t="shared" si="22"/>
        <v>(0.049)</v>
      </c>
      <c r="L28" t="str">
        <f>"(0.070)"</f>
        <v>(0.070)</v>
      </c>
      <c r="M28" t="str">
        <f>"(0.069)"</f>
        <v>(0.069)</v>
      </c>
      <c r="N28" t="str">
        <f t="shared" ref="N28:U28" si="23">"(0.070)"</f>
        <v>(0.070)</v>
      </c>
      <c r="O28" t="str">
        <f t="shared" si="23"/>
        <v>(0.070)</v>
      </c>
      <c r="P28" t="str">
        <f t="shared" si="23"/>
        <v>(0.070)</v>
      </c>
      <c r="Q28" t="str">
        <f t="shared" si="23"/>
        <v>(0.070)</v>
      </c>
      <c r="R28" t="str">
        <f t="shared" si="23"/>
        <v>(0.070)</v>
      </c>
      <c r="S28" t="str">
        <f t="shared" si="23"/>
        <v>(0.070)</v>
      </c>
      <c r="T28" t="str">
        <f t="shared" si="23"/>
        <v>(0.070)</v>
      </c>
      <c r="U28" t="str">
        <f t="shared" si="23"/>
        <v>(0.070)</v>
      </c>
    </row>
    <row r="29" spans="1:21" x14ac:dyDescent="0.25">
      <c r="A29" t="str">
        <f>"Born in another country"</f>
        <v>Born in another country</v>
      </c>
      <c r="B29" t="str">
        <f>"0.065"</f>
        <v>0.065</v>
      </c>
      <c r="C29" t="str">
        <f>"0.110**"</f>
        <v>0.110**</v>
      </c>
      <c r="D29" t="str">
        <f>"0.083*"</f>
        <v>0.083*</v>
      </c>
      <c r="E29" t="str">
        <f>"0.083*"</f>
        <v>0.083*</v>
      </c>
      <c r="F29" t="str">
        <f>"0.083*"</f>
        <v>0.083*</v>
      </c>
      <c r="G29" t="str">
        <f>"0.085*"</f>
        <v>0.085*</v>
      </c>
      <c r="H29" t="str">
        <f>"0.083*"</f>
        <v>0.083*</v>
      </c>
      <c r="I29" t="str">
        <f>"0.084*"</f>
        <v>0.084*</v>
      </c>
      <c r="J29" t="str">
        <f>"0.083*"</f>
        <v>0.083*</v>
      </c>
      <c r="K29" t="str">
        <f>"0.084*"</f>
        <v>0.084*</v>
      </c>
      <c r="L29" t="str">
        <f>"0.037"</f>
        <v>0.037</v>
      </c>
      <c r="M29" t="str">
        <f>"0.064*"</f>
        <v>0.064*</v>
      </c>
      <c r="N29" t="str">
        <f>"0.057**"</f>
        <v>0.057**</v>
      </c>
      <c r="O29" t="str">
        <f>"0.057**"</f>
        <v>0.057**</v>
      </c>
      <c r="P29" t="str">
        <f>"0.057**"</f>
        <v>0.057**</v>
      </c>
      <c r="Q29" t="str">
        <f>"0.058**"</f>
        <v>0.058**</v>
      </c>
      <c r="R29" t="str">
        <f>"0.057**"</f>
        <v>0.057**</v>
      </c>
      <c r="S29" t="str">
        <f>"0.057**"</f>
        <v>0.057**</v>
      </c>
      <c r="T29" t="str">
        <f>"0.057**"</f>
        <v>0.057**</v>
      </c>
      <c r="U29" t="str">
        <f>"0.057**"</f>
        <v>0.057**</v>
      </c>
    </row>
    <row r="30" spans="1:21" x14ac:dyDescent="0.25">
      <c r="A30" t="str">
        <f>""</f>
        <v/>
      </c>
      <c r="B30" t="str">
        <f>"(0.051)"</f>
        <v>(0.051)</v>
      </c>
      <c r="C30" t="str">
        <f>"(0.039)"</f>
        <v>(0.039)</v>
      </c>
      <c r="D30" t="str">
        <f t="shared" ref="D30:K30" si="24">"(0.038)"</f>
        <v>(0.038)</v>
      </c>
      <c r="E30" t="str">
        <f t="shared" si="24"/>
        <v>(0.038)</v>
      </c>
      <c r="F30" t="str">
        <f t="shared" si="24"/>
        <v>(0.038)</v>
      </c>
      <c r="G30" t="str">
        <f t="shared" si="24"/>
        <v>(0.038)</v>
      </c>
      <c r="H30" t="str">
        <f t="shared" si="24"/>
        <v>(0.038)</v>
      </c>
      <c r="I30" t="str">
        <f t="shared" si="24"/>
        <v>(0.038)</v>
      </c>
      <c r="J30" t="str">
        <f t="shared" si="24"/>
        <v>(0.038)</v>
      </c>
      <c r="K30" t="str">
        <f t="shared" si="24"/>
        <v>(0.038)</v>
      </c>
      <c r="L30" t="str">
        <f>"(0.036)"</f>
        <v>(0.036)</v>
      </c>
      <c r="M30" t="str">
        <f>"(0.026)"</f>
        <v>(0.026)</v>
      </c>
      <c r="N30" t="str">
        <f t="shared" ref="N30:T30" si="25">"(0.020)"</f>
        <v>(0.020)</v>
      </c>
      <c r="O30" t="str">
        <f t="shared" si="25"/>
        <v>(0.020)</v>
      </c>
      <c r="P30" t="str">
        <f t="shared" si="25"/>
        <v>(0.020)</v>
      </c>
      <c r="Q30" t="str">
        <f t="shared" si="25"/>
        <v>(0.020)</v>
      </c>
      <c r="R30" t="str">
        <f t="shared" si="25"/>
        <v>(0.020)</v>
      </c>
      <c r="S30" t="str">
        <f t="shared" si="25"/>
        <v>(0.020)</v>
      </c>
      <c r="T30" t="str">
        <f t="shared" si="25"/>
        <v>(0.020)</v>
      </c>
      <c r="U30" t="str">
        <f>"(0.019)"</f>
        <v>(0.019)</v>
      </c>
    </row>
    <row r="31" spans="1:21" x14ac:dyDescent="0.25">
      <c r="A31" t="str">
        <f>"Currently working for pay"</f>
        <v>Currently working for pay</v>
      </c>
      <c r="B31" t="str">
        <f>"0.035**"</f>
        <v>0.035**</v>
      </c>
      <c r="C31" t="str">
        <f>"0.031*"</f>
        <v>0.031*</v>
      </c>
      <c r="D31" t="str">
        <f>"0.026*"</f>
        <v>0.026*</v>
      </c>
      <c r="E31" t="str">
        <f>"0.026*"</f>
        <v>0.026*</v>
      </c>
      <c r="F31" t="str">
        <f>"0.026*"</f>
        <v>0.026*</v>
      </c>
      <c r="G31" t="str">
        <f>"0.026*"</f>
        <v>0.026*</v>
      </c>
      <c r="H31" t="str">
        <f>"0.026*"</f>
        <v>0.026*</v>
      </c>
      <c r="I31" t="str">
        <f>"0.025*"</f>
        <v>0.025*</v>
      </c>
      <c r="J31" t="str">
        <f>"0.026*"</f>
        <v>0.026*</v>
      </c>
      <c r="K31" t="str">
        <f>"0.026*"</f>
        <v>0.026*</v>
      </c>
      <c r="L31" t="str">
        <f>"0.051**"</f>
        <v>0.051**</v>
      </c>
      <c r="M31" t="str">
        <f>"0.055**"</f>
        <v>0.055**</v>
      </c>
      <c r="N31" t="str">
        <f t="shared" ref="N31:U31" si="26">"0.049**"</f>
        <v>0.049**</v>
      </c>
      <c r="O31" t="str">
        <f t="shared" si="26"/>
        <v>0.049**</v>
      </c>
      <c r="P31" t="str">
        <f t="shared" si="26"/>
        <v>0.049**</v>
      </c>
      <c r="Q31" t="str">
        <f t="shared" si="26"/>
        <v>0.049**</v>
      </c>
      <c r="R31" t="str">
        <f t="shared" si="26"/>
        <v>0.049**</v>
      </c>
      <c r="S31" t="str">
        <f t="shared" si="26"/>
        <v>0.049**</v>
      </c>
      <c r="T31" t="str">
        <f t="shared" si="26"/>
        <v>0.049**</v>
      </c>
      <c r="U31" t="str">
        <f t="shared" si="26"/>
        <v>0.049**</v>
      </c>
    </row>
    <row r="32" spans="1:21" x14ac:dyDescent="0.25">
      <c r="A32" t="str">
        <f>""</f>
        <v/>
      </c>
      <c r="B32" t="str">
        <f>"(0.012)"</f>
        <v>(0.012)</v>
      </c>
      <c r="C32" t="str">
        <f>"(0.013)"</f>
        <v>(0.013)</v>
      </c>
      <c r="D32" t="str">
        <f t="shared" ref="D32:K32" si="27">"(0.012)"</f>
        <v>(0.012)</v>
      </c>
      <c r="E32" t="str">
        <f t="shared" si="27"/>
        <v>(0.012)</v>
      </c>
      <c r="F32" t="str">
        <f t="shared" si="27"/>
        <v>(0.012)</v>
      </c>
      <c r="G32" t="str">
        <f t="shared" si="27"/>
        <v>(0.012)</v>
      </c>
      <c r="H32" t="str">
        <f t="shared" si="27"/>
        <v>(0.012)</v>
      </c>
      <c r="I32" t="str">
        <f t="shared" si="27"/>
        <v>(0.012)</v>
      </c>
      <c r="J32" t="str">
        <f t="shared" si="27"/>
        <v>(0.012)</v>
      </c>
      <c r="K32" t="str">
        <f t="shared" si="27"/>
        <v>(0.012)</v>
      </c>
      <c r="L32" t="str">
        <f>"(0.014)"</f>
        <v>(0.014)</v>
      </c>
      <c r="M32" t="str">
        <f>"(0.013)"</f>
        <v>(0.013)</v>
      </c>
      <c r="N32" t="str">
        <f t="shared" ref="N32:U32" si="28">"(0.014)"</f>
        <v>(0.014)</v>
      </c>
      <c r="O32" t="str">
        <f t="shared" si="28"/>
        <v>(0.014)</v>
      </c>
      <c r="P32" t="str">
        <f t="shared" si="28"/>
        <v>(0.014)</v>
      </c>
      <c r="Q32" t="str">
        <f t="shared" si="28"/>
        <v>(0.014)</v>
      </c>
      <c r="R32" t="str">
        <f t="shared" si="28"/>
        <v>(0.014)</v>
      </c>
      <c r="S32" t="str">
        <f t="shared" si="28"/>
        <v>(0.014)</v>
      </c>
      <c r="T32" t="str">
        <f t="shared" si="28"/>
        <v>(0.014)</v>
      </c>
      <c r="U32" t="str">
        <f t="shared" si="28"/>
        <v>(0.014)</v>
      </c>
    </row>
    <row r="33" spans="1:21" x14ac:dyDescent="0.25">
      <c r="A33" t="str">
        <f>"Never married"</f>
        <v>Never married</v>
      </c>
      <c r="B33" t="str">
        <f>"-0.118**"</f>
        <v>-0.118**</v>
      </c>
      <c r="C33" t="str">
        <f>"-0.134**"</f>
        <v>-0.134**</v>
      </c>
      <c r="D33" t="str">
        <f>"-0.149**"</f>
        <v>-0.149**</v>
      </c>
      <c r="E33" t="str">
        <f>"-0.148**"</f>
        <v>-0.148**</v>
      </c>
      <c r="F33" t="str">
        <f>"-0.149**"</f>
        <v>-0.149**</v>
      </c>
      <c r="G33" t="str">
        <f>"-0.148**"</f>
        <v>-0.148**</v>
      </c>
      <c r="H33" t="str">
        <f>"-0.149**"</f>
        <v>-0.149**</v>
      </c>
      <c r="I33" t="str">
        <f>"-0.149**"</f>
        <v>-0.149**</v>
      </c>
      <c r="J33" t="str">
        <f>"-0.149**"</f>
        <v>-0.149**</v>
      </c>
      <c r="K33" t="str">
        <f>"-0.149**"</f>
        <v>-0.149**</v>
      </c>
      <c r="L33" t="str">
        <f>"0.018"</f>
        <v>0.018</v>
      </c>
      <c r="M33" t="str">
        <f>"0.001"</f>
        <v>0.001</v>
      </c>
      <c r="N33" t="str">
        <f t="shared" ref="N33:U33" si="29">"-0.014"</f>
        <v>-0.014</v>
      </c>
      <c r="O33" t="str">
        <f t="shared" si="29"/>
        <v>-0.014</v>
      </c>
      <c r="P33" t="str">
        <f t="shared" si="29"/>
        <v>-0.014</v>
      </c>
      <c r="Q33" t="str">
        <f t="shared" si="29"/>
        <v>-0.014</v>
      </c>
      <c r="R33" t="str">
        <f t="shared" si="29"/>
        <v>-0.014</v>
      </c>
      <c r="S33" t="str">
        <f t="shared" si="29"/>
        <v>-0.014</v>
      </c>
      <c r="T33" t="str">
        <f t="shared" si="29"/>
        <v>-0.014</v>
      </c>
      <c r="U33" t="str">
        <f t="shared" si="29"/>
        <v>-0.014</v>
      </c>
    </row>
    <row r="34" spans="1:21" x14ac:dyDescent="0.25">
      <c r="A34" t="str">
        <f>""</f>
        <v/>
      </c>
      <c r="B34" t="str">
        <f>"(0.039)"</f>
        <v>(0.039)</v>
      </c>
      <c r="C34" t="str">
        <f>"(0.038)"</f>
        <v>(0.038)</v>
      </c>
      <c r="D34" t="str">
        <f t="shared" ref="D34:K34" si="30">"(0.035)"</f>
        <v>(0.035)</v>
      </c>
      <c r="E34" t="str">
        <f t="shared" si="30"/>
        <v>(0.035)</v>
      </c>
      <c r="F34" t="str">
        <f t="shared" si="30"/>
        <v>(0.035)</v>
      </c>
      <c r="G34" t="str">
        <f t="shared" si="30"/>
        <v>(0.035)</v>
      </c>
      <c r="H34" t="str">
        <f t="shared" si="30"/>
        <v>(0.035)</v>
      </c>
      <c r="I34" t="str">
        <f t="shared" si="30"/>
        <v>(0.035)</v>
      </c>
      <c r="J34" t="str">
        <f t="shared" si="30"/>
        <v>(0.035)</v>
      </c>
      <c r="K34" t="str">
        <f t="shared" si="30"/>
        <v>(0.035)</v>
      </c>
      <c r="L34" t="str">
        <f>"(0.024)"</f>
        <v>(0.024)</v>
      </c>
      <c r="M34" t="str">
        <f>"(0.025)"</f>
        <v>(0.025)</v>
      </c>
      <c r="N34" t="str">
        <f t="shared" ref="N34:U34" si="31">"(0.023)"</f>
        <v>(0.023)</v>
      </c>
      <c r="O34" t="str">
        <f t="shared" si="31"/>
        <v>(0.023)</v>
      </c>
      <c r="P34" t="str">
        <f t="shared" si="31"/>
        <v>(0.023)</v>
      </c>
      <c r="Q34" t="str">
        <f t="shared" si="31"/>
        <v>(0.023)</v>
      </c>
      <c r="R34" t="str">
        <f t="shared" si="31"/>
        <v>(0.023)</v>
      </c>
      <c r="S34" t="str">
        <f t="shared" si="31"/>
        <v>(0.023)</v>
      </c>
      <c r="T34" t="str">
        <f t="shared" si="31"/>
        <v>(0.023)</v>
      </c>
      <c r="U34" t="str">
        <f t="shared" si="31"/>
        <v>(0.023)</v>
      </c>
    </row>
    <row r="35" spans="1:21" x14ac:dyDescent="0.25">
      <c r="A35" t="str">
        <f>"Married"</f>
        <v>Married</v>
      </c>
      <c r="B35" t="str">
        <f>"0.129**"</f>
        <v>0.129**</v>
      </c>
      <c r="C35" t="str">
        <f>"0.121**"</f>
        <v>0.121**</v>
      </c>
      <c r="D35" t="str">
        <f t="shared" ref="D35:K35" si="32">"0.069**"</f>
        <v>0.069**</v>
      </c>
      <c r="E35" t="str">
        <f t="shared" si="32"/>
        <v>0.069**</v>
      </c>
      <c r="F35" t="str">
        <f t="shared" si="32"/>
        <v>0.069**</v>
      </c>
      <c r="G35" t="str">
        <f t="shared" si="32"/>
        <v>0.069**</v>
      </c>
      <c r="H35" t="str">
        <f t="shared" si="32"/>
        <v>0.069**</v>
      </c>
      <c r="I35" t="str">
        <f t="shared" si="32"/>
        <v>0.069**</v>
      </c>
      <c r="J35" t="str">
        <f t="shared" si="32"/>
        <v>0.069**</v>
      </c>
      <c r="K35" t="str">
        <f t="shared" si="32"/>
        <v>0.069**</v>
      </c>
      <c r="L35" t="str">
        <f>"0.113**"</f>
        <v>0.113**</v>
      </c>
      <c r="M35" t="str">
        <f>"0.099**"</f>
        <v>0.099**</v>
      </c>
      <c r="N35" t="str">
        <f t="shared" ref="N35:U35" si="33">"0.076**"</f>
        <v>0.076**</v>
      </c>
      <c r="O35" t="str">
        <f t="shared" si="33"/>
        <v>0.076**</v>
      </c>
      <c r="P35" t="str">
        <f t="shared" si="33"/>
        <v>0.076**</v>
      </c>
      <c r="Q35" t="str">
        <f t="shared" si="33"/>
        <v>0.076**</v>
      </c>
      <c r="R35" t="str">
        <f t="shared" si="33"/>
        <v>0.076**</v>
      </c>
      <c r="S35" t="str">
        <f t="shared" si="33"/>
        <v>0.076**</v>
      </c>
      <c r="T35" t="str">
        <f t="shared" si="33"/>
        <v>0.076**</v>
      </c>
      <c r="U35" t="str">
        <f t="shared" si="33"/>
        <v>0.076**</v>
      </c>
    </row>
    <row r="36" spans="1:21" x14ac:dyDescent="0.25">
      <c r="A36" t="str">
        <f>""</f>
        <v/>
      </c>
      <c r="B36" t="str">
        <f>"(0.015)"</f>
        <v>(0.015)</v>
      </c>
      <c r="C36" t="str">
        <f>"(0.018)"</f>
        <v>(0.018)</v>
      </c>
      <c r="D36" t="str">
        <f>"(0.012)"</f>
        <v>(0.012)</v>
      </c>
      <c r="E36" t="str">
        <f>"(0.012)"</f>
        <v>(0.012)</v>
      </c>
      <c r="F36" t="str">
        <f>"(0.013)"</f>
        <v>(0.013)</v>
      </c>
      <c r="G36" t="str">
        <f>"(0.012)"</f>
        <v>(0.012)</v>
      </c>
      <c r="H36" t="str">
        <f>"(0.012)"</f>
        <v>(0.012)</v>
      </c>
      <c r="I36" t="str">
        <f>"(0.012)"</f>
        <v>(0.012)</v>
      </c>
      <c r="J36" t="str">
        <f>"(0.013)"</f>
        <v>(0.013)</v>
      </c>
      <c r="K36" t="str">
        <f>"(0.012)"</f>
        <v>(0.012)</v>
      </c>
      <c r="L36" t="str">
        <f>"(0.011)"</f>
        <v>(0.011)</v>
      </c>
      <c r="M36" t="str">
        <f>"(0.012)"</f>
        <v>(0.012)</v>
      </c>
      <c r="N36" t="str">
        <f t="shared" ref="N36:U36" si="34">"(0.010)"</f>
        <v>(0.010)</v>
      </c>
      <c r="O36" t="str">
        <f t="shared" si="34"/>
        <v>(0.010)</v>
      </c>
      <c r="P36" t="str">
        <f t="shared" si="34"/>
        <v>(0.010)</v>
      </c>
      <c r="Q36" t="str">
        <f t="shared" si="34"/>
        <v>(0.010)</v>
      </c>
      <c r="R36" t="str">
        <f t="shared" si="34"/>
        <v>(0.010)</v>
      </c>
      <c r="S36" t="str">
        <f t="shared" si="34"/>
        <v>(0.010)</v>
      </c>
      <c r="T36" t="str">
        <f t="shared" si="34"/>
        <v>(0.010)</v>
      </c>
      <c r="U36" t="str">
        <f t="shared" si="34"/>
        <v>(0.010)</v>
      </c>
    </row>
    <row r="37" spans="1:21" x14ac:dyDescent="0.25">
      <c r="A37" t="str">
        <f>"Live alone"</f>
        <v>Live alone</v>
      </c>
      <c r="B37" t="str">
        <f>"0.010"</f>
        <v>0.010</v>
      </c>
      <c r="C37" t="str">
        <f>"0.013"</f>
        <v>0.013</v>
      </c>
      <c r="D37" t="str">
        <f>"-0.005"</f>
        <v>-0.005</v>
      </c>
      <c r="E37" t="str">
        <f>"-0.006"</f>
        <v>-0.006</v>
      </c>
      <c r="F37" t="str">
        <f t="shared" ref="F37:K37" si="35">"-0.005"</f>
        <v>-0.005</v>
      </c>
      <c r="G37" t="str">
        <f t="shared" si="35"/>
        <v>-0.005</v>
      </c>
      <c r="H37" t="str">
        <f t="shared" si="35"/>
        <v>-0.005</v>
      </c>
      <c r="I37" t="str">
        <f t="shared" si="35"/>
        <v>-0.005</v>
      </c>
      <c r="J37" t="str">
        <f t="shared" si="35"/>
        <v>-0.005</v>
      </c>
      <c r="K37" t="str">
        <f t="shared" si="35"/>
        <v>-0.005</v>
      </c>
      <c r="L37" t="str">
        <f>"0.012"</f>
        <v>0.012</v>
      </c>
      <c r="M37" t="str">
        <f>"0.011"</f>
        <v>0.011</v>
      </c>
      <c r="N37" t="str">
        <f t="shared" ref="N37:U37" si="36">"0.002"</f>
        <v>0.002</v>
      </c>
      <c r="O37" t="str">
        <f t="shared" si="36"/>
        <v>0.002</v>
      </c>
      <c r="P37" t="str">
        <f t="shared" si="36"/>
        <v>0.002</v>
      </c>
      <c r="Q37" t="str">
        <f t="shared" si="36"/>
        <v>0.002</v>
      </c>
      <c r="R37" t="str">
        <f t="shared" si="36"/>
        <v>0.002</v>
      </c>
      <c r="S37" t="str">
        <f t="shared" si="36"/>
        <v>0.002</v>
      </c>
      <c r="T37" t="str">
        <f t="shared" si="36"/>
        <v>0.002</v>
      </c>
      <c r="U37" t="str">
        <f t="shared" si="36"/>
        <v>0.002</v>
      </c>
    </row>
    <row r="38" spans="1:21" x14ac:dyDescent="0.25">
      <c r="A38" t="str">
        <f>""</f>
        <v/>
      </c>
      <c r="B38" t="str">
        <f>"(0.021)"</f>
        <v>(0.021)</v>
      </c>
      <c r="C38" t="str">
        <f>"(0.022)"</f>
        <v>(0.022)</v>
      </c>
      <c r="D38" t="str">
        <f t="shared" ref="D38:K38" si="37">"(0.014)"</f>
        <v>(0.014)</v>
      </c>
      <c r="E38" t="str">
        <f t="shared" si="37"/>
        <v>(0.014)</v>
      </c>
      <c r="F38" t="str">
        <f t="shared" si="37"/>
        <v>(0.014)</v>
      </c>
      <c r="G38" t="str">
        <f t="shared" si="37"/>
        <v>(0.014)</v>
      </c>
      <c r="H38" t="str">
        <f t="shared" si="37"/>
        <v>(0.014)</v>
      </c>
      <c r="I38" t="str">
        <f t="shared" si="37"/>
        <v>(0.014)</v>
      </c>
      <c r="J38" t="str">
        <f t="shared" si="37"/>
        <v>(0.014)</v>
      </c>
      <c r="K38" t="str">
        <f t="shared" si="37"/>
        <v>(0.014)</v>
      </c>
      <c r="L38" t="str">
        <f>"(0.024)"</f>
        <v>(0.024)</v>
      </c>
      <c r="M38" t="str">
        <f>"(0.023)"</f>
        <v>(0.023)</v>
      </c>
      <c r="N38" t="str">
        <f t="shared" ref="N38:U38" si="38">"(0.017)"</f>
        <v>(0.017)</v>
      </c>
      <c r="O38" t="str">
        <f t="shared" si="38"/>
        <v>(0.017)</v>
      </c>
      <c r="P38" t="str">
        <f t="shared" si="38"/>
        <v>(0.017)</v>
      </c>
      <c r="Q38" t="str">
        <f t="shared" si="38"/>
        <v>(0.017)</v>
      </c>
      <c r="R38" t="str">
        <f t="shared" si="38"/>
        <v>(0.017)</v>
      </c>
      <c r="S38" t="str">
        <f t="shared" si="38"/>
        <v>(0.017)</v>
      </c>
      <c r="T38" t="str">
        <f t="shared" si="38"/>
        <v>(0.017)</v>
      </c>
      <c r="U38" t="str">
        <f t="shared" si="38"/>
        <v>(0.017)</v>
      </c>
    </row>
    <row r="39" spans="1:21" x14ac:dyDescent="0.25">
      <c r="A39" t="str">
        <f>"Do not have children"</f>
        <v>Do not have children</v>
      </c>
      <c r="B39" t="str">
        <f>"-0.047"</f>
        <v>-0.047</v>
      </c>
      <c r="C39" t="str">
        <f>"-0.060*"</f>
        <v>-0.060*</v>
      </c>
      <c r="D39" t="str">
        <f>"-0.062*"</f>
        <v>-0.062*</v>
      </c>
      <c r="E39" t="str">
        <f>"-0.063*"</f>
        <v>-0.063*</v>
      </c>
      <c r="F39" t="str">
        <f t="shared" ref="F39:K39" si="39">"-0.062*"</f>
        <v>-0.062*</v>
      </c>
      <c r="G39" t="str">
        <f t="shared" si="39"/>
        <v>-0.062*</v>
      </c>
      <c r="H39" t="str">
        <f t="shared" si="39"/>
        <v>-0.062*</v>
      </c>
      <c r="I39" t="str">
        <f t="shared" si="39"/>
        <v>-0.062*</v>
      </c>
      <c r="J39" t="str">
        <f t="shared" si="39"/>
        <v>-0.062*</v>
      </c>
      <c r="K39" t="str">
        <f t="shared" si="39"/>
        <v>-0.062*</v>
      </c>
      <c r="L39" t="str">
        <f>"0.028"</f>
        <v>0.028</v>
      </c>
      <c r="M39" t="str">
        <f>"0.044**"</f>
        <v>0.044**</v>
      </c>
      <c r="N39" t="str">
        <f>"0.009"</f>
        <v>0.009</v>
      </c>
      <c r="O39" t="str">
        <f>"0.008"</f>
        <v>0.008</v>
      </c>
      <c r="P39" t="str">
        <f>"0.009"</f>
        <v>0.009</v>
      </c>
      <c r="Q39" t="str">
        <f>"0.008"</f>
        <v>0.008</v>
      </c>
      <c r="R39" t="str">
        <f>"0.008"</f>
        <v>0.008</v>
      </c>
      <c r="S39" t="str">
        <f>"0.008"</f>
        <v>0.008</v>
      </c>
      <c r="T39" t="str">
        <f>"0.008"</f>
        <v>0.008</v>
      </c>
      <c r="U39" t="str">
        <f>"0.008"</f>
        <v>0.008</v>
      </c>
    </row>
    <row r="40" spans="1:21" x14ac:dyDescent="0.25">
      <c r="A40" t="str">
        <f>""</f>
        <v/>
      </c>
      <c r="B40" t="str">
        <f>"(0.026)"</f>
        <v>(0.026)</v>
      </c>
      <c r="C40" t="str">
        <f>"(0.024)"</f>
        <v>(0.024)</v>
      </c>
      <c r="D40" t="str">
        <f t="shared" ref="D40:K40" si="40">"(0.026)"</f>
        <v>(0.026)</v>
      </c>
      <c r="E40" t="str">
        <f t="shared" si="40"/>
        <v>(0.026)</v>
      </c>
      <c r="F40" t="str">
        <f t="shared" si="40"/>
        <v>(0.026)</v>
      </c>
      <c r="G40" t="str">
        <f t="shared" si="40"/>
        <v>(0.026)</v>
      </c>
      <c r="H40" t="str">
        <f t="shared" si="40"/>
        <v>(0.026)</v>
      </c>
      <c r="I40" t="str">
        <f t="shared" si="40"/>
        <v>(0.026)</v>
      </c>
      <c r="J40" t="str">
        <f t="shared" si="40"/>
        <v>(0.026)</v>
      </c>
      <c r="K40" t="str">
        <f t="shared" si="40"/>
        <v>(0.026)</v>
      </c>
      <c r="L40" t="str">
        <f>"(0.022)"</f>
        <v>(0.022)</v>
      </c>
      <c r="M40" t="str">
        <f>"(0.017)"</f>
        <v>(0.017)</v>
      </c>
      <c r="N40" t="str">
        <f t="shared" ref="N40:U40" si="41">"(0.015)"</f>
        <v>(0.015)</v>
      </c>
      <c r="O40" t="str">
        <f t="shared" si="41"/>
        <v>(0.015)</v>
      </c>
      <c r="P40" t="str">
        <f t="shared" si="41"/>
        <v>(0.015)</v>
      </c>
      <c r="Q40" t="str">
        <f t="shared" si="41"/>
        <v>(0.015)</v>
      </c>
      <c r="R40" t="str">
        <f t="shared" si="41"/>
        <v>(0.015)</v>
      </c>
      <c r="S40" t="str">
        <f t="shared" si="41"/>
        <v>(0.015)</v>
      </c>
      <c r="T40" t="str">
        <f t="shared" si="41"/>
        <v>(0.015)</v>
      </c>
      <c r="U40" t="str">
        <f t="shared" si="41"/>
        <v>(0.015)</v>
      </c>
    </row>
    <row r="41" spans="1:21" x14ac:dyDescent="0.25">
      <c r="A41" t="str">
        <f>"Has one child"</f>
        <v>Has one child</v>
      </c>
      <c r="B41" t="str">
        <f>"-0.006"</f>
        <v>-0.006</v>
      </c>
      <c r="C41" t="str">
        <f>"-0.013"</f>
        <v>-0.013</v>
      </c>
      <c r="D41" t="str">
        <f>"-0.013"</f>
        <v>-0.013</v>
      </c>
      <c r="E41" t="str">
        <f>"-0.014"</f>
        <v>-0.014</v>
      </c>
      <c r="F41" t="str">
        <f>"-0.013"</f>
        <v>-0.013</v>
      </c>
      <c r="G41" t="str">
        <f>"-0.013"</f>
        <v>-0.013</v>
      </c>
      <c r="H41" t="str">
        <f>"-0.014"</f>
        <v>-0.014</v>
      </c>
      <c r="I41" t="str">
        <f>"-0.014"</f>
        <v>-0.014</v>
      </c>
      <c r="J41" t="str">
        <f>"-0.013"</f>
        <v>-0.013</v>
      </c>
      <c r="K41" t="str">
        <f>"-0.013"</f>
        <v>-0.013</v>
      </c>
      <c r="L41" t="str">
        <f>"0.014"</f>
        <v>0.014</v>
      </c>
      <c r="M41" t="str">
        <f>"0.028"</f>
        <v>0.028</v>
      </c>
      <c r="N41" t="str">
        <f>"0.011"</f>
        <v>0.011</v>
      </c>
      <c r="O41" t="str">
        <f>"0.011"</f>
        <v>0.011</v>
      </c>
      <c r="P41" t="str">
        <f>"0.011"</f>
        <v>0.011</v>
      </c>
      <c r="Q41" t="str">
        <f>"0.011"</f>
        <v>0.011</v>
      </c>
      <c r="R41" t="str">
        <f>"0.010"</f>
        <v>0.010</v>
      </c>
      <c r="S41" t="str">
        <f>"0.010"</f>
        <v>0.010</v>
      </c>
      <c r="T41" t="str">
        <f>"0.011"</f>
        <v>0.011</v>
      </c>
      <c r="U41" t="str">
        <f>"0.011"</f>
        <v>0.011</v>
      </c>
    </row>
    <row r="42" spans="1:21" x14ac:dyDescent="0.25">
      <c r="A42" t="str">
        <f>""</f>
        <v/>
      </c>
      <c r="B42" t="str">
        <f t="shared" ref="B42:K42" si="42">"(0.014)"</f>
        <v>(0.014)</v>
      </c>
      <c r="C42" t="str">
        <f t="shared" si="42"/>
        <v>(0.014)</v>
      </c>
      <c r="D42" t="str">
        <f t="shared" si="42"/>
        <v>(0.014)</v>
      </c>
      <c r="E42" t="str">
        <f t="shared" si="42"/>
        <v>(0.014)</v>
      </c>
      <c r="F42" t="str">
        <f t="shared" si="42"/>
        <v>(0.014)</v>
      </c>
      <c r="G42" t="str">
        <f t="shared" si="42"/>
        <v>(0.014)</v>
      </c>
      <c r="H42" t="str">
        <f t="shared" si="42"/>
        <v>(0.014)</v>
      </c>
      <c r="I42" t="str">
        <f t="shared" si="42"/>
        <v>(0.014)</v>
      </c>
      <c r="J42" t="str">
        <f t="shared" si="42"/>
        <v>(0.014)</v>
      </c>
      <c r="K42" t="str">
        <f t="shared" si="42"/>
        <v>(0.014)</v>
      </c>
      <c r="L42" t="str">
        <f>"(0.021)"</f>
        <v>(0.021)</v>
      </c>
      <c r="M42" t="str">
        <f>"(0.018)"</f>
        <v>(0.018)</v>
      </c>
      <c r="N42" t="str">
        <f>"(0.014)"</f>
        <v>(0.014)</v>
      </c>
      <c r="O42" t="str">
        <f>"(0.015)"</f>
        <v>(0.015)</v>
      </c>
      <c r="P42" t="str">
        <f>"(0.014)"</f>
        <v>(0.014)</v>
      </c>
      <c r="Q42" t="str">
        <f>"(0.015)"</f>
        <v>(0.015)</v>
      </c>
      <c r="R42" t="str">
        <f>"(0.014)"</f>
        <v>(0.014)</v>
      </c>
      <c r="S42" t="str">
        <f>"(0.015)"</f>
        <v>(0.015)</v>
      </c>
      <c r="T42" t="str">
        <f>"(0.014)"</f>
        <v>(0.014)</v>
      </c>
      <c r="U42" t="str">
        <f>"(0.015)"</f>
        <v>(0.015)</v>
      </c>
    </row>
    <row r="43" spans="1:21" x14ac:dyDescent="0.25">
      <c r="A43" t="str">
        <f>"Has two children"</f>
        <v>Has two children</v>
      </c>
      <c r="B43" t="str">
        <f>"0.001"</f>
        <v>0.001</v>
      </c>
      <c r="C43" t="str">
        <f>"-0.010"</f>
        <v>-0.010</v>
      </c>
      <c r="D43" t="str">
        <f>"-0.011"</f>
        <v>-0.011</v>
      </c>
      <c r="E43" t="str">
        <f>"-0.011"</f>
        <v>-0.011</v>
      </c>
      <c r="F43" t="str">
        <f>"-0.010"</f>
        <v>-0.010</v>
      </c>
      <c r="G43" t="str">
        <f>"-0.011"</f>
        <v>-0.011</v>
      </c>
      <c r="H43" t="str">
        <f>"-0.011"</f>
        <v>-0.011</v>
      </c>
      <c r="I43" t="str">
        <f>"-0.011"</f>
        <v>-0.011</v>
      </c>
      <c r="J43" t="str">
        <f>"-0.011"</f>
        <v>-0.011</v>
      </c>
      <c r="K43" t="str">
        <f>"-0.011"</f>
        <v>-0.011</v>
      </c>
      <c r="L43" t="str">
        <f>"0.013"</f>
        <v>0.013</v>
      </c>
      <c r="M43" t="str">
        <f>"0.022"</f>
        <v>0.022</v>
      </c>
      <c r="N43" t="str">
        <f t="shared" ref="N43:U43" si="43">"0.011"</f>
        <v>0.011</v>
      </c>
      <c r="O43" t="str">
        <f t="shared" si="43"/>
        <v>0.011</v>
      </c>
      <c r="P43" t="str">
        <f t="shared" si="43"/>
        <v>0.011</v>
      </c>
      <c r="Q43" t="str">
        <f t="shared" si="43"/>
        <v>0.011</v>
      </c>
      <c r="R43" t="str">
        <f t="shared" si="43"/>
        <v>0.011</v>
      </c>
      <c r="S43" t="str">
        <f t="shared" si="43"/>
        <v>0.011</v>
      </c>
      <c r="T43" t="str">
        <f t="shared" si="43"/>
        <v>0.011</v>
      </c>
      <c r="U43" t="str">
        <f t="shared" si="43"/>
        <v>0.011</v>
      </c>
    </row>
    <row r="44" spans="1:21" x14ac:dyDescent="0.25">
      <c r="A44" t="str">
        <f>""</f>
        <v/>
      </c>
      <c r="B44" t="str">
        <f>"(0.015)"</f>
        <v>(0.015)</v>
      </c>
      <c r="C44" t="str">
        <f>"(0.012)"</f>
        <v>(0.012)</v>
      </c>
      <c r="D44" t="str">
        <f t="shared" ref="D44:K44" si="44">"(0.014)"</f>
        <v>(0.014)</v>
      </c>
      <c r="E44" t="str">
        <f t="shared" si="44"/>
        <v>(0.014)</v>
      </c>
      <c r="F44" t="str">
        <f t="shared" si="44"/>
        <v>(0.014)</v>
      </c>
      <c r="G44" t="str">
        <f t="shared" si="44"/>
        <v>(0.014)</v>
      </c>
      <c r="H44" t="str">
        <f t="shared" si="44"/>
        <v>(0.014)</v>
      </c>
      <c r="I44" t="str">
        <f t="shared" si="44"/>
        <v>(0.014)</v>
      </c>
      <c r="J44" t="str">
        <f t="shared" si="44"/>
        <v>(0.014)</v>
      </c>
      <c r="K44" t="str">
        <f t="shared" si="44"/>
        <v>(0.014)</v>
      </c>
      <c r="L44" t="str">
        <f>"(0.019)"</f>
        <v>(0.019)</v>
      </c>
      <c r="M44" t="str">
        <f>"(0.018)"</f>
        <v>(0.018)</v>
      </c>
      <c r="N44" t="str">
        <f t="shared" ref="N44:U44" si="45">"(0.015)"</f>
        <v>(0.015)</v>
      </c>
      <c r="O44" t="str">
        <f t="shared" si="45"/>
        <v>(0.015)</v>
      </c>
      <c r="P44" t="str">
        <f t="shared" si="45"/>
        <v>(0.015)</v>
      </c>
      <c r="Q44" t="str">
        <f t="shared" si="45"/>
        <v>(0.015)</v>
      </c>
      <c r="R44" t="str">
        <f t="shared" si="45"/>
        <v>(0.015)</v>
      </c>
      <c r="S44" t="str">
        <f t="shared" si="45"/>
        <v>(0.015)</v>
      </c>
      <c r="T44" t="str">
        <f t="shared" si="45"/>
        <v>(0.015)</v>
      </c>
      <c r="U44" t="str">
        <f t="shared" si="45"/>
        <v>(0.015)</v>
      </c>
    </row>
    <row r="45" spans="1:21" x14ac:dyDescent="0.25">
      <c r="A45" t="str">
        <f>"Live in rural area"</f>
        <v>Live in rural area</v>
      </c>
      <c r="B45" t="str">
        <f>"-0.021"</f>
        <v>-0.021</v>
      </c>
      <c r="C45" t="str">
        <f>"-0.005"</f>
        <v>-0.005</v>
      </c>
      <c r="D45" t="str">
        <f>"-0.030"</f>
        <v>-0.030</v>
      </c>
      <c r="E45" t="str">
        <f>"-0.029"</f>
        <v>-0.029</v>
      </c>
      <c r="F45" t="str">
        <f>"-0.030"</f>
        <v>-0.030</v>
      </c>
      <c r="G45" t="str">
        <f>"-0.028"</f>
        <v>-0.028</v>
      </c>
      <c r="H45" t="str">
        <f>"-0.030"</f>
        <v>-0.030</v>
      </c>
      <c r="I45" t="str">
        <f>"-0.029"</f>
        <v>-0.029</v>
      </c>
      <c r="J45" t="str">
        <f>"-0.030"</f>
        <v>-0.030</v>
      </c>
      <c r="K45" t="str">
        <f>"-0.029"</f>
        <v>-0.029</v>
      </c>
      <c r="L45" t="str">
        <f>"-0.001"</f>
        <v>-0.001</v>
      </c>
      <c r="M45" t="str">
        <f>"-0.000"</f>
        <v>-0.000</v>
      </c>
      <c r="N45" t="str">
        <f>"-0.006"</f>
        <v>-0.006</v>
      </c>
      <c r="O45" t="str">
        <f>"-0.006"</f>
        <v>-0.006</v>
      </c>
      <c r="P45" t="str">
        <f>"-0.006"</f>
        <v>-0.006</v>
      </c>
      <c r="Q45" t="str">
        <f>"-0.005"</f>
        <v>-0.005</v>
      </c>
      <c r="R45" t="str">
        <f>"-0.006"</f>
        <v>-0.006</v>
      </c>
      <c r="S45" t="str">
        <f>"-0.006"</f>
        <v>-0.006</v>
      </c>
      <c r="T45" t="str">
        <f>"-0.006"</f>
        <v>-0.006</v>
      </c>
      <c r="U45" t="str">
        <f>"-0.005"</f>
        <v>-0.005</v>
      </c>
    </row>
    <row r="46" spans="1:21" x14ac:dyDescent="0.25">
      <c r="A46" t="str">
        <f>""</f>
        <v/>
      </c>
      <c r="B46" t="str">
        <f>"(0.028)"</f>
        <v>(0.028)</v>
      </c>
      <c r="C46" t="str">
        <f>"(0.022)"</f>
        <v>(0.022)</v>
      </c>
      <c r="D46" t="str">
        <f t="shared" ref="D46:K46" si="46">"(0.021)"</f>
        <v>(0.021)</v>
      </c>
      <c r="E46" t="str">
        <f t="shared" si="46"/>
        <v>(0.021)</v>
      </c>
      <c r="F46" t="str">
        <f t="shared" si="46"/>
        <v>(0.021)</v>
      </c>
      <c r="G46" t="str">
        <f t="shared" si="46"/>
        <v>(0.021)</v>
      </c>
      <c r="H46" t="str">
        <f t="shared" si="46"/>
        <v>(0.021)</v>
      </c>
      <c r="I46" t="str">
        <f t="shared" si="46"/>
        <v>(0.021)</v>
      </c>
      <c r="J46" t="str">
        <f t="shared" si="46"/>
        <v>(0.021)</v>
      </c>
      <c r="K46" t="str">
        <f t="shared" si="46"/>
        <v>(0.021)</v>
      </c>
      <c r="L46" t="str">
        <f>"(0.018)"</f>
        <v>(0.018)</v>
      </c>
      <c r="M46" t="str">
        <f>"(0.019)"</f>
        <v>(0.019)</v>
      </c>
      <c r="N46" t="str">
        <f t="shared" ref="N46:U46" si="47">"(0.018)"</f>
        <v>(0.018)</v>
      </c>
      <c r="O46" t="str">
        <f t="shared" si="47"/>
        <v>(0.018)</v>
      </c>
      <c r="P46" t="str">
        <f t="shared" si="47"/>
        <v>(0.018)</v>
      </c>
      <c r="Q46" t="str">
        <f t="shared" si="47"/>
        <v>(0.018)</v>
      </c>
      <c r="R46" t="str">
        <f t="shared" si="47"/>
        <v>(0.018)</v>
      </c>
      <c r="S46" t="str">
        <f t="shared" si="47"/>
        <v>(0.018)</v>
      </c>
      <c r="T46" t="str">
        <f t="shared" si="47"/>
        <v>(0.018)</v>
      </c>
      <c r="U46" t="str">
        <f t="shared" si="47"/>
        <v>(0.018)</v>
      </c>
    </row>
    <row r="47" spans="1:21" x14ac:dyDescent="0.25">
      <c r="A47" t="str">
        <f>"Live in village or small town"</f>
        <v>Live in village or small town</v>
      </c>
      <c r="B47" t="str">
        <f>"0.011"</f>
        <v>0.011</v>
      </c>
      <c r="C47" t="str">
        <f>"0.016"</f>
        <v>0.016</v>
      </c>
      <c r="D47" t="str">
        <f>"0.001"</f>
        <v>0.001</v>
      </c>
      <c r="E47" t="str">
        <f>"-0.000"</f>
        <v>-0.000</v>
      </c>
      <c r="F47" t="str">
        <f>"0.001"</f>
        <v>0.001</v>
      </c>
      <c r="G47" t="str">
        <f>"0.000"</f>
        <v>0.000</v>
      </c>
      <c r="H47" t="str">
        <f>"0.001"</f>
        <v>0.001</v>
      </c>
      <c r="I47" t="str">
        <f>"0.000"</f>
        <v>0.000</v>
      </c>
      <c r="J47" t="str">
        <f>"0.001"</f>
        <v>0.001</v>
      </c>
      <c r="K47" t="str">
        <f>"-0.000"</f>
        <v>-0.000</v>
      </c>
      <c r="L47" t="str">
        <f>"-0.009"</f>
        <v>-0.009</v>
      </c>
      <c r="M47" t="str">
        <f>"0.000"</f>
        <v>0.000</v>
      </c>
      <c r="N47" t="str">
        <f t="shared" ref="N47:T47" si="48">"-0.001"</f>
        <v>-0.001</v>
      </c>
      <c r="O47" t="str">
        <f t="shared" si="48"/>
        <v>-0.001</v>
      </c>
      <c r="P47" t="str">
        <f t="shared" si="48"/>
        <v>-0.001</v>
      </c>
      <c r="Q47" t="str">
        <f t="shared" si="48"/>
        <v>-0.001</v>
      </c>
      <c r="R47" t="str">
        <f t="shared" si="48"/>
        <v>-0.001</v>
      </c>
      <c r="S47" t="str">
        <f t="shared" si="48"/>
        <v>-0.001</v>
      </c>
      <c r="T47" t="str">
        <f t="shared" si="48"/>
        <v>-0.001</v>
      </c>
      <c r="U47" t="str">
        <f>"-0.002"</f>
        <v>-0.002</v>
      </c>
    </row>
    <row r="48" spans="1:21" x14ac:dyDescent="0.25">
      <c r="A48" t="str">
        <f>""</f>
        <v/>
      </c>
      <c r="B48" t="str">
        <f>"(0.017)"</f>
        <v>(0.017)</v>
      </c>
      <c r="C48" t="str">
        <f>"(0.016)"</f>
        <v>(0.016)</v>
      </c>
      <c r="D48" t="str">
        <f>"(0.016)"</f>
        <v>(0.016)</v>
      </c>
      <c r="E48" t="str">
        <f>"(0.016)"</f>
        <v>(0.016)</v>
      </c>
      <c r="F48" t="str">
        <f>"(0.016)"</f>
        <v>(0.016)</v>
      </c>
      <c r="G48" t="str">
        <f>"(0.015)"</f>
        <v>(0.015)</v>
      </c>
      <c r="H48" t="str">
        <f>"(0.016)"</f>
        <v>(0.016)</v>
      </c>
      <c r="I48" t="str">
        <f>"(0.016)"</f>
        <v>(0.016)</v>
      </c>
      <c r="J48" t="str">
        <f>"(0.016)"</f>
        <v>(0.016)</v>
      </c>
      <c r="K48" t="str">
        <f>"(0.016)"</f>
        <v>(0.016)</v>
      </c>
      <c r="L48" t="str">
        <f>"(0.018)"</f>
        <v>(0.018)</v>
      </c>
      <c r="M48" t="str">
        <f>"(0.017)"</f>
        <v>(0.017)</v>
      </c>
      <c r="N48" t="str">
        <f t="shared" ref="N48:U48" si="49">"(0.018)"</f>
        <v>(0.018)</v>
      </c>
      <c r="O48" t="str">
        <f t="shared" si="49"/>
        <v>(0.018)</v>
      </c>
      <c r="P48" t="str">
        <f t="shared" si="49"/>
        <v>(0.018)</v>
      </c>
      <c r="Q48" t="str">
        <f t="shared" si="49"/>
        <v>(0.018)</v>
      </c>
      <c r="R48" t="str">
        <f t="shared" si="49"/>
        <v>(0.018)</v>
      </c>
      <c r="S48" t="str">
        <f t="shared" si="49"/>
        <v>(0.018)</v>
      </c>
      <c r="T48" t="str">
        <f t="shared" si="49"/>
        <v>(0.018)</v>
      </c>
      <c r="U48" t="str">
        <f t="shared" si="49"/>
        <v>(0.018)</v>
      </c>
    </row>
    <row r="49" spans="1:21" x14ac:dyDescent="0.25">
      <c r="A49" t="str">
        <f>"Live in suburb of city"</f>
        <v>Live in suburb of city</v>
      </c>
      <c r="B49" t="str">
        <f>"-0.010"</f>
        <v>-0.010</v>
      </c>
      <c r="C49" t="str">
        <f>"-0.003"</f>
        <v>-0.003</v>
      </c>
      <c r="D49" t="str">
        <f>"-0.005"</f>
        <v>-0.005</v>
      </c>
      <c r="E49" t="str">
        <f>"-0.006"</f>
        <v>-0.006</v>
      </c>
      <c r="F49" t="str">
        <f>"-0.005"</f>
        <v>-0.005</v>
      </c>
      <c r="G49" t="str">
        <f>"-0.005"</f>
        <v>-0.005</v>
      </c>
      <c r="H49" t="str">
        <f>"-0.005"</f>
        <v>-0.005</v>
      </c>
      <c r="I49" t="str">
        <f>"-0.005"</f>
        <v>-0.005</v>
      </c>
      <c r="J49" t="str">
        <f>"-0.005"</f>
        <v>-0.005</v>
      </c>
      <c r="K49" t="str">
        <f>"-0.006"</f>
        <v>-0.006</v>
      </c>
      <c r="L49" t="str">
        <f>"-0.002"</f>
        <v>-0.002</v>
      </c>
      <c r="M49" t="str">
        <f t="shared" ref="M49:U49" si="50">"0.002"</f>
        <v>0.002</v>
      </c>
      <c r="N49" t="str">
        <f t="shared" si="50"/>
        <v>0.002</v>
      </c>
      <c r="O49" t="str">
        <f t="shared" si="50"/>
        <v>0.002</v>
      </c>
      <c r="P49" t="str">
        <f t="shared" si="50"/>
        <v>0.002</v>
      </c>
      <c r="Q49" t="str">
        <f t="shared" si="50"/>
        <v>0.002</v>
      </c>
      <c r="R49" t="str">
        <f t="shared" si="50"/>
        <v>0.002</v>
      </c>
      <c r="S49" t="str">
        <f t="shared" si="50"/>
        <v>0.002</v>
      </c>
      <c r="T49" t="str">
        <f t="shared" si="50"/>
        <v>0.002</v>
      </c>
      <c r="U49" t="str">
        <f t="shared" si="50"/>
        <v>0.002</v>
      </c>
    </row>
    <row r="50" spans="1:21" x14ac:dyDescent="0.25">
      <c r="A50" t="str">
        <f>""</f>
        <v/>
      </c>
      <c r="B50" t="str">
        <f>"(0.015)"</f>
        <v>(0.015)</v>
      </c>
      <c r="C50" t="str">
        <f>"(0.015)"</f>
        <v>(0.015)</v>
      </c>
      <c r="D50" t="str">
        <f>"(0.016)"</f>
        <v>(0.016)</v>
      </c>
      <c r="E50" t="str">
        <f>"(0.016)"</f>
        <v>(0.016)</v>
      </c>
      <c r="F50" t="str">
        <f>"(0.016)"</f>
        <v>(0.016)</v>
      </c>
      <c r="G50" t="str">
        <f>"(0.015)"</f>
        <v>(0.015)</v>
      </c>
      <c r="H50" t="str">
        <f>"(0.016)"</f>
        <v>(0.016)</v>
      </c>
      <c r="I50" t="str">
        <f>"(0.016)"</f>
        <v>(0.016)</v>
      </c>
      <c r="J50" t="str">
        <f>"(0.016)"</f>
        <v>(0.016)</v>
      </c>
      <c r="K50" t="str">
        <f>"(0.016)"</f>
        <v>(0.016)</v>
      </c>
      <c r="L50" t="str">
        <f>"(0.012)"</f>
        <v>(0.012)</v>
      </c>
      <c r="M50" t="str">
        <f>"(0.011)"</f>
        <v>(0.011)</v>
      </c>
      <c r="N50" t="str">
        <f t="shared" ref="N50:U50" si="51">"(0.009)"</f>
        <v>(0.009)</v>
      </c>
      <c r="O50" t="str">
        <f t="shared" si="51"/>
        <v>(0.009)</v>
      </c>
      <c r="P50" t="str">
        <f t="shared" si="51"/>
        <v>(0.009)</v>
      </c>
      <c r="Q50" t="str">
        <f t="shared" si="51"/>
        <v>(0.009)</v>
      </c>
      <c r="R50" t="str">
        <f t="shared" si="51"/>
        <v>(0.009)</v>
      </c>
      <c r="S50" t="str">
        <f t="shared" si="51"/>
        <v>(0.009)</v>
      </c>
      <c r="T50" t="str">
        <f t="shared" si="51"/>
        <v>(0.009)</v>
      </c>
      <c r="U50" t="str">
        <f t="shared" si="51"/>
        <v>(0.009)</v>
      </c>
    </row>
    <row r="51" spans="1:21" x14ac:dyDescent="0.25">
      <c r="A51" t="str">
        <f>"Parents were married at age 12"</f>
        <v>Parents were married at age 12</v>
      </c>
      <c r="B51" t="str">
        <f>""</f>
        <v/>
      </c>
      <c r="C51" t="str">
        <f>"0.002"</f>
        <v>0.002</v>
      </c>
      <c r="D51" t="str">
        <f>"-0.028"</f>
        <v>-0.028</v>
      </c>
      <c r="E51" t="str">
        <f>"-0.028"</f>
        <v>-0.028</v>
      </c>
      <c r="F51" t="str">
        <f>"-0.028"</f>
        <v>-0.028</v>
      </c>
      <c r="G51" t="str">
        <f>"-0.025"</f>
        <v>-0.025</v>
      </c>
      <c r="H51" t="str">
        <f>"-0.028"</f>
        <v>-0.028</v>
      </c>
      <c r="I51" t="str">
        <f>"-0.029"</f>
        <v>-0.029</v>
      </c>
      <c r="J51" t="str">
        <f>"-0.028"</f>
        <v>-0.028</v>
      </c>
      <c r="K51" t="str">
        <f>"-0.027"</f>
        <v>-0.027</v>
      </c>
      <c r="L51" t="str">
        <f>""</f>
        <v/>
      </c>
      <c r="M51" t="str">
        <f>"0.048"</f>
        <v>0.048</v>
      </c>
      <c r="N51" t="str">
        <f>"0.036"</f>
        <v>0.036</v>
      </c>
      <c r="O51" t="str">
        <f>"0.036"</f>
        <v>0.036</v>
      </c>
      <c r="P51" t="str">
        <f>"0.036"</f>
        <v>0.036</v>
      </c>
      <c r="Q51" t="str">
        <f>"0.037"</f>
        <v>0.037</v>
      </c>
      <c r="R51" t="str">
        <f>"0.036"</f>
        <v>0.036</v>
      </c>
      <c r="S51" t="str">
        <f>"0.036"</f>
        <v>0.036</v>
      </c>
      <c r="T51" t="str">
        <f>"0.036"</f>
        <v>0.036</v>
      </c>
      <c r="U51" t="str">
        <f>"0.036"</f>
        <v>0.036</v>
      </c>
    </row>
    <row r="52" spans="1:21" x14ac:dyDescent="0.25">
      <c r="A52" t="str">
        <f>""</f>
        <v/>
      </c>
      <c r="B52" t="str">
        <f>""</f>
        <v/>
      </c>
      <c r="C52" t="str">
        <f>"(0.025)"</f>
        <v>(0.025)</v>
      </c>
      <c r="D52" t="str">
        <f>"(0.024)"</f>
        <v>(0.024)</v>
      </c>
      <c r="E52" t="str">
        <f>"(0.024)"</f>
        <v>(0.024)</v>
      </c>
      <c r="F52" t="str">
        <f>"(0.024)"</f>
        <v>(0.024)</v>
      </c>
      <c r="G52" t="str">
        <f>"(0.023)"</f>
        <v>(0.023)</v>
      </c>
      <c r="H52" t="str">
        <f>"(0.024)"</f>
        <v>(0.024)</v>
      </c>
      <c r="I52" t="str">
        <f>"(0.024)"</f>
        <v>(0.024)</v>
      </c>
      <c r="J52" t="str">
        <f>"(0.024)"</f>
        <v>(0.024)</v>
      </c>
      <c r="K52" t="str">
        <f>"(0.024)"</f>
        <v>(0.024)</v>
      </c>
      <c r="L52" t="str">
        <f>""</f>
        <v/>
      </c>
      <c r="M52" t="str">
        <f t="shared" ref="M52:U52" si="52">"(0.030)"</f>
        <v>(0.030)</v>
      </c>
      <c r="N52" t="str">
        <f t="shared" si="52"/>
        <v>(0.030)</v>
      </c>
      <c r="O52" t="str">
        <f t="shared" si="52"/>
        <v>(0.030)</v>
      </c>
      <c r="P52" t="str">
        <f t="shared" si="52"/>
        <v>(0.030)</v>
      </c>
      <c r="Q52" t="str">
        <f t="shared" si="52"/>
        <v>(0.030)</v>
      </c>
      <c r="R52" t="str">
        <f t="shared" si="52"/>
        <v>(0.030)</v>
      </c>
      <c r="S52" t="str">
        <f t="shared" si="52"/>
        <v>(0.030)</v>
      </c>
      <c r="T52" t="str">
        <f t="shared" si="52"/>
        <v>(0.030)</v>
      </c>
      <c r="U52" t="str">
        <f t="shared" si="52"/>
        <v>(0.030)</v>
      </c>
    </row>
    <row r="53" spans="1:21" x14ac:dyDescent="0.25">
      <c r="A53" t="str">
        <f>"Knew mom but not dad"</f>
        <v>Knew mom but not dad</v>
      </c>
      <c r="B53" t="str">
        <f>""</f>
        <v/>
      </c>
      <c r="C53" t="str">
        <f>"-0.083**"</f>
        <v>-0.083**</v>
      </c>
      <c r="D53" t="str">
        <f>"-0.082**"</f>
        <v>-0.082**</v>
      </c>
      <c r="E53" t="str">
        <f>"-0.080**"</f>
        <v>-0.080**</v>
      </c>
      <c r="F53" t="str">
        <f>"-0.082**"</f>
        <v>-0.082**</v>
      </c>
      <c r="G53" t="str">
        <f>"-0.079**"</f>
        <v>-0.079**</v>
      </c>
      <c r="H53" t="str">
        <f>"-0.082**"</f>
        <v>-0.082**</v>
      </c>
      <c r="I53" t="str">
        <f>"-0.081**"</f>
        <v>-0.081**</v>
      </c>
      <c r="J53" t="str">
        <f>"-0.082**"</f>
        <v>-0.082**</v>
      </c>
      <c r="K53" t="str">
        <f>"-0.080**"</f>
        <v>-0.080**</v>
      </c>
      <c r="L53" t="str">
        <f>""</f>
        <v/>
      </c>
      <c r="M53" t="str">
        <f>"-0.010"</f>
        <v>-0.010</v>
      </c>
      <c r="N53" t="str">
        <f>"-0.021"</f>
        <v>-0.021</v>
      </c>
      <c r="O53" t="str">
        <f>"-0.021"</f>
        <v>-0.021</v>
      </c>
      <c r="P53" t="str">
        <f>"-0.021"</f>
        <v>-0.021</v>
      </c>
      <c r="Q53" t="str">
        <f>"-0.020"</f>
        <v>-0.020</v>
      </c>
      <c r="R53" t="str">
        <f>"-0.021"</f>
        <v>-0.021</v>
      </c>
      <c r="S53" t="str">
        <f>"-0.021"</f>
        <v>-0.021</v>
      </c>
      <c r="T53" t="str">
        <f>"-0.021"</f>
        <v>-0.021</v>
      </c>
      <c r="U53" t="str">
        <f>"-0.020"</f>
        <v>-0.020</v>
      </c>
    </row>
    <row r="54" spans="1:21" x14ac:dyDescent="0.25">
      <c r="A54" t="str">
        <f>""</f>
        <v/>
      </c>
      <c r="B54" t="str">
        <f>""</f>
        <v/>
      </c>
      <c r="C54" t="str">
        <f t="shared" ref="C54:K54" si="53">"(0.021)"</f>
        <v>(0.021)</v>
      </c>
      <c r="D54" t="str">
        <f t="shared" si="53"/>
        <v>(0.021)</v>
      </c>
      <c r="E54" t="str">
        <f t="shared" si="53"/>
        <v>(0.021)</v>
      </c>
      <c r="F54" t="str">
        <f t="shared" si="53"/>
        <v>(0.021)</v>
      </c>
      <c r="G54" t="str">
        <f t="shared" si="53"/>
        <v>(0.021)</v>
      </c>
      <c r="H54" t="str">
        <f t="shared" si="53"/>
        <v>(0.021)</v>
      </c>
      <c r="I54" t="str">
        <f t="shared" si="53"/>
        <v>(0.021)</v>
      </c>
      <c r="J54" t="str">
        <f t="shared" si="53"/>
        <v>(0.021)</v>
      </c>
      <c r="K54" t="str">
        <f t="shared" si="53"/>
        <v>(0.021)</v>
      </c>
      <c r="L54" t="str">
        <f>""</f>
        <v/>
      </c>
      <c r="M54" t="str">
        <f>"(0.017)"</f>
        <v>(0.017)</v>
      </c>
      <c r="N54" t="str">
        <f t="shared" ref="N54:U54" si="54">"(0.020)"</f>
        <v>(0.020)</v>
      </c>
      <c r="O54" t="str">
        <f t="shared" si="54"/>
        <v>(0.020)</v>
      </c>
      <c r="P54" t="str">
        <f t="shared" si="54"/>
        <v>(0.020)</v>
      </c>
      <c r="Q54" t="str">
        <f t="shared" si="54"/>
        <v>(0.020)</v>
      </c>
      <c r="R54" t="str">
        <f t="shared" si="54"/>
        <v>(0.020)</v>
      </c>
      <c r="S54" t="str">
        <f t="shared" si="54"/>
        <v>(0.020)</v>
      </c>
      <c r="T54" t="str">
        <f t="shared" si="54"/>
        <v>(0.020)</v>
      </c>
      <c r="U54" t="str">
        <f t="shared" si="54"/>
        <v>(0.020)</v>
      </c>
    </row>
    <row r="55" spans="1:21" x14ac:dyDescent="0.25">
      <c r="A55" t="str">
        <f>"Knew dad but not mom"</f>
        <v>Knew dad but not mom</v>
      </c>
      <c r="B55" t="str">
        <f>""</f>
        <v/>
      </c>
      <c r="C55" t="str">
        <f>"-0.084**"</f>
        <v>-0.084**</v>
      </c>
      <c r="D55" t="str">
        <f>"-0.078**"</f>
        <v>-0.078**</v>
      </c>
      <c r="E55" t="str">
        <f>"-0.078**"</f>
        <v>-0.078**</v>
      </c>
      <c r="F55" t="str">
        <f>"-0.078**"</f>
        <v>-0.078**</v>
      </c>
      <c r="G55" t="str">
        <f>"-0.078**"</f>
        <v>-0.078**</v>
      </c>
      <c r="H55" t="str">
        <f>"-0.078**"</f>
        <v>-0.078**</v>
      </c>
      <c r="I55" t="str">
        <f>"-0.077**"</f>
        <v>-0.077**</v>
      </c>
      <c r="J55" t="str">
        <f>"-0.078**"</f>
        <v>-0.078**</v>
      </c>
      <c r="K55" t="str">
        <f>"-0.078**"</f>
        <v>-0.078**</v>
      </c>
      <c r="L55" t="str">
        <f>""</f>
        <v/>
      </c>
      <c r="M55" t="str">
        <f>"-0.028"</f>
        <v>-0.028</v>
      </c>
      <c r="N55" t="str">
        <f t="shared" ref="N55:U55" si="55">"-0.027"</f>
        <v>-0.027</v>
      </c>
      <c r="O55" t="str">
        <f t="shared" si="55"/>
        <v>-0.027</v>
      </c>
      <c r="P55" t="str">
        <f t="shared" si="55"/>
        <v>-0.027</v>
      </c>
      <c r="Q55" t="str">
        <f t="shared" si="55"/>
        <v>-0.027</v>
      </c>
      <c r="R55" t="str">
        <f t="shared" si="55"/>
        <v>-0.027</v>
      </c>
      <c r="S55" t="str">
        <f t="shared" si="55"/>
        <v>-0.027</v>
      </c>
      <c r="T55" t="str">
        <f t="shared" si="55"/>
        <v>-0.027</v>
      </c>
      <c r="U55" t="str">
        <f t="shared" si="55"/>
        <v>-0.027</v>
      </c>
    </row>
    <row r="56" spans="1:21" x14ac:dyDescent="0.25">
      <c r="A56" t="str">
        <f>""</f>
        <v/>
      </c>
      <c r="B56" t="str">
        <f>""</f>
        <v/>
      </c>
      <c r="C56" t="str">
        <f>"(0.028)"</f>
        <v>(0.028)</v>
      </c>
      <c r="D56" t="str">
        <f t="shared" ref="D56:K56" si="56">"(0.023)"</f>
        <v>(0.023)</v>
      </c>
      <c r="E56" t="str">
        <f t="shared" si="56"/>
        <v>(0.023)</v>
      </c>
      <c r="F56" t="str">
        <f t="shared" si="56"/>
        <v>(0.023)</v>
      </c>
      <c r="G56" t="str">
        <f t="shared" si="56"/>
        <v>(0.023)</v>
      </c>
      <c r="H56" t="str">
        <f t="shared" si="56"/>
        <v>(0.023)</v>
      </c>
      <c r="I56" t="str">
        <f t="shared" si="56"/>
        <v>(0.023)</v>
      </c>
      <c r="J56" t="str">
        <f t="shared" si="56"/>
        <v>(0.023)</v>
      </c>
      <c r="K56" t="str">
        <f t="shared" si="56"/>
        <v>(0.023)</v>
      </c>
      <c r="L56" t="str">
        <f>""</f>
        <v/>
      </c>
      <c r="M56" t="str">
        <f>"(0.055)"</f>
        <v>(0.055)</v>
      </c>
      <c r="N56" t="str">
        <f t="shared" ref="N56:U56" si="57">"(0.057)"</f>
        <v>(0.057)</v>
      </c>
      <c r="O56" t="str">
        <f t="shared" si="57"/>
        <v>(0.057)</v>
      </c>
      <c r="P56" t="str">
        <f t="shared" si="57"/>
        <v>(0.057)</v>
      </c>
      <c r="Q56" t="str">
        <f t="shared" si="57"/>
        <v>(0.057)</v>
      </c>
      <c r="R56" t="str">
        <f t="shared" si="57"/>
        <v>(0.057)</v>
      </c>
      <c r="S56" t="str">
        <f t="shared" si="57"/>
        <v>(0.057)</v>
      </c>
      <c r="T56" t="str">
        <f t="shared" si="57"/>
        <v>(0.057)</v>
      </c>
      <c r="U56" t="str">
        <f t="shared" si="57"/>
        <v>(0.057)</v>
      </c>
    </row>
    <row r="57" spans="1:21" x14ac:dyDescent="0.25">
      <c r="A57" t="str">
        <f>"Did not know mom or dad"</f>
        <v>Did not know mom or dad</v>
      </c>
      <c r="B57" t="str">
        <f>""</f>
        <v/>
      </c>
      <c r="C57" t="str">
        <f>"-0.229*"</f>
        <v>-0.229*</v>
      </c>
      <c r="D57" t="str">
        <f>"-0.193*"</f>
        <v>-0.193*</v>
      </c>
      <c r="E57" t="str">
        <f>"-0.201*"</f>
        <v>-0.201*</v>
      </c>
      <c r="F57" t="str">
        <f>"-0.193*"</f>
        <v>-0.193*</v>
      </c>
      <c r="G57" t="str">
        <f>"-0.214*"</f>
        <v>-0.214*</v>
      </c>
      <c r="H57" t="str">
        <f>"-0.193*"</f>
        <v>-0.193*</v>
      </c>
      <c r="I57" t="str">
        <f>"-0.193*"</f>
        <v>-0.193*</v>
      </c>
      <c r="J57" t="str">
        <f>"-0.193*"</f>
        <v>-0.193*</v>
      </c>
      <c r="K57" t="str">
        <f>"-0.202*"</f>
        <v>-0.202*</v>
      </c>
      <c r="L57" t="str">
        <f>""</f>
        <v/>
      </c>
      <c r="M57" t="str">
        <f>"-0.120**"</f>
        <v>-0.120**</v>
      </c>
      <c r="N57" t="str">
        <f>"-0.110*"</f>
        <v>-0.110*</v>
      </c>
      <c r="O57" t="str">
        <f>"-0.111*"</f>
        <v>-0.111*</v>
      </c>
      <c r="P57" t="str">
        <f>"-0.110*"</f>
        <v>-0.110*</v>
      </c>
      <c r="Q57" t="str">
        <f>"-0.116**"</f>
        <v>-0.116**</v>
      </c>
      <c r="R57" t="str">
        <f>"-0.110*"</f>
        <v>-0.110*</v>
      </c>
      <c r="S57" t="str">
        <f>"-0.110*"</f>
        <v>-0.110*</v>
      </c>
      <c r="T57" t="str">
        <f>"-0.110*"</f>
        <v>-0.110*</v>
      </c>
      <c r="U57" t="str">
        <f>"-0.112**"</f>
        <v>-0.112**</v>
      </c>
    </row>
    <row r="58" spans="1:21" x14ac:dyDescent="0.25">
      <c r="A58" t="str">
        <f>""</f>
        <v/>
      </c>
      <c r="B58" t="str">
        <f>""</f>
        <v/>
      </c>
      <c r="C58" t="str">
        <f>"(0.105)"</f>
        <v>(0.105)</v>
      </c>
      <c r="D58" t="str">
        <f>"(0.085)"</f>
        <v>(0.085)</v>
      </c>
      <c r="E58" t="str">
        <f>"(0.082)"</f>
        <v>(0.082)</v>
      </c>
      <c r="F58" t="str">
        <f>"(0.085)"</f>
        <v>(0.085)</v>
      </c>
      <c r="G58" t="str">
        <f>"(0.087)"</f>
        <v>(0.087)</v>
      </c>
      <c r="H58" t="str">
        <f>"(0.085)"</f>
        <v>(0.085)</v>
      </c>
      <c r="I58" t="str">
        <f>"(0.086)"</f>
        <v>(0.086)</v>
      </c>
      <c r="J58" t="str">
        <f>"(0.085)"</f>
        <v>(0.085)</v>
      </c>
      <c r="K58" t="str">
        <f>"(0.085)"</f>
        <v>(0.085)</v>
      </c>
      <c r="L58" t="str">
        <f>""</f>
        <v/>
      </c>
      <c r="M58" t="str">
        <f>"(0.035)"</f>
        <v>(0.035)</v>
      </c>
      <c r="N58" t="str">
        <f>"(0.044)"</f>
        <v>(0.044)</v>
      </c>
      <c r="O58" t="str">
        <f>"(0.043)"</f>
        <v>(0.043)</v>
      </c>
      <c r="P58" t="str">
        <f>"(0.044)"</f>
        <v>(0.044)</v>
      </c>
      <c r="Q58" t="str">
        <f>"(0.043)"</f>
        <v>(0.043)</v>
      </c>
      <c r="R58" t="str">
        <f>"(0.044)"</f>
        <v>(0.044)</v>
      </c>
      <c r="S58" t="str">
        <f>"(0.043)"</f>
        <v>(0.043)</v>
      </c>
      <c r="T58" t="str">
        <f>"(0.044)"</f>
        <v>(0.044)</v>
      </c>
      <c r="U58" t="str">
        <f>"(0.043)"</f>
        <v>(0.043)</v>
      </c>
    </row>
    <row r="59" spans="1:21" x14ac:dyDescent="0.25">
      <c r="A59" t="str">
        <f>"Level of financial difficulty while growing up"</f>
        <v>Level of financial difficulty while growing up</v>
      </c>
      <c r="B59" t="str">
        <f>""</f>
        <v/>
      </c>
      <c r="C59" t="str">
        <f>"-0.086**"</f>
        <v>-0.086**</v>
      </c>
      <c r="D59" t="str">
        <f t="shared" ref="D59:K59" si="58">"-0.052**"</f>
        <v>-0.052**</v>
      </c>
      <c r="E59" t="str">
        <f t="shared" si="58"/>
        <v>-0.052**</v>
      </c>
      <c r="F59" t="str">
        <f t="shared" si="58"/>
        <v>-0.052**</v>
      </c>
      <c r="G59" t="str">
        <f t="shared" si="58"/>
        <v>-0.052**</v>
      </c>
      <c r="H59" t="str">
        <f t="shared" si="58"/>
        <v>-0.052**</v>
      </c>
      <c r="I59" t="str">
        <f t="shared" si="58"/>
        <v>-0.052**</v>
      </c>
      <c r="J59" t="str">
        <f t="shared" si="58"/>
        <v>-0.052**</v>
      </c>
      <c r="K59" t="str">
        <f t="shared" si="58"/>
        <v>-0.052**</v>
      </c>
      <c r="L59" t="str">
        <f>""</f>
        <v/>
      </c>
      <c r="M59" t="str">
        <f>"-0.055**"</f>
        <v>-0.055**</v>
      </c>
      <c r="N59" t="str">
        <f t="shared" ref="N59:U59" si="59">"-0.024**"</f>
        <v>-0.024**</v>
      </c>
      <c r="O59" t="str">
        <f t="shared" si="59"/>
        <v>-0.024**</v>
      </c>
      <c r="P59" t="str">
        <f t="shared" si="59"/>
        <v>-0.024**</v>
      </c>
      <c r="Q59" t="str">
        <f t="shared" si="59"/>
        <v>-0.024**</v>
      </c>
      <c r="R59" t="str">
        <f t="shared" si="59"/>
        <v>-0.024**</v>
      </c>
      <c r="S59" t="str">
        <f t="shared" si="59"/>
        <v>-0.024**</v>
      </c>
      <c r="T59" t="str">
        <f t="shared" si="59"/>
        <v>-0.024**</v>
      </c>
      <c r="U59" t="str">
        <f t="shared" si="59"/>
        <v>-0.024**</v>
      </c>
    </row>
    <row r="60" spans="1:21" x14ac:dyDescent="0.25">
      <c r="A60" t="str">
        <f>""</f>
        <v/>
      </c>
      <c r="B60" t="str">
        <f>""</f>
        <v/>
      </c>
      <c r="C60" t="str">
        <f>"(0.015)"</f>
        <v>(0.015)</v>
      </c>
      <c r="D60" t="str">
        <f>"(0.013)"</f>
        <v>(0.013)</v>
      </c>
      <c r="E60" t="str">
        <f>"(0.013)"</f>
        <v>(0.013)</v>
      </c>
      <c r="F60" t="str">
        <f>"(0.013)"</f>
        <v>(0.013)</v>
      </c>
      <c r="G60" t="str">
        <f>"(0.013)"</f>
        <v>(0.013)</v>
      </c>
      <c r="H60" t="str">
        <f>"(0.013)"</f>
        <v>(0.013)</v>
      </c>
      <c r="I60" t="str">
        <f>"(0.012)"</f>
        <v>(0.012)</v>
      </c>
      <c r="J60" t="str">
        <f>"(0.013)"</f>
        <v>(0.013)</v>
      </c>
      <c r="K60" t="str">
        <f>"(0.013)"</f>
        <v>(0.013)</v>
      </c>
      <c r="L60" t="str">
        <f>""</f>
        <v/>
      </c>
      <c r="M60" t="str">
        <f t="shared" ref="M60:U60" si="60">"(0.009)"</f>
        <v>(0.009)</v>
      </c>
      <c r="N60" t="str">
        <f t="shared" si="60"/>
        <v>(0.009)</v>
      </c>
      <c r="O60" t="str">
        <f t="shared" si="60"/>
        <v>(0.009)</v>
      </c>
      <c r="P60" t="str">
        <f t="shared" si="60"/>
        <v>(0.009)</v>
      </c>
      <c r="Q60" t="str">
        <f t="shared" si="60"/>
        <v>(0.009)</v>
      </c>
      <c r="R60" t="str">
        <f t="shared" si="60"/>
        <v>(0.009)</v>
      </c>
      <c r="S60" t="str">
        <f t="shared" si="60"/>
        <v>(0.009)</v>
      </c>
      <c r="T60" t="str">
        <f t="shared" si="60"/>
        <v>(0.009)</v>
      </c>
      <c r="U60" t="str">
        <f t="shared" si="60"/>
        <v>(0.009)</v>
      </c>
    </row>
    <row r="61" spans="1:21" x14ac:dyDescent="0.25">
      <c r="A61" t="str">
        <f>"Respondent was abused sexually or physically"</f>
        <v>Respondent was abused sexually or physically</v>
      </c>
      <c r="B61" t="str">
        <f>""</f>
        <v/>
      </c>
      <c r="C61" t="str">
        <f>"-0.114**"</f>
        <v>-0.114**</v>
      </c>
      <c r="D61" t="str">
        <f>"-0.093**"</f>
        <v>-0.093**</v>
      </c>
      <c r="E61" t="str">
        <f>"-0.089**"</f>
        <v>-0.089**</v>
      </c>
      <c r="F61" t="str">
        <f>"-0.093**"</f>
        <v>-0.093**</v>
      </c>
      <c r="G61" t="str">
        <f>"-0.093**"</f>
        <v>-0.093**</v>
      </c>
      <c r="H61" t="str">
        <f>"-0.093**"</f>
        <v>-0.093**</v>
      </c>
      <c r="I61" t="str">
        <f>"-0.091**"</f>
        <v>-0.091**</v>
      </c>
      <c r="J61" t="str">
        <f>"-0.093**"</f>
        <v>-0.093**</v>
      </c>
      <c r="K61" t="str">
        <f>"-0.091**"</f>
        <v>-0.091**</v>
      </c>
      <c r="L61" t="str">
        <f>""</f>
        <v/>
      </c>
      <c r="M61" t="str">
        <f>"-0.317**"</f>
        <v>-0.317**</v>
      </c>
      <c r="N61" t="str">
        <f t="shared" ref="N61:U61" si="61">"-0.291**"</f>
        <v>-0.291**</v>
      </c>
      <c r="O61" t="str">
        <f t="shared" si="61"/>
        <v>-0.291**</v>
      </c>
      <c r="P61" t="str">
        <f t="shared" si="61"/>
        <v>-0.291**</v>
      </c>
      <c r="Q61" t="str">
        <f t="shared" si="61"/>
        <v>-0.291**</v>
      </c>
      <c r="R61" t="str">
        <f t="shared" si="61"/>
        <v>-0.291**</v>
      </c>
      <c r="S61" t="str">
        <f t="shared" si="61"/>
        <v>-0.291**</v>
      </c>
      <c r="T61" t="str">
        <f t="shared" si="61"/>
        <v>-0.291**</v>
      </c>
      <c r="U61" t="str">
        <f t="shared" si="61"/>
        <v>-0.291**</v>
      </c>
    </row>
    <row r="62" spans="1:21" x14ac:dyDescent="0.25">
      <c r="A62" t="str">
        <f>""</f>
        <v/>
      </c>
      <c r="B62" t="str">
        <f>""</f>
        <v/>
      </c>
      <c r="C62" t="str">
        <f>"(0.025)"</f>
        <v>(0.025)</v>
      </c>
      <c r="D62" t="str">
        <f>"(0.025)"</f>
        <v>(0.025)</v>
      </c>
      <c r="E62" t="str">
        <f>"(0.025)"</f>
        <v>(0.025)</v>
      </c>
      <c r="F62" t="str">
        <f>"(0.025)"</f>
        <v>(0.025)</v>
      </c>
      <c r="G62" t="str">
        <f>"(0.023)"</f>
        <v>(0.023)</v>
      </c>
      <c r="H62" t="str">
        <f>"(0.025)"</f>
        <v>(0.025)</v>
      </c>
      <c r="I62" t="str">
        <f>"(0.024)"</f>
        <v>(0.024)</v>
      </c>
      <c r="J62" t="str">
        <f>"(0.025)"</f>
        <v>(0.025)</v>
      </c>
      <c r="K62" t="str">
        <f>"(0.024)"</f>
        <v>(0.024)</v>
      </c>
      <c r="L62" t="str">
        <f>""</f>
        <v/>
      </c>
      <c r="M62" t="str">
        <f>"(0.038)"</f>
        <v>(0.038)</v>
      </c>
      <c r="N62" t="str">
        <f t="shared" ref="N62:U62" si="62">"(0.035)"</f>
        <v>(0.035)</v>
      </c>
      <c r="O62" t="str">
        <f t="shared" si="62"/>
        <v>(0.035)</v>
      </c>
      <c r="P62" t="str">
        <f t="shared" si="62"/>
        <v>(0.035)</v>
      </c>
      <c r="Q62" t="str">
        <f t="shared" si="62"/>
        <v>(0.035)</v>
      </c>
      <c r="R62" t="str">
        <f t="shared" si="62"/>
        <v>(0.035)</v>
      </c>
      <c r="S62" t="str">
        <f t="shared" si="62"/>
        <v>(0.035)</v>
      </c>
      <c r="T62" t="str">
        <f t="shared" si="62"/>
        <v>(0.035)</v>
      </c>
      <c r="U62" t="str">
        <f t="shared" si="62"/>
        <v>(0.035)</v>
      </c>
    </row>
    <row r="63" spans="1:21" x14ac:dyDescent="0.25">
      <c r="A63" t="str">
        <f>"Natural log of GDP per capita in PPP dollars"</f>
        <v>Natural log of GDP per capita in PPP dollars</v>
      </c>
      <c r="B63" t="str">
        <f>""</f>
        <v/>
      </c>
      <c r="C63" t="str">
        <f>""</f>
        <v/>
      </c>
      <c r="D63" t="str">
        <f>"-0.130*"</f>
        <v>-0.130*</v>
      </c>
      <c r="E63" t="str">
        <f>"-0.141**"</f>
        <v>-0.141**</v>
      </c>
      <c r="F63" t="str">
        <f>""</f>
        <v/>
      </c>
      <c r="G63" t="str">
        <f>""</f>
        <v/>
      </c>
      <c r="H63" t="str">
        <f>""</f>
        <v/>
      </c>
      <c r="I63" t="str">
        <f>""</f>
        <v/>
      </c>
      <c r="J63" t="str">
        <f>""</f>
        <v/>
      </c>
      <c r="K63" t="str">
        <f>""</f>
        <v/>
      </c>
      <c r="L63" t="str">
        <f>""</f>
        <v/>
      </c>
      <c r="M63" t="str">
        <f>""</f>
        <v/>
      </c>
      <c r="N63" t="str">
        <f>"-0.005"</f>
        <v>-0.005</v>
      </c>
      <c r="O63" t="str">
        <f>"-0.007"</f>
        <v>-0.007</v>
      </c>
      <c r="P63" t="str">
        <f>""</f>
        <v/>
      </c>
      <c r="Q63" t="str">
        <f>""</f>
        <v/>
      </c>
      <c r="R63" t="str">
        <f>""</f>
        <v/>
      </c>
      <c r="S63" t="str">
        <f>""</f>
        <v/>
      </c>
      <c r="T63" t="str">
        <f>""</f>
        <v/>
      </c>
      <c r="U63" t="str">
        <f>""</f>
        <v/>
      </c>
    </row>
    <row r="64" spans="1:21" x14ac:dyDescent="0.25">
      <c r="A64" t="str">
        <f>""</f>
        <v/>
      </c>
      <c r="B64" t="str">
        <f>""</f>
        <v/>
      </c>
      <c r="C64" t="str">
        <f>""</f>
        <v/>
      </c>
      <c r="D64" t="str">
        <f>"(0.054)"</f>
        <v>(0.054)</v>
      </c>
      <c r="E64" t="str">
        <f>"(0.054)"</f>
        <v>(0.054)</v>
      </c>
      <c r="F64" t="str">
        <f>""</f>
        <v/>
      </c>
      <c r="G64" t="str">
        <f>""</f>
        <v/>
      </c>
      <c r="H64" t="str">
        <f>""</f>
        <v/>
      </c>
      <c r="I64" t="str">
        <f>""</f>
        <v/>
      </c>
      <c r="J64" t="str">
        <f>""</f>
        <v/>
      </c>
      <c r="K64" t="str">
        <f>""</f>
        <v/>
      </c>
      <c r="L64" t="str">
        <f>""</f>
        <v/>
      </c>
      <c r="M64" t="str">
        <f>""</f>
        <v/>
      </c>
      <c r="N64" t="str">
        <f>"(0.045)"</f>
        <v>(0.045)</v>
      </c>
      <c r="O64" t="str">
        <f>"(0.045)"</f>
        <v>(0.045)</v>
      </c>
      <c r="P64" t="str">
        <f>""</f>
        <v/>
      </c>
      <c r="Q64" t="str">
        <f>""</f>
        <v/>
      </c>
      <c r="R64" t="str">
        <f>""</f>
        <v/>
      </c>
      <c r="S64" t="str">
        <f>""</f>
        <v/>
      </c>
      <c r="T64" t="str">
        <f>""</f>
        <v/>
      </c>
      <c r="U64" t="str">
        <f>""</f>
        <v/>
      </c>
    </row>
    <row r="65" spans="1:21" x14ac:dyDescent="0.25">
      <c r="A65" t="str">
        <f>"Parental religiosity index"</f>
        <v>Parental religiosity index</v>
      </c>
      <c r="B65" t="str">
        <f>""</f>
        <v/>
      </c>
      <c r="C65" t="str">
        <f>""</f>
        <v/>
      </c>
      <c r="D65" t="str">
        <f>"0.019"</f>
        <v>0.019</v>
      </c>
      <c r="E65" t="str">
        <f>"0.019"</f>
        <v>0.019</v>
      </c>
      <c r="F65" t="str">
        <f>"0.019"</f>
        <v>0.019</v>
      </c>
      <c r="G65" t="str">
        <f>"0.019*"</f>
        <v>0.019*</v>
      </c>
      <c r="H65" t="str">
        <f>"0.019"</f>
        <v>0.019</v>
      </c>
      <c r="I65" t="str">
        <f>"0.019"</f>
        <v>0.019</v>
      </c>
      <c r="J65" t="str">
        <f>"0.019"</f>
        <v>0.019</v>
      </c>
      <c r="K65" t="str">
        <f>"0.019"</f>
        <v>0.019</v>
      </c>
      <c r="L65" t="str">
        <f>""</f>
        <v/>
      </c>
      <c r="M65" t="str">
        <f>""</f>
        <v/>
      </c>
      <c r="N65" t="str">
        <f t="shared" ref="N65:U65" si="63">"-0.017"</f>
        <v>-0.017</v>
      </c>
      <c r="O65" t="str">
        <f t="shared" si="63"/>
        <v>-0.017</v>
      </c>
      <c r="P65" t="str">
        <f t="shared" si="63"/>
        <v>-0.017</v>
      </c>
      <c r="Q65" t="str">
        <f t="shared" si="63"/>
        <v>-0.017</v>
      </c>
      <c r="R65" t="str">
        <f t="shared" si="63"/>
        <v>-0.017</v>
      </c>
      <c r="S65" t="str">
        <f t="shared" si="63"/>
        <v>-0.017</v>
      </c>
      <c r="T65" t="str">
        <f t="shared" si="63"/>
        <v>-0.017</v>
      </c>
      <c r="U65" t="str">
        <f t="shared" si="63"/>
        <v>-0.017</v>
      </c>
    </row>
    <row r="66" spans="1:21" x14ac:dyDescent="0.25">
      <c r="A66" t="str">
        <f>""</f>
        <v/>
      </c>
      <c r="B66" t="str">
        <f>""</f>
        <v/>
      </c>
      <c r="C66" t="str">
        <f>""</f>
        <v/>
      </c>
      <c r="D66" t="str">
        <f t="shared" ref="D66:K66" si="64">"(0.010)"</f>
        <v>(0.010)</v>
      </c>
      <c r="E66" t="str">
        <f t="shared" si="64"/>
        <v>(0.010)</v>
      </c>
      <c r="F66" t="str">
        <f t="shared" si="64"/>
        <v>(0.010)</v>
      </c>
      <c r="G66" t="str">
        <f t="shared" si="64"/>
        <v>(0.010)</v>
      </c>
      <c r="H66" t="str">
        <f t="shared" si="64"/>
        <v>(0.010)</v>
      </c>
      <c r="I66" t="str">
        <f t="shared" si="64"/>
        <v>(0.010)</v>
      </c>
      <c r="J66" t="str">
        <f t="shared" si="64"/>
        <v>(0.010)</v>
      </c>
      <c r="K66" t="str">
        <f t="shared" si="64"/>
        <v>(0.010)</v>
      </c>
      <c r="L66" t="str">
        <f>""</f>
        <v/>
      </c>
      <c r="M66" t="str">
        <f>""</f>
        <v/>
      </c>
      <c r="N66" t="str">
        <f t="shared" ref="N66:U66" si="65">"(0.011)"</f>
        <v>(0.011)</v>
      </c>
      <c r="O66" t="str">
        <f t="shared" si="65"/>
        <v>(0.011)</v>
      </c>
      <c r="P66" t="str">
        <f t="shared" si="65"/>
        <v>(0.011)</v>
      </c>
      <c r="Q66" t="str">
        <f t="shared" si="65"/>
        <v>(0.011)</v>
      </c>
      <c r="R66" t="str">
        <f t="shared" si="65"/>
        <v>(0.011)</v>
      </c>
      <c r="S66" t="str">
        <f t="shared" si="65"/>
        <v>(0.011)</v>
      </c>
      <c r="T66" t="str">
        <f t="shared" si="65"/>
        <v>(0.011)</v>
      </c>
      <c r="U66" t="str">
        <f t="shared" si="65"/>
        <v>(0.011)</v>
      </c>
    </row>
    <row r="67" spans="1:21" x14ac:dyDescent="0.25">
      <c r="A67" t="str">
        <f>"Respondent religiosity index"</f>
        <v>Respondent religiosity index</v>
      </c>
      <c r="B67" t="str">
        <f>""</f>
        <v/>
      </c>
      <c r="C67" t="str">
        <f>""</f>
        <v/>
      </c>
      <c r="D67" t="str">
        <f>"0.176**"</f>
        <v>0.176**</v>
      </c>
      <c r="E67" t="str">
        <f>"0.175**"</f>
        <v>0.175**</v>
      </c>
      <c r="F67" t="str">
        <f>"0.176**"</f>
        <v>0.176**</v>
      </c>
      <c r="G67" t="str">
        <f>"0.177**"</f>
        <v>0.177**</v>
      </c>
      <c r="H67" t="str">
        <f>"0.177**"</f>
        <v>0.177**</v>
      </c>
      <c r="I67" t="str">
        <f>"0.176**"</f>
        <v>0.176**</v>
      </c>
      <c r="J67" t="str">
        <f>"0.176**"</f>
        <v>0.176**</v>
      </c>
      <c r="K67" t="str">
        <f>"0.176**"</f>
        <v>0.176**</v>
      </c>
      <c r="L67" t="str">
        <f>""</f>
        <v/>
      </c>
      <c r="M67" t="str">
        <f>""</f>
        <v/>
      </c>
      <c r="N67" t="str">
        <f t="shared" ref="N67:U67" si="66">"-0.002"</f>
        <v>-0.002</v>
      </c>
      <c r="O67" t="str">
        <f t="shared" si="66"/>
        <v>-0.002</v>
      </c>
      <c r="P67" t="str">
        <f t="shared" si="66"/>
        <v>-0.002</v>
      </c>
      <c r="Q67" t="str">
        <f t="shared" si="66"/>
        <v>-0.002</v>
      </c>
      <c r="R67" t="str">
        <f t="shared" si="66"/>
        <v>-0.002</v>
      </c>
      <c r="S67" t="str">
        <f t="shared" si="66"/>
        <v>-0.002</v>
      </c>
      <c r="T67" t="str">
        <f t="shared" si="66"/>
        <v>-0.002</v>
      </c>
      <c r="U67" t="str">
        <f t="shared" si="66"/>
        <v>-0.002</v>
      </c>
    </row>
    <row r="68" spans="1:21" x14ac:dyDescent="0.25">
      <c r="A68" t="str">
        <f>""</f>
        <v/>
      </c>
      <c r="B68" t="str">
        <f>""</f>
        <v/>
      </c>
      <c r="C68" t="str">
        <f>""</f>
        <v/>
      </c>
      <c r="D68" t="str">
        <f t="shared" ref="D68:K68" si="67">"(0.020)"</f>
        <v>(0.020)</v>
      </c>
      <c r="E68" t="str">
        <f t="shared" si="67"/>
        <v>(0.020)</v>
      </c>
      <c r="F68" t="str">
        <f t="shared" si="67"/>
        <v>(0.020)</v>
      </c>
      <c r="G68" t="str">
        <f t="shared" si="67"/>
        <v>(0.020)</v>
      </c>
      <c r="H68" t="str">
        <f t="shared" si="67"/>
        <v>(0.020)</v>
      </c>
      <c r="I68" t="str">
        <f t="shared" si="67"/>
        <v>(0.020)</v>
      </c>
      <c r="J68" t="str">
        <f t="shared" si="67"/>
        <v>(0.020)</v>
      </c>
      <c r="K68" t="str">
        <f t="shared" si="67"/>
        <v>(0.020)</v>
      </c>
      <c r="L68" t="str">
        <f>""</f>
        <v/>
      </c>
      <c r="M68" t="str">
        <f>""</f>
        <v/>
      </c>
      <c r="N68" t="str">
        <f t="shared" ref="N68:U68" si="68">"(0.031)"</f>
        <v>(0.031)</v>
      </c>
      <c r="O68" t="str">
        <f t="shared" si="68"/>
        <v>(0.031)</v>
      </c>
      <c r="P68" t="str">
        <f t="shared" si="68"/>
        <v>(0.031)</v>
      </c>
      <c r="Q68" t="str">
        <f t="shared" si="68"/>
        <v>(0.031)</v>
      </c>
      <c r="R68" t="str">
        <f t="shared" si="68"/>
        <v>(0.031)</v>
      </c>
      <c r="S68" t="str">
        <f t="shared" si="68"/>
        <v>(0.031)</v>
      </c>
      <c r="T68" t="str">
        <f t="shared" si="68"/>
        <v>(0.031)</v>
      </c>
      <c r="U68" t="str">
        <f t="shared" si="68"/>
        <v>(0.031)</v>
      </c>
    </row>
    <row r="69" spans="1:21" x14ac:dyDescent="0.25">
      <c r="A69" t="str">
        <f>"Living comfortably on present income 1-4 scale"</f>
        <v>Living comfortably on present income 1-4 scale</v>
      </c>
      <c r="B69" t="str">
        <f>""</f>
        <v/>
      </c>
      <c r="C69" t="str">
        <f>""</f>
        <v/>
      </c>
      <c r="D69" t="str">
        <f>"0.263**"</f>
        <v>0.263**</v>
      </c>
      <c r="E69" t="str">
        <f>"0.262**"</f>
        <v>0.262**</v>
      </c>
      <c r="F69" t="str">
        <f t="shared" ref="F69:K69" si="69">"0.263**"</f>
        <v>0.263**</v>
      </c>
      <c r="G69" t="str">
        <f t="shared" si="69"/>
        <v>0.263**</v>
      </c>
      <c r="H69" t="str">
        <f t="shared" si="69"/>
        <v>0.263**</v>
      </c>
      <c r="I69" t="str">
        <f t="shared" si="69"/>
        <v>0.263**</v>
      </c>
      <c r="J69" t="str">
        <f t="shared" si="69"/>
        <v>0.263**</v>
      </c>
      <c r="K69" t="str">
        <f t="shared" si="69"/>
        <v>0.263**</v>
      </c>
      <c r="L69" t="str">
        <f>""</f>
        <v/>
      </c>
      <c r="M69" t="str">
        <f>""</f>
        <v/>
      </c>
      <c r="N69" t="str">
        <f t="shared" ref="N69:U69" si="70">"0.252**"</f>
        <v>0.252**</v>
      </c>
      <c r="O69" t="str">
        <f t="shared" si="70"/>
        <v>0.252**</v>
      </c>
      <c r="P69" t="str">
        <f t="shared" si="70"/>
        <v>0.252**</v>
      </c>
      <c r="Q69" t="str">
        <f t="shared" si="70"/>
        <v>0.252**</v>
      </c>
      <c r="R69" t="str">
        <f t="shared" si="70"/>
        <v>0.252**</v>
      </c>
      <c r="S69" t="str">
        <f t="shared" si="70"/>
        <v>0.252**</v>
      </c>
      <c r="T69" t="str">
        <f t="shared" si="70"/>
        <v>0.252**</v>
      </c>
      <c r="U69" t="str">
        <f t="shared" si="70"/>
        <v>0.252**</v>
      </c>
    </row>
    <row r="70" spans="1:21" x14ac:dyDescent="0.25">
      <c r="A70" t="str">
        <f>""</f>
        <v/>
      </c>
      <c r="B70" t="str">
        <f>""</f>
        <v/>
      </c>
      <c r="C70" t="str">
        <f>""</f>
        <v/>
      </c>
      <c r="D70" t="str">
        <f t="shared" ref="D70:K70" si="71">"(0.026)"</f>
        <v>(0.026)</v>
      </c>
      <c r="E70" t="str">
        <f t="shared" si="71"/>
        <v>(0.026)</v>
      </c>
      <c r="F70" t="str">
        <f t="shared" si="71"/>
        <v>(0.026)</v>
      </c>
      <c r="G70" t="str">
        <f t="shared" si="71"/>
        <v>(0.026)</v>
      </c>
      <c r="H70" t="str">
        <f t="shared" si="71"/>
        <v>(0.026)</v>
      </c>
      <c r="I70" t="str">
        <f t="shared" si="71"/>
        <v>(0.026)</v>
      </c>
      <c r="J70" t="str">
        <f t="shared" si="71"/>
        <v>(0.026)</v>
      </c>
      <c r="K70" t="str">
        <f t="shared" si="71"/>
        <v>(0.026)</v>
      </c>
      <c r="L70" t="str">
        <f>""</f>
        <v/>
      </c>
      <c r="M70" t="str">
        <f>""</f>
        <v/>
      </c>
      <c r="N70" t="str">
        <f t="shared" ref="N70:U70" si="72">"(0.020)"</f>
        <v>(0.020)</v>
      </c>
      <c r="O70" t="str">
        <f t="shared" si="72"/>
        <v>(0.020)</v>
      </c>
      <c r="P70" t="str">
        <f t="shared" si="72"/>
        <v>(0.020)</v>
      </c>
      <c r="Q70" t="str">
        <f t="shared" si="72"/>
        <v>(0.020)</v>
      </c>
      <c r="R70" t="str">
        <f t="shared" si="72"/>
        <v>(0.020)</v>
      </c>
      <c r="S70" t="str">
        <f t="shared" si="72"/>
        <v>(0.020)</v>
      </c>
      <c r="T70" t="str">
        <f t="shared" si="72"/>
        <v>(0.020)</v>
      </c>
      <c r="U70" t="str">
        <f t="shared" si="72"/>
        <v>(0.020)</v>
      </c>
    </row>
    <row r="71" spans="1:21" x14ac:dyDescent="0.25">
      <c r="A71" t="str">
        <f>"Interact-PCRQ X GDP per capita"</f>
        <v>Interact-PCRQ X GDP per capita</v>
      </c>
      <c r="B71" t="str">
        <f>""</f>
        <v/>
      </c>
      <c r="C71" t="str">
        <f>""</f>
        <v/>
      </c>
      <c r="D71" t="str">
        <f>""</f>
        <v/>
      </c>
      <c r="E71" t="str">
        <f>"0.033**"</f>
        <v>0.033**</v>
      </c>
      <c r="F71" t="str">
        <f>""</f>
        <v/>
      </c>
      <c r="G71" t="str">
        <f>""</f>
        <v/>
      </c>
      <c r="H71" t="str">
        <f>""</f>
        <v/>
      </c>
      <c r="I71" t="str">
        <f>""</f>
        <v/>
      </c>
      <c r="J71" t="str">
        <f>""</f>
        <v/>
      </c>
      <c r="K71" t="str">
        <f>""</f>
        <v/>
      </c>
      <c r="L71" t="str">
        <f>""</f>
        <v/>
      </c>
      <c r="M71" t="str">
        <f>""</f>
        <v/>
      </c>
      <c r="N71" t="str">
        <f>""</f>
        <v/>
      </c>
      <c r="O71" t="str">
        <f>"0.005"</f>
        <v>0.005</v>
      </c>
      <c r="P71" t="str">
        <f>""</f>
        <v/>
      </c>
      <c r="Q71" t="str">
        <f>""</f>
        <v/>
      </c>
      <c r="R71" t="str">
        <f>""</f>
        <v/>
      </c>
      <c r="S71" t="str">
        <f>""</f>
        <v/>
      </c>
      <c r="T71" t="str">
        <f>""</f>
        <v/>
      </c>
      <c r="U71" t="str">
        <f>""</f>
        <v/>
      </c>
    </row>
    <row r="72" spans="1:21" x14ac:dyDescent="0.25">
      <c r="A72" t="str">
        <f>""</f>
        <v/>
      </c>
      <c r="B72" t="str">
        <f>""</f>
        <v/>
      </c>
      <c r="C72" t="str">
        <f>""</f>
        <v/>
      </c>
      <c r="D72" t="str">
        <f>""</f>
        <v/>
      </c>
      <c r="E72" t="str">
        <f>"(0.010)"</f>
        <v>(0.010)</v>
      </c>
      <c r="F72" t="str">
        <f>""</f>
        <v/>
      </c>
      <c r="G72" t="str">
        <f>""</f>
        <v/>
      </c>
      <c r="H72" t="str">
        <f>""</f>
        <v/>
      </c>
      <c r="I72" t="str">
        <f>""</f>
        <v/>
      </c>
      <c r="J72" t="str">
        <f>""</f>
        <v/>
      </c>
      <c r="K72" t="str">
        <f>""</f>
        <v/>
      </c>
      <c r="L72" t="str">
        <f>""</f>
        <v/>
      </c>
      <c r="M72" t="str">
        <f>""</f>
        <v/>
      </c>
      <c r="N72" t="str">
        <f>""</f>
        <v/>
      </c>
      <c r="O72" t="str">
        <f>"(0.011)"</f>
        <v>(0.011)</v>
      </c>
      <c r="P72" t="str">
        <f>""</f>
        <v/>
      </c>
      <c r="Q72" t="str">
        <f>""</f>
        <v/>
      </c>
      <c r="R72" t="str">
        <f>""</f>
        <v/>
      </c>
      <c r="S72" t="str">
        <f>""</f>
        <v/>
      </c>
      <c r="T72" t="str">
        <f>""</f>
        <v/>
      </c>
      <c r="U72" t="str">
        <f>""</f>
        <v/>
      </c>
    </row>
    <row r="73" spans="1:21" x14ac:dyDescent="0.25">
      <c r="A73" t="str">
        <f>"Country level index of secular over traditional values"</f>
        <v>Country level index of secular over traditional values</v>
      </c>
      <c r="B73" t="str">
        <f>""</f>
        <v/>
      </c>
      <c r="C73" t="str">
        <f>""</f>
        <v/>
      </c>
      <c r="D73" t="str">
        <f>""</f>
        <v/>
      </c>
      <c r="E73" t="str">
        <f>""</f>
        <v/>
      </c>
      <c r="F73" t="str">
        <f>"-0.169**"</f>
        <v>-0.169**</v>
      </c>
      <c r="G73" t="str">
        <f>"-0.174**"</f>
        <v>-0.174**</v>
      </c>
      <c r="H73" t="str">
        <f>""</f>
        <v/>
      </c>
      <c r="I73" t="str">
        <f>""</f>
        <v/>
      </c>
      <c r="J73" t="str">
        <f>""</f>
        <v/>
      </c>
      <c r="K73" t="str">
        <f>""</f>
        <v/>
      </c>
      <c r="L73" t="str">
        <f>""</f>
        <v/>
      </c>
      <c r="M73" t="str">
        <f>""</f>
        <v/>
      </c>
      <c r="N73" t="str">
        <f>""</f>
        <v/>
      </c>
      <c r="O73" t="str">
        <f>""</f>
        <v/>
      </c>
      <c r="P73" t="str">
        <f>"-0.012"</f>
        <v>-0.012</v>
      </c>
      <c r="Q73" t="str">
        <f>"-0.013"</f>
        <v>-0.013</v>
      </c>
      <c r="R73" t="str">
        <f>""</f>
        <v/>
      </c>
      <c r="S73" t="str">
        <f>""</f>
        <v/>
      </c>
      <c r="T73" t="str">
        <f>""</f>
        <v/>
      </c>
      <c r="U73" t="str">
        <f>""</f>
        <v/>
      </c>
    </row>
    <row r="74" spans="1:21" x14ac:dyDescent="0.25">
      <c r="A74" t="str">
        <f>""</f>
        <v/>
      </c>
      <c r="B74" t="str">
        <f>""</f>
        <v/>
      </c>
      <c r="C74" t="str">
        <f>""</f>
        <v/>
      </c>
      <c r="D74" t="str">
        <f>""</f>
        <v/>
      </c>
      <c r="E74" t="str">
        <f>""</f>
        <v/>
      </c>
      <c r="F74" t="str">
        <f>"(0.052)"</f>
        <v>(0.052)</v>
      </c>
      <c r="G74" t="str">
        <f>"(0.051)"</f>
        <v>(0.051)</v>
      </c>
      <c r="H74" t="str">
        <f>""</f>
        <v/>
      </c>
      <c r="I74" t="str">
        <f>""</f>
        <v/>
      </c>
      <c r="J74" t="str">
        <f>""</f>
        <v/>
      </c>
      <c r="K74" t="str">
        <f>""</f>
        <v/>
      </c>
      <c r="L74" t="str">
        <f>""</f>
        <v/>
      </c>
      <c r="M74" t="str">
        <f>""</f>
        <v/>
      </c>
      <c r="N74" t="str">
        <f>""</f>
        <v/>
      </c>
      <c r="O74" t="str">
        <f>""</f>
        <v/>
      </c>
      <c r="P74" t="str">
        <f>"(0.042)"</f>
        <v>(0.042)</v>
      </c>
      <c r="Q74" t="str">
        <f>"(0.041)"</f>
        <v>(0.041)</v>
      </c>
      <c r="R74" t="str">
        <f>""</f>
        <v/>
      </c>
      <c r="S74" t="str">
        <f>""</f>
        <v/>
      </c>
      <c r="T74" t="str">
        <f>""</f>
        <v/>
      </c>
      <c r="U74" t="str">
        <f>""</f>
        <v/>
      </c>
    </row>
    <row r="75" spans="1:21" x14ac:dyDescent="0.25">
      <c r="A75" t="str">
        <f>"PCRQ X secular values"</f>
        <v>PCRQ X secular values</v>
      </c>
      <c r="B75" t="str">
        <f>""</f>
        <v/>
      </c>
      <c r="C75" t="str">
        <f>""</f>
        <v/>
      </c>
      <c r="D75" t="str">
        <f>""</f>
        <v/>
      </c>
      <c r="E75" t="str">
        <f>""</f>
        <v/>
      </c>
      <c r="F75" t="str">
        <f>""</f>
        <v/>
      </c>
      <c r="G75" t="str">
        <f>"0.038**"</f>
        <v>0.038**</v>
      </c>
      <c r="H75" t="str">
        <f>""</f>
        <v/>
      </c>
      <c r="I75" t="str">
        <f>""</f>
        <v/>
      </c>
      <c r="J75" t="str">
        <f>""</f>
        <v/>
      </c>
      <c r="K75" t="str">
        <f>""</f>
        <v/>
      </c>
      <c r="L75" t="str">
        <f>""</f>
        <v/>
      </c>
      <c r="M75" t="str">
        <f>""</f>
        <v/>
      </c>
      <c r="N75" t="str">
        <f>""</f>
        <v/>
      </c>
      <c r="O75" t="str">
        <f>""</f>
        <v/>
      </c>
      <c r="P75" t="str">
        <f>""</f>
        <v/>
      </c>
      <c r="Q75" t="str">
        <f>"0.011"</f>
        <v>0.011</v>
      </c>
      <c r="R75" t="str">
        <f>""</f>
        <v/>
      </c>
      <c r="S75" t="str">
        <f>""</f>
        <v/>
      </c>
      <c r="T75" t="str">
        <f>""</f>
        <v/>
      </c>
      <c r="U75" t="str">
        <f>""</f>
        <v/>
      </c>
    </row>
    <row r="76" spans="1:21" x14ac:dyDescent="0.25">
      <c r="A76" t="str">
        <f>""</f>
        <v/>
      </c>
      <c r="B76" t="str">
        <f>""</f>
        <v/>
      </c>
      <c r="C76" t="str">
        <f>""</f>
        <v/>
      </c>
      <c r="D76" t="str">
        <f>""</f>
        <v/>
      </c>
      <c r="E76" t="str">
        <f>""</f>
        <v/>
      </c>
      <c r="F76" t="str">
        <f>""</f>
        <v/>
      </c>
      <c r="G76" t="str">
        <f>"(0.007)"</f>
        <v>(0.007)</v>
      </c>
      <c r="H76" t="str">
        <f>""</f>
        <v/>
      </c>
      <c r="I76" t="str">
        <f>""</f>
        <v/>
      </c>
      <c r="J76" t="str">
        <f>""</f>
        <v/>
      </c>
      <c r="K76" t="str">
        <f>""</f>
        <v/>
      </c>
      <c r="L76" t="str">
        <f>""</f>
        <v/>
      </c>
      <c r="M76" t="str">
        <f>""</f>
        <v/>
      </c>
      <c r="N76" t="str">
        <f>""</f>
        <v/>
      </c>
      <c r="O76" t="str">
        <f>""</f>
        <v/>
      </c>
      <c r="P76" t="str">
        <f>""</f>
        <v/>
      </c>
      <c r="Q76" t="str">
        <f>"(0.007)"</f>
        <v>(0.007)</v>
      </c>
      <c r="R76" t="str">
        <f>""</f>
        <v/>
      </c>
      <c r="S76" t="str">
        <f>""</f>
        <v/>
      </c>
      <c r="T76" t="str">
        <f>""</f>
        <v/>
      </c>
      <c r="U76" t="str">
        <f>""</f>
        <v/>
      </c>
    </row>
    <row r="77" spans="1:21" x14ac:dyDescent="0.25">
      <c r="A77" t="str">
        <f>"Z-score of electoral democracy index"</f>
        <v>Z-score of electoral democracy index</v>
      </c>
      <c r="B77" t="str">
        <f>""</f>
        <v/>
      </c>
      <c r="C77" t="str">
        <f>""</f>
        <v/>
      </c>
      <c r="D77" t="str">
        <f>""</f>
        <v/>
      </c>
      <c r="E77" t="str">
        <f>""</f>
        <v/>
      </c>
      <c r="F77" t="str">
        <f>""</f>
        <v/>
      </c>
      <c r="G77" t="str">
        <f>""</f>
        <v/>
      </c>
      <c r="H77" t="str">
        <f>"0.036"</f>
        <v>0.036</v>
      </c>
      <c r="I77" t="str">
        <f>"0.027"</f>
        <v>0.027</v>
      </c>
      <c r="J77" t="str">
        <f>""</f>
        <v/>
      </c>
      <c r="K77" t="str">
        <f>""</f>
        <v/>
      </c>
      <c r="L77" t="str">
        <f>""</f>
        <v/>
      </c>
      <c r="M77" t="str">
        <f>""</f>
        <v/>
      </c>
      <c r="N77" t="str">
        <f>""</f>
        <v/>
      </c>
      <c r="O77" t="str">
        <f>""</f>
        <v/>
      </c>
      <c r="P77" t="str">
        <f>""</f>
        <v/>
      </c>
      <c r="Q77" t="str">
        <f>""</f>
        <v/>
      </c>
      <c r="R77" t="str">
        <f>"0.378**"</f>
        <v>0.378**</v>
      </c>
      <c r="S77" t="str">
        <f>"0.376**"</f>
        <v>0.376**</v>
      </c>
      <c r="T77" t="str">
        <f>""</f>
        <v/>
      </c>
      <c r="U77" t="str">
        <f>""</f>
        <v/>
      </c>
    </row>
    <row r="78" spans="1:21" x14ac:dyDescent="0.25">
      <c r="A78" t="str">
        <f>""</f>
        <v/>
      </c>
      <c r="B78" t="str">
        <f>""</f>
        <v/>
      </c>
      <c r="C78" t="str">
        <f>""</f>
        <v/>
      </c>
      <c r="D78" t="str">
        <f>""</f>
        <v/>
      </c>
      <c r="E78" t="str">
        <f>""</f>
        <v/>
      </c>
      <c r="F78" t="str">
        <f>""</f>
        <v/>
      </c>
      <c r="G78" t="str">
        <f>""</f>
        <v/>
      </c>
      <c r="H78" t="str">
        <f>"(0.290)"</f>
        <v>(0.290)</v>
      </c>
      <c r="I78" t="str">
        <f>"(0.298)"</f>
        <v>(0.298)</v>
      </c>
      <c r="J78" t="str">
        <f>""</f>
        <v/>
      </c>
      <c r="K78" t="str">
        <f>""</f>
        <v/>
      </c>
      <c r="L78" t="str">
        <f>""</f>
        <v/>
      </c>
      <c r="M78" t="str">
        <f>""</f>
        <v/>
      </c>
      <c r="N78" t="str">
        <f>""</f>
        <v/>
      </c>
      <c r="O78" t="str">
        <f>""</f>
        <v/>
      </c>
      <c r="P78" t="str">
        <f>""</f>
        <v/>
      </c>
      <c r="Q78" t="str">
        <f>""</f>
        <v/>
      </c>
      <c r="R78" t="str">
        <f>"(0.139)"</f>
        <v>(0.139)</v>
      </c>
      <c r="S78" t="str">
        <f>"(0.139)"</f>
        <v>(0.139)</v>
      </c>
      <c r="T78" t="str">
        <f>""</f>
        <v/>
      </c>
      <c r="U78" t="str">
        <f>""</f>
        <v/>
      </c>
    </row>
    <row r="79" spans="1:21" x14ac:dyDescent="0.25">
      <c r="A79" t="str">
        <f>"PCRQ X electoral democracy"</f>
        <v>PCRQ X electoral democracy</v>
      </c>
      <c r="B79" t="str">
        <f>""</f>
        <v/>
      </c>
      <c r="C79" t="str">
        <f>""</f>
        <v/>
      </c>
      <c r="D79" t="str">
        <f>""</f>
        <v/>
      </c>
      <c r="E79" t="str">
        <f>""</f>
        <v/>
      </c>
      <c r="F79" t="str">
        <f>""</f>
        <v/>
      </c>
      <c r="G79" t="str">
        <f>""</f>
        <v/>
      </c>
      <c r="H79" t="str">
        <f>""</f>
        <v/>
      </c>
      <c r="I79" t="str">
        <f>"0.060"</f>
        <v>0.060</v>
      </c>
      <c r="J79" t="str">
        <f>""</f>
        <v/>
      </c>
      <c r="K79" t="str">
        <f>""</f>
        <v/>
      </c>
      <c r="L79" t="str">
        <f>""</f>
        <v/>
      </c>
      <c r="M79" t="str">
        <f>""</f>
        <v/>
      </c>
      <c r="N79" t="str">
        <f>""</f>
        <v/>
      </c>
      <c r="O79" t="str">
        <f>""</f>
        <v/>
      </c>
      <c r="P79" t="str">
        <f>""</f>
        <v/>
      </c>
      <c r="Q79" t="str">
        <f>""</f>
        <v/>
      </c>
      <c r="R79" t="str">
        <f>""</f>
        <v/>
      </c>
      <c r="S79" t="str">
        <f>"0.013"</f>
        <v>0.013</v>
      </c>
      <c r="T79" t="str">
        <f>""</f>
        <v/>
      </c>
      <c r="U79" t="str">
        <f>""</f>
        <v/>
      </c>
    </row>
    <row r="80" spans="1:21" x14ac:dyDescent="0.25">
      <c r="A80" t="str">
        <f>""</f>
        <v/>
      </c>
      <c r="B80" t="str">
        <f>""</f>
        <v/>
      </c>
      <c r="C80" t="str">
        <f>""</f>
        <v/>
      </c>
      <c r="D80" t="str">
        <f>""</f>
        <v/>
      </c>
      <c r="E80" t="str">
        <f>""</f>
        <v/>
      </c>
      <c r="F80" t="str">
        <f>""</f>
        <v/>
      </c>
      <c r="G80" t="str">
        <f>""</f>
        <v/>
      </c>
      <c r="H80" t="str">
        <f>""</f>
        <v/>
      </c>
      <c r="I80" t="str">
        <f>"(0.079)"</f>
        <v>(0.079)</v>
      </c>
      <c r="J80" t="str">
        <f>""</f>
        <v/>
      </c>
      <c r="K80" t="str">
        <f>""</f>
        <v/>
      </c>
      <c r="L80" t="str">
        <f>""</f>
        <v/>
      </c>
      <c r="M80" t="str">
        <f>""</f>
        <v/>
      </c>
      <c r="N80" t="str">
        <f>""</f>
        <v/>
      </c>
      <c r="O80" t="str">
        <f>""</f>
        <v/>
      </c>
      <c r="P80" t="str">
        <f>""</f>
        <v/>
      </c>
      <c r="Q80" t="str">
        <f>""</f>
        <v/>
      </c>
      <c r="R80" t="str">
        <f>""</f>
        <v/>
      </c>
      <c r="S80" t="str">
        <f>"(0.036)"</f>
        <v>(0.036)</v>
      </c>
      <c r="T80" t="str">
        <f>""</f>
        <v/>
      </c>
      <c r="U80" t="str">
        <f>""</f>
        <v/>
      </c>
    </row>
    <row r="81" spans="1:21" x14ac:dyDescent="0.25">
      <c r="A81" t="str">
        <f>"Z-score of Women's Peace and Security Index"</f>
        <v>Z-score of Women's Peace and Security Index</v>
      </c>
      <c r="B81" t="str">
        <f>""</f>
        <v/>
      </c>
      <c r="C81" t="str">
        <f>""</f>
        <v/>
      </c>
      <c r="D81" t="str">
        <f>""</f>
        <v/>
      </c>
      <c r="E81" t="str">
        <f>""</f>
        <v/>
      </c>
      <c r="F81" t="str">
        <f>""</f>
        <v/>
      </c>
      <c r="G81" t="str">
        <f>""</f>
        <v/>
      </c>
      <c r="H81" t="str">
        <f>""</f>
        <v/>
      </c>
      <c r="I81" t="str">
        <f>""</f>
        <v/>
      </c>
      <c r="J81" t="str">
        <f>"-0.153**"</f>
        <v>-0.153**</v>
      </c>
      <c r="K81" t="str">
        <f>"-0.161**"</f>
        <v>-0.161**</v>
      </c>
      <c r="L81" t="str">
        <f>""</f>
        <v/>
      </c>
      <c r="M81" t="str">
        <f>""</f>
        <v/>
      </c>
      <c r="N81" t="str">
        <f>""</f>
        <v/>
      </c>
      <c r="O81" t="str">
        <f>""</f>
        <v/>
      </c>
      <c r="P81" t="str">
        <f>""</f>
        <v/>
      </c>
      <c r="Q81" t="str">
        <f>""</f>
        <v/>
      </c>
      <c r="R81" t="str">
        <f>""</f>
        <v/>
      </c>
      <c r="S81" t="str">
        <f>""</f>
        <v/>
      </c>
      <c r="T81" t="str">
        <f>"0.038"</f>
        <v>0.038</v>
      </c>
      <c r="U81" t="str">
        <f>"0.036"</f>
        <v>0.036</v>
      </c>
    </row>
    <row r="82" spans="1:21" x14ac:dyDescent="0.25">
      <c r="A82" t="str">
        <f>""</f>
        <v/>
      </c>
      <c r="B82" t="str">
        <f>""</f>
        <v/>
      </c>
      <c r="C82" t="str">
        <f>""</f>
        <v/>
      </c>
      <c r="D82" t="str">
        <f>""</f>
        <v/>
      </c>
      <c r="E82" t="str">
        <f>""</f>
        <v/>
      </c>
      <c r="F82" t="str">
        <f>""</f>
        <v/>
      </c>
      <c r="G82" t="str">
        <f>""</f>
        <v/>
      </c>
      <c r="H82" t="str">
        <f>""</f>
        <v/>
      </c>
      <c r="I82" t="str">
        <f>""</f>
        <v/>
      </c>
      <c r="J82" t="str">
        <f>"(0.058)"</f>
        <v>(0.058)</v>
      </c>
      <c r="K82" t="str">
        <f>"(0.058)"</f>
        <v>(0.058)</v>
      </c>
      <c r="L82" t="str">
        <f>""</f>
        <v/>
      </c>
      <c r="M82" t="str">
        <f>""</f>
        <v/>
      </c>
      <c r="N82" t="str">
        <f>""</f>
        <v/>
      </c>
      <c r="O82" t="str">
        <f>""</f>
        <v/>
      </c>
      <c r="P82" t="str">
        <f>""</f>
        <v/>
      </c>
      <c r="Q82" t="str">
        <f>""</f>
        <v/>
      </c>
      <c r="R82" t="str">
        <f>""</f>
        <v/>
      </c>
      <c r="S82" t="str">
        <f>""</f>
        <v/>
      </c>
      <c r="T82" t="str">
        <f>"(0.047)"</f>
        <v>(0.047)</v>
      </c>
      <c r="U82" t="str">
        <f>"(0.047)"</f>
        <v>(0.047)</v>
      </c>
    </row>
    <row r="83" spans="1:21" x14ac:dyDescent="0.25">
      <c r="A83" t="str">
        <f>"PCRQ X Women's rights"</f>
        <v>PCRQ X Women's rights</v>
      </c>
      <c r="B83" t="str">
        <f>""</f>
        <v/>
      </c>
      <c r="C83" t="str">
        <f>""</f>
        <v/>
      </c>
      <c r="D83" t="str">
        <f>""</f>
        <v/>
      </c>
      <c r="E83" t="str">
        <f>""</f>
        <v/>
      </c>
      <c r="F83" t="str">
        <f>""</f>
        <v/>
      </c>
      <c r="G83" t="str">
        <f>""</f>
        <v/>
      </c>
      <c r="H83" t="str">
        <f>""</f>
        <v/>
      </c>
      <c r="I83" t="str">
        <f>""</f>
        <v/>
      </c>
      <c r="J83" t="str">
        <f>""</f>
        <v/>
      </c>
      <c r="K83" t="str">
        <f>"0.034**"</f>
        <v>0.034**</v>
      </c>
      <c r="L83" t="str">
        <f>""</f>
        <v/>
      </c>
      <c r="M83" t="str">
        <f>""</f>
        <v/>
      </c>
      <c r="N83" t="str">
        <f>""</f>
        <v/>
      </c>
      <c r="O83" t="str">
        <f>""</f>
        <v/>
      </c>
      <c r="P83" t="str">
        <f>""</f>
        <v/>
      </c>
      <c r="Q83" t="str">
        <f>""</f>
        <v/>
      </c>
      <c r="R83" t="str">
        <f>""</f>
        <v/>
      </c>
      <c r="S83" t="str">
        <f>""</f>
        <v/>
      </c>
      <c r="T83" t="str">
        <f>""</f>
        <v/>
      </c>
      <c r="U83" t="str">
        <f>"0.010"</f>
        <v>0.010</v>
      </c>
    </row>
    <row r="84" spans="1:21" x14ac:dyDescent="0.25">
      <c r="A84" t="str">
        <f>""</f>
        <v/>
      </c>
      <c r="B84" t="str">
        <f>""</f>
        <v/>
      </c>
      <c r="C84" t="str">
        <f>""</f>
        <v/>
      </c>
      <c r="D84" t="str">
        <f>""</f>
        <v/>
      </c>
      <c r="E84" t="str">
        <f>""</f>
        <v/>
      </c>
      <c r="F84" t="str">
        <f>""</f>
        <v/>
      </c>
      <c r="G84" t="str">
        <f>""</f>
        <v/>
      </c>
      <c r="H84" t="str">
        <f>""</f>
        <v/>
      </c>
      <c r="I84" t="str">
        <f>""</f>
        <v/>
      </c>
      <c r="J84" t="str">
        <f>""</f>
        <v/>
      </c>
      <c r="K84" t="str">
        <f>"(0.012)"</f>
        <v>(0.012)</v>
      </c>
      <c r="L84" t="str">
        <f>""</f>
        <v/>
      </c>
      <c r="M84" t="str">
        <f>""</f>
        <v/>
      </c>
      <c r="N84" t="str">
        <f>""</f>
        <v/>
      </c>
      <c r="O84" t="str">
        <f>""</f>
        <v/>
      </c>
      <c r="P84" t="str">
        <f>""</f>
        <v/>
      </c>
      <c r="Q84" t="str">
        <f>""</f>
        <v/>
      </c>
      <c r="R84" t="str">
        <f>""</f>
        <v/>
      </c>
      <c r="S84" t="str">
        <f>""</f>
        <v/>
      </c>
      <c r="T84" t="str">
        <f>""</f>
        <v/>
      </c>
      <c r="U84" t="str">
        <f>"(0.011)"</f>
        <v>(0.011)</v>
      </c>
    </row>
    <row r="85" spans="1:21" x14ac:dyDescent="0.25">
      <c r="A85" t="str">
        <f>"Constant"</f>
        <v>Constant</v>
      </c>
      <c r="B85" t="str">
        <f>"-0.115"</f>
        <v>-0.115</v>
      </c>
      <c r="C85" t="str">
        <f>"0.096"</f>
        <v>0.096</v>
      </c>
      <c r="D85" t="str">
        <f>"1.494**"</f>
        <v>1.494**</v>
      </c>
      <c r="E85" t="str">
        <f>"1.608**"</f>
        <v>1.608**</v>
      </c>
      <c r="F85" t="str">
        <f>"0.221*"</f>
        <v>0.221*</v>
      </c>
      <c r="G85" t="str">
        <f>"0.228*"</f>
        <v>0.228*</v>
      </c>
      <c r="H85" t="str">
        <f>"0.180"</f>
        <v>0.180</v>
      </c>
      <c r="I85" t="str">
        <f>"0.188"</f>
        <v>0.188</v>
      </c>
      <c r="J85" t="str">
        <f>"0.250*"</f>
        <v>0.250*</v>
      </c>
      <c r="K85" t="str">
        <f>"0.258**"</f>
        <v>0.258**</v>
      </c>
      <c r="L85" t="str">
        <f>"-0.590**"</f>
        <v>-0.590**</v>
      </c>
      <c r="M85" t="str">
        <f>"-0.460**"</f>
        <v>-0.460**</v>
      </c>
      <c r="N85" t="str">
        <f>"-0.274"</f>
        <v>-0.274</v>
      </c>
      <c r="O85" t="str">
        <f>"-0.258"</f>
        <v>-0.258</v>
      </c>
      <c r="P85" t="str">
        <f>"-0.325**"</f>
        <v>-0.325**</v>
      </c>
      <c r="Q85" t="str">
        <f>"-0.323**"</f>
        <v>-0.323**</v>
      </c>
      <c r="R85" t="str">
        <f>"-0.556**"</f>
        <v>-0.556**</v>
      </c>
      <c r="S85" t="str">
        <f>"-0.555**"</f>
        <v>-0.555**</v>
      </c>
      <c r="T85" t="str">
        <f>"-0.338**"</f>
        <v>-0.338**</v>
      </c>
      <c r="U85" t="str">
        <f>"-0.336**"</f>
        <v>-0.336**</v>
      </c>
    </row>
    <row r="86" spans="1:21" x14ac:dyDescent="0.25">
      <c r="A86" t="str">
        <f>""</f>
        <v/>
      </c>
      <c r="B86" t="str">
        <f>"(0.092)"</f>
        <v>(0.092)</v>
      </c>
      <c r="C86" t="str">
        <f>"(0.100)"</f>
        <v>(0.100)</v>
      </c>
      <c r="D86" t="str">
        <f>"(0.577)"</f>
        <v>(0.577)</v>
      </c>
      <c r="E86" t="str">
        <f>"(0.580)"</f>
        <v>(0.580)</v>
      </c>
      <c r="F86" t="str">
        <f>"(0.099)"</f>
        <v>(0.099)</v>
      </c>
      <c r="G86" t="str">
        <f>"(0.097)"</f>
        <v>(0.097)</v>
      </c>
      <c r="H86" t="str">
        <f>"(0.200)"</f>
        <v>(0.200)</v>
      </c>
      <c r="I86" t="str">
        <f>"(0.206)"</f>
        <v>(0.206)</v>
      </c>
      <c r="J86" t="str">
        <f>"(0.099)"</f>
        <v>(0.099)</v>
      </c>
      <c r="K86" t="str">
        <f>"(0.097)"</f>
        <v>(0.097)</v>
      </c>
      <c r="L86" t="str">
        <f>"(0.081)"</f>
        <v>(0.081)</v>
      </c>
      <c r="M86" t="str">
        <f>"(0.083)"</f>
        <v>(0.083)</v>
      </c>
      <c r="N86" t="str">
        <f>"(0.435)"</f>
        <v>(0.435)</v>
      </c>
      <c r="O86" t="str">
        <f>"(0.447)"</f>
        <v>(0.447)</v>
      </c>
      <c r="P86" t="str">
        <f>"(0.077)"</f>
        <v>(0.077)</v>
      </c>
      <c r="Q86" t="str">
        <f>"(0.077)"</f>
        <v>(0.077)</v>
      </c>
      <c r="R86" t="str">
        <f>"(0.113)"</f>
        <v>(0.113)</v>
      </c>
      <c r="S86" t="str">
        <f>"(0.114)"</f>
        <v>(0.114)</v>
      </c>
      <c r="T86" t="str">
        <f>"(0.079)"</f>
        <v>(0.079)</v>
      </c>
      <c r="U86" t="str">
        <f>"(0.081)"</f>
        <v>(0.081)</v>
      </c>
    </row>
    <row r="87" spans="1:21" x14ac:dyDescent="0.25">
      <c r="A87" t="str">
        <f>"lns1_1_1"</f>
        <v>lns1_1_1</v>
      </c>
      <c r="B87" t="str">
        <f>""</f>
        <v/>
      </c>
      <c r="C87" t="str">
        <f>""</f>
        <v/>
      </c>
      <c r="D87" t="str">
        <f>""</f>
        <v/>
      </c>
      <c r="E87" t="str">
        <f>""</f>
        <v/>
      </c>
      <c r="F87" t="str">
        <f>""</f>
        <v/>
      </c>
      <c r="G87" t="str">
        <f>""</f>
        <v/>
      </c>
      <c r="H87" t="str">
        <f>""</f>
        <v/>
      </c>
      <c r="I87" t="str">
        <f>""</f>
        <v/>
      </c>
      <c r="J87" t="str">
        <f>""</f>
        <v/>
      </c>
      <c r="K87" t="str">
        <f>""</f>
        <v/>
      </c>
      <c r="L87" t="str">
        <f>""</f>
        <v/>
      </c>
      <c r="M87" t="str">
        <f>""</f>
        <v/>
      </c>
      <c r="N87" t="str">
        <f>""</f>
        <v/>
      </c>
      <c r="O87" t="str">
        <f>""</f>
        <v/>
      </c>
      <c r="P87" t="str">
        <f>""</f>
        <v/>
      </c>
      <c r="Q87" t="str">
        <f>""</f>
        <v/>
      </c>
      <c r="R87" t="str">
        <f>""</f>
        <v/>
      </c>
      <c r="S87" t="str">
        <f>""</f>
        <v/>
      </c>
      <c r="T87" t="str">
        <f>""</f>
        <v/>
      </c>
      <c r="U87" t="str">
        <f>""</f>
        <v/>
      </c>
    </row>
    <row r="88" spans="1:21" x14ac:dyDescent="0.25">
      <c r="A88" t="str">
        <f>"Constant"</f>
        <v>Constant</v>
      </c>
      <c r="B88" t="str">
        <f>"-1.070**"</f>
        <v>-1.070**</v>
      </c>
      <c r="C88" t="str">
        <f>"-1.051**"</f>
        <v>-1.051**</v>
      </c>
      <c r="D88" t="str">
        <f>"-1.283**"</f>
        <v>-1.283**</v>
      </c>
      <c r="E88" t="str">
        <f>"-1.293**"</f>
        <v>-1.293**</v>
      </c>
      <c r="F88" t="str">
        <f>"-1.405**"</f>
        <v>-1.405**</v>
      </c>
      <c r="G88" t="str">
        <f>"-1.424**"</f>
        <v>-1.424**</v>
      </c>
      <c r="H88" t="str">
        <f>"-1.195**"</f>
        <v>-1.195**</v>
      </c>
      <c r="I88" t="str">
        <f>"-1.193**"</f>
        <v>-1.193**</v>
      </c>
      <c r="J88" t="str">
        <f>"-1.316**"</f>
        <v>-1.316**</v>
      </c>
      <c r="K88" t="str">
        <f>"-1.326**"</f>
        <v>-1.326**</v>
      </c>
      <c r="L88" t="str">
        <f>"-1.313**"</f>
        <v>-1.313**</v>
      </c>
      <c r="M88" t="str">
        <f>"-1.358**"</f>
        <v>-1.358**</v>
      </c>
      <c r="N88" t="str">
        <f>"-1.535**"</f>
        <v>-1.535**</v>
      </c>
      <c r="O88" t="str">
        <f>"-1.534**"</f>
        <v>-1.534**</v>
      </c>
      <c r="P88" t="str">
        <f>"-1.536**"</f>
        <v>-1.536**</v>
      </c>
      <c r="Q88" t="str">
        <f>"-1.535**"</f>
        <v>-1.535**</v>
      </c>
      <c r="R88" t="str">
        <f>"-1.625**"</f>
        <v>-1.625**</v>
      </c>
      <c r="S88" t="str">
        <f>"-1.624**"</f>
        <v>-1.624**</v>
      </c>
      <c r="T88" t="str">
        <f>"-1.548**"</f>
        <v>-1.548**</v>
      </c>
      <c r="U88" t="str">
        <f>"-1.547**"</f>
        <v>-1.547**</v>
      </c>
    </row>
    <row r="89" spans="1:21" x14ac:dyDescent="0.25">
      <c r="A89" t="str">
        <f>""</f>
        <v/>
      </c>
      <c r="B89" t="str">
        <f>"(0.183)"</f>
        <v>(0.183)</v>
      </c>
      <c r="C89" t="str">
        <f>"(0.179)"</f>
        <v>(0.179)</v>
      </c>
      <c r="D89" t="str">
        <f>"(0.170)"</f>
        <v>(0.170)</v>
      </c>
      <c r="E89" t="str">
        <f>"(0.172)"</f>
        <v>(0.172)</v>
      </c>
      <c r="F89" t="str">
        <f>"(0.160)"</f>
        <v>(0.160)</v>
      </c>
      <c r="G89" t="str">
        <f>"(0.166)"</f>
        <v>(0.166)</v>
      </c>
      <c r="H89" t="str">
        <f>"(0.170)"</f>
        <v>(0.170)</v>
      </c>
      <c r="I89" t="str">
        <f>"(0.169)"</f>
        <v>(0.169)</v>
      </c>
      <c r="J89" t="str">
        <f>"(0.173)"</f>
        <v>(0.173)</v>
      </c>
      <c r="K89" t="str">
        <f>"(0.176)"</f>
        <v>(0.176)</v>
      </c>
      <c r="L89" t="str">
        <f>"(0.113)"</f>
        <v>(0.113)</v>
      </c>
      <c r="M89" t="str">
        <f>"(0.122)"</f>
        <v>(0.122)</v>
      </c>
      <c r="N89" t="str">
        <f>"(0.118)"</f>
        <v>(0.118)</v>
      </c>
      <c r="O89" t="str">
        <f>"(0.118)"</f>
        <v>(0.118)</v>
      </c>
      <c r="P89" t="str">
        <f>"(0.117)"</f>
        <v>(0.117)</v>
      </c>
      <c r="Q89" t="str">
        <f>"(0.116)"</f>
        <v>(0.116)</v>
      </c>
      <c r="R89" t="str">
        <f>"(0.128)"</f>
        <v>(0.128)</v>
      </c>
      <c r="S89" t="str">
        <f>"(0.128)"</f>
        <v>(0.128)</v>
      </c>
      <c r="T89" t="str">
        <f>"(0.111)"</f>
        <v>(0.111)</v>
      </c>
      <c r="U89" t="str">
        <f>"(0.110)"</f>
        <v>(0.110)</v>
      </c>
    </row>
    <row r="90" spans="1:21" x14ac:dyDescent="0.25">
      <c r="A90" t="str">
        <f>"lnsig_e"</f>
        <v>lnsig_e</v>
      </c>
      <c r="B90" t="str">
        <f>""</f>
        <v/>
      </c>
      <c r="C90" t="str">
        <f>""</f>
        <v/>
      </c>
      <c r="D90" t="str">
        <f>""</f>
        <v/>
      </c>
      <c r="E90" t="str">
        <f>""</f>
        <v/>
      </c>
      <c r="F90" t="str">
        <f>""</f>
        <v/>
      </c>
      <c r="G90" t="str">
        <f>""</f>
        <v/>
      </c>
      <c r="H90" t="str">
        <f>""</f>
        <v/>
      </c>
      <c r="I90" t="str">
        <f>""</f>
        <v/>
      </c>
      <c r="J90" t="str">
        <f>""</f>
        <v/>
      </c>
      <c r="K90" t="str">
        <f>""</f>
        <v/>
      </c>
      <c r="L90" t="str">
        <f>""</f>
        <v/>
      </c>
      <c r="M90" t="str">
        <f>""</f>
        <v/>
      </c>
      <c r="N90" t="str">
        <f>""</f>
        <v/>
      </c>
      <c r="O90" t="str">
        <f>""</f>
        <v/>
      </c>
      <c r="P90" t="str">
        <f>""</f>
        <v/>
      </c>
      <c r="Q90" t="str">
        <f>""</f>
        <v/>
      </c>
      <c r="R90" t="str">
        <f>""</f>
        <v/>
      </c>
      <c r="S90" t="str">
        <f>""</f>
        <v/>
      </c>
      <c r="T90" t="str">
        <f>""</f>
        <v/>
      </c>
      <c r="U90" t="str">
        <f>""</f>
        <v/>
      </c>
    </row>
    <row r="91" spans="1:21" x14ac:dyDescent="0.25">
      <c r="A91" t="str">
        <f>"Constant"</f>
        <v>Constant</v>
      </c>
      <c r="B91" t="str">
        <f>"-0.161**"</f>
        <v>-0.161**</v>
      </c>
      <c r="C91" t="str">
        <f>"-0.174**"</f>
        <v>-0.174**</v>
      </c>
      <c r="D91" t="str">
        <f>"-0.223**"</f>
        <v>-0.223**</v>
      </c>
      <c r="E91" t="str">
        <f>"-0.224**"</f>
        <v>-0.224**</v>
      </c>
      <c r="F91" t="str">
        <f>"-0.223**"</f>
        <v>-0.223**</v>
      </c>
      <c r="G91" t="str">
        <f>"-0.224**"</f>
        <v>-0.224**</v>
      </c>
      <c r="H91" t="str">
        <f>"-0.223**"</f>
        <v>-0.223**</v>
      </c>
      <c r="I91" t="str">
        <f>"-0.223**"</f>
        <v>-0.223**</v>
      </c>
      <c r="J91" t="str">
        <f>"-0.223**"</f>
        <v>-0.223**</v>
      </c>
      <c r="K91" t="str">
        <f>"-0.224**"</f>
        <v>-0.224**</v>
      </c>
      <c r="L91" t="str">
        <f>"-0.099**"</f>
        <v>-0.099**</v>
      </c>
      <c r="M91" t="str">
        <f>"-0.114**"</f>
        <v>-0.114**</v>
      </c>
      <c r="N91" t="str">
        <f t="shared" ref="N91:U91" si="73">"-0.142**"</f>
        <v>-0.142**</v>
      </c>
      <c r="O91" t="str">
        <f t="shared" si="73"/>
        <v>-0.142**</v>
      </c>
      <c r="P91" t="str">
        <f t="shared" si="73"/>
        <v>-0.142**</v>
      </c>
      <c r="Q91" t="str">
        <f t="shared" si="73"/>
        <v>-0.142**</v>
      </c>
      <c r="R91" t="str">
        <f t="shared" si="73"/>
        <v>-0.142**</v>
      </c>
      <c r="S91" t="str">
        <f t="shared" si="73"/>
        <v>-0.142**</v>
      </c>
      <c r="T91" t="str">
        <f t="shared" si="73"/>
        <v>-0.142**</v>
      </c>
      <c r="U91" t="str">
        <f t="shared" si="73"/>
        <v>-0.142**</v>
      </c>
    </row>
    <row r="92" spans="1:21" x14ac:dyDescent="0.25">
      <c r="A92" t="str">
        <f>""</f>
        <v/>
      </c>
      <c r="B92" t="str">
        <f>"(0.028)"</f>
        <v>(0.028)</v>
      </c>
      <c r="C92" t="str">
        <f>"(0.024)"</f>
        <v>(0.024)</v>
      </c>
      <c r="D92" t="str">
        <f t="shared" ref="D92:K92" si="74">"(0.027)"</f>
        <v>(0.027)</v>
      </c>
      <c r="E92" t="str">
        <f t="shared" si="74"/>
        <v>(0.027)</v>
      </c>
      <c r="F92" t="str">
        <f t="shared" si="74"/>
        <v>(0.027)</v>
      </c>
      <c r="G92" t="str">
        <f t="shared" si="74"/>
        <v>(0.027)</v>
      </c>
      <c r="H92" t="str">
        <f t="shared" si="74"/>
        <v>(0.027)</v>
      </c>
      <c r="I92" t="str">
        <f t="shared" si="74"/>
        <v>(0.027)</v>
      </c>
      <c r="J92" t="str">
        <f t="shared" si="74"/>
        <v>(0.027)</v>
      </c>
      <c r="K92" t="str">
        <f t="shared" si="74"/>
        <v>(0.027)</v>
      </c>
      <c r="L92" t="str">
        <f>"(0.022)"</f>
        <v>(0.022)</v>
      </c>
      <c r="M92" t="str">
        <f>"(0.021)"</f>
        <v>(0.021)</v>
      </c>
      <c r="N92" t="str">
        <f t="shared" ref="N92:U92" si="75">"(0.023)"</f>
        <v>(0.023)</v>
      </c>
      <c r="O92" t="str">
        <f t="shared" si="75"/>
        <v>(0.023)</v>
      </c>
      <c r="P92" t="str">
        <f t="shared" si="75"/>
        <v>(0.023)</v>
      </c>
      <c r="Q92" t="str">
        <f t="shared" si="75"/>
        <v>(0.023)</v>
      </c>
      <c r="R92" t="str">
        <f t="shared" si="75"/>
        <v>(0.023)</v>
      </c>
      <c r="S92" t="str">
        <f t="shared" si="75"/>
        <v>(0.023)</v>
      </c>
      <c r="T92" t="str">
        <f t="shared" si="75"/>
        <v>(0.023)</v>
      </c>
      <c r="U92" t="str">
        <f t="shared" si="75"/>
        <v>(0.023)</v>
      </c>
    </row>
    <row r="93" spans="1:21" x14ac:dyDescent="0.25">
      <c r="A93" t="str">
        <f>"Log likelihood"</f>
        <v>Log likelihood</v>
      </c>
      <c r="B93" t="str">
        <f>"-212596.3346271193"</f>
        <v>-212596.3346271193</v>
      </c>
      <c r="C93" t="str">
        <f>"-199474.8030295042"</f>
        <v>-199474.8030295042</v>
      </c>
      <c r="D93" t="str">
        <f>"-190942.2858935724"</f>
        <v>-190942.2858935724</v>
      </c>
      <c r="E93" t="str">
        <f>"-190874.3447931904"</f>
        <v>-190874.3447931904</v>
      </c>
      <c r="F93" t="str">
        <f>"-190939.7433617607"</f>
        <v>-190939.7433617607</v>
      </c>
      <c r="G93" t="str">
        <f>"-190807.030997561"</f>
        <v>-190807.030997561</v>
      </c>
      <c r="H93" t="str">
        <f>"-190944.1315022425"</f>
        <v>-190944.1315022425</v>
      </c>
      <c r="I93" t="str">
        <f>"-190933.2827853701"</f>
        <v>-190933.2827853701</v>
      </c>
      <c r="J93" t="str">
        <f>"-190941.6033969467"</f>
        <v>-190941.6033969467</v>
      </c>
      <c r="K93" t="str">
        <f>"-190871.8510271365"</f>
        <v>-190871.8510271365</v>
      </c>
      <c r="L93" t="str">
        <f>"-223081.0106753988"</f>
        <v>-223081.0106753988</v>
      </c>
      <c r="M93" t="str">
        <f>"-209033.4718705711"</f>
        <v>-209033.4718705711</v>
      </c>
      <c r="N93" t="str">
        <f>"-203975.5688211015"</f>
        <v>-203975.5688211015</v>
      </c>
      <c r="O93" t="str">
        <f>"-203974.4146546382"</f>
        <v>-203974.4146546382</v>
      </c>
      <c r="P93" t="str">
        <f>"-203975.5398981776"</f>
        <v>-203975.5398981776</v>
      </c>
      <c r="Q93" t="str">
        <f>"-203965.9816021161"</f>
        <v>-203965.9816021161</v>
      </c>
      <c r="R93" t="str">
        <f>"-203973.6758845847"</f>
        <v>-203973.6758845847</v>
      </c>
      <c r="S93" t="str">
        <f>"-203973.2101689062"</f>
        <v>-203973.2101689062</v>
      </c>
      <c r="T93" t="str">
        <f>"-203975.2955905331"</f>
        <v>-203975.2955905331</v>
      </c>
      <c r="U93" t="str">
        <f>"-203969.9188693179"</f>
        <v>-203969.9188693179</v>
      </c>
    </row>
    <row r="94" spans="1:21" x14ac:dyDescent="0.25">
      <c r="A94" t="str">
        <f>"Sample Size"</f>
        <v>Sample Size</v>
      </c>
      <c r="B94" t="str">
        <f>"169386.000"</f>
        <v>169386.000</v>
      </c>
      <c r="C94" t="str">
        <f>"160612.000"</f>
        <v>160612.000</v>
      </c>
      <c r="D94" t="str">
        <f t="shared" ref="D94:K94" si="76">"160078.000"</f>
        <v>160078.000</v>
      </c>
      <c r="E94" t="str">
        <f t="shared" si="76"/>
        <v>160078.000</v>
      </c>
      <c r="F94" t="str">
        <f t="shared" si="76"/>
        <v>160078.000</v>
      </c>
      <c r="G94" t="str">
        <f t="shared" si="76"/>
        <v>160078.000</v>
      </c>
      <c r="H94" t="str">
        <f t="shared" si="76"/>
        <v>160078.000</v>
      </c>
      <c r="I94" t="str">
        <f t="shared" si="76"/>
        <v>160078.000</v>
      </c>
      <c r="J94" t="str">
        <f t="shared" si="76"/>
        <v>160078.000</v>
      </c>
      <c r="K94" t="str">
        <f t="shared" si="76"/>
        <v>160078.000</v>
      </c>
      <c r="L94" t="str">
        <f>"169383.000"</f>
        <v>169383.000</v>
      </c>
      <c r="M94" t="str">
        <f>"160610.000"</f>
        <v>160610.000</v>
      </c>
      <c r="N94" t="str">
        <f t="shared" ref="N94:U94" si="77">"160076.000"</f>
        <v>160076.000</v>
      </c>
      <c r="O94" t="str">
        <f t="shared" si="77"/>
        <v>160076.000</v>
      </c>
      <c r="P94" t="str">
        <f t="shared" si="77"/>
        <v>160076.000</v>
      </c>
      <c r="Q94" t="str">
        <f t="shared" si="77"/>
        <v>160076.000</v>
      </c>
      <c r="R94" t="str">
        <f t="shared" si="77"/>
        <v>160076.000</v>
      </c>
      <c r="S94" t="str">
        <f t="shared" si="77"/>
        <v>160076.000</v>
      </c>
      <c r="T94" t="str">
        <f t="shared" si="77"/>
        <v>160076.000</v>
      </c>
      <c r="U94" t="str">
        <f t="shared" si="77"/>
        <v>160076.000</v>
      </c>
    </row>
    <row r="95" spans="1:21" x14ac:dyDescent="0.25">
      <c r="A95" t="str">
        <f>"Standard errors in parentheses, * p&lt;0.05,  ** p&lt;0.01"</f>
        <v>Standard errors in parentheses, * p&lt;0.05,  ** p&lt;0.01</v>
      </c>
    </row>
  </sheetData>
  <mergeCells count="1">
    <mergeCell ref="A1:U1"/>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68BA5-281C-48DD-A457-01DC45F7402F}">
  <dimension ref="A1:U96"/>
  <sheetViews>
    <sheetView workbookViewId="0">
      <selection sqref="A1:U1"/>
    </sheetView>
  </sheetViews>
  <sheetFormatPr defaultRowHeight="15" x14ac:dyDescent="0.25"/>
  <cols>
    <col min="1" max="1" width="44.140625" customWidth="1"/>
  </cols>
  <sheetData>
    <row r="1" spans="1:21" ht="66.75" customHeight="1" x14ac:dyDescent="0.25">
      <c r="A1" s="89" t="s">
        <v>1044</v>
      </c>
      <c r="B1" s="89"/>
      <c r="C1" s="89"/>
      <c r="D1" s="89"/>
      <c r="E1" s="89"/>
      <c r="F1" s="89"/>
      <c r="G1" s="89"/>
      <c r="H1" s="89"/>
      <c r="I1" s="89"/>
      <c r="J1" s="89"/>
      <c r="K1" s="89"/>
      <c r="L1" s="89"/>
      <c r="M1" s="89"/>
      <c r="N1" s="89"/>
      <c r="O1" s="89"/>
      <c r="P1" s="89"/>
      <c r="Q1" s="89"/>
      <c r="R1" s="89"/>
      <c r="S1" s="89"/>
      <c r="T1" s="89"/>
      <c r="U1" s="89"/>
    </row>
    <row r="2" spans="1:21" x14ac:dyDescent="0.25">
      <c r="A2" t="str">
        <f>""</f>
        <v/>
      </c>
      <c r="B2" s="56" t="str">
        <f>"(1)"</f>
        <v>(1)</v>
      </c>
      <c r="C2" s="56" t="str">
        <f>"(2)"</f>
        <v>(2)</v>
      </c>
      <c r="D2" s="56" t="str">
        <f>"(3)"</f>
        <v>(3)</v>
      </c>
      <c r="E2" s="56" t="str">
        <f>"(4)"</f>
        <v>(4)</v>
      </c>
      <c r="F2" s="56" t="str">
        <f>"(5)"</f>
        <v>(5)</v>
      </c>
      <c r="G2" s="56" t="str">
        <f>"(6)"</f>
        <v>(6)</v>
      </c>
      <c r="H2" s="56" t="str">
        <f>"(7)"</f>
        <v>(7)</v>
      </c>
      <c r="I2" s="56" t="str">
        <f>"(8)"</f>
        <v>(8)</v>
      </c>
      <c r="J2" s="56" t="str">
        <f>"(9)"</f>
        <v>(9)</v>
      </c>
      <c r="K2" s="56" t="str">
        <f>"(10)"</f>
        <v>(10)</v>
      </c>
      <c r="L2" s="57" t="str">
        <f>"(11)"</f>
        <v>(11)</v>
      </c>
      <c r="M2" s="57" t="str">
        <f>"(12)"</f>
        <v>(12)</v>
      </c>
      <c r="N2" s="57" t="str">
        <f>"(13)"</f>
        <v>(13)</v>
      </c>
      <c r="O2" s="57" t="str">
        <f>"(14)"</f>
        <v>(14)</v>
      </c>
      <c r="P2" s="57" t="str">
        <f>"(15)"</f>
        <v>(15)</v>
      </c>
      <c r="Q2" s="57" t="str">
        <f>"(16)"</f>
        <v>(16)</v>
      </c>
      <c r="R2" s="57" t="str">
        <f>"(17)"</f>
        <v>(17)</v>
      </c>
      <c r="S2" s="57" t="str">
        <f>"(18)"</f>
        <v>(18)</v>
      </c>
      <c r="T2" s="57" t="str">
        <f>"(19)"</f>
        <v>(19)</v>
      </c>
      <c r="U2" s="57" t="str">
        <f>"(20)"</f>
        <v>(20)</v>
      </c>
    </row>
    <row r="3" spans="1:21" ht="24" customHeight="1" x14ac:dyDescent="0.25">
      <c r="A3" t="str">
        <f>""</f>
        <v/>
      </c>
      <c r="B3" s="56" t="str">
        <f>"Flourishing index"</f>
        <v>Flourishing index</v>
      </c>
      <c r="C3" s="56" t="str">
        <f t="shared" ref="C3:K3" si="0">"Flourishing index"</f>
        <v>Flourishing index</v>
      </c>
      <c r="D3" s="56" t="str">
        <f t="shared" si="0"/>
        <v>Flourishing index</v>
      </c>
      <c r="E3" s="56" t="str">
        <f t="shared" si="0"/>
        <v>Flourishing index</v>
      </c>
      <c r="F3" s="56" t="str">
        <f t="shared" si="0"/>
        <v>Flourishing index</v>
      </c>
      <c r="G3" s="56" t="str">
        <f t="shared" si="0"/>
        <v>Flourishing index</v>
      </c>
      <c r="H3" s="56" t="str">
        <f t="shared" si="0"/>
        <v>Flourishing index</v>
      </c>
      <c r="I3" s="56" t="str">
        <f t="shared" si="0"/>
        <v>Flourishing index</v>
      </c>
      <c r="J3" s="56" t="str">
        <f t="shared" si="0"/>
        <v>Flourishing index</v>
      </c>
      <c r="K3" s="56" t="str">
        <f t="shared" si="0"/>
        <v>Flourishing index</v>
      </c>
      <c r="L3" s="57" t="str">
        <f t="shared" ref="L3:U3" si="1">"Internalized mental health index"</f>
        <v>Internalized mental health index</v>
      </c>
      <c r="M3" s="57" t="str">
        <f t="shared" si="1"/>
        <v>Internalized mental health index</v>
      </c>
      <c r="N3" s="57" t="str">
        <f t="shared" si="1"/>
        <v>Internalized mental health index</v>
      </c>
      <c r="O3" s="57" t="str">
        <f t="shared" si="1"/>
        <v>Internalized mental health index</v>
      </c>
      <c r="P3" s="57" t="str">
        <f t="shared" si="1"/>
        <v>Internalized mental health index</v>
      </c>
      <c r="Q3" s="57" t="str">
        <f t="shared" si="1"/>
        <v>Internalized mental health index</v>
      </c>
      <c r="R3" s="57" t="str">
        <f t="shared" si="1"/>
        <v>Internalized mental health index</v>
      </c>
      <c r="S3" s="57" t="str">
        <f t="shared" si="1"/>
        <v>Internalized mental health index</v>
      </c>
      <c r="T3" s="57" t="str">
        <f t="shared" si="1"/>
        <v>Internalized mental health index</v>
      </c>
      <c r="U3" s="57" t="str">
        <f t="shared" si="1"/>
        <v>Internalized mental health index</v>
      </c>
    </row>
    <row r="5" spans="1:21" x14ac:dyDescent="0.25">
      <c r="A5" t="str">
        <f>"Parent-child relationship quality index"</f>
        <v>Parent-child relationship quality index</v>
      </c>
      <c r="B5" t="str">
        <f>"0.211**"</f>
        <v>0.211**</v>
      </c>
      <c r="C5" t="str">
        <f>"0.184**"</f>
        <v>0.184**</v>
      </c>
      <c r="D5" t="str">
        <f>"0.158**"</f>
        <v>0.158**</v>
      </c>
      <c r="E5" t="str">
        <f>"-0.187"</f>
        <v>-0.187</v>
      </c>
      <c r="F5" t="str">
        <f>"0.158**"</f>
        <v>0.158**</v>
      </c>
      <c r="G5" t="str">
        <f>"0.132**"</f>
        <v>0.132**</v>
      </c>
      <c r="H5" t="str">
        <f>"0.158**"</f>
        <v>0.158**</v>
      </c>
      <c r="I5" t="str">
        <f>"0.113"</f>
        <v>0.113</v>
      </c>
      <c r="J5" t="str">
        <f>"0.158**"</f>
        <v>0.158**</v>
      </c>
      <c r="K5" t="str">
        <f>"0.130**"</f>
        <v>0.130**</v>
      </c>
      <c r="L5" t="str">
        <f>"0.183**"</f>
        <v>0.183**</v>
      </c>
      <c r="M5" t="str">
        <f>"0.137**"</f>
        <v>0.137**</v>
      </c>
      <c r="N5" t="str">
        <f>"0.128**"</f>
        <v>0.128**</v>
      </c>
      <c r="O5" t="str">
        <f>"0.079"</f>
        <v>0.079</v>
      </c>
      <c r="P5" t="str">
        <f>"0.128**"</f>
        <v>0.128**</v>
      </c>
      <c r="Q5" t="str">
        <f>"0.120**"</f>
        <v>0.120**</v>
      </c>
      <c r="R5" t="str">
        <f>"0.128**"</f>
        <v>0.128**</v>
      </c>
      <c r="S5" t="str">
        <f>"0.118**"</f>
        <v>0.118**</v>
      </c>
      <c r="T5" t="str">
        <f>"0.128**"</f>
        <v>0.128**</v>
      </c>
      <c r="U5" t="str">
        <f>"0.119**"</f>
        <v>0.119**</v>
      </c>
    </row>
    <row r="6" spans="1:21" x14ac:dyDescent="0.25">
      <c r="A6" t="str">
        <f>""</f>
        <v/>
      </c>
      <c r="B6" t="str">
        <f>"(21.082)"</f>
        <v>(21.082)</v>
      </c>
      <c r="C6" t="str">
        <f>"(14.363)"</f>
        <v>(14.363)</v>
      </c>
      <c r="D6" t="str">
        <f>"(15.766)"</f>
        <v>(15.766)</v>
      </c>
      <c r="E6" t="str">
        <f>"(-1.764)"</f>
        <v>(-1.764)</v>
      </c>
      <c r="F6" t="str">
        <f>"(15.775)"</f>
        <v>(15.775)</v>
      </c>
      <c r="G6" t="str">
        <f>"(14.193)"</f>
        <v>(14.193)</v>
      </c>
      <c r="H6" t="str">
        <f>"(15.771)"</f>
        <v>(15.771)</v>
      </c>
      <c r="I6" t="str">
        <f>"(1.888)"</f>
        <v>(1.888)</v>
      </c>
      <c r="J6" t="str">
        <f>"(15.768)"</f>
        <v>(15.768)</v>
      </c>
      <c r="K6" t="str">
        <f>"(9.439)"</f>
        <v>(9.439)</v>
      </c>
      <c r="L6" t="str">
        <f>"(28.018)"</f>
        <v>(28.018)</v>
      </c>
      <c r="M6" t="str">
        <f>"(17.917)"</f>
        <v>(17.917)</v>
      </c>
      <c r="N6" t="str">
        <f>"(15.872)"</f>
        <v>(15.872)</v>
      </c>
      <c r="O6" t="str">
        <f>"(0.715)"</f>
        <v>(0.715)</v>
      </c>
      <c r="P6" t="str">
        <f>"(15.878)"</f>
        <v>(15.878)</v>
      </c>
      <c r="Q6" t="str">
        <f>"(14.797)"</f>
        <v>(14.797)</v>
      </c>
      <c r="R6" t="str">
        <f>"(15.869)"</f>
        <v>(15.869)</v>
      </c>
      <c r="S6" t="str">
        <f>"(4.234)"</f>
        <v>(4.234)</v>
      </c>
      <c r="T6" t="str">
        <f>"(15.867)"</f>
        <v>(15.867)</v>
      </c>
      <c r="U6" t="str">
        <f>"(10.378)"</f>
        <v>(10.378)</v>
      </c>
    </row>
    <row r="7" spans="1:21" x14ac:dyDescent="0.25">
      <c r="A7" t="str">
        <f>"Respondet is male"</f>
        <v>Respondet is male</v>
      </c>
      <c r="B7" t="str">
        <f>"-0.101**"</f>
        <v>-0.101**</v>
      </c>
      <c r="C7" t="str">
        <f>"-0.101**"</f>
        <v>-0.101**</v>
      </c>
      <c r="D7" t="str">
        <f>"-0.093**"</f>
        <v>-0.093**</v>
      </c>
      <c r="E7" t="str">
        <f>"-0.094**"</f>
        <v>-0.094**</v>
      </c>
      <c r="F7" t="str">
        <f t="shared" ref="F7:K7" si="2">"-0.093**"</f>
        <v>-0.093**</v>
      </c>
      <c r="G7" t="str">
        <f t="shared" si="2"/>
        <v>-0.093**</v>
      </c>
      <c r="H7" t="str">
        <f t="shared" si="2"/>
        <v>-0.093**</v>
      </c>
      <c r="I7" t="str">
        <f t="shared" si="2"/>
        <v>-0.093**</v>
      </c>
      <c r="J7" t="str">
        <f t="shared" si="2"/>
        <v>-0.093**</v>
      </c>
      <c r="K7" t="str">
        <f t="shared" si="2"/>
        <v>-0.093**</v>
      </c>
      <c r="L7" t="str">
        <f>"0.090**"</f>
        <v>0.090**</v>
      </c>
      <c r="M7" t="str">
        <f t="shared" ref="M7:U7" si="3">"0.074**"</f>
        <v>0.074**</v>
      </c>
      <c r="N7" t="str">
        <f t="shared" si="3"/>
        <v>0.074**</v>
      </c>
      <c r="O7" t="str">
        <f t="shared" si="3"/>
        <v>0.074**</v>
      </c>
      <c r="P7" t="str">
        <f t="shared" si="3"/>
        <v>0.074**</v>
      </c>
      <c r="Q7" t="str">
        <f t="shared" si="3"/>
        <v>0.074**</v>
      </c>
      <c r="R7" t="str">
        <f t="shared" si="3"/>
        <v>0.074**</v>
      </c>
      <c r="S7" t="str">
        <f t="shared" si="3"/>
        <v>0.074**</v>
      </c>
      <c r="T7" t="str">
        <f t="shared" si="3"/>
        <v>0.074**</v>
      </c>
      <c r="U7" t="str">
        <f t="shared" si="3"/>
        <v>0.074**</v>
      </c>
    </row>
    <row r="8" spans="1:21" x14ac:dyDescent="0.25">
      <c r="A8" t="str">
        <f>""</f>
        <v/>
      </c>
      <c r="B8" t="str">
        <f>"(-4.687)"</f>
        <v>(-4.687)</v>
      </c>
      <c r="C8" t="str">
        <f>"(-4.449)"</f>
        <v>(-4.449)</v>
      </c>
      <c r="D8" t="str">
        <f>"(-5.319)"</f>
        <v>(-5.319)</v>
      </c>
      <c r="E8" t="str">
        <f>"(-5.380)"</f>
        <v>(-5.380)</v>
      </c>
      <c r="F8" t="str">
        <f>"(-5.319)"</f>
        <v>(-5.319)</v>
      </c>
      <c r="G8" t="str">
        <f>"(-5.413)"</f>
        <v>(-5.413)</v>
      </c>
      <c r="H8" t="str">
        <f>"(-5.317)"</f>
        <v>(-5.317)</v>
      </c>
      <c r="I8" t="str">
        <f>"(-5.327)"</f>
        <v>(-5.327)</v>
      </c>
      <c r="J8" t="str">
        <f>"(-5.319)"</f>
        <v>(-5.319)</v>
      </c>
      <c r="K8" t="str">
        <f>"(-5.315)"</f>
        <v>(-5.315)</v>
      </c>
      <c r="L8" t="str">
        <f>"(4.672)"</f>
        <v>(4.672)</v>
      </c>
      <c r="M8" t="str">
        <f>"(4.138)"</f>
        <v>(4.138)</v>
      </c>
      <c r="N8" t="str">
        <f>"(4.515)"</f>
        <v>(4.515)</v>
      </c>
      <c r="O8" t="str">
        <f>"(4.477)"</f>
        <v>(4.477)</v>
      </c>
      <c r="P8" t="str">
        <f>"(4.515)"</f>
        <v>(4.515)</v>
      </c>
      <c r="Q8" t="str">
        <f>"(4.495)"</f>
        <v>(4.495)</v>
      </c>
      <c r="R8" t="str">
        <f>"(4.516)"</f>
        <v>(4.516)</v>
      </c>
      <c r="S8" t="str">
        <f>"(4.496)"</f>
        <v>(4.496)</v>
      </c>
      <c r="T8" t="str">
        <f>"(4.516)"</f>
        <v>(4.516)</v>
      </c>
      <c r="U8" t="str">
        <f>"(4.476)"</f>
        <v>(4.476)</v>
      </c>
    </row>
    <row r="9" spans="1:21" x14ac:dyDescent="0.25">
      <c r="A9" t="str">
        <f>"Did not select male or female"</f>
        <v>Did not select male or female</v>
      </c>
      <c r="B9" t="str">
        <f>"-0.483**"</f>
        <v>-0.483**</v>
      </c>
      <c r="C9" t="str">
        <f>"-0.474**"</f>
        <v>-0.474**</v>
      </c>
      <c r="D9" t="str">
        <f>"-0.397**"</f>
        <v>-0.397**</v>
      </c>
      <c r="E9" t="str">
        <f>"-0.394**"</f>
        <v>-0.394**</v>
      </c>
      <c r="F9" t="str">
        <f>"-0.398**"</f>
        <v>-0.398**</v>
      </c>
      <c r="G9" t="str">
        <f>"-0.399**"</f>
        <v>-0.399**</v>
      </c>
      <c r="H9" t="str">
        <f>"-0.398**"</f>
        <v>-0.398**</v>
      </c>
      <c r="I9" t="str">
        <f>"-0.396**"</f>
        <v>-0.396**</v>
      </c>
      <c r="J9" t="str">
        <f>"-0.397**"</f>
        <v>-0.397**</v>
      </c>
      <c r="K9" t="str">
        <f>"-0.396**"</f>
        <v>-0.396**</v>
      </c>
      <c r="L9" t="str">
        <f>"-0.260**"</f>
        <v>-0.260**</v>
      </c>
      <c r="M9" t="str">
        <f>"-0.246**"</f>
        <v>-0.246**</v>
      </c>
      <c r="N9" t="str">
        <f>"-0.228**"</f>
        <v>-0.228**</v>
      </c>
      <c r="O9" t="str">
        <f>"-0.227**"</f>
        <v>-0.227**</v>
      </c>
      <c r="P9" t="str">
        <f>"-0.228**"</f>
        <v>-0.228**</v>
      </c>
      <c r="Q9" t="str">
        <f>"-0.228**"</f>
        <v>-0.228**</v>
      </c>
      <c r="R9" t="str">
        <f>"-0.228**"</f>
        <v>-0.228**</v>
      </c>
      <c r="S9" t="str">
        <f>"-0.228**"</f>
        <v>-0.228**</v>
      </c>
      <c r="T9" t="str">
        <f>"-0.228**"</f>
        <v>-0.228**</v>
      </c>
      <c r="U9" t="str">
        <f>"-0.227**"</f>
        <v>-0.227**</v>
      </c>
    </row>
    <row r="10" spans="1:21" x14ac:dyDescent="0.25">
      <c r="A10" t="str">
        <f>""</f>
        <v/>
      </c>
      <c r="B10" t="str">
        <f>"(-4.427)"</f>
        <v>(-4.427)</v>
      </c>
      <c r="C10" t="str">
        <f>"(-4.092)"</f>
        <v>(-4.092)</v>
      </c>
      <c r="D10" t="str">
        <f>"(-3.721)"</f>
        <v>(-3.721)</v>
      </c>
      <c r="E10" t="str">
        <f>"(-3.673)"</f>
        <v>(-3.673)</v>
      </c>
      <c r="F10" t="str">
        <f>"(-3.721)"</f>
        <v>(-3.721)</v>
      </c>
      <c r="G10" t="str">
        <f>"(-3.774)"</f>
        <v>(-3.774)</v>
      </c>
      <c r="H10" t="str">
        <f>"(-3.721)"</f>
        <v>(-3.721)</v>
      </c>
      <c r="I10" t="str">
        <f>"(-3.700)"</f>
        <v>(-3.700)</v>
      </c>
      <c r="J10" t="str">
        <f>"(-3.721)"</f>
        <v>(-3.721)</v>
      </c>
      <c r="K10" t="str">
        <f>"(-3.706)"</f>
        <v>(-3.706)</v>
      </c>
      <c r="L10" t="str">
        <f>"(-3.953)"</f>
        <v>(-3.953)</v>
      </c>
      <c r="M10" t="str">
        <f>"(-3.299)"</f>
        <v>(-3.299)</v>
      </c>
      <c r="N10" t="str">
        <f>"(-3.262)"</f>
        <v>(-3.262)</v>
      </c>
      <c r="O10" t="str">
        <f>"(-3.254)"</f>
        <v>(-3.254)</v>
      </c>
      <c r="P10" t="str">
        <f>"(-3.262)"</f>
        <v>(-3.262)</v>
      </c>
      <c r="Q10" t="str">
        <f>"(-3.274)"</f>
        <v>(-3.274)</v>
      </c>
      <c r="R10" t="str">
        <f>"(-3.263)"</f>
        <v>(-3.263)</v>
      </c>
      <c r="S10" t="str">
        <f>"(-3.257)"</f>
        <v>(-3.257)</v>
      </c>
      <c r="T10" t="str">
        <f>"(-3.262)"</f>
        <v>(-3.262)</v>
      </c>
      <c r="U10" t="str">
        <f>"(-3.257)"</f>
        <v>(-3.257)</v>
      </c>
    </row>
    <row r="11" spans="1:21" x14ac:dyDescent="0.25">
      <c r="A11" t="str">
        <f>"secondary education"</f>
        <v>secondary education</v>
      </c>
      <c r="B11" t="str">
        <f>"0.043"</f>
        <v>0.043</v>
      </c>
      <c r="C11" t="str">
        <f>"0.018"</f>
        <v>0.018</v>
      </c>
      <c r="D11" t="str">
        <f>"0.014"</f>
        <v>0.014</v>
      </c>
      <c r="E11" t="str">
        <f>"0.017"</f>
        <v>0.017</v>
      </c>
      <c r="F11" t="str">
        <f>"0.014"</f>
        <v>0.014</v>
      </c>
      <c r="G11" t="str">
        <f>"0.016"</f>
        <v>0.016</v>
      </c>
      <c r="H11" t="str">
        <f>"0.014"</f>
        <v>0.014</v>
      </c>
      <c r="I11" t="str">
        <f>"0.014"</f>
        <v>0.014</v>
      </c>
      <c r="J11" t="str">
        <f>"0.014"</f>
        <v>0.014</v>
      </c>
      <c r="K11" t="str">
        <f>"0.016"</f>
        <v>0.016</v>
      </c>
      <c r="L11" t="str">
        <f>"0.090**"</f>
        <v>0.090**</v>
      </c>
      <c r="M11" t="str">
        <f>"0.076**"</f>
        <v>0.076**</v>
      </c>
      <c r="N11" t="str">
        <f>"0.070**"</f>
        <v>0.070**</v>
      </c>
      <c r="O11" t="str">
        <f>"0.070**"</f>
        <v>0.070**</v>
      </c>
      <c r="P11" t="str">
        <f>"0.070**"</f>
        <v>0.070**</v>
      </c>
      <c r="Q11" t="str">
        <f>"0.071**"</f>
        <v>0.071**</v>
      </c>
      <c r="R11" t="str">
        <f>"0.070**"</f>
        <v>0.070**</v>
      </c>
      <c r="S11" t="str">
        <f>"0.070**"</f>
        <v>0.070**</v>
      </c>
      <c r="T11" t="str">
        <f>"0.070**"</f>
        <v>0.070**</v>
      </c>
      <c r="U11" t="str">
        <f>"0.070**"</f>
        <v>0.070**</v>
      </c>
    </row>
    <row r="12" spans="1:21" x14ac:dyDescent="0.25">
      <c r="A12" t="str">
        <f>""</f>
        <v/>
      </c>
      <c r="B12" t="str">
        <f>"(1.140)"</f>
        <v>(1.140)</v>
      </c>
      <c r="C12" t="str">
        <f>"(0.444)"</f>
        <v>(0.444)</v>
      </c>
      <c r="D12" t="str">
        <f>"(0.393)"</f>
        <v>(0.393)</v>
      </c>
      <c r="E12" t="str">
        <f>"(0.472)"</f>
        <v>(0.472)</v>
      </c>
      <c r="F12" t="str">
        <f>"(0.396)"</f>
        <v>(0.396)</v>
      </c>
      <c r="G12" t="str">
        <f>"(0.462)"</f>
        <v>(0.462)</v>
      </c>
      <c r="H12" t="str">
        <f>"(0.387)"</f>
        <v>(0.387)</v>
      </c>
      <c r="I12" t="str">
        <f>"(0.404)"</f>
        <v>(0.404)</v>
      </c>
      <c r="J12" t="str">
        <f>"(0.393)"</f>
        <v>(0.393)</v>
      </c>
      <c r="K12" t="str">
        <f>"(0.452)"</f>
        <v>(0.452)</v>
      </c>
      <c r="L12" t="str">
        <f>"(3.454)"</f>
        <v>(3.454)</v>
      </c>
      <c r="M12" t="str">
        <f>"(2.943)"</f>
        <v>(2.943)</v>
      </c>
      <c r="N12" t="str">
        <f>"(2.794)"</f>
        <v>(2.794)</v>
      </c>
      <c r="O12" t="str">
        <f>"(2.821)"</f>
        <v>(2.821)</v>
      </c>
      <c r="P12" t="str">
        <f>"(2.798)"</f>
        <v>(2.798)</v>
      </c>
      <c r="Q12" t="str">
        <f>"(2.819)"</f>
        <v>(2.819)</v>
      </c>
      <c r="R12" t="str">
        <f>"(2.794)"</f>
        <v>(2.794)</v>
      </c>
      <c r="S12" t="str">
        <f>"(2.798)"</f>
        <v>(2.798)</v>
      </c>
      <c r="T12" t="str">
        <f>"(2.793)"</f>
        <v>(2.793)</v>
      </c>
      <c r="U12" t="str">
        <f>"(2.822)"</f>
        <v>(2.822)</v>
      </c>
    </row>
    <row r="13" spans="1:21" x14ac:dyDescent="0.25">
      <c r="A13" t="str">
        <f>"tertiary education"</f>
        <v>tertiary education</v>
      </c>
      <c r="B13" t="str">
        <f>"0.101*"</f>
        <v>0.101*</v>
      </c>
      <c r="C13" t="str">
        <f>"0.060"</f>
        <v>0.060</v>
      </c>
      <c r="D13" t="str">
        <f>"0.035"</f>
        <v>0.035</v>
      </c>
      <c r="E13" t="str">
        <f>"0.037"</f>
        <v>0.037</v>
      </c>
      <c r="F13" t="str">
        <f>"0.035"</f>
        <v>0.035</v>
      </c>
      <c r="G13" t="str">
        <f>"0.037"</f>
        <v>0.037</v>
      </c>
      <c r="H13" t="str">
        <f>"0.034"</f>
        <v>0.034</v>
      </c>
      <c r="I13" t="str">
        <f>"0.035"</f>
        <v>0.035</v>
      </c>
      <c r="J13" t="str">
        <f>"0.035"</f>
        <v>0.035</v>
      </c>
      <c r="K13" t="str">
        <f>"0.036"</f>
        <v>0.036</v>
      </c>
      <c r="L13" t="str">
        <f>"0.178**"</f>
        <v>0.178**</v>
      </c>
      <c r="M13" t="str">
        <f>"0.149**"</f>
        <v>0.149**</v>
      </c>
      <c r="N13" t="str">
        <f>"0.116**"</f>
        <v>0.116**</v>
      </c>
      <c r="O13" t="str">
        <f>"0.116**"</f>
        <v>0.116**</v>
      </c>
      <c r="P13" t="str">
        <f>"0.116**"</f>
        <v>0.116**</v>
      </c>
      <c r="Q13" t="str">
        <f>"0.117**"</f>
        <v>0.117**</v>
      </c>
      <c r="R13" t="str">
        <f>"0.116**"</f>
        <v>0.116**</v>
      </c>
      <c r="S13" t="str">
        <f>"0.116**"</f>
        <v>0.116**</v>
      </c>
      <c r="T13" t="str">
        <f>"0.116**"</f>
        <v>0.116**</v>
      </c>
      <c r="U13" t="str">
        <f>"0.116**"</f>
        <v>0.116**</v>
      </c>
    </row>
    <row r="14" spans="1:21" x14ac:dyDescent="0.25">
      <c r="A14" t="str">
        <f>""</f>
        <v/>
      </c>
      <c r="B14" t="str">
        <f>"(2.289)"</f>
        <v>(2.289)</v>
      </c>
      <c r="C14" t="str">
        <f>"(1.390)"</f>
        <v>(1.390)</v>
      </c>
      <c r="D14" t="str">
        <f>"(0.917)"</f>
        <v>(0.917)</v>
      </c>
      <c r="E14" t="str">
        <f>"(0.957)"</f>
        <v>(0.957)</v>
      </c>
      <c r="F14" t="str">
        <f>"(0.920)"</f>
        <v>(0.920)</v>
      </c>
      <c r="G14" t="str">
        <f>"(0.976)"</f>
        <v>(0.976)</v>
      </c>
      <c r="H14" t="str">
        <f>"(0.910)"</f>
        <v>(0.910)</v>
      </c>
      <c r="I14" t="str">
        <f>"(0.915)"</f>
        <v>(0.915)</v>
      </c>
      <c r="J14" t="str">
        <f>"(0.917)"</f>
        <v>(0.917)</v>
      </c>
      <c r="K14" t="str">
        <f>"(0.950)"</f>
        <v>(0.950)</v>
      </c>
      <c r="L14" t="str">
        <f>"(5.609)"</f>
        <v>(5.609)</v>
      </c>
      <c r="M14" t="str">
        <f>"(4.621)"</f>
        <v>(4.621)</v>
      </c>
      <c r="N14" t="str">
        <f>"(3.757)"</f>
        <v>(3.757)</v>
      </c>
      <c r="O14" t="str">
        <f>"(3.778)"</f>
        <v>(3.778)</v>
      </c>
      <c r="P14" t="str">
        <f>"(3.762)"</f>
        <v>(3.762)</v>
      </c>
      <c r="Q14" t="str">
        <f>"(3.780)"</f>
        <v>(3.780)</v>
      </c>
      <c r="R14" t="str">
        <f>"(3.760)"</f>
        <v>(3.760)</v>
      </c>
      <c r="S14" t="str">
        <f>"(3.764)"</f>
        <v>(3.764)</v>
      </c>
      <c r="T14" t="str">
        <f>"(3.756)"</f>
        <v>(3.756)</v>
      </c>
      <c r="U14" t="str">
        <f>"(3.783)"</f>
        <v>(3.783)</v>
      </c>
    </row>
    <row r="15" spans="1:21" x14ac:dyDescent="0.25">
      <c r="A15" t="str">
        <f>"household income-national rank"</f>
        <v>household income-national rank</v>
      </c>
      <c r="B15" t="str">
        <f>"0.005**"</f>
        <v>0.005**</v>
      </c>
      <c r="C15" t="str">
        <f>"0.004**"</f>
        <v>0.004**</v>
      </c>
      <c r="D15" t="str">
        <f t="shared" ref="D15:K15" si="4">"0.002**"</f>
        <v>0.002**</v>
      </c>
      <c r="E15" t="str">
        <f t="shared" si="4"/>
        <v>0.002**</v>
      </c>
      <c r="F15" t="str">
        <f t="shared" si="4"/>
        <v>0.002**</v>
      </c>
      <c r="G15" t="str">
        <f t="shared" si="4"/>
        <v>0.002**</v>
      </c>
      <c r="H15" t="str">
        <f t="shared" si="4"/>
        <v>0.002**</v>
      </c>
      <c r="I15" t="str">
        <f t="shared" si="4"/>
        <v>0.002**</v>
      </c>
      <c r="J15" t="str">
        <f t="shared" si="4"/>
        <v>0.002**</v>
      </c>
      <c r="K15" t="str">
        <f t="shared" si="4"/>
        <v>0.002**</v>
      </c>
      <c r="L15" t="str">
        <f>"0.005**"</f>
        <v>0.005**</v>
      </c>
      <c r="M15" t="str">
        <f>"0.005**"</f>
        <v>0.005**</v>
      </c>
      <c r="N15" t="str">
        <f t="shared" ref="N15:U15" si="5">"0.002**"</f>
        <v>0.002**</v>
      </c>
      <c r="O15" t="str">
        <f t="shared" si="5"/>
        <v>0.002**</v>
      </c>
      <c r="P15" t="str">
        <f t="shared" si="5"/>
        <v>0.002**</v>
      </c>
      <c r="Q15" t="str">
        <f t="shared" si="5"/>
        <v>0.002**</v>
      </c>
      <c r="R15" t="str">
        <f t="shared" si="5"/>
        <v>0.002**</v>
      </c>
      <c r="S15" t="str">
        <f t="shared" si="5"/>
        <v>0.002**</v>
      </c>
      <c r="T15" t="str">
        <f t="shared" si="5"/>
        <v>0.002**</v>
      </c>
      <c r="U15" t="str">
        <f t="shared" si="5"/>
        <v>0.002**</v>
      </c>
    </row>
    <row r="16" spans="1:21" x14ac:dyDescent="0.25">
      <c r="A16" t="str">
        <f>""</f>
        <v/>
      </c>
      <c r="B16" t="str">
        <f>"(7.102)"</f>
        <v>(7.102)</v>
      </c>
      <c r="C16" t="str">
        <f>"(6.220)"</f>
        <v>(6.220)</v>
      </c>
      <c r="D16" t="str">
        <f>"(3.818)"</f>
        <v>(3.818)</v>
      </c>
      <c r="E16" t="str">
        <f>"(3.779)"</f>
        <v>(3.779)</v>
      </c>
      <c r="F16" t="str">
        <f>"(3.812)"</f>
        <v>(3.812)</v>
      </c>
      <c r="G16" t="str">
        <f>"(3.790)"</f>
        <v>(3.790)</v>
      </c>
      <c r="H16" t="str">
        <f>"(3.819)"</f>
        <v>(3.819)</v>
      </c>
      <c r="I16" t="str">
        <f>"(3.809)"</f>
        <v>(3.809)</v>
      </c>
      <c r="J16" t="str">
        <f>"(3.815)"</f>
        <v>(3.815)</v>
      </c>
      <c r="K16" t="str">
        <f>"(3.788)"</f>
        <v>(3.788)</v>
      </c>
      <c r="L16" t="str">
        <f>"(10.284)"</f>
        <v>(10.284)</v>
      </c>
      <c r="M16" t="str">
        <f>"(9.041)"</f>
        <v>(9.041)</v>
      </c>
      <c r="N16" t="str">
        <f>"(5.109)"</f>
        <v>(5.109)</v>
      </c>
      <c r="O16" t="str">
        <f>"(5.111)"</f>
        <v>(5.111)</v>
      </c>
      <c r="P16" t="str">
        <f>"(5.107)"</f>
        <v>(5.107)</v>
      </c>
      <c r="Q16" t="str">
        <f>"(5.103)"</f>
        <v>(5.103)</v>
      </c>
      <c r="R16" t="str">
        <f>"(5.112)"</f>
        <v>(5.112)</v>
      </c>
      <c r="S16" t="str">
        <f>"(5.091)"</f>
        <v>(5.091)</v>
      </c>
      <c r="T16" t="str">
        <f>"(5.106)"</f>
        <v>(5.106)</v>
      </c>
      <c r="U16" t="str">
        <f>"(5.096)"</f>
        <v>(5.096)</v>
      </c>
    </row>
    <row r="17" spans="1:21" x14ac:dyDescent="0.25">
      <c r="A17" t="str">
        <f>"Ages 25-34"</f>
        <v>Ages 25-34</v>
      </c>
      <c r="B17" t="str">
        <f>"-0.154**"</f>
        <v>-0.154**</v>
      </c>
      <c r="C17" t="str">
        <f>"-0.140**"</f>
        <v>-0.140**</v>
      </c>
      <c r="D17" t="str">
        <f>"-0.080**"</f>
        <v>-0.080**</v>
      </c>
      <c r="E17" t="str">
        <f>"-0.078**"</f>
        <v>-0.078**</v>
      </c>
      <c r="F17" t="str">
        <f>"-0.080**"</f>
        <v>-0.080**</v>
      </c>
      <c r="G17" t="str">
        <f>"-0.078**"</f>
        <v>-0.078**</v>
      </c>
      <c r="H17" t="str">
        <f>"-0.080**"</f>
        <v>-0.080**</v>
      </c>
      <c r="I17" t="str">
        <f>"-0.079**"</f>
        <v>-0.079**</v>
      </c>
      <c r="J17" t="str">
        <f>"-0.080**"</f>
        <v>-0.080**</v>
      </c>
      <c r="K17" t="str">
        <f>"-0.079**"</f>
        <v>-0.079**</v>
      </c>
      <c r="L17" t="str">
        <f>"-0.051"</f>
        <v>-0.051</v>
      </c>
      <c r="M17" t="str">
        <f>"-0.042"</f>
        <v>-0.042</v>
      </c>
      <c r="N17" t="str">
        <f>"-0.000"</f>
        <v>-0.000</v>
      </c>
      <c r="O17" t="str">
        <f>"0.000"</f>
        <v>0.000</v>
      </c>
      <c r="P17" t="str">
        <f>"-0.000"</f>
        <v>-0.000</v>
      </c>
      <c r="Q17" t="str">
        <f>"0.000"</f>
        <v>0.000</v>
      </c>
      <c r="R17" t="str">
        <f>"-0.000"</f>
        <v>-0.000</v>
      </c>
      <c r="S17" t="str">
        <f>"-0.000"</f>
        <v>-0.000</v>
      </c>
      <c r="T17" t="str">
        <f>"-0.000"</f>
        <v>-0.000</v>
      </c>
      <c r="U17" t="str">
        <f>"0.000"</f>
        <v>0.000</v>
      </c>
    </row>
    <row r="18" spans="1:21" x14ac:dyDescent="0.25">
      <c r="A18" t="str">
        <f>""</f>
        <v/>
      </c>
      <c r="B18" t="str">
        <f>"(-3.816)"</f>
        <v>(-3.816)</v>
      </c>
      <c r="C18" t="str">
        <f>"(-3.322)"</f>
        <v>(-3.322)</v>
      </c>
      <c r="D18" t="str">
        <f>"(-2.861)"</f>
        <v>(-2.861)</v>
      </c>
      <c r="E18" t="str">
        <f>"(-2.792)"</f>
        <v>(-2.792)</v>
      </c>
      <c r="F18" t="str">
        <f>"(-2.860)"</f>
        <v>(-2.860)</v>
      </c>
      <c r="G18" t="str">
        <f>"(-2.804)"</f>
        <v>(-2.804)</v>
      </c>
      <c r="H18" t="str">
        <f>"(-2.862)"</f>
        <v>(-2.862)</v>
      </c>
      <c r="I18" t="str">
        <f>"(-2.859)"</f>
        <v>(-2.859)</v>
      </c>
      <c r="J18" t="str">
        <f>"(-2.861)"</f>
        <v>(-2.861)</v>
      </c>
      <c r="K18" t="str">
        <f>"(-2.826)"</f>
        <v>(-2.826)</v>
      </c>
      <c r="L18" t="str">
        <f>"(-1.572)"</f>
        <v>(-1.572)</v>
      </c>
      <c r="M18" t="str">
        <f>"(-1.282)"</f>
        <v>(-1.282)</v>
      </c>
      <c r="N18" t="str">
        <f>"(-0.005)"</f>
        <v>(-0.005)</v>
      </c>
      <c r="O18" t="str">
        <f>"(0.003)"</f>
        <v>(0.003)</v>
      </c>
      <c r="P18" t="str">
        <f>"(-0.005)"</f>
        <v>(-0.005)</v>
      </c>
      <c r="Q18" t="str">
        <f>"(0.009)"</f>
        <v>(0.009)</v>
      </c>
      <c r="R18" t="str">
        <f>"(-0.006)"</f>
        <v>(-0.006)</v>
      </c>
      <c r="S18" t="str">
        <f>"(-0.003)"</f>
        <v>(-0.003)</v>
      </c>
      <c r="T18" t="str">
        <f>"(-0.005)"</f>
        <v>(-0.005)</v>
      </c>
      <c r="U18" t="str">
        <f>"(0.006)"</f>
        <v>(0.006)</v>
      </c>
    </row>
    <row r="19" spans="1:21" x14ac:dyDescent="0.25">
      <c r="A19" t="str">
        <f>"Ages 35-44"</f>
        <v>Ages 35-44</v>
      </c>
      <c r="B19" t="str">
        <f>"-0.201**"</f>
        <v>-0.201**</v>
      </c>
      <c r="C19" t="str">
        <f>"-0.178**"</f>
        <v>-0.178**</v>
      </c>
      <c r="D19" t="str">
        <f>"-0.107**"</f>
        <v>-0.107**</v>
      </c>
      <c r="E19" t="str">
        <f>"-0.106**"</f>
        <v>-0.106**</v>
      </c>
      <c r="F19" t="str">
        <f>"-0.107**"</f>
        <v>-0.107**</v>
      </c>
      <c r="G19" t="str">
        <f>"-0.105**"</f>
        <v>-0.105**</v>
      </c>
      <c r="H19" t="str">
        <f>"-0.108**"</f>
        <v>-0.108**</v>
      </c>
      <c r="I19" t="str">
        <f>"-0.107**"</f>
        <v>-0.107**</v>
      </c>
      <c r="J19" t="str">
        <f>"-0.107**"</f>
        <v>-0.107**</v>
      </c>
      <c r="K19" t="str">
        <f>"-0.105**"</f>
        <v>-0.105**</v>
      </c>
      <c r="L19" t="str">
        <f>"-0.034"</f>
        <v>-0.034</v>
      </c>
      <c r="M19" t="str">
        <f>"-0.012"</f>
        <v>-0.012</v>
      </c>
      <c r="N19" t="str">
        <f>"0.044"</f>
        <v>0.044</v>
      </c>
      <c r="O19" t="str">
        <f>"0.044"</f>
        <v>0.044</v>
      </c>
      <c r="P19" t="str">
        <f>"0.044"</f>
        <v>0.044</v>
      </c>
      <c r="Q19" t="str">
        <f>"0.045"</f>
        <v>0.045</v>
      </c>
      <c r="R19" t="str">
        <f>"0.044"</f>
        <v>0.044</v>
      </c>
      <c r="S19" t="str">
        <f>"0.044"</f>
        <v>0.044</v>
      </c>
      <c r="T19" t="str">
        <f>"0.044"</f>
        <v>0.044</v>
      </c>
      <c r="U19" t="str">
        <f>"0.044"</f>
        <v>0.044</v>
      </c>
    </row>
    <row r="20" spans="1:21" x14ac:dyDescent="0.25">
      <c r="A20" t="str">
        <f>""</f>
        <v/>
      </c>
      <c r="B20" t="str">
        <f>"(-5.123)"</f>
        <v>(-5.123)</v>
      </c>
      <c r="C20" t="str">
        <f>"(-4.447)"</f>
        <v>(-4.447)</v>
      </c>
      <c r="D20" t="str">
        <f>"(-3.128)"</f>
        <v>(-3.128)</v>
      </c>
      <c r="E20" t="str">
        <f>"(-3.062)"</f>
        <v>(-3.062)</v>
      </c>
      <c r="F20" t="str">
        <f>"(-3.127)"</f>
        <v>(-3.127)</v>
      </c>
      <c r="G20" t="str">
        <f>"(-3.085)"</f>
        <v>(-3.085)</v>
      </c>
      <c r="H20" t="str">
        <f>"(-3.131)"</f>
        <v>(-3.131)</v>
      </c>
      <c r="I20" t="str">
        <f>"(-3.129)"</f>
        <v>(-3.129)</v>
      </c>
      <c r="J20" t="str">
        <f>"(-3.128)"</f>
        <v>(-3.128)</v>
      </c>
      <c r="K20" t="str">
        <f>"(-3.092)"</f>
        <v>(-3.092)</v>
      </c>
      <c r="L20" t="str">
        <f>"(-0.769)"</f>
        <v>(-0.769)</v>
      </c>
      <c r="M20" t="str">
        <f>"(-0.280)"</f>
        <v>(-0.280)</v>
      </c>
      <c r="N20" t="str">
        <f>"(1.064)"</f>
        <v>(1.064)</v>
      </c>
      <c r="O20" t="str">
        <f>"(1.076)"</f>
        <v>(1.076)</v>
      </c>
      <c r="P20" t="str">
        <f>"(1.065)"</f>
        <v>(1.065)</v>
      </c>
      <c r="Q20" t="str">
        <f>"(1.086)"</f>
        <v>(1.086)</v>
      </c>
      <c r="R20" t="str">
        <f>"(1.062)"</f>
        <v>(1.062)</v>
      </c>
      <c r="S20" t="str">
        <f>"(1.066)"</f>
        <v>(1.066)</v>
      </c>
      <c r="T20" t="str">
        <f>"(1.063)"</f>
        <v>(1.063)</v>
      </c>
      <c r="U20" t="str">
        <f>"(1.084)"</f>
        <v>(1.084)</v>
      </c>
    </row>
    <row r="21" spans="1:21" x14ac:dyDescent="0.25">
      <c r="A21" t="str">
        <f>"Ages 45-54"</f>
        <v>Ages 45-54</v>
      </c>
      <c r="B21" t="str">
        <f>"-0.175**"</f>
        <v>-0.175**</v>
      </c>
      <c r="C21" t="str">
        <f>"-0.145**"</f>
        <v>-0.145**</v>
      </c>
      <c r="D21" t="str">
        <f>"-0.086*"</f>
        <v>-0.086*</v>
      </c>
      <c r="E21" t="str">
        <f>"-0.084*"</f>
        <v>-0.084*</v>
      </c>
      <c r="F21" t="str">
        <f>"-0.086*"</f>
        <v>-0.086*</v>
      </c>
      <c r="G21" t="str">
        <f>"-0.084*"</f>
        <v>-0.084*</v>
      </c>
      <c r="H21" t="str">
        <f>"-0.087*"</f>
        <v>-0.087*</v>
      </c>
      <c r="I21" t="str">
        <f>"-0.086*"</f>
        <v>-0.086*</v>
      </c>
      <c r="J21" t="str">
        <f>"-0.086*"</f>
        <v>-0.086*</v>
      </c>
      <c r="K21" t="str">
        <f>"-0.084*"</f>
        <v>-0.084*</v>
      </c>
      <c r="L21" t="str">
        <f>"-0.004"</f>
        <v>-0.004</v>
      </c>
      <c r="M21" t="str">
        <f>"0.018"</f>
        <v>0.018</v>
      </c>
      <c r="N21" t="str">
        <f>"0.078"</f>
        <v>0.078</v>
      </c>
      <c r="O21" t="str">
        <f>"0.079"</f>
        <v>0.079</v>
      </c>
      <c r="P21" t="str">
        <f>"0.078"</f>
        <v>0.078</v>
      </c>
      <c r="Q21" t="str">
        <f>"0.079"</f>
        <v>0.079</v>
      </c>
      <c r="R21" t="str">
        <f>"0.078"</f>
        <v>0.078</v>
      </c>
      <c r="S21" t="str">
        <f>"0.078"</f>
        <v>0.078</v>
      </c>
      <c r="T21" t="str">
        <f>"0.078"</f>
        <v>0.078</v>
      </c>
      <c r="U21" t="str">
        <f>"0.079"</f>
        <v>0.079</v>
      </c>
    </row>
    <row r="22" spans="1:21" x14ac:dyDescent="0.25">
      <c r="A22" t="str">
        <f>""</f>
        <v/>
      </c>
      <c r="B22" t="str">
        <f>"(-4.137)"</f>
        <v>(-4.137)</v>
      </c>
      <c r="C22" t="str">
        <f>"(-3.421)"</f>
        <v>(-3.421)</v>
      </c>
      <c r="D22" t="str">
        <f>"(-2.004)"</f>
        <v>(-2.004)</v>
      </c>
      <c r="E22" t="str">
        <f>"(-1.960)"</f>
        <v>(-1.960)</v>
      </c>
      <c r="F22" t="str">
        <f>"(-2.003)"</f>
        <v>(-2.003)</v>
      </c>
      <c r="G22" t="str">
        <f>"(-1.960)"</f>
        <v>(-1.960)</v>
      </c>
      <c r="H22" t="str">
        <f>"(-2.007)"</f>
        <v>(-2.007)</v>
      </c>
      <c r="I22" t="str">
        <f>"(-2.006)"</f>
        <v>(-2.006)</v>
      </c>
      <c r="J22" t="str">
        <f>"(-2.004)"</f>
        <v>(-2.004)</v>
      </c>
      <c r="K22" t="str">
        <f>"(-1.971)"</f>
        <v>(-1.971)</v>
      </c>
      <c r="L22" t="str">
        <f>"(-0.082)"</f>
        <v>(-0.082)</v>
      </c>
      <c r="M22" t="str">
        <f>"(0.383)"</f>
        <v>(0.383)</v>
      </c>
      <c r="N22" t="str">
        <f>"(1.528)"</f>
        <v>(1.528)</v>
      </c>
      <c r="O22" t="str">
        <f>"(1.545)"</f>
        <v>(1.545)</v>
      </c>
      <c r="P22" t="str">
        <f>"(1.529)"</f>
        <v>(1.529)</v>
      </c>
      <c r="Q22" t="str">
        <f>"(1.549)"</f>
        <v>(1.549)</v>
      </c>
      <c r="R22" t="str">
        <f>"(1.525)"</f>
        <v>(1.525)</v>
      </c>
      <c r="S22" t="str">
        <f>"(1.529)"</f>
        <v>(1.529)</v>
      </c>
      <c r="T22" t="str">
        <f>"(1.527)"</f>
        <v>(1.527)</v>
      </c>
      <c r="U22" t="str">
        <f>"(1.550)"</f>
        <v>(1.550)</v>
      </c>
    </row>
    <row r="23" spans="1:21" x14ac:dyDescent="0.25">
      <c r="A23" t="str">
        <f>"Ages 55-64"</f>
        <v>Ages 55-64</v>
      </c>
      <c r="B23" t="str">
        <f>"-0.062"</f>
        <v>-0.062</v>
      </c>
      <c r="C23" t="str">
        <f>"-0.032"</f>
        <v>-0.032</v>
      </c>
      <c r="D23" t="str">
        <f>"-0.012"</f>
        <v>-0.012</v>
      </c>
      <c r="E23" t="str">
        <f>"-0.010"</f>
        <v>-0.010</v>
      </c>
      <c r="F23" t="str">
        <f>"-0.012"</f>
        <v>-0.012</v>
      </c>
      <c r="G23" t="str">
        <f>"-0.009"</f>
        <v>-0.009</v>
      </c>
      <c r="H23" t="str">
        <f>"-0.012"</f>
        <v>-0.012</v>
      </c>
      <c r="I23" t="str">
        <f>"-0.012"</f>
        <v>-0.012</v>
      </c>
      <c r="J23" t="str">
        <f>"-0.012"</f>
        <v>-0.012</v>
      </c>
      <c r="K23" t="str">
        <f>"-0.010"</f>
        <v>-0.010</v>
      </c>
      <c r="L23" t="str">
        <f>"0.095"</f>
        <v>0.095</v>
      </c>
      <c r="M23" t="str">
        <f>"0.112"</f>
        <v>0.112</v>
      </c>
      <c r="N23" t="str">
        <f>"0.153*"</f>
        <v>0.153*</v>
      </c>
      <c r="O23" t="str">
        <f>"0.153**"</f>
        <v>0.153**</v>
      </c>
      <c r="P23" t="str">
        <f>"0.153*"</f>
        <v>0.153*</v>
      </c>
      <c r="Q23" t="str">
        <f>"0.154**"</f>
        <v>0.154**</v>
      </c>
      <c r="R23" t="str">
        <f>"0.153*"</f>
        <v>0.153*</v>
      </c>
      <c r="S23" t="str">
        <f>"0.153*"</f>
        <v>0.153*</v>
      </c>
      <c r="T23" t="str">
        <f>"0.153*"</f>
        <v>0.153*</v>
      </c>
      <c r="U23" t="str">
        <f>"0.153**"</f>
        <v>0.153**</v>
      </c>
    </row>
    <row r="24" spans="1:21" x14ac:dyDescent="0.25">
      <c r="A24" t="str">
        <f>""</f>
        <v/>
      </c>
      <c r="B24" t="str">
        <f>"(-1.205)"</f>
        <v>(-1.205)</v>
      </c>
      <c r="C24" t="str">
        <f>"(-0.638)"</f>
        <v>(-0.638)</v>
      </c>
      <c r="D24" t="str">
        <f>"(-0.267)"</f>
        <v>(-0.267)</v>
      </c>
      <c r="E24" t="str">
        <f>"(-0.225)"</f>
        <v>(-0.225)</v>
      </c>
      <c r="F24" t="str">
        <f>"(-0.266)"</f>
        <v>(-0.266)</v>
      </c>
      <c r="G24" t="str">
        <f>"(-0.199)"</f>
        <v>(-0.199)</v>
      </c>
      <c r="H24" t="str">
        <f>"(-0.270)"</f>
        <v>(-0.270)</v>
      </c>
      <c r="I24" t="str">
        <f>"(-0.257)"</f>
        <v>(-0.257)</v>
      </c>
      <c r="J24" t="str">
        <f>"(-0.267)"</f>
        <v>(-0.267)</v>
      </c>
      <c r="K24" t="str">
        <f>"(-0.219)"</f>
        <v>(-0.219)</v>
      </c>
      <c r="L24" t="str">
        <f>"(1.674)"</f>
        <v>(1.674)</v>
      </c>
      <c r="M24" t="str">
        <f>"(1.898)"</f>
        <v>(1.898)</v>
      </c>
      <c r="N24" t="str">
        <f>"(2.560)"</f>
        <v>(2.560)</v>
      </c>
      <c r="O24" t="str">
        <f>"(2.581)"</f>
        <v>(2.581)</v>
      </c>
      <c r="P24" t="str">
        <f>"(2.560)"</f>
        <v>(2.560)</v>
      </c>
      <c r="Q24" t="str">
        <f>"(2.577)"</f>
        <v>(2.577)</v>
      </c>
      <c r="R24" t="str">
        <f>"(2.556)"</f>
        <v>(2.556)</v>
      </c>
      <c r="S24" t="str">
        <f>"(2.561)"</f>
        <v>(2.561)</v>
      </c>
      <c r="T24" t="str">
        <f>"(2.557)"</f>
        <v>(2.557)</v>
      </c>
      <c r="U24" t="str">
        <f>"(2.583)"</f>
        <v>(2.583)</v>
      </c>
    </row>
    <row r="25" spans="1:21" x14ac:dyDescent="0.25">
      <c r="A25" t="str">
        <f>"Ages 65-74"</f>
        <v>Ages 65-74</v>
      </c>
      <c r="B25" t="str">
        <f>"0.085"</f>
        <v>0.085</v>
      </c>
      <c r="C25" t="str">
        <f>"0.115*"</f>
        <v>0.115*</v>
      </c>
      <c r="D25" t="str">
        <f>"0.092*"</f>
        <v>0.092*</v>
      </c>
      <c r="E25" t="str">
        <f>"0.094*"</f>
        <v>0.094*</v>
      </c>
      <c r="F25" t="str">
        <f>"0.092*"</f>
        <v>0.092*</v>
      </c>
      <c r="G25" t="str">
        <f>"0.093*"</f>
        <v>0.093*</v>
      </c>
      <c r="H25" t="str">
        <f>"0.092*"</f>
        <v>0.092*</v>
      </c>
      <c r="I25" t="str">
        <f>"0.093*"</f>
        <v>0.093*</v>
      </c>
      <c r="J25" t="str">
        <f>"0.092*"</f>
        <v>0.092*</v>
      </c>
      <c r="K25" t="str">
        <f>"0.094*"</f>
        <v>0.094*</v>
      </c>
      <c r="L25" t="str">
        <f>"0.215**"</f>
        <v>0.215**</v>
      </c>
      <c r="M25" t="str">
        <f>"0.232**"</f>
        <v>0.232**</v>
      </c>
      <c r="N25" t="str">
        <f>"0.241**"</f>
        <v>0.241**</v>
      </c>
      <c r="O25" t="str">
        <f>"0.241**"</f>
        <v>0.241**</v>
      </c>
      <c r="P25" t="str">
        <f>"0.241**"</f>
        <v>0.241**</v>
      </c>
      <c r="Q25" t="str">
        <f>"0.241**"</f>
        <v>0.241**</v>
      </c>
      <c r="R25" t="str">
        <f>"0.240**"</f>
        <v>0.240**</v>
      </c>
      <c r="S25" t="str">
        <f>"0.240**"</f>
        <v>0.240**</v>
      </c>
      <c r="T25" t="str">
        <f>"0.240**"</f>
        <v>0.240**</v>
      </c>
      <c r="U25" t="str">
        <f>"0.241**"</f>
        <v>0.241**</v>
      </c>
    </row>
    <row r="26" spans="1:21" x14ac:dyDescent="0.25">
      <c r="A26" t="str">
        <f>""</f>
        <v/>
      </c>
      <c r="B26" t="str">
        <f>"(1.510)"</f>
        <v>(1.510)</v>
      </c>
      <c r="C26" t="str">
        <f>"(2.143)"</f>
        <v>(2.143)</v>
      </c>
      <c r="D26" t="str">
        <f>"(2.055)"</f>
        <v>(2.055)</v>
      </c>
      <c r="E26" t="str">
        <f>"(2.108)"</f>
        <v>(2.108)</v>
      </c>
      <c r="F26" t="str">
        <f>"(2.059)"</f>
        <v>(2.059)</v>
      </c>
      <c r="G26" t="str">
        <f>"(2.067)"</f>
        <v>(2.067)</v>
      </c>
      <c r="H26" t="str">
        <f>"(2.051)"</f>
        <v>(2.051)</v>
      </c>
      <c r="I26" t="str">
        <f>"(2.064)"</f>
        <v>(2.064)</v>
      </c>
      <c r="J26" t="str">
        <f>"(2.056)"</f>
        <v>(2.056)</v>
      </c>
      <c r="K26" t="str">
        <f>"(2.091)"</f>
        <v>(2.091)</v>
      </c>
      <c r="L26" t="str">
        <f>"(2.970)"</f>
        <v>(2.970)</v>
      </c>
      <c r="M26" t="str">
        <f>"(3.207)"</f>
        <v>(3.207)</v>
      </c>
      <c r="N26" t="str">
        <f>"(3.415)"</f>
        <v>(3.415)</v>
      </c>
      <c r="O26" t="str">
        <f>"(3.429)"</f>
        <v>(3.429)</v>
      </c>
      <c r="P26" t="str">
        <f>"(3.417)"</f>
        <v>(3.417)</v>
      </c>
      <c r="Q26" t="str">
        <f>"(3.422)"</f>
        <v>(3.422)</v>
      </c>
      <c r="R26" t="str">
        <f>"(3.413)"</f>
        <v>(3.413)</v>
      </c>
      <c r="S26" t="str">
        <f>"(3.413)"</f>
        <v>(3.413)</v>
      </c>
      <c r="T26" t="str">
        <f>"(3.413)"</f>
        <v>(3.413)</v>
      </c>
      <c r="U26" t="str">
        <f>"(3.427)"</f>
        <v>(3.427)</v>
      </c>
    </row>
    <row r="27" spans="1:21" x14ac:dyDescent="0.25">
      <c r="A27" t="str">
        <f>"Ages 75 and older"</f>
        <v>Ages 75 and older</v>
      </c>
      <c r="B27" t="str">
        <f>"0.194**"</f>
        <v>0.194**</v>
      </c>
      <c r="C27" t="str">
        <f>"0.237**"</f>
        <v>0.237**</v>
      </c>
      <c r="D27" t="str">
        <f>"0.153**"</f>
        <v>0.153**</v>
      </c>
      <c r="E27" t="str">
        <f>"0.154**"</f>
        <v>0.154**</v>
      </c>
      <c r="F27" t="str">
        <f t="shared" ref="F27:K27" si="6">"0.153**"</f>
        <v>0.153**</v>
      </c>
      <c r="G27" t="str">
        <f t="shared" si="6"/>
        <v>0.153**</v>
      </c>
      <c r="H27" t="str">
        <f t="shared" si="6"/>
        <v>0.153**</v>
      </c>
      <c r="I27" t="str">
        <f t="shared" si="6"/>
        <v>0.153**</v>
      </c>
      <c r="J27" t="str">
        <f t="shared" si="6"/>
        <v>0.153**</v>
      </c>
      <c r="K27" t="str">
        <f t="shared" si="6"/>
        <v>0.153**</v>
      </c>
      <c r="L27" t="str">
        <f>"0.272**"</f>
        <v>0.272**</v>
      </c>
      <c r="M27" t="str">
        <f>"0.286**"</f>
        <v>0.286**</v>
      </c>
      <c r="N27" t="str">
        <f t="shared" ref="N27:U27" si="7">"0.260**"</f>
        <v>0.260**</v>
      </c>
      <c r="O27" t="str">
        <f t="shared" si="7"/>
        <v>0.260**</v>
      </c>
      <c r="P27" t="str">
        <f t="shared" si="7"/>
        <v>0.260**</v>
      </c>
      <c r="Q27" t="str">
        <f t="shared" si="7"/>
        <v>0.260**</v>
      </c>
      <c r="R27" t="str">
        <f t="shared" si="7"/>
        <v>0.260**</v>
      </c>
      <c r="S27" t="str">
        <f t="shared" si="7"/>
        <v>0.260**</v>
      </c>
      <c r="T27" t="str">
        <f t="shared" si="7"/>
        <v>0.260**</v>
      </c>
      <c r="U27" t="str">
        <f t="shared" si="7"/>
        <v>0.260**</v>
      </c>
    </row>
    <row r="28" spans="1:21" x14ac:dyDescent="0.25">
      <c r="A28" t="str">
        <f>""</f>
        <v/>
      </c>
      <c r="B28" t="str">
        <f>"(2.878)"</f>
        <v>(2.878)</v>
      </c>
      <c r="C28" t="str">
        <f>"(3.987)"</f>
        <v>(3.987)</v>
      </c>
      <c r="D28" t="str">
        <f>"(3.113)"</f>
        <v>(3.113)</v>
      </c>
      <c r="E28" t="str">
        <f>"(3.135)"</f>
        <v>(3.135)</v>
      </c>
      <c r="F28" t="str">
        <f>"(3.116)"</f>
        <v>(3.116)</v>
      </c>
      <c r="G28" t="str">
        <f>"(3.106)"</f>
        <v>(3.106)</v>
      </c>
      <c r="H28" t="str">
        <f>"(3.107)"</f>
        <v>(3.107)</v>
      </c>
      <c r="I28" t="str">
        <f>"(3.095)"</f>
        <v>(3.095)</v>
      </c>
      <c r="J28" t="str">
        <f>"(3.114)"</f>
        <v>(3.114)</v>
      </c>
      <c r="K28" t="str">
        <f>"(3.103)"</f>
        <v>(3.103)</v>
      </c>
      <c r="L28" t="str">
        <f>"(3.899)"</f>
        <v>(3.899)</v>
      </c>
      <c r="M28" t="str">
        <f>"(4.159)"</f>
        <v>(4.159)</v>
      </c>
      <c r="N28" t="str">
        <f>"(3.731)"</f>
        <v>(3.731)</v>
      </c>
      <c r="O28" t="str">
        <f>"(3.737)"</f>
        <v>(3.737)</v>
      </c>
      <c r="P28" t="str">
        <f>"(3.733)"</f>
        <v>(3.733)</v>
      </c>
      <c r="Q28" t="str">
        <f>"(3.733)"</f>
        <v>(3.733)</v>
      </c>
      <c r="R28" t="str">
        <f>"(3.728)"</f>
        <v>(3.728)</v>
      </c>
      <c r="S28" t="str">
        <f>"(3.728)"</f>
        <v>(3.728)</v>
      </c>
      <c r="T28" t="str">
        <f>"(3.729)"</f>
        <v>(3.729)</v>
      </c>
      <c r="U28" t="str">
        <f>"(3.728)"</f>
        <v>(3.728)</v>
      </c>
    </row>
    <row r="29" spans="1:21" x14ac:dyDescent="0.25">
      <c r="A29" t="str">
        <f>"Born in another country"</f>
        <v>Born in another country</v>
      </c>
      <c r="B29" t="str">
        <f>"0.065"</f>
        <v>0.065</v>
      </c>
      <c r="C29" t="str">
        <f>"0.110**"</f>
        <v>0.110**</v>
      </c>
      <c r="D29" t="str">
        <f>"0.083*"</f>
        <v>0.083*</v>
      </c>
      <c r="E29" t="str">
        <f>"0.083*"</f>
        <v>0.083*</v>
      </c>
      <c r="F29" t="str">
        <f>"0.083*"</f>
        <v>0.083*</v>
      </c>
      <c r="G29" t="str">
        <f>"0.085*"</f>
        <v>0.085*</v>
      </c>
      <c r="H29" t="str">
        <f>"0.083*"</f>
        <v>0.083*</v>
      </c>
      <c r="I29" t="str">
        <f>"0.084*"</f>
        <v>0.084*</v>
      </c>
      <c r="J29" t="str">
        <f>"0.083*"</f>
        <v>0.083*</v>
      </c>
      <c r="K29" t="str">
        <f>"0.084*"</f>
        <v>0.084*</v>
      </c>
      <c r="L29" t="str">
        <f>"0.037"</f>
        <v>0.037</v>
      </c>
      <c r="M29" t="str">
        <f>"0.064*"</f>
        <v>0.064*</v>
      </c>
      <c r="N29" t="str">
        <f>"0.057**"</f>
        <v>0.057**</v>
      </c>
      <c r="O29" t="str">
        <f>"0.057**"</f>
        <v>0.057**</v>
      </c>
      <c r="P29" t="str">
        <f>"0.057**"</f>
        <v>0.057**</v>
      </c>
      <c r="Q29" t="str">
        <f>"0.058**"</f>
        <v>0.058**</v>
      </c>
      <c r="R29" t="str">
        <f>"0.057**"</f>
        <v>0.057**</v>
      </c>
      <c r="S29" t="str">
        <f>"0.057**"</f>
        <v>0.057**</v>
      </c>
      <c r="T29" t="str">
        <f>"0.057**"</f>
        <v>0.057**</v>
      </c>
      <c r="U29" t="str">
        <f>"0.057**"</f>
        <v>0.057**</v>
      </c>
    </row>
    <row r="30" spans="1:21" x14ac:dyDescent="0.25">
      <c r="A30" t="str">
        <f>""</f>
        <v/>
      </c>
      <c r="B30" t="str">
        <f>"(1.284)"</f>
        <v>(1.284)</v>
      </c>
      <c r="C30" t="str">
        <f>"(2.815)"</f>
        <v>(2.815)</v>
      </c>
      <c r="D30" t="str">
        <f>"(2.195)"</f>
        <v>(2.195)</v>
      </c>
      <c r="E30" t="str">
        <f>"(2.216)"</f>
        <v>(2.216)</v>
      </c>
      <c r="F30" t="str">
        <f>"(2.198)"</f>
        <v>(2.198)</v>
      </c>
      <c r="G30" t="str">
        <f>"(2.231)"</f>
        <v>(2.231)</v>
      </c>
      <c r="H30" t="str">
        <f>"(2.190)"</f>
        <v>(2.190)</v>
      </c>
      <c r="I30" t="str">
        <f>"(2.198)"</f>
        <v>(2.198)</v>
      </c>
      <c r="J30" t="str">
        <f>"(2.196)"</f>
        <v>(2.196)</v>
      </c>
      <c r="K30" t="str">
        <f>"(2.221)"</f>
        <v>(2.221)</v>
      </c>
      <c r="L30" t="str">
        <f>"(1.008)"</f>
        <v>(1.008)</v>
      </c>
      <c r="M30" t="str">
        <f>"(2.496)"</f>
        <v>(2.496)</v>
      </c>
      <c r="N30" t="str">
        <f>"(2.900)"</f>
        <v>(2.900)</v>
      </c>
      <c r="O30" t="str">
        <f>"(2.912)"</f>
        <v>(2.912)</v>
      </c>
      <c r="P30" t="str">
        <f>"(2.902)"</f>
        <v>(2.902)</v>
      </c>
      <c r="Q30" t="str">
        <f>"(2.933)"</f>
        <v>(2.933)</v>
      </c>
      <c r="R30" t="str">
        <f>"(2.889)"</f>
        <v>(2.889)</v>
      </c>
      <c r="S30" t="str">
        <f>"(2.897)"</f>
        <v>(2.897)</v>
      </c>
      <c r="T30" t="str">
        <f>"(2.894)"</f>
        <v>(2.894)</v>
      </c>
      <c r="U30" t="str">
        <f>"(2.938)"</f>
        <v>(2.938)</v>
      </c>
    </row>
    <row r="31" spans="1:21" x14ac:dyDescent="0.25">
      <c r="A31" t="str">
        <f>"Currently working for pay"</f>
        <v>Currently working for pay</v>
      </c>
      <c r="B31" t="str">
        <f>"0.035**"</f>
        <v>0.035**</v>
      </c>
      <c r="C31" t="str">
        <f>"0.031*"</f>
        <v>0.031*</v>
      </c>
      <c r="D31" t="str">
        <f>"0.026*"</f>
        <v>0.026*</v>
      </c>
      <c r="E31" t="str">
        <f>"0.026*"</f>
        <v>0.026*</v>
      </c>
      <c r="F31" t="str">
        <f>"0.026*"</f>
        <v>0.026*</v>
      </c>
      <c r="G31" t="str">
        <f>"0.026*"</f>
        <v>0.026*</v>
      </c>
      <c r="H31" t="str">
        <f>"0.026*"</f>
        <v>0.026*</v>
      </c>
      <c r="I31" t="str">
        <f>"0.025*"</f>
        <v>0.025*</v>
      </c>
      <c r="J31" t="str">
        <f>"0.026*"</f>
        <v>0.026*</v>
      </c>
      <c r="K31" t="str">
        <f>"0.026*"</f>
        <v>0.026*</v>
      </c>
      <c r="L31" t="str">
        <f>"0.051**"</f>
        <v>0.051**</v>
      </c>
      <c r="M31" t="str">
        <f>"0.055**"</f>
        <v>0.055**</v>
      </c>
      <c r="N31" t="str">
        <f t="shared" ref="N31:U31" si="8">"0.049**"</f>
        <v>0.049**</v>
      </c>
      <c r="O31" t="str">
        <f t="shared" si="8"/>
        <v>0.049**</v>
      </c>
      <c r="P31" t="str">
        <f t="shared" si="8"/>
        <v>0.049**</v>
      </c>
      <c r="Q31" t="str">
        <f t="shared" si="8"/>
        <v>0.049**</v>
      </c>
      <c r="R31" t="str">
        <f t="shared" si="8"/>
        <v>0.049**</v>
      </c>
      <c r="S31" t="str">
        <f t="shared" si="8"/>
        <v>0.049**</v>
      </c>
      <c r="T31" t="str">
        <f t="shared" si="8"/>
        <v>0.049**</v>
      </c>
      <c r="U31" t="str">
        <f t="shared" si="8"/>
        <v>0.049**</v>
      </c>
    </row>
    <row r="32" spans="1:21" x14ac:dyDescent="0.25">
      <c r="A32" t="str">
        <f>""</f>
        <v/>
      </c>
      <c r="B32" t="str">
        <f>"(2.881)"</f>
        <v>(2.881)</v>
      </c>
      <c r="C32" t="str">
        <f>"(2.342)"</f>
        <v>(2.342)</v>
      </c>
      <c r="D32" t="str">
        <f>"(2.184)"</f>
        <v>(2.184)</v>
      </c>
      <c r="E32" t="str">
        <f>"(2.235)"</f>
        <v>(2.235)</v>
      </c>
      <c r="F32" t="str">
        <f>"(2.185)"</f>
        <v>(2.185)</v>
      </c>
      <c r="G32" t="str">
        <f>"(2.203)"</f>
        <v>(2.203)</v>
      </c>
      <c r="H32" t="str">
        <f>"(2.182)"</f>
        <v>(2.182)</v>
      </c>
      <c r="I32" t="str">
        <f>"(2.168)"</f>
        <v>(2.168)</v>
      </c>
      <c r="J32" t="str">
        <f>"(2.185)"</f>
        <v>(2.185)</v>
      </c>
      <c r="K32" t="str">
        <f>"(2.216)"</f>
        <v>(2.216)</v>
      </c>
      <c r="L32" t="str">
        <f>"(3.595)"</f>
        <v>(3.595)</v>
      </c>
      <c r="M32" t="str">
        <f>"(4.136)"</f>
        <v>(4.136)</v>
      </c>
      <c r="N32" t="str">
        <f>"(3.526)"</f>
        <v>(3.526)</v>
      </c>
      <c r="O32" t="str">
        <f>"(3.547)"</f>
        <v>(3.547)</v>
      </c>
      <c r="P32" t="str">
        <f>"(3.527)"</f>
        <v>(3.527)</v>
      </c>
      <c r="Q32" t="str">
        <f>"(3.537)"</f>
        <v>(3.537)</v>
      </c>
      <c r="R32" t="str">
        <f>"(3.522)"</f>
        <v>(3.522)</v>
      </c>
      <c r="S32" t="str">
        <f>"(3.507)"</f>
        <v>(3.507)</v>
      </c>
      <c r="T32" t="str">
        <f>"(3.525)"</f>
        <v>(3.525)</v>
      </c>
      <c r="U32" t="str">
        <f>"(3.534)"</f>
        <v>(3.534)</v>
      </c>
    </row>
    <row r="33" spans="1:21" x14ac:dyDescent="0.25">
      <c r="A33" t="str">
        <f>"Never married"</f>
        <v>Never married</v>
      </c>
      <c r="B33" t="str">
        <f>"-0.118**"</f>
        <v>-0.118**</v>
      </c>
      <c r="C33" t="str">
        <f>"-0.134**"</f>
        <v>-0.134**</v>
      </c>
      <c r="D33" t="str">
        <f>"-0.149**"</f>
        <v>-0.149**</v>
      </c>
      <c r="E33" t="str">
        <f>"-0.148**"</f>
        <v>-0.148**</v>
      </c>
      <c r="F33" t="str">
        <f>"-0.149**"</f>
        <v>-0.149**</v>
      </c>
      <c r="G33" t="str">
        <f>"-0.148**"</f>
        <v>-0.148**</v>
      </c>
      <c r="H33" t="str">
        <f>"-0.149**"</f>
        <v>-0.149**</v>
      </c>
      <c r="I33" t="str">
        <f>"-0.149**"</f>
        <v>-0.149**</v>
      </c>
      <c r="J33" t="str">
        <f>"-0.149**"</f>
        <v>-0.149**</v>
      </c>
      <c r="K33" t="str">
        <f>"-0.149**"</f>
        <v>-0.149**</v>
      </c>
      <c r="L33" t="str">
        <f>"0.018"</f>
        <v>0.018</v>
      </c>
      <c r="M33" t="str">
        <f>"0.001"</f>
        <v>0.001</v>
      </c>
      <c r="N33" t="str">
        <f t="shared" ref="N33:U33" si="9">"-0.014"</f>
        <v>-0.014</v>
      </c>
      <c r="O33" t="str">
        <f t="shared" si="9"/>
        <v>-0.014</v>
      </c>
      <c r="P33" t="str">
        <f t="shared" si="9"/>
        <v>-0.014</v>
      </c>
      <c r="Q33" t="str">
        <f t="shared" si="9"/>
        <v>-0.014</v>
      </c>
      <c r="R33" t="str">
        <f t="shared" si="9"/>
        <v>-0.014</v>
      </c>
      <c r="S33" t="str">
        <f t="shared" si="9"/>
        <v>-0.014</v>
      </c>
      <c r="T33" t="str">
        <f t="shared" si="9"/>
        <v>-0.014</v>
      </c>
      <c r="U33" t="str">
        <f t="shared" si="9"/>
        <v>-0.014</v>
      </c>
    </row>
    <row r="34" spans="1:21" x14ac:dyDescent="0.25">
      <c r="A34" t="str">
        <f>""</f>
        <v/>
      </c>
      <c r="B34" t="str">
        <f>"(-3.004)"</f>
        <v>(-3.004)</v>
      </c>
      <c r="C34" t="str">
        <f>"(-3.510)"</f>
        <v>(-3.510)</v>
      </c>
      <c r="D34" t="str">
        <f>"(-4.242)"</f>
        <v>(-4.242)</v>
      </c>
      <c r="E34" t="str">
        <f>"(-4.227)"</f>
        <v>(-4.227)</v>
      </c>
      <c r="F34" t="str">
        <f>"(-4.243)"</f>
        <v>(-4.243)</v>
      </c>
      <c r="G34" t="str">
        <f>"(-4.210)"</f>
        <v>(-4.210)</v>
      </c>
      <c r="H34" t="str">
        <f>"(-4.240)"</f>
        <v>(-4.240)</v>
      </c>
      <c r="I34" t="str">
        <f>"(-4.236)"</f>
        <v>(-4.236)</v>
      </c>
      <c r="J34" t="str">
        <f>"(-4.242)"</f>
        <v>(-4.242)</v>
      </c>
      <c r="K34" t="str">
        <f>"(-4.241)"</f>
        <v>(-4.241)</v>
      </c>
      <c r="L34" t="str">
        <f>"(0.747)"</f>
        <v>(0.747)</v>
      </c>
      <c r="M34" t="str">
        <f>"(0.048)"</f>
        <v>(0.048)</v>
      </c>
      <c r="N34" t="str">
        <f>"(-0.608)"</f>
        <v>(-0.608)</v>
      </c>
      <c r="O34" t="str">
        <f>"(-0.602)"</f>
        <v>(-0.602)</v>
      </c>
      <c r="P34" t="str">
        <f>"(-0.608)"</f>
        <v>(-0.608)</v>
      </c>
      <c r="Q34" t="str">
        <f>"(-0.595)"</f>
        <v>(-0.595)</v>
      </c>
      <c r="R34" t="str">
        <f>"(-0.606)"</f>
        <v>(-0.606)</v>
      </c>
      <c r="S34" t="str">
        <f>"(-0.605)"</f>
        <v>(-0.605)</v>
      </c>
      <c r="T34" t="str">
        <f>"(-0.607)"</f>
        <v>(-0.607)</v>
      </c>
      <c r="U34" t="str">
        <f>"(-0.602)"</f>
        <v>(-0.602)</v>
      </c>
    </row>
    <row r="35" spans="1:21" x14ac:dyDescent="0.25">
      <c r="A35" t="str">
        <f>"Married"</f>
        <v>Married</v>
      </c>
      <c r="B35" t="str">
        <f>"0.129**"</f>
        <v>0.129**</v>
      </c>
      <c r="C35" t="str">
        <f>"0.121**"</f>
        <v>0.121**</v>
      </c>
      <c r="D35" t="str">
        <f t="shared" ref="D35:K35" si="10">"0.069**"</f>
        <v>0.069**</v>
      </c>
      <c r="E35" t="str">
        <f t="shared" si="10"/>
        <v>0.069**</v>
      </c>
      <c r="F35" t="str">
        <f t="shared" si="10"/>
        <v>0.069**</v>
      </c>
      <c r="G35" t="str">
        <f t="shared" si="10"/>
        <v>0.069**</v>
      </c>
      <c r="H35" t="str">
        <f t="shared" si="10"/>
        <v>0.069**</v>
      </c>
      <c r="I35" t="str">
        <f t="shared" si="10"/>
        <v>0.069**</v>
      </c>
      <c r="J35" t="str">
        <f t="shared" si="10"/>
        <v>0.069**</v>
      </c>
      <c r="K35" t="str">
        <f t="shared" si="10"/>
        <v>0.069**</v>
      </c>
      <c r="L35" t="str">
        <f>"0.113**"</f>
        <v>0.113**</v>
      </c>
      <c r="M35" t="str">
        <f>"0.099**"</f>
        <v>0.099**</v>
      </c>
      <c r="N35" t="str">
        <f t="shared" ref="N35:U35" si="11">"0.076**"</f>
        <v>0.076**</v>
      </c>
      <c r="O35" t="str">
        <f t="shared" si="11"/>
        <v>0.076**</v>
      </c>
      <c r="P35" t="str">
        <f t="shared" si="11"/>
        <v>0.076**</v>
      </c>
      <c r="Q35" t="str">
        <f t="shared" si="11"/>
        <v>0.076**</v>
      </c>
      <c r="R35" t="str">
        <f t="shared" si="11"/>
        <v>0.076**</v>
      </c>
      <c r="S35" t="str">
        <f t="shared" si="11"/>
        <v>0.076**</v>
      </c>
      <c r="T35" t="str">
        <f t="shared" si="11"/>
        <v>0.076**</v>
      </c>
      <c r="U35" t="str">
        <f t="shared" si="11"/>
        <v>0.076**</v>
      </c>
    </row>
    <row r="36" spans="1:21" x14ac:dyDescent="0.25">
      <c r="A36" t="str">
        <f>""</f>
        <v/>
      </c>
      <c r="B36" t="str">
        <f>"(8.348)"</f>
        <v>(8.348)</v>
      </c>
      <c r="C36" t="str">
        <f>"(6.843)"</f>
        <v>(6.843)</v>
      </c>
      <c r="D36" t="str">
        <f>"(5.533)"</f>
        <v>(5.533)</v>
      </c>
      <c r="E36" t="str">
        <f>"(5.523)"</f>
        <v>(5.523)</v>
      </c>
      <c r="F36" t="str">
        <f>"(5.530)"</f>
        <v>(5.530)</v>
      </c>
      <c r="G36" t="str">
        <f>"(5.575)"</f>
        <v>(5.575)</v>
      </c>
      <c r="H36" t="str">
        <f>"(5.542)"</f>
        <v>(5.542)</v>
      </c>
      <c r="I36" t="str">
        <f>"(5.552)"</f>
        <v>(5.552)</v>
      </c>
      <c r="J36" t="str">
        <f>"(5.531)"</f>
        <v>(5.531)</v>
      </c>
      <c r="K36" t="str">
        <f>"(5.557)"</f>
        <v>(5.557)</v>
      </c>
      <c r="L36" t="str">
        <f>"(9.843)"</f>
        <v>(9.843)</v>
      </c>
      <c r="M36" t="str">
        <f>"(8.128)"</f>
        <v>(8.128)</v>
      </c>
      <c r="N36" t="str">
        <f>"(7.374)"</f>
        <v>(7.374)</v>
      </c>
      <c r="O36" t="str">
        <f>"(7.386)"</f>
        <v>(7.386)</v>
      </c>
      <c r="P36" t="str">
        <f>"(7.374)"</f>
        <v>(7.374)</v>
      </c>
      <c r="Q36" t="str">
        <f>"(7.392)"</f>
        <v>(7.392)</v>
      </c>
      <c r="R36" t="str">
        <f>"(7.386)"</f>
        <v>(7.386)</v>
      </c>
      <c r="S36" t="str">
        <f>"(7.384)"</f>
        <v>(7.384)</v>
      </c>
      <c r="T36" t="str">
        <f>"(7.373)"</f>
        <v>(7.373)</v>
      </c>
      <c r="U36" t="str">
        <f>"(7.388)"</f>
        <v>(7.388)</v>
      </c>
    </row>
    <row r="37" spans="1:21" x14ac:dyDescent="0.25">
      <c r="A37" t="str">
        <f>"Live alone"</f>
        <v>Live alone</v>
      </c>
      <c r="B37" t="str">
        <f>"0.010"</f>
        <v>0.010</v>
      </c>
      <c r="C37" t="str">
        <f>"0.013"</f>
        <v>0.013</v>
      </c>
      <c r="D37" t="str">
        <f>"-0.005"</f>
        <v>-0.005</v>
      </c>
      <c r="E37" t="str">
        <f>"-0.006"</f>
        <v>-0.006</v>
      </c>
      <c r="F37" t="str">
        <f t="shared" ref="F37:K37" si="12">"-0.005"</f>
        <v>-0.005</v>
      </c>
      <c r="G37" t="str">
        <f t="shared" si="12"/>
        <v>-0.005</v>
      </c>
      <c r="H37" t="str">
        <f t="shared" si="12"/>
        <v>-0.005</v>
      </c>
      <c r="I37" t="str">
        <f t="shared" si="12"/>
        <v>-0.005</v>
      </c>
      <c r="J37" t="str">
        <f t="shared" si="12"/>
        <v>-0.005</v>
      </c>
      <c r="K37" t="str">
        <f t="shared" si="12"/>
        <v>-0.005</v>
      </c>
      <c r="L37" t="str">
        <f>"0.012"</f>
        <v>0.012</v>
      </c>
      <c r="M37" t="str">
        <f>"0.011"</f>
        <v>0.011</v>
      </c>
      <c r="N37" t="str">
        <f t="shared" ref="N37:U37" si="13">"0.002"</f>
        <v>0.002</v>
      </c>
      <c r="O37" t="str">
        <f t="shared" si="13"/>
        <v>0.002</v>
      </c>
      <c r="P37" t="str">
        <f t="shared" si="13"/>
        <v>0.002</v>
      </c>
      <c r="Q37" t="str">
        <f t="shared" si="13"/>
        <v>0.002</v>
      </c>
      <c r="R37" t="str">
        <f t="shared" si="13"/>
        <v>0.002</v>
      </c>
      <c r="S37" t="str">
        <f t="shared" si="13"/>
        <v>0.002</v>
      </c>
      <c r="T37" t="str">
        <f t="shared" si="13"/>
        <v>0.002</v>
      </c>
      <c r="U37" t="str">
        <f t="shared" si="13"/>
        <v>0.002</v>
      </c>
    </row>
    <row r="38" spans="1:21" x14ac:dyDescent="0.25">
      <c r="A38" t="str">
        <f>""</f>
        <v/>
      </c>
      <c r="B38" t="str">
        <f>"(0.480)"</f>
        <v>(0.480)</v>
      </c>
      <c r="C38" t="str">
        <f>"(0.573)"</f>
        <v>(0.573)</v>
      </c>
      <c r="D38" t="str">
        <f>"(-0.342)"</f>
        <v>(-0.342)</v>
      </c>
      <c r="E38" t="str">
        <f>"(-0.402)"</f>
        <v>(-0.402)</v>
      </c>
      <c r="F38" t="str">
        <f>"(-0.342)"</f>
        <v>(-0.342)</v>
      </c>
      <c r="G38" t="str">
        <f>"(-0.325)"</f>
        <v>(-0.325)</v>
      </c>
      <c r="H38" t="str">
        <f>"(-0.341)"</f>
        <v>(-0.341)</v>
      </c>
      <c r="I38" t="str">
        <f>"(-0.354)"</f>
        <v>(-0.354)</v>
      </c>
      <c r="J38" t="str">
        <f>"(-0.341)"</f>
        <v>(-0.341)</v>
      </c>
      <c r="K38" t="str">
        <f>"(-0.344)"</f>
        <v>(-0.344)</v>
      </c>
      <c r="L38" t="str">
        <f>"(0.499)"</f>
        <v>(0.499)</v>
      </c>
      <c r="M38" t="str">
        <f>"(0.471)"</f>
        <v>(0.471)</v>
      </c>
      <c r="N38" t="str">
        <f>"(0.123)"</f>
        <v>(0.123)</v>
      </c>
      <c r="O38" t="str">
        <f>"(0.115)"</f>
        <v>(0.115)</v>
      </c>
      <c r="P38" t="str">
        <f>"(0.123)"</f>
        <v>(0.123)</v>
      </c>
      <c r="Q38" t="str">
        <f>"(0.125)"</f>
        <v>(0.125)</v>
      </c>
      <c r="R38" t="str">
        <f>"(0.122)"</f>
        <v>(0.122)</v>
      </c>
      <c r="S38" t="str">
        <f>"(0.119)"</f>
        <v>(0.119)</v>
      </c>
      <c r="T38" t="str">
        <f>"(0.123)"</f>
        <v>(0.123)</v>
      </c>
      <c r="U38" t="str">
        <f>"(0.123)"</f>
        <v>(0.123)</v>
      </c>
    </row>
    <row r="39" spans="1:21" x14ac:dyDescent="0.25">
      <c r="A39" t="str">
        <f>"Do not have children"</f>
        <v>Do not have children</v>
      </c>
      <c r="B39" t="str">
        <f>"-0.047"</f>
        <v>-0.047</v>
      </c>
      <c r="C39" t="str">
        <f>"-0.060*"</f>
        <v>-0.060*</v>
      </c>
      <c r="D39" t="str">
        <f>"-0.062*"</f>
        <v>-0.062*</v>
      </c>
      <c r="E39" t="str">
        <f>"-0.063*"</f>
        <v>-0.063*</v>
      </c>
      <c r="F39" t="str">
        <f t="shared" ref="F39:K39" si="14">"-0.062*"</f>
        <v>-0.062*</v>
      </c>
      <c r="G39" t="str">
        <f t="shared" si="14"/>
        <v>-0.062*</v>
      </c>
      <c r="H39" t="str">
        <f t="shared" si="14"/>
        <v>-0.062*</v>
      </c>
      <c r="I39" t="str">
        <f t="shared" si="14"/>
        <v>-0.062*</v>
      </c>
      <c r="J39" t="str">
        <f t="shared" si="14"/>
        <v>-0.062*</v>
      </c>
      <c r="K39" t="str">
        <f t="shared" si="14"/>
        <v>-0.062*</v>
      </c>
      <c r="L39" t="str">
        <f>"0.028"</f>
        <v>0.028</v>
      </c>
      <c r="M39" t="str">
        <f>"0.044**"</f>
        <v>0.044**</v>
      </c>
      <c r="N39" t="str">
        <f>"0.009"</f>
        <v>0.009</v>
      </c>
      <c r="O39" t="str">
        <f>"0.008"</f>
        <v>0.008</v>
      </c>
      <c r="P39" t="str">
        <f>"0.009"</f>
        <v>0.009</v>
      </c>
      <c r="Q39" t="str">
        <f>"0.008"</f>
        <v>0.008</v>
      </c>
      <c r="R39" t="str">
        <f>"0.008"</f>
        <v>0.008</v>
      </c>
      <c r="S39" t="str">
        <f>"0.008"</f>
        <v>0.008</v>
      </c>
      <c r="T39" t="str">
        <f>"0.008"</f>
        <v>0.008</v>
      </c>
      <c r="U39" t="str">
        <f>"0.008"</f>
        <v>0.008</v>
      </c>
    </row>
    <row r="40" spans="1:21" x14ac:dyDescent="0.25">
      <c r="A40" t="str">
        <f>""</f>
        <v/>
      </c>
      <c r="B40" t="str">
        <f>"(-1.792)"</f>
        <v>(-1.792)</v>
      </c>
      <c r="C40" t="str">
        <f>"(-2.486)"</f>
        <v>(-2.486)</v>
      </c>
      <c r="D40" t="str">
        <f>"(-2.329)"</f>
        <v>(-2.329)</v>
      </c>
      <c r="E40" t="str">
        <f>"(-2.386)"</f>
        <v>(-2.386)</v>
      </c>
      <c r="F40" t="str">
        <f>"(-2.329)"</f>
        <v>(-2.329)</v>
      </c>
      <c r="G40" t="str">
        <f>"(-2.386)"</f>
        <v>(-2.386)</v>
      </c>
      <c r="H40" t="str">
        <f>"(-2.333)"</f>
        <v>(-2.333)</v>
      </c>
      <c r="I40" t="str">
        <f>"(-2.351)"</f>
        <v>(-2.351)</v>
      </c>
      <c r="J40" t="str">
        <f>"(-2.330)"</f>
        <v>(-2.330)</v>
      </c>
      <c r="K40" t="str">
        <f>"(-2.373)"</f>
        <v>(-2.373)</v>
      </c>
      <c r="L40" t="str">
        <f>"(1.289)"</f>
        <v>(1.289)</v>
      </c>
      <c r="M40" t="str">
        <f>"(2.651)"</f>
        <v>(2.651)</v>
      </c>
      <c r="N40" t="str">
        <f>"(0.584)"</f>
        <v>(0.584)</v>
      </c>
      <c r="O40" t="str">
        <f>"(0.574)"</f>
        <v>(0.574)</v>
      </c>
      <c r="P40" t="str">
        <f>"(0.585)"</f>
        <v>(0.585)</v>
      </c>
      <c r="Q40" t="str">
        <f>"(0.576)"</f>
        <v>(0.576)</v>
      </c>
      <c r="R40" t="str">
        <f>"(0.576)"</f>
        <v>(0.576)</v>
      </c>
      <c r="S40" t="str">
        <f>"(0.572)"</f>
        <v>(0.572)</v>
      </c>
      <c r="T40" t="str">
        <f>"(0.577)"</f>
        <v>(0.577)</v>
      </c>
      <c r="U40" t="str">
        <f>"(0.564)"</f>
        <v>(0.564)</v>
      </c>
    </row>
    <row r="41" spans="1:21" x14ac:dyDescent="0.25">
      <c r="A41" t="str">
        <f>"Has one child"</f>
        <v>Has one child</v>
      </c>
      <c r="B41" t="str">
        <f>"-0.006"</f>
        <v>-0.006</v>
      </c>
      <c r="C41" t="str">
        <f>"-0.013"</f>
        <v>-0.013</v>
      </c>
      <c r="D41" t="str">
        <f>"-0.013"</f>
        <v>-0.013</v>
      </c>
      <c r="E41" t="str">
        <f>"-0.014"</f>
        <v>-0.014</v>
      </c>
      <c r="F41" t="str">
        <f>"-0.013"</f>
        <v>-0.013</v>
      </c>
      <c r="G41" t="str">
        <f>"-0.013"</f>
        <v>-0.013</v>
      </c>
      <c r="H41" t="str">
        <f>"-0.014"</f>
        <v>-0.014</v>
      </c>
      <c r="I41" t="str">
        <f>"-0.014"</f>
        <v>-0.014</v>
      </c>
      <c r="J41" t="str">
        <f>"-0.013"</f>
        <v>-0.013</v>
      </c>
      <c r="K41" t="str">
        <f>"-0.013"</f>
        <v>-0.013</v>
      </c>
      <c r="L41" t="str">
        <f>"0.014"</f>
        <v>0.014</v>
      </c>
      <c r="M41" t="str">
        <f>"0.028"</f>
        <v>0.028</v>
      </c>
      <c r="N41" t="str">
        <f>"0.011"</f>
        <v>0.011</v>
      </c>
      <c r="O41" t="str">
        <f>"0.011"</f>
        <v>0.011</v>
      </c>
      <c r="P41" t="str">
        <f>"0.011"</f>
        <v>0.011</v>
      </c>
      <c r="Q41" t="str">
        <f>"0.011"</f>
        <v>0.011</v>
      </c>
      <c r="R41" t="str">
        <f>"0.010"</f>
        <v>0.010</v>
      </c>
      <c r="S41" t="str">
        <f>"0.010"</f>
        <v>0.010</v>
      </c>
      <c r="T41" t="str">
        <f>"0.011"</f>
        <v>0.011</v>
      </c>
      <c r="U41" t="str">
        <f>"0.011"</f>
        <v>0.011</v>
      </c>
    </row>
    <row r="42" spans="1:21" x14ac:dyDescent="0.25">
      <c r="A42" t="str">
        <f>""</f>
        <v/>
      </c>
      <c r="B42" t="str">
        <f>"(-0.446)"</f>
        <v>(-0.446)</v>
      </c>
      <c r="C42" t="str">
        <f>"(-0.971)"</f>
        <v>(-0.971)</v>
      </c>
      <c r="D42" t="str">
        <f>"(-0.963)"</f>
        <v>(-0.963)</v>
      </c>
      <c r="E42" t="str">
        <f>"(-1.015)"</f>
        <v>(-1.015)</v>
      </c>
      <c r="F42" t="str">
        <f>"(-0.961)"</f>
        <v>(-0.961)</v>
      </c>
      <c r="G42" t="str">
        <f>"(-0.956)"</f>
        <v>(-0.956)</v>
      </c>
      <c r="H42" t="str">
        <f>"(-0.970)"</f>
        <v>(-0.970)</v>
      </c>
      <c r="I42" t="str">
        <f>"(-0.981)"</f>
        <v>(-0.981)</v>
      </c>
      <c r="J42" t="str">
        <f>"(-0.963)"</f>
        <v>(-0.963)</v>
      </c>
      <c r="K42" t="str">
        <f>"(-0.971)"</f>
        <v>(-0.971)</v>
      </c>
      <c r="L42" t="str">
        <f>"(0.665)"</f>
        <v>(0.665)</v>
      </c>
      <c r="M42" t="str">
        <f>"(1.586)"</f>
        <v>(1.586)</v>
      </c>
      <c r="N42" t="str">
        <f>"(0.731)"</f>
        <v>(0.731)</v>
      </c>
      <c r="O42" t="str">
        <f>"(0.725)"</f>
        <v>(0.725)</v>
      </c>
      <c r="P42" t="str">
        <f>"(0.731)"</f>
        <v>(0.731)</v>
      </c>
      <c r="Q42" t="str">
        <f>"(0.733)"</f>
        <v>(0.733)</v>
      </c>
      <c r="R42" t="str">
        <f>"(0.724)"</f>
        <v>(0.724)</v>
      </c>
      <c r="S42" t="str">
        <f>"(0.722)"</f>
        <v>(0.722)</v>
      </c>
      <c r="T42" t="str">
        <f>"(0.726)"</f>
        <v>(0.726)</v>
      </c>
      <c r="U42" t="str">
        <f>"(0.726)"</f>
        <v>(0.726)</v>
      </c>
    </row>
    <row r="43" spans="1:21" x14ac:dyDescent="0.25">
      <c r="A43" t="str">
        <f>"Has two children"</f>
        <v>Has two children</v>
      </c>
      <c r="B43" t="str">
        <f>"0.001"</f>
        <v>0.001</v>
      </c>
      <c r="C43" t="str">
        <f>"-0.010"</f>
        <v>-0.010</v>
      </c>
      <c r="D43" t="str">
        <f>"-0.011"</f>
        <v>-0.011</v>
      </c>
      <c r="E43" t="str">
        <f>"-0.011"</f>
        <v>-0.011</v>
      </c>
      <c r="F43" t="str">
        <f>"-0.010"</f>
        <v>-0.010</v>
      </c>
      <c r="G43" t="str">
        <f>"-0.011"</f>
        <v>-0.011</v>
      </c>
      <c r="H43" t="str">
        <f>"-0.011"</f>
        <v>-0.011</v>
      </c>
      <c r="I43" t="str">
        <f>"-0.011"</f>
        <v>-0.011</v>
      </c>
      <c r="J43" t="str">
        <f>"-0.011"</f>
        <v>-0.011</v>
      </c>
      <c r="K43" t="str">
        <f>"-0.011"</f>
        <v>-0.011</v>
      </c>
      <c r="L43" t="str">
        <f>"0.013"</f>
        <v>0.013</v>
      </c>
      <c r="M43" t="str">
        <f>"0.022"</f>
        <v>0.022</v>
      </c>
      <c r="N43" t="str">
        <f t="shared" ref="N43:U43" si="15">"0.011"</f>
        <v>0.011</v>
      </c>
      <c r="O43" t="str">
        <f t="shared" si="15"/>
        <v>0.011</v>
      </c>
      <c r="P43" t="str">
        <f t="shared" si="15"/>
        <v>0.011</v>
      </c>
      <c r="Q43" t="str">
        <f t="shared" si="15"/>
        <v>0.011</v>
      </c>
      <c r="R43" t="str">
        <f t="shared" si="15"/>
        <v>0.011</v>
      </c>
      <c r="S43" t="str">
        <f t="shared" si="15"/>
        <v>0.011</v>
      </c>
      <c r="T43" t="str">
        <f t="shared" si="15"/>
        <v>0.011</v>
      </c>
      <c r="U43" t="str">
        <f t="shared" si="15"/>
        <v>0.011</v>
      </c>
    </row>
    <row r="44" spans="1:21" x14ac:dyDescent="0.25">
      <c r="A44" t="str">
        <f>""</f>
        <v/>
      </c>
      <c r="B44" t="str">
        <f>"(0.089)"</f>
        <v>(0.089)</v>
      </c>
      <c r="C44" t="str">
        <f>"(-0.800)"</f>
        <v>(-0.800)</v>
      </c>
      <c r="D44" t="str">
        <f>"(-0.757)"</f>
        <v>(-0.757)</v>
      </c>
      <c r="E44" t="str">
        <f>"(-0.777)"</f>
        <v>(-0.777)</v>
      </c>
      <c r="F44" t="str">
        <f>"(-0.756)"</f>
        <v>(-0.756)</v>
      </c>
      <c r="G44" t="str">
        <f>"(-0.771)"</f>
        <v>(-0.771)</v>
      </c>
      <c r="H44" t="str">
        <f>"(-0.762)"</f>
        <v>(-0.762)</v>
      </c>
      <c r="I44" t="str">
        <f>"(-0.767)"</f>
        <v>(-0.767)</v>
      </c>
      <c r="J44" t="str">
        <f>"(-0.757)"</f>
        <v>(-0.757)</v>
      </c>
      <c r="K44" t="str">
        <f>"(-0.780)"</f>
        <v>(-0.780)</v>
      </c>
      <c r="L44" t="str">
        <f>"(0.702)"</f>
        <v>(0.702)</v>
      </c>
      <c r="M44" t="str">
        <f>"(1.256)"</f>
        <v>(1.256)</v>
      </c>
      <c r="N44" t="str">
        <f>"(0.764)"</f>
        <v>(0.764)</v>
      </c>
      <c r="O44" t="str">
        <f>"(0.757)"</f>
        <v>(0.757)</v>
      </c>
      <c r="P44" t="str">
        <f>"(0.764)"</f>
        <v>(0.764)</v>
      </c>
      <c r="Q44" t="str">
        <f>"(0.755)"</f>
        <v>(0.755)</v>
      </c>
      <c r="R44" t="str">
        <f>"(0.759)"</f>
        <v>(0.759)</v>
      </c>
      <c r="S44" t="str">
        <f>"(0.755)"</f>
        <v>(0.755)</v>
      </c>
      <c r="T44" t="str">
        <f>"(0.761)"</f>
        <v>(0.761)</v>
      </c>
      <c r="U44" t="str">
        <f>"(0.749)"</f>
        <v>(0.749)</v>
      </c>
    </row>
    <row r="45" spans="1:21" x14ac:dyDescent="0.25">
      <c r="A45" t="str">
        <f>"Live in rural area"</f>
        <v>Live in rural area</v>
      </c>
      <c r="B45" t="str">
        <f>"-0.021"</f>
        <v>-0.021</v>
      </c>
      <c r="C45" t="str">
        <f>"-0.005"</f>
        <v>-0.005</v>
      </c>
      <c r="D45" t="str">
        <f>"-0.030"</f>
        <v>-0.030</v>
      </c>
      <c r="E45" t="str">
        <f>"-0.029"</f>
        <v>-0.029</v>
      </c>
      <c r="F45" t="str">
        <f>"-0.030"</f>
        <v>-0.030</v>
      </c>
      <c r="G45" t="str">
        <f>"-0.028"</f>
        <v>-0.028</v>
      </c>
      <c r="H45" t="str">
        <f>"-0.030"</f>
        <v>-0.030</v>
      </c>
      <c r="I45" t="str">
        <f>"-0.029"</f>
        <v>-0.029</v>
      </c>
      <c r="J45" t="str">
        <f>"-0.030"</f>
        <v>-0.030</v>
      </c>
      <c r="K45" t="str">
        <f>"-0.029"</f>
        <v>-0.029</v>
      </c>
      <c r="L45" t="str">
        <f>"-0.001"</f>
        <v>-0.001</v>
      </c>
      <c r="M45" t="str">
        <f>"-0.000"</f>
        <v>-0.000</v>
      </c>
      <c r="N45" t="str">
        <f>"-0.006"</f>
        <v>-0.006</v>
      </c>
      <c r="O45" t="str">
        <f>"-0.006"</f>
        <v>-0.006</v>
      </c>
      <c r="P45" t="str">
        <f>"-0.006"</f>
        <v>-0.006</v>
      </c>
      <c r="Q45" t="str">
        <f>"-0.005"</f>
        <v>-0.005</v>
      </c>
      <c r="R45" t="str">
        <f>"-0.006"</f>
        <v>-0.006</v>
      </c>
      <c r="S45" t="str">
        <f>"-0.006"</f>
        <v>-0.006</v>
      </c>
      <c r="T45" t="str">
        <f>"-0.006"</f>
        <v>-0.006</v>
      </c>
      <c r="U45" t="str">
        <f>"-0.005"</f>
        <v>-0.005</v>
      </c>
    </row>
    <row r="46" spans="1:21" x14ac:dyDescent="0.25">
      <c r="A46" t="str">
        <f>""</f>
        <v/>
      </c>
      <c r="B46" t="str">
        <f>"(-0.766)"</f>
        <v>(-0.766)</v>
      </c>
      <c r="C46" t="str">
        <f>"(-0.213)"</f>
        <v>(-0.213)</v>
      </c>
      <c r="D46" t="str">
        <f>"(-1.429)"</f>
        <v>(-1.429)</v>
      </c>
      <c r="E46" t="str">
        <f>"(-1.410)"</f>
        <v>(-1.410)</v>
      </c>
      <c r="F46" t="str">
        <f>"(-1.430)"</f>
        <v>(-1.430)</v>
      </c>
      <c r="G46" t="str">
        <f>"(-1.375)"</f>
        <v>(-1.375)</v>
      </c>
      <c r="H46" t="str">
        <f>"(-1.426)"</f>
        <v>(-1.426)</v>
      </c>
      <c r="I46" t="str">
        <f>"(-1.420)"</f>
        <v>(-1.420)</v>
      </c>
      <c r="J46" t="str">
        <f>"(-1.427)"</f>
        <v>(-1.427)</v>
      </c>
      <c r="K46" t="str">
        <f>"(-1.410)"</f>
        <v>(-1.410)</v>
      </c>
      <c r="L46" t="str">
        <f>"(-0.039)"</f>
        <v>(-0.039)</v>
      </c>
      <c r="M46" t="str">
        <f>"(-0.007)"</f>
        <v>(-0.007)</v>
      </c>
      <c r="N46" t="str">
        <f>"(-0.306)"</f>
        <v>(-0.306)</v>
      </c>
      <c r="O46" t="str">
        <f>"(-0.302)"</f>
        <v>(-0.302)</v>
      </c>
      <c r="P46" t="str">
        <f>"(-0.306)"</f>
        <v>(-0.306)</v>
      </c>
      <c r="Q46" t="str">
        <f>"(-0.288)"</f>
        <v>(-0.288)</v>
      </c>
      <c r="R46" t="str">
        <f>"(-0.306)"</f>
        <v>(-0.306)</v>
      </c>
      <c r="S46" t="str">
        <f>"(-0.304)"</f>
        <v>(-0.304)</v>
      </c>
      <c r="T46" t="str">
        <f>"(-0.304)"</f>
        <v>(-0.304)</v>
      </c>
      <c r="U46" t="str">
        <f>"(-0.295)"</f>
        <v>(-0.295)</v>
      </c>
    </row>
    <row r="47" spans="1:21" x14ac:dyDescent="0.25">
      <c r="A47" t="str">
        <f>"Live in village or small town"</f>
        <v>Live in village or small town</v>
      </c>
      <c r="B47" t="str">
        <f>"0.011"</f>
        <v>0.011</v>
      </c>
      <c r="C47" t="str">
        <f>"0.016"</f>
        <v>0.016</v>
      </c>
      <c r="D47" t="str">
        <f>"0.001"</f>
        <v>0.001</v>
      </c>
      <c r="E47" t="str">
        <f>"-0.000"</f>
        <v>-0.000</v>
      </c>
      <c r="F47" t="str">
        <f>"0.001"</f>
        <v>0.001</v>
      </c>
      <c r="G47" t="str">
        <f>"0.000"</f>
        <v>0.000</v>
      </c>
      <c r="H47" t="str">
        <f>"0.001"</f>
        <v>0.001</v>
      </c>
      <c r="I47" t="str">
        <f>"0.000"</f>
        <v>0.000</v>
      </c>
      <c r="J47" t="str">
        <f>"0.001"</f>
        <v>0.001</v>
      </c>
      <c r="K47" t="str">
        <f>"-0.000"</f>
        <v>-0.000</v>
      </c>
      <c r="L47" t="str">
        <f>"-0.009"</f>
        <v>-0.009</v>
      </c>
      <c r="M47" t="str">
        <f>"0.000"</f>
        <v>0.000</v>
      </c>
      <c r="N47" t="str">
        <f t="shared" ref="N47:T47" si="16">"-0.001"</f>
        <v>-0.001</v>
      </c>
      <c r="O47" t="str">
        <f t="shared" si="16"/>
        <v>-0.001</v>
      </c>
      <c r="P47" t="str">
        <f t="shared" si="16"/>
        <v>-0.001</v>
      </c>
      <c r="Q47" t="str">
        <f t="shared" si="16"/>
        <v>-0.001</v>
      </c>
      <c r="R47" t="str">
        <f t="shared" si="16"/>
        <v>-0.001</v>
      </c>
      <c r="S47" t="str">
        <f t="shared" si="16"/>
        <v>-0.001</v>
      </c>
      <c r="T47" t="str">
        <f t="shared" si="16"/>
        <v>-0.001</v>
      </c>
      <c r="U47" t="str">
        <f>"-0.002"</f>
        <v>-0.002</v>
      </c>
    </row>
    <row r="48" spans="1:21" x14ac:dyDescent="0.25">
      <c r="A48" t="str">
        <f>""</f>
        <v/>
      </c>
      <c r="B48" t="str">
        <f>"(0.655)"</f>
        <v>(0.655)</v>
      </c>
      <c r="C48" t="str">
        <f>"(1.010)"</f>
        <v>(1.010)</v>
      </c>
      <c r="D48" t="str">
        <f>"(0.033)"</f>
        <v>(0.033)</v>
      </c>
      <c r="E48" t="str">
        <f>"(-0.008)"</f>
        <v>(-0.008)</v>
      </c>
      <c r="F48" t="str">
        <f>"(0.034)"</f>
        <v>(0.034)</v>
      </c>
      <c r="G48" t="str">
        <f>"(0.023)"</f>
        <v>(0.023)</v>
      </c>
      <c r="H48" t="str">
        <f>"(0.034)"</f>
        <v>(0.034)</v>
      </c>
      <c r="I48" t="str">
        <f>"(0.029)"</f>
        <v>(0.029)</v>
      </c>
      <c r="J48" t="str">
        <f>"(0.035)"</f>
        <v>(0.035)</v>
      </c>
      <c r="K48" t="str">
        <f>"(-0.014)"</f>
        <v>(-0.014)</v>
      </c>
      <c r="L48" t="str">
        <f>"(-0.474)"</f>
        <v>(-0.474)</v>
      </c>
      <c r="M48" t="str">
        <f>"(0.006)"</f>
        <v>(0.006)</v>
      </c>
      <c r="N48" t="str">
        <f>"(-0.073)"</f>
        <v>(-0.073)</v>
      </c>
      <c r="O48" t="str">
        <f>"(-0.078)"</f>
        <v>(-0.078)</v>
      </c>
      <c r="P48" t="str">
        <f>"(-0.073)"</f>
        <v>(-0.073)</v>
      </c>
      <c r="Q48" t="str">
        <f>"(-0.076)"</f>
        <v>(-0.076)</v>
      </c>
      <c r="R48" t="str">
        <f>"(-0.076)"</f>
        <v>(-0.076)</v>
      </c>
      <c r="S48" t="str">
        <f>"(-0.077)"</f>
        <v>(-0.077)</v>
      </c>
      <c r="T48" t="str">
        <f>"(-0.073)"</f>
        <v>(-0.073)</v>
      </c>
      <c r="U48" t="str">
        <f>"(-0.086)"</f>
        <v>(-0.086)</v>
      </c>
    </row>
    <row r="49" spans="1:21" x14ac:dyDescent="0.25">
      <c r="A49" t="str">
        <f>"Live in suburb of city"</f>
        <v>Live in suburb of city</v>
      </c>
      <c r="B49" t="str">
        <f>"-0.010"</f>
        <v>-0.010</v>
      </c>
      <c r="C49" t="str">
        <f>"-0.003"</f>
        <v>-0.003</v>
      </c>
      <c r="D49" t="str">
        <f>"-0.005"</f>
        <v>-0.005</v>
      </c>
      <c r="E49" t="str">
        <f>"-0.006"</f>
        <v>-0.006</v>
      </c>
      <c r="F49" t="str">
        <f>"-0.005"</f>
        <v>-0.005</v>
      </c>
      <c r="G49" t="str">
        <f>"-0.005"</f>
        <v>-0.005</v>
      </c>
      <c r="H49" t="str">
        <f>"-0.005"</f>
        <v>-0.005</v>
      </c>
      <c r="I49" t="str">
        <f>"-0.005"</f>
        <v>-0.005</v>
      </c>
      <c r="J49" t="str">
        <f>"-0.005"</f>
        <v>-0.005</v>
      </c>
      <c r="K49" t="str">
        <f>"-0.006"</f>
        <v>-0.006</v>
      </c>
      <c r="L49" t="str">
        <f>"-0.002"</f>
        <v>-0.002</v>
      </c>
      <c r="M49" t="str">
        <f t="shared" ref="M49:U49" si="17">"0.002"</f>
        <v>0.002</v>
      </c>
      <c r="N49" t="str">
        <f t="shared" si="17"/>
        <v>0.002</v>
      </c>
      <c r="O49" t="str">
        <f t="shared" si="17"/>
        <v>0.002</v>
      </c>
      <c r="P49" t="str">
        <f t="shared" si="17"/>
        <v>0.002</v>
      </c>
      <c r="Q49" t="str">
        <f t="shared" si="17"/>
        <v>0.002</v>
      </c>
      <c r="R49" t="str">
        <f t="shared" si="17"/>
        <v>0.002</v>
      </c>
      <c r="S49" t="str">
        <f t="shared" si="17"/>
        <v>0.002</v>
      </c>
      <c r="T49" t="str">
        <f t="shared" si="17"/>
        <v>0.002</v>
      </c>
      <c r="U49" t="str">
        <f t="shared" si="17"/>
        <v>0.002</v>
      </c>
    </row>
    <row r="50" spans="1:21" x14ac:dyDescent="0.25">
      <c r="A50" t="str">
        <f>""</f>
        <v/>
      </c>
      <c r="B50" t="str">
        <f>"(-0.652)"</f>
        <v>(-0.652)</v>
      </c>
      <c r="C50" t="str">
        <f>"(-0.211)"</f>
        <v>(-0.211)</v>
      </c>
      <c r="D50" t="str">
        <f>"(-0.323)"</f>
        <v>(-0.323)</v>
      </c>
      <c r="E50" t="str">
        <f>"(-0.376)"</f>
        <v>(-0.376)</v>
      </c>
      <c r="F50" t="str">
        <f>"(-0.322)"</f>
        <v>(-0.322)</v>
      </c>
      <c r="G50" t="str">
        <f>"(-0.348)"</f>
        <v>(-0.348)</v>
      </c>
      <c r="H50" t="str">
        <f>"(-0.324)"</f>
        <v>(-0.324)</v>
      </c>
      <c r="I50" t="str">
        <f>"(-0.331)"</f>
        <v>(-0.331)</v>
      </c>
      <c r="J50" t="str">
        <f>"(-0.321)"</f>
        <v>(-0.321)</v>
      </c>
      <c r="K50" t="str">
        <f>"(-0.361)"</f>
        <v>(-0.361)</v>
      </c>
      <c r="L50" t="str">
        <f>"(-0.145)"</f>
        <v>(-0.145)</v>
      </c>
      <c r="M50" t="str">
        <f>"(0.175)"</f>
        <v>(0.175)</v>
      </c>
      <c r="N50" t="str">
        <f>"(0.214)"</f>
        <v>(0.214)</v>
      </c>
      <c r="O50" t="str">
        <f>"(0.201)"</f>
        <v>(0.201)</v>
      </c>
      <c r="P50" t="str">
        <f>"(0.215)"</f>
        <v>(0.215)</v>
      </c>
      <c r="Q50" t="str">
        <f>"(0.203)"</f>
        <v>(0.203)</v>
      </c>
      <c r="R50" t="str">
        <f>"(0.203)"</f>
        <v>(0.203)</v>
      </c>
      <c r="S50" t="str">
        <f>"(0.200)"</f>
        <v>(0.200)</v>
      </c>
      <c r="T50" t="str">
        <f>"(0.213)"</f>
        <v>(0.213)</v>
      </c>
      <c r="U50" t="str">
        <f>"(0.192)"</f>
        <v>(0.192)</v>
      </c>
    </row>
    <row r="51" spans="1:21" x14ac:dyDescent="0.25">
      <c r="A51" t="str">
        <f>"Parents were married at age 12"</f>
        <v>Parents were married at age 12</v>
      </c>
      <c r="B51" t="str">
        <f>""</f>
        <v/>
      </c>
      <c r="C51" t="str">
        <f>"0.002"</f>
        <v>0.002</v>
      </c>
      <c r="D51" t="str">
        <f>"-0.028"</f>
        <v>-0.028</v>
      </c>
      <c r="E51" t="str">
        <f>"-0.028"</f>
        <v>-0.028</v>
      </c>
      <c r="F51" t="str">
        <f>"-0.028"</f>
        <v>-0.028</v>
      </c>
      <c r="G51" t="str">
        <f>"-0.025"</f>
        <v>-0.025</v>
      </c>
      <c r="H51" t="str">
        <f>"-0.028"</f>
        <v>-0.028</v>
      </c>
      <c r="I51" t="str">
        <f>"-0.029"</f>
        <v>-0.029</v>
      </c>
      <c r="J51" t="str">
        <f>"-0.028"</f>
        <v>-0.028</v>
      </c>
      <c r="K51" t="str">
        <f>"-0.027"</f>
        <v>-0.027</v>
      </c>
      <c r="L51" t="str">
        <f>""</f>
        <v/>
      </c>
      <c r="M51" t="str">
        <f>"0.048"</f>
        <v>0.048</v>
      </c>
      <c r="N51" t="str">
        <f>"0.036"</f>
        <v>0.036</v>
      </c>
      <c r="O51" t="str">
        <f>"0.036"</f>
        <v>0.036</v>
      </c>
      <c r="P51" t="str">
        <f>"0.036"</f>
        <v>0.036</v>
      </c>
      <c r="Q51" t="str">
        <f>"0.037"</f>
        <v>0.037</v>
      </c>
      <c r="R51" t="str">
        <f>"0.036"</f>
        <v>0.036</v>
      </c>
      <c r="S51" t="str">
        <f>"0.036"</f>
        <v>0.036</v>
      </c>
      <c r="T51" t="str">
        <f>"0.036"</f>
        <v>0.036</v>
      </c>
      <c r="U51" t="str">
        <f>"0.036"</f>
        <v>0.036</v>
      </c>
    </row>
    <row r="52" spans="1:21" x14ac:dyDescent="0.25">
      <c r="A52" t="str">
        <f>""</f>
        <v/>
      </c>
      <c r="B52" t="str">
        <f>""</f>
        <v/>
      </c>
      <c r="C52" t="str">
        <f>"(0.089)"</f>
        <v>(0.089)</v>
      </c>
      <c r="D52" t="str">
        <f>"(-1.199)"</f>
        <v>(-1.199)</v>
      </c>
      <c r="E52" t="str">
        <f>"(-1.189)"</f>
        <v>(-1.189)</v>
      </c>
      <c r="F52" t="str">
        <f>"(-1.199)"</f>
        <v>(-1.199)</v>
      </c>
      <c r="G52" t="str">
        <f>"(-1.095)"</f>
        <v>(-1.095)</v>
      </c>
      <c r="H52" t="str">
        <f>"(-1.199)"</f>
        <v>(-1.199)</v>
      </c>
      <c r="I52" t="str">
        <f>"(-1.208)"</f>
        <v>(-1.208)</v>
      </c>
      <c r="J52" t="str">
        <f>"(-1.199)"</f>
        <v>(-1.199)</v>
      </c>
      <c r="K52" t="str">
        <f>"(-1.165)"</f>
        <v>(-1.165)</v>
      </c>
      <c r="L52" t="str">
        <f>""</f>
        <v/>
      </c>
      <c r="M52" t="str">
        <f>"(1.602)"</f>
        <v>(1.602)</v>
      </c>
      <c r="N52" t="str">
        <f>"(1.206)"</f>
        <v>(1.206)</v>
      </c>
      <c r="O52" t="str">
        <f>"(1.205)"</f>
        <v>(1.205)</v>
      </c>
      <c r="P52" t="str">
        <f>"(1.206)"</f>
        <v>(1.206)</v>
      </c>
      <c r="Q52" t="str">
        <f>"(1.248)"</f>
        <v>(1.248)</v>
      </c>
      <c r="R52" t="str">
        <f>"(1.207)"</f>
        <v>(1.207)</v>
      </c>
      <c r="S52" t="str">
        <f>"(1.206)"</f>
        <v>(1.206)</v>
      </c>
      <c r="T52" t="str">
        <f>"(1.206)"</f>
        <v>(1.206)</v>
      </c>
      <c r="U52" t="str">
        <f>"(1.213)"</f>
        <v>(1.213)</v>
      </c>
    </row>
    <row r="53" spans="1:21" x14ac:dyDescent="0.25">
      <c r="A53" t="str">
        <f>"Knew mom but not dad"</f>
        <v>Knew mom but not dad</v>
      </c>
      <c r="B53" t="str">
        <f>""</f>
        <v/>
      </c>
      <c r="C53" t="str">
        <f>"-0.083**"</f>
        <v>-0.083**</v>
      </c>
      <c r="D53" t="str">
        <f>"-0.082**"</f>
        <v>-0.082**</v>
      </c>
      <c r="E53" t="str">
        <f>"-0.080**"</f>
        <v>-0.080**</v>
      </c>
      <c r="F53" t="str">
        <f>"-0.082**"</f>
        <v>-0.082**</v>
      </c>
      <c r="G53" t="str">
        <f>"-0.079**"</f>
        <v>-0.079**</v>
      </c>
      <c r="H53" t="str">
        <f>"-0.082**"</f>
        <v>-0.082**</v>
      </c>
      <c r="I53" t="str">
        <f>"-0.081**"</f>
        <v>-0.081**</v>
      </c>
      <c r="J53" t="str">
        <f>"-0.082**"</f>
        <v>-0.082**</v>
      </c>
      <c r="K53" t="str">
        <f>"-0.080**"</f>
        <v>-0.080**</v>
      </c>
      <c r="L53" t="str">
        <f>""</f>
        <v/>
      </c>
      <c r="M53" t="str">
        <f>"-0.010"</f>
        <v>-0.010</v>
      </c>
      <c r="N53" t="str">
        <f>"-0.021"</f>
        <v>-0.021</v>
      </c>
      <c r="O53" t="str">
        <f>"-0.021"</f>
        <v>-0.021</v>
      </c>
      <c r="P53" t="str">
        <f>"-0.021"</f>
        <v>-0.021</v>
      </c>
      <c r="Q53" t="str">
        <f>"-0.020"</f>
        <v>-0.020</v>
      </c>
      <c r="R53" t="str">
        <f>"-0.021"</f>
        <v>-0.021</v>
      </c>
      <c r="S53" t="str">
        <f>"-0.021"</f>
        <v>-0.021</v>
      </c>
      <c r="T53" t="str">
        <f>"-0.021"</f>
        <v>-0.021</v>
      </c>
      <c r="U53" t="str">
        <f>"-0.020"</f>
        <v>-0.020</v>
      </c>
    </row>
    <row r="54" spans="1:21" x14ac:dyDescent="0.25">
      <c r="A54" t="str">
        <f>""</f>
        <v/>
      </c>
      <c r="B54" t="str">
        <f>""</f>
        <v/>
      </c>
      <c r="C54" t="str">
        <f>"(-3.985)"</f>
        <v>(-3.985)</v>
      </c>
      <c r="D54" t="str">
        <f>"(-3.965)"</f>
        <v>(-3.965)</v>
      </c>
      <c r="E54" t="str">
        <f>"(-3.750)"</f>
        <v>(-3.750)</v>
      </c>
      <c r="F54" t="str">
        <f>"(-3.965)"</f>
        <v>(-3.965)</v>
      </c>
      <c r="G54" t="str">
        <f>"(-3.830)"</f>
        <v>(-3.830)</v>
      </c>
      <c r="H54" t="str">
        <f>"(-3.964)"</f>
        <v>(-3.964)</v>
      </c>
      <c r="I54" t="str">
        <f>"(-3.863)"</f>
        <v>(-3.863)</v>
      </c>
      <c r="J54" t="str">
        <f>"(-3.965)"</f>
        <v>(-3.965)</v>
      </c>
      <c r="K54" t="str">
        <f>"(-3.844)"</f>
        <v>(-3.844)</v>
      </c>
      <c r="L54" t="str">
        <f>""</f>
        <v/>
      </c>
      <c r="M54" t="str">
        <f>"(-0.605)"</f>
        <v>(-0.605)</v>
      </c>
      <c r="N54" t="str">
        <f>"(-1.057)"</f>
        <v>(-1.057)</v>
      </c>
      <c r="O54" t="str">
        <f>"(-1.025)"</f>
        <v>(-1.025)</v>
      </c>
      <c r="P54" t="str">
        <f>"(-1.057)"</f>
        <v>(-1.057)</v>
      </c>
      <c r="Q54" t="str">
        <f>"(-1.020)"</f>
        <v>(-1.020)</v>
      </c>
      <c r="R54" t="str">
        <f>"(-1.057)"</f>
        <v>(-1.057)</v>
      </c>
      <c r="S54" t="str">
        <f>"(-1.047)"</f>
        <v>(-1.047)</v>
      </c>
      <c r="T54" t="str">
        <f>"(-1.058)"</f>
        <v>(-1.058)</v>
      </c>
      <c r="U54" t="str">
        <f>"(-1.018)"</f>
        <v>(-1.018)</v>
      </c>
    </row>
    <row r="55" spans="1:21" x14ac:dyDescent="0.25">
      <c r="A55" t="str">
        <f>"Knew dad but not mom"</f>
        <v>Knew dad but not mom</v>
      </c>
      <c r="B55" t="str">
        <f>""</f>
        <v/>
      </c>
      <c r="C55" t="str">
        <f>"-0.084**"</f>
        <v>-0.084**</v>
      </c>
      <c r="D55" t="str">
        <f>"-0.078**"</f>
        <v>-0.078**</v>
      </c>
      <c r="E55" t="str">
        <f>"-0.078**"</f>
        <v>-0.078**</v>
      </c>
      <c r="F55" t="str">
        <f>"-0.078**"</f>
        <v>-0.078**</v>
      </c>
      <c r="G55" t="str">
        <f>"-0.078**"</f>
        <v>-0.078**</v>
      </c>
      <c r="H55" t="str">
        <f>"-0.078**"</f>
        <v>-0.078**</v>
      </c>
      <c r="I55" t="str">
        <f>"-0.077**"</f>
        <v>-0.077**</v>
      </c>
      <c r="J55" t="str">
        <f>"-0.078**"</f>
        <v>-0.078**</v>
      </c>
      <c r="K55" t="str">
        <f>"-0.078**"</f>
        <v>-0.078**</v>
      </c>
      <c r="L55" t="str">
        <f>""</f>
        <v/>
      </c>
      <c r="M55" t="str">
        <f>"-0.028"</f>
        <v>-0.028</v>
      </c>
      <c r="N55" t="str">
        <f t="shared" ref="N55:U55" si="18">"-0.027"</f>
        <v>-0.027</v>
      </c>
      <c r="O55" t="str">
        <f t="shared" si="18"/>
        <v>-0.027</v>
      </c>
      <c r="P55" t="str">
        <f t="shared" si="18"/>
        <v>-0.027</v>
      </c>
      <c r="Q55" t="str">
        <f t="shared" si="18"/>
        <v>-0.027</v>
      </c>
      <c r="R55" t="str">
        <f t="shared" si="18"/>
        <v>-0.027</v>
      </c>
      <c r="S55" t="str">
        <f t="shared" si="18"/>
        <v>-0.027</v>
      </c>
      <c r="T55" t="str">
        <f t="shared" si="18"/>
        <v>-0.027</v>
      </c>
      <c r="U55" t="str">
        <f t="shared" si="18"/>
        <v>-0.027</v>
      </c>
    </row>
    <row r="56" spans="1:21" x14ac:dyDescent="0.25">
      <c r="A56" t="str">
        <f>""</f>
        <v/>
      </c>
      <c r="B56" t="str">
        <f>""</f>
        <v/>
      </c>
      <c r="C56" t="str">
        <f>"(-2.965)"</f>
        <v>(-2.965)</v>
      </c>
      <c r="D56" t="str">
        <f>"(-3.321)"</f>
        <v>(-3.321)</v>
      </c>
      <c r="E56" t="str">
        <f>"(-3.341)"</f>
        <v>(-3.341)</v>
      </c>
      <c r="F56" t="str">
        <f>"(-3.322)"</f>
        <v>(-3.322)</v>
      </c>
      <c r="G56" t="str">
        <f>"(-3.331)"</f>
        <v>(-3.331)</v>
      </c>
      <c r="H56" t="str">
        <f>"(-3.322)"</f>
        <v>(-3.322)</v>
      </c>
      <c r="I56" t="str">
        <f>"(-3.295)"</f>
        <v>(-3.295)</v>
      </c>
      <c r="J56" t="str">
        <f>"(-3.322)"</f>
        <v>(-3.322)</v>
      </c>
      <c r="K56" t="str">
        <f>"(-3.388)"</f>
        <v>(-3.388)</v>
      </c>
      <c r="L56" t="str">
        <f>""</f>
        <v/>
      </c>
      <c r="M56" t="str">
        <f>"(-0.508)"</f>
        <v>(-0.508)</v>
      </c>
      <c r="N56" t="str">
        <f>"(-0.472)"</f>
        <v>(-0.472)</v>
      </c>
      <c r="O56" t="str">
        <f>"(-0.471)"</f>
        <v>(-0.471)</v>
      </c>
      <c r="P56" t="str">
        <f>"(-0.472)"</f>
        <v>(-0.472)</v>
      </c>
      <c r="Q56" t="str">
        <f>"(-0.472)"</f>
        <v>(-0.472)</v>
      </c>
      <c r="R56" t="str">
        <f>"(-0.472)"</f>
        <v>(-0.472)</v>
      </c>
      <c r="S56" t="str">
        <f>"(-0.470)"</f>
        <v>(-0.470)</v>
      </c>
      <c r="T56" t="str">
        <f>"(-0.472)"</f>
        <v>(-0.472)</v>
      </c>
      <c r="U56" t="str">
        <f>"(-0.475)"</f>
        <v>(-0.475)</v>
      </c>
    </row>
    <row r="57" spans="1:21" x14ac:dyDescent="0.25">
      <c r="A57" t="str">
        <f>"Did not know mom or dad"</f>
        <v>Did not know mom or dad</v>
      </c>
      <c r="B57" t="str">
        <f>""</f>
        <v/>
      </c>
      <c r="C57" t="str">
        <f>"-0.229*"</f>
        <v>-0.229*</v>
      </c>
      <c r="D57" t="str">
        <f>"-0.193*"</f>
        <v>-0.193*</v>
      </c>
      <c r="E57" t="str">
        <f>"-0.201*"</f>
        <v>-0.201*</v>
      </c>
      <c r="F57" t="str">
        <f>"-0.193*"</f>
        <v>-0.193*</v>
      </c>
      <c r="G57" t="str">
        <f>"-0.214*"</f>
        <v>-0.214*</v>
      </c>
      <c r="H57" t="str">
        <f>"-0.193*"</f>
        <v>-0.193*</v>
      </c>
      <c r="I57" t="str">
        <f>"-0.193*"</f>
        <v>-0.193*</v>
      </c>
      <c r="J57" t="str">
        <f>"-0.193*"</f>
        <v>-0.193*</v>
      </c>
      <c r="K57" t="str">
        <f>"-0.202*"</f>
        <v>-0.202*</v>
      </c>
      <c r="L57" t="str">
        <f>""</f>
        <v/>
      </c>
      <c r="M57" t="str">
        <f>"-0.120**"</f>
        <v>-0.120**</v>
      </c>
      <c r="N57" t="str">
        <f>"-0.110*"</f>
        <v>-0.110*</v>
      </c>
      <c r="O57" t="str">
        <f>"-0.111*"</f>
        <v>-0.111*</v>
      </c>
      <c r="P57" t="str">
        <f>"-0.110*"</f>
        <v>-0.110*</v>
      </c>
      <c r="Q57" t="str">
        <f>"-0.116**"</f>
        <v>-0.116**</v>
      </c>
      <c r="R57" t="str">
        <f>"-0.110*"</f>
        <v>-0.110*</v>
      </c>
      <c r="S57" t="str">
        <f>"-0.110*"</f>
        <v>-0.110*</v>
      </c>
      <c r="T57" t="str">
        <f>"-0.110*"</f>
        <v>-0.110*</v>
      </c>
      <c r="U57" t="str">
        <f>"-0.112**"</f>
        <v>-0.112**</v>
      </c>
    </row>
    <row r="58" spans="1:21" x14ac:dyDescent="0.25">
      <c r="A58" t="str">
        <f>""</f>
        <v/>
      </c>
      <c r="B58" t="str">
        <f>""</f>
        <v/>
      </c>
      <c r="C58" t="str">
        <f>"(-2.177)"</f>
        <v>(-2.177)</v>
      </c>
      <c r="D58" t="str">
        <f>"(-2.281)"</f>
        <v>(-2.281)</v>
      </c>
      <c r="E58" t="str">
        <f>"(-2.447)"</f>
        <v>(-2.447)</v>
      </c>
      <c r="F58" t="str">
        <f>"(-2.280)"</f>
        <v>(-2.280)</v>
      </c>
      <c r="G58" t="str">
        <f>"(-2.467)"</f>
        <v>(-2.467)</v>
      </c>
      <c r="H58" t="str">
        <f>"(-2.282)"</f>
        <v>(-2.282)</v>
      </c>
      <c r="I58" t="str">
        <f>"(-2.237)"</f>
        <v>(-2.237)</v>
      </c>
      <c r="J58" t="str">
        <f>"(-2.282)"</f>
        <v>(-2.282)</v>
      </c>
      <c r="K58" t="str">
        <f>"(-2.364)"</f>
        <v>(-2.364)</v>
      </c>
      <c r="L58" t="str">
        <f>""</f>
        <v/>
      </c>
      <c r="M58" t="str">
        <f>"(-3.431)"</f>
        <v>(-3.431)</v>
      </c>
      <c r="N58" t="str">
        <f>"(-2.501)"</f>
        <v>(-2.501)</v>
      </c>
      <c r="O58" t="str">
        <f>"(-2.556)"</f>
        <v>(-2.556)</v>
      </c>
      <c r="P58" t="str">
        <f>"(-2.503)"</f>
        <v>(-2.503)</v>
      </c>
      <c r="Q58" t="str">
        <f>"(-2.721)"</f>
        <v>(-2.721)</v>
      </c>
      <c r="R58" t="str">
        <f>"(-2.506)"</f>
        <v>(-2.506)</v>
      </c>
      <c r="S58" t="str">
        <f>"(-2.542)"</f>
        <v>(-2.542)</v>
      </c>
      <c r="T58" t="str">
        <f>"(-2.502)"</f>
        <v>(-2.502)</v>
      </c>
      <c r="U58" t="str">
        <f>"(-2.611)"</f>
        <v>(-2.611)</v>
      </c>
    </row>
    <row r="59" spans="1:21" x14ac:dyDescent="0.25">
      <c r="A59" t="str">
        <f>"Level of financial difficulty while growing up"</f>
        <v>Level of financial difficulty while growing up</v>
      </c>
      <c r="B59" t="str">
        <f>""</f>
        <v/>
      </c>
      <c r="C59" t="str">
        <f>"-0.086**"</f>
        <v>-0.086**</v>
      </c>
      <c r="D59" t="str">
        <f t="shared" ref="D59:K59" si="19">"-0.052**"</f>
        <v>-0.052**</v>
      </c>
      <c r="E59" t="str">
        <f t="shared" si="19"/>
        <v>-0.052**</v>
      </c>
      <c r="F59" t="str">
        <f t="shared" si="19"/>
        <v>-0.052**</v>
      </c>
      <c r="G59" t="str">
        <f t="shared" si="19"/>
        <v>-0.052**</v>
      </c>
      <c r="H59" t="str">
        <f t="shared" si="19"/>
        <v>-0.052**</v>
      </c>
      <c r="I59" t="str">
        <f t="shared" si="19"/>
        <v>-0.052**</v>
      </c>
      <c r="J59" t="str">
        <f t="shared" si="19"/>
        <v>-0.052**</v>
      </c>
      <c r="K59" t="str">
        <f t="shared" si="19"/>
        <v>-0.052**</v>
      </c>
      <c r="L59" t="str">
        <f>""</f>
        <v/>
      </c>
      <c r="M59" t="str">
        <f>"-0.055**"</f>
        <v>-0.055**</v>
      </c>
      <c r="N59" t="str">
        <f t="shared" ref="N59:U59" si="20">"-0.024**"</f>
        <v>-0.024**</v>
      </c>
      <c r="O59" t="str">
        <f t="shared" si="20"/>
        <v>-0.024**</v>
      </c>
      <c r="P59" t="str">
        <f t="shared" si="20"/>
        <v>-0.024**</v>
      </c>
      <c r="Q59" t="str">
        <f t="shared" si="20"/>
        <v>-0.024**</v>
      </c>
      <c r="R59" t="str">
        <f t="shared" si="20"/>
        <v>-0.024**</v>
      </c>
      <c r="S59" t="str">
        <f t="shared" si="20"/>
        <v>-0.024**</v>
      </c>
      <c r="T59" t="str">
        <f t="shared" si="20"/>
        <v>-0.024**</v>
      </c>
      <c r="U59" t="str">
        <f t="shared" si="20"/>
        <v>-0.024**</v>
      </c>
    </row>
    <row r="60" spans="1:21" x14ac:dyDescent="0.25">
      <c r="A60" t="str">
        <f>""</f>
        <v/>
      </c>
      <c r="B60" t="str">
        <f>""</f>
        <v/>
      </c>
      <c r="C60" t="str">
        <f>"(-5.572)"</f>
        <v>(-5.572)</v>
      </c>
      <c r="D60" t="str">
        <f>"(-4.150)"</f>
        <v>(-4.150)</v>
      </c>
      <c r="E60" t="str">
        <f>"(-4.169)"</f>
        <v>(-4.169)</v>
      </c>
      <c r="F60" t="str">
        <f>"(-4.150)"</f>
        <v>(-4.150)</v>
      </c>
      <c r="G60" t="str">
        <f>"(-4.149)"</f>
        <v>(-4.149)</v>
      </c>
      <c r="H60" t="str">
        <f>"(-4.150)"</f>
        <v>(-4.150)</v>
      </c>
      <c r="I60" t="str">
        <f>"(-4.176)"</f>
        <v>(-4.176)</v>
      </c>
      <c r="J60" t="str">
        <f>"(-4.150)"</f>
        <v>(-4.150)</v>
      </c>
      <c r="K60" t="str">
        <f>"(-4.148)"</f>
        <v>(-4.148)</v>
      </c>
      <c r="L60" t="str">
        <f>""</f>
        <v/>
      </c>
      <c r="M60" t="str">
        <f>"(-6.293)"</f>
        <v>(-6.293)</v>
      </c>
      <c r="N60" t="str">
        <f>"(-2.786)"</f>
        <v>(-2.786)</v>
      </c>
      <c r="O60" t="str">
        <f>"(-2.759)"</f>
        <v>(-2.759)</v>
      </c>
      <c r="P60" t="str">
        <f>"(-2.787)"</f>
        <v>(-2.787)</v>
      </c>
      <c r="Q60" t="str">
        <f>"(-2.784)"</f>
        <v>(-2.784)</v>
      </c>
      <c r="R60" t="str">
        <f>"(-2.784)"</f>
        <v>(-2.784)</v>
      </c>
      <c r="S60" t="str">
        <f>"(-2.773)"</f>
        <v>(-2.773)</v>
      </c>
      <c r="T60" t="str">
        <f>"(-2.785)"</f>
        <v>(-2.785)</v>
      </c>
      <c r="U60" t="str">
        <f>"(-2.773)"</f>
        <v>(-2.773)</v>
      </c>
    </row>
    <row r="61" spans="1:21" x14ac:dyDescent="0.25">
      <c r="A61" t="str">
        <f>"Respondent was abused sexually or physically"</f>
        <v>Respondent was abused sexually or physically</v>
      </c>
      <c r="B61" t="str">
        <f>""</f>
        <v/>
      </c>
      <c r="C61" t="str">
        <f>"-0.114**"</f>
        <v>-0.114**</v>
      </c>
      <c r="D61" t="str">
        <f>"-0.093**"</f>
        <v>-0.093**</v>
      </c>
      <c r="E61" t="str">
        <f>"-0.089**"</f>
        <v>-0.089**</v>
      </c>
      <c r="F61" t="str">
        <f>"-0.093**"</f>
        <v>-0.093**</v>
      </c>
      <c r="G61" t="str">
        <f>"-0.093**"</f>
        <v>-0.093**</v>
      </c>
      <c r="H61" t="str">
        <f>"-0.093**"</f>
        <v>-0.093**</v>
      </c>
      <c r="I61" t="str">
        <f>"-0.091**"</f>
        <v>-0.091**</v>
      </c>
      <c r="J61" t="str">
        <f>"-0.093**"</f>
        <v>-0.093**</v>
      </c>
      <c r="K61" t="str">
        <f>"-0.091**"</f>
        <v>-0.091**</v>
      </c>
      <c r="L61" t="str">
        <f>""</f>
        <v/>
      </c>
      <c r="M61" t="str">
        <f>"-0.317**"</f>
        <v>-0.317**</v>
      </c>
      <c r="N61" t="str">
        <f t="shared" ref="N61:U61" si="21">"-0.291**"</f>
        <v>-0.291**</v>
      </c>
      <c r="O61" t="str">
        <f t="shared" si="21"/>
        <v>-0.291**</v>
      </c>
      <c r="P61" t="str">
        <f t="shared" si="21"/>
        <v>-0.291**</v>
      </c>
      <c r="Q61" t="str">
        <f t="shared" si="21"/>
        <v>-0.291**</v>
      </c>
      <c r="R61" t="str">
        <f t="shared" si="21"/>
        <v>-0.291**</v>
      </c>
      <c r="S61" t="str">
        <f t="shared" si="21"/>
        <v>-0.291**</v>
      </c>
      <c r="T61" t="str">
        <f t="shared" si="21"/>
        <v>-0.291**</v>
      </c>
      <c r="U61" t="str">
        <f t="shared" si="21"/>
        <v>-0.291**</v>
      </c>
    </row>
    <row r="62" spans="1:21" x14ac:dyDescent="0.25">
      <c r="A62" t="str">
        <f>""</f>
        <v/>
      </c>
      <c r="B62" t="str">
        <f>""</f>
        <v/>
      </c>
      <c r="C62" t="str">
        <f>"(-4.503)"</f>
        <v>(-4.503)</v>
      </c>
      <c r="D62" t="str">
        <f>"(-3.727)"</f>
        <v>(-3.727)</v>
      </c>
      <c r="E62" t="str">
        <f>"(-3.627)"</f>
        <v>(-3.627)</v>
      </c>
      <c r="F62" t="str">
        <f>"(-3.728)"</f>
        <v>(-3.728)</v>
      </c>
      <c r="G62" t="str">
        <f>"(-3.975)"</f>
        <v>(-3.975)</v>
      </c>
      <c r="H62" t="str">
        <f>"(-3.727)"</f>
        <v>(-3.727)</v>
      </c>
      <c r="I62" t="str">
        <f>"(-3.729)"</f>
        <v>(-3.729)</v>
      </c>
      <c r="J62" t="str">
        <f>"(-3.727)"</f>
        <v>(-3.727)</v>
      </c>
      <c r="K62" t="str">
        <f>"(-3.720)"</f>
        <v>(-3.720)</v>
      </c>
      <c r="L62" t="str">
        <f>""</f>
        <v/>
      </c>
      <c r="M62" t="str">
        <f>"(-8.339)"</f>
        <v>(-8.339)</v>
      </c>
      <c r="N62" t="str">
        <f>"(-8.218)"</f>
        <v>(-8.218)</v>
      </c>
      <c r="O62" t="str">
        <f>"(-8.338)"</f>
        <v>(-8.338)</v>
      </c>
      <c r="P62" t="str">
        <f>"(-8.218)"</f>
        <v>(-8.218)</v>
      </c>
      <c r="Q62" t="str">
        <f>"(-8.264)"</f>
        <v>(-8.264)</v>
      </c>
      <c r="R62" t="str">
        <f>"(-8.217)"</f>
        <v>(-8.217)</v>
      </c>
      <c r="S62" t="str">
        <f>"(-8.268)"</f>
        <v>(-8.268)</v>
      </c>
      <c r="T62" t="str">
        <f>"(-8.218)"</f>
        <v>(-8.218)</v>
      </c>
      <c r="U62" t="str">
        <f>"(-8.224)"</f>
        <v>(-8.224)</v>
      </c>
    </row>
    <row r="63" spans="1:21" x14ac:dyDescent="0.25">
      <c r="A63" t="str">
        <f>"Natural log of GDP per capita in PPP dollars"</f>
        <v>Natural log of GDP per capita in PPP dollars</v>
      </c>
      <c r="B63" t="str">
        <f>""</f>
        <v/>
      </c>
      <c r="C63" t="str">
        <f>""</f>
        <v/>
      </c>
      <c r="D63" t="str">
        <f>"-0.130*"</f>
        <v>-0.130*</v>
      </c>
      <c r="E63" t="str">
        <f>"-0.141**"</f>
        <v>-0.141**</v>
      </c>
      <c r="F63" t="str">
        <f>""</f>
        <v/>
      </c>
      <c r="G63" t="str">
        <f>""</f>
        <v/>
      </c>
      <c r="H63" t="str">
        <f>""</f>
        <v/>
      </c>
      <c r="I63" t="str">
        <f>""</f>
        <v/>
      </c>
      <c r="J63" t="str">
        <f>""</f>
        <v/>
      </c>
      <c r="K63" t="str">
        <f>""</f>
        <v/>
      </c>
      <c r="L63" t="str">
        <f>""</f>
        <v/>
      </c>
      <c r="M63" t="str">
        <f>""</f>
        <v/>
      </c>
      <c r="N63" t="str">
        <f>"-0.005"</f>
        <v>-0.005</v>
      </c>
      <c r="O63" t="str">
        <f>"-0.007"</f>
        <v>-0.007</v>
      </c>
      <c r="P63" t="str">
        <f>""</f>
        <v/>
      </c>
      <c r="Q63" t="str">
        <f>""</f>
        <v/>
      </c>
      <c r="R63" t="str">
        <f>""</f>
        <v/>
      </c>
      <c r="S63" t="str">
        <f>""</f>
        <v/>
      </c>
      <c r="T63" t="str">
        <f>""</f>
        <v/>
      </c>
      <c r="U63" t="str">
        <f>""</f>
        <v/>
      </c>
    </row>
    <row r="64" spans="1:21" x14ac:dyDescent="0.25">
      <c r="A64" t="str">
        <f>""</f>
        <v/>
      </c>
      <c r="B64" t="str">
        <f>""</f>
        <v/>
      </c>
      <c r="C64" t="str">
        <f>""</f>
        <v/>
      </c>
      <c r="D64" t="str">
        <f>"(-2.414)"</f>
        <v>(-2.414)</v>
      </c>
      <c r="E64" t="str">
        <f>"(-2.600)"</f>
        <v>(-2.600)</v>
      </c>
      <c r="F64" t="str">
        <f>""</f>
        <v/>
      </c>
      <c r="G64" t="str">
        <f>""</f>
        <v/>
      </c>
      <c r="H64" t="str">
        <f>""</f>
        <v/>
      </c>
      <c r="I64" t="str">
        <f>""</f>
        <v/>
      </c>
      <c r="J64" t="str">
        <f>""</f>
        <v/>
      </c>
      <c r="K64" t="str">
        <f>""</f>
        <v/>
      </c>
      <c r="L64" t="str">
        <f>""</f>
        <v/>
      </c>
      <c r="M64" t="str">
        <f>""</f>
        <v/>
      </c>
      <c r="N64" t="str">
        <f>"(-0.119)"</f>
        <v>(-0.119)</v>
      </c>
      <c r="O64" t="str">
        <f>"(-0.150)"</f>
        <v>(-0.150)</v>
      </c>
      <c r="P64" t="str">
        <f>""</f>
        <v/>
      </c>
      <c r="Q64" t="str">
        <f>""</f>
        <v/>
      </c>
      <c r="R64" t="str">
        <f>""</f>
        <v/>
      </c>
      <c r="S64" t="str">
        <f>""</f>
        <v/>
      </c>
      <c r="T64" t="str">
        <f>""</f>
        <v/>
      </c>
      <c r="U64" t="str">
        <f>""</f>
        <v/>
      </c>
    </row>
    <row r="65" spans="1:21" x14ac:dyDescent="0.25">
      <c r="A65" t="str">
        <f>"Parental religiosity index"</f>
        <v>Parental religiosity index</v>
      </c>
      <c r="B65" t="str">
        <f>""</f>
        <v/>
      </c>
      <c r="C65" t="str">
        <f>""</f>
        <v/>
      </c>
      <c r="D65" t="str">
        <f>"0.019"</f>
        <v>0.019</v>
      </c>
      <c r="E65" t="str">
        <f>"0.019"</f>
        <v>0.019</v>
      </c>
      <c r="F65" t="str">
        <f>"0.019"</f>
        <v>0.019</v>
      </c>
      <c r="G65" t="str">
        <f>"0.019*"</f>
        <v>0.019*</v>
      </c>
      <c r="H65" t="str">
        <f>"0.019"</f>
        <v>0.019</v>
      </c>
      <c r="I65" t="str">
        <f>"0.019"</f>
        <v>0.019</v>
      </c>
      <c r="J65" t="str">
        <f>"0.019"</f>
        <v>0.019</v>
      </c>
      <c r="K65" t="str">
        <f>"0.019"</f>
        <v>0.019</v>
      </c>
      <c r="L65" t="str">
        <f>""</f>
        <v/>
      </c>
      <c r="M65" t="str">
        <f>""</f>
        <v/>
      </c>
      <c r="N65" t="str">
        <f t="shared" ref="N65:U65" si="22">"-0.017"</f>
        <v>-0.017</v>
      </c>
      <c r="O65" t="str">
        <f t="shared" si="22"/>
        <v>-0.017</v>
      </c>
      <c r="P65" t="str">
        <f t="shared" si="22"/>
        <v>-0.017</v>
      </c>
      <c r="Q65" t="str">
        <f t="shared" si="22"/>
        <v>-0.017</v>
      </c>
      <c r="R65" t="str">
        <f t="shared" si="22"/>
        <v>-0.017</v>
      </c>
      <c r="S65" t="str">
        <f t="shared" si="22"/>
        <v>-0.017</v>
      </c>
      <c r="T65" t="str">
        <f t="shared" si="22"/>
        <v>-0.017</v>
      </c>
      <c r="U65" t="str">
        <f t="shared" si="22"/>
        <v>-0.017</v>
      </c>
    </row>
    <row r="66" spans="1:21" x14ac:dyDescent="0.25">
      <c r="A66" t="str">
        <f>""</f>
        <v/>
      </c>
      <c r="B66" t="str">
        <f>""</f>
        <v/>
      </c>
      <c r="C66" t="str">
        <f>""</f>
        <v/>
      </c>
      <c r="D66" t="str">
        <f>"(1.919)"</f>
        <v>(1.919)</v>
      </c>
      <c r="E66" t="str">
        <f>"(1.936)"</f>
        <v>(1.936)</v>
      </c>
      <c r="F66" t="str">
        <f>"(1.914)"</f>
        <v>(1.914)</v>
      </c>
      <c r="G66" t="str">
        <f>"(1.979)"</f>
        <v>(1.979)</v>
      </c>
      <c r="H66" t="str">
        <f>"(1.922)"</f>
        <v>(1.922)</v>
      </c>
      <c r="I66" t="str">
        <f>"(1.943)"</f>
        <v>(1.943)</v>
      </c>
      <c r="J66" t="str">
        <f>"(1.918)"</f>
        <v>(1.918)</v>
      </c>
      <c r="K66" t="str">
        <f>"(1.955)"</f>
        <v>(1.955)</v>
      </c>
      <c r="L66" t="str">
        <f>""</f>
        <v/>
      </c>
      <c r="M66" t="str">
        <f>""</f>
        <v/>
      </c>
      <c r="N66" t="str">
        <f>"(-1.564)"</f>
        <v>(-1.564)</v>
      </c>
      <c r="O66" t="str">
        <f>"(-1.562)"</f>
        <v>(-1.562)</v>
      </c>
      <c r="P66" t="str">
        <f>"(-1.565)"</f>
        <v>(-1.565)</v>
      </c>
      <c r="Q66" t="str">
        <f>"(-1.558)"</f>
        <v>(-1.558)</v>
      </c>
      <c r="R66" t="str">
        <f>"(-1.562)"</f>
        <v>(-1.562)</v>
      </c>
      <c r="S66" t="str">
        <f>"(-1.564)"</f>
        <v>(-1.564)</v>
      </c>
      <c r="T66" t="str">
        <f>"(-1.561)"</f>
        <v>(-1.561)</v>
      </c>
      <c r="U66" t="str">
        <f>"(-1.554)"</f>
        <v>(-1.554)</v>
      </c>
    </row>
    <row r="67" spans="1:21" x14ac:dyDescent="0.25">
      <c r="A67" t="str">
        <f>"Respondent religiosity index"</f>
        <v>Respondent religiosity index</v>
      </c>
      <c r="B67" t="str">
        <f>""</f>
        <v/>
      </c>
      <c r="C67" t="str">
        <f>""</f>
        <v/>
      </c>
      <c r="D67" t="str">
        <f>"0.176**"</f>
        <v>0.176**</v>
      </c>
      <c r="E67" t="str">
        <f>"0.175**"</f>
        <v>0.175**</v>
      </c>
      <c r="F67" t="str">
        <f>"0.176**"</f>
        <v>0.176**</v>
      </c>
      <c r="G67" t="str">
        <f>"0.177**"</f>
        <v>0.177**</v>
      </c>
      <c r="H67" t="str">
        <f>"0.177**"</f>
        <v>0.177**</v>
      </c>
      <c r="I67" t="str">
        <f>"0.176**"</f>
        <v>0.176**</v>
      </c>
      <c r="J67" t="str">
        <f>"0.176**"</f>
        <v>0.176**</v>
      </c>
      <c r="K67" t="str">
        <f>"0.176**"</f>
        <v>0.176**</v>
      </c>
      <c r="L67" t="str">
        <f>""</f>
        <v/>
      </c>
      <c r="M67" t="str">
        <f>""</f>
        <v/>
      </c>
      <c r="N67" t="str">
        <f t="shared" ref="N67:U67" si="23">"-0.002"</f>
        <v>-0.002</v>
      </c>
      <c r="O67" t="str">
        <f t="shared" si="23"/>
        <v>-0.002</v>
      </c>
      <c r="P67" t="str">
        <f t="shared" si="23"/>
        <v>-0.002</v>
      </c>
      <c r="Q67" t="str">
        <f t="shared" si="23"/>
        <v>-0.002</v>
      </c>
      <c r="R67" t="str">
        <f t="shared" si="23"/>
        <v>-0.002</v>
      </c>
      <c r="S67" t="str">
        <f t="shared" si="23"/>
        <v>-0.002</v>
      </c>
      <c r="T67" t="str">
        <f t="shared" si="23"/>
        <v>-0.002</v>
      </c>
      <c r="U67" t="str">
        <f t="shared" si="23"/>
        <v>-0.002</v>
      </c>
    </row>
    <row r="68" spans="1:21" x14ac:dyDescent="0.25">
      <c r="A68" t="str">
        <f>""</f>
        <v/>
      </c>
      <c r="B68" t="str">
        <f>""</f>
        <v/>
      </c>
      <c r="C68" t="str">
        <f>""</f>
        <v/>
      </c>
      <c r="D68" t="str">
        <f>"(8.689)"</f>
        <v>(8.689)</v>
      </c>
      <c r="E68" t="str">
        <f>"(8.649)"</f>
        <v>(8.649)</v>
      </c>
      <c r="F68" t="str">
        <f>"(8.679)"</f>
        <v>(8.679)</v>
      </c>
      <c r="G68" t="str">
        <f>"(8.691)"</f>
        <v>(8.691)</v>
      </c>
      <c r="H68" t="str">
        <f>"(8.703)"</f>
        <v>(8.703)</v>
      </c>
      <c r="I68" t="str">
        <f>"(8.693)"</f>
        <v>(8.693)</v>
      </c>
      <c r="J68" t="str">
        <f>"(8.687)"</f>
        <v>(8.687)</v>
      </c>
      <c r="K68" t="str">
        <f>"(8.713)"</f>
        <v>(8.713)</v>
      </c>
      <c r="L68" t="str">
        <f>""</f>
        <v/>
      </c>
      <c r="M68" t="str">
        <f>""</f>
        <v/>
      </c>
      <c r="N68" t="str">
        <f>"(-0.073)"</f>
        <v>(-0.073)</v>
      </c>
      <c r="O68" t="str">
        <f>"(-0.078)"</f>
        <v>(-0.078)</v>
      </c>
      <c r="P68" t="str">
        <f>"(-0.073)"</f>
        <v>(-0.073)</v>
      </c>
      <c r="Q68" t="str">
        <f>"(-0.068)"</f>
        <v>(-0.068)</v>
      </c>
      <c r="R68" t="str">
        <f>"(-0.068)"</f>
        <v>(-0.068)</v>
      </c>
      <c r="S68" t="str">
        <f>"(-0.071)"</f>
        <v>(-0.071)</v>
      </c>
      <c r="T68" t="str">
        <f>"(-0.071)"</f>
        <v>(-0.071)</v>
      </c>
      <c r="U68" t="str">
        <f>"(-0.074)"</f>
        <v>(-0.074)</v>
      </c>
    </row>
    <row r="69" spans="1:21" x14ac:dyDescent="0.25">
      <c r="A69" t="str">
        <f>"Living comfortably on present income 1-4 scale"</f>
        <v>Living comfortably on present income 1-4 scale</v>
      </c>
      <c r="B69" t="str">
        <f>""</f>
        <v/>
      </c>
      <c r="C69" t="str">
        <f>""</f>
        <v/>
      </c>
      <c r="D69" t="str">
        <f>"0.263**"</f>
        <v>0.263**</v>
      </c>
      <c r="E69" t="str">
        <f>"0.262**"</f>
        <v>0.262**</v>
      </c>
      <c r="F69" t="str">
        <f t="shared" ref="F69:K69" si="24">"0.263**"</f>
        <v>0.263**</v>
      </c>
      <c r="G69" t="str">
        <f t="shared" si="24"/>
        <v>0.263**</v>
      </c>
      <c r="H69" t="str">
        <f t="shared" si="24"/>
        <v>0.263**</v>
      </c>
      <c r="I69" t="str">
        <f t="shared" si="24"/>
        <v>0.263**</v>
      </c>
      <c r="J69" t="str">
        <f t="shared" si="24"/>
        <v>0.263**</v>
      </c>
      <c r="K69" t="str">
        <f t="shared" si="24"/>
        <v>0.263**</v>
      </c>
      <c r="L69" t="str">
        <f>""</f>
        <v/>
      </c>
      <c r="M69" t="str">
        <f>""</f>
        <v/>
      </c>
      <c r="N69" t="str">
        <f t="shared" ref="N69:U69" si="25">"0.252**"</f>
        <v>0.252**</v>
      </c>
      <c r="O69" t="str">
        <f t="shared" si="25"/>
        <v>0.252**</v>
      </c>
      <c r="P69" t="str">
        <f t="shared" si="25"/>
        <v>0.252**</v>
      </c>
      <c r="Q69" t="str">
        <f t="shared" si="25"/>
        <v>0.252**</v>
      </c>
      <c r="R69" t="str">
        <f t="shared" si="25"/>
        <v>0.252**</v>
      </c>
      <c r="S69" t="str">
        <f t="shared" si="25"/>
        <v>0.252**</v>
      </c>
      <c r="T69" t="str">
        <f t="shared" si="25"/>
        <v>0.252**</v>
      </c>
      <c r="U69" t="str">
        <f t="shared" si="25"/>
        <v>0.252**</v>
      </c>
    </row>
    <row r="70" spans="1:21" x14ac:dyDescent="0.25">
      <c r="A70" t="str">
        <f>""</f>
        <v/>
      </c>
      <c r="B70" t="str">
        <f>""</f>
        <v/>
      </c>
      <c r="C70" t="str">
        <f>""</f>
        <v/>
      </c>
      <c r="D70" t="str">
        <f>"(10.167)"</f>
        <v>(10.167)</v>
      </c>
      <c r="E70" t="str">
        <f>"(10.166)"</f>
        <v>(10.166)</v>
      </c>
      <c r="F70" t="str">
        <f>"(10.168)"</f>
        <v>(10.168)</v>
      </c>
      <c r="G70" t="str">
        <f>"(10.171)"</f>
        <v>(10.171)</v>
      </c>
      <c r="H70" t="str">
        <f>"(10.165)"</f>
        <v>(10.165)</v>
      </c>
      <c r="I70" t="str">
        <f>"(10.172)"</f>
        <v>(10.172)</v>
      </c>
      <c r="J70" t="str">
        <f>"(10.168)"</f>
        <v>(10.168)</v>
      </c>
      <c r="K70" t="str">
        <f>"(10.182)"</f>
        <v>(10.182)</v>
      </c>
      <c r="L70" t="str">
        <f>""</f>
        <v/>
      </c>
      <c r="M70" t="str">
        <f>""</f>
        <v/>
      </c>
      <c r="N70" t="str">
        <f>"(12.702)"</f>
        <v>(12.702)</v>
      </c>
      <c r="O70" t="str">
        <f>"(12.677)"</f>
        <v>(12.677)</v>
      </c>
      <c r="P70" t="str">
        <f>"(12.705)"</f>
        <v>(12.705)</v>
      </c>
      <c r="Q70" t="str">
        <f>"(12.697)"</f>
        <v>(12.697)</v>
      </c>
      <c r="R70" t="str">
        <f>"(12.693)"</f>
        <v>(12.693)</v>
      </c>
      <c r="S70" t="str">
        <f>"(12.701)"</f>
        <v>(12.701)</v>
      </c>
      <c r="T70" t="str">
        <f>"(12.697)"</f>
        <v>(12.697)</v>
      </c>
      <c r="U70" t="str">
        <f>"(12.708)"</f>
        <v>(12.708)</v>
      </c>
    </row>
    <row r="71" spans="1:21" x14ac:dyDescent="0.25">
      <c r="A71" t="str">
        <f>"Interact-PCRQ X GDP per capita"</f>
        <v>Interact-PCRQ X GDP per capita</v>
      </c>
      <c r="B71" t="str">
        <f>""</f>
        <v/>
      </c>
      <c r="C71" t="str">
        <f>""</f>
        <v/>
      </c>
      <c r="D71" t="str">
        <f>""</f>
        <v/>
      </c>
      <c r="E71" t="str">
        <f>"0.033**"</f>
        <v>0.033**</v>
      </c>
      <c r="F71" t="str">
        <f>""</f>
        <v/>
      </c>
      <c r="G71" t="str">
        <f>""</f>
        <v/>
      </c>
      <c r="H71" t="str">
        <f>""</f>
        <v/>
      </c>
      <c r="I71" t="str">
        <f>""</f>
        <v/>
      </c>
      <c r="J71" t="str">
        <f>""</f>
        <v/>
      </c>
      <c r="K71" t="str">
        <f>""</f>
        <v/>
      </c>
      <c r="L71" t="str">
        <f>""</f>
        <v/>
      </c>
      <c r="M71" t="str">
        <f>""</f>
        <v/>
      </c>
      <c r="N71" t="str">
        <f>""</f>
        <v/>
      </c>
      <c r="O71" t="str">
        <f>"0.005"</f>
        <v>0.005</v>
      </c>
      <c r="P71" t="str">
        <f>""</f>
        <v/>
      </c>
      <c r="Q71" t="str">
        <f>""</f>
        <v/>
      </c>
      <c r="R71" t="str">
        <f>""</f>
        <v/>
      </c>
      <c r="S71" t="str">
        <f>""</f>
        <v/>
      </c>
      <c r="T71" t="str">
        <f>""</f>
        <v/>
      </c>
      <c r="U71" t="str">
        <f>""</f>
        <v/>
      </c>
    </row>
    <row r="72" spans="1:21" x14ac:dyDescent="0.25">
      <c r="A72" t="str">
        <f>""</f>
        <v/>
      </c>
      <c r="B72" t="str">
        <f>""</f>
        <v/>
      </c>
      <c r="C72" t="str">
        <f>""</f>
        <v/>
      </c>
      <c r="D72" t="str">
        <f>""</f>
        <v/>
      </c>
      <c r="E72" t="str">
        <f>"(3.243)"</f>
        <v>(3.243)</v>
      </c>
      <c r="F72" t="str">
        <f>""</f>
        <v/>
      </c>
      <c r="G72" t="str">
        <f>""</f>
        <v/>
      </c>
      <c r="H72" t="str">
        <f>""</f>
        <v/>
      </c>
      <c r="I72" t="str">
        <f>""</f>
        <v/>
      </c>
      <c r="J72" t="str">
        <f>""</f>
        <v/>
      </c>
      <c r="K72" t="str">
        <f>""</f>
        <v/>
      </c>
      <c r="L72" t="str">
        <f>""</f>
        <v/>
      </c>
      <c r="M72" t="str">
        <f>""</f>
        <v/>
      </c>
      <c r="N72" t="str">
        <f>""</f>
        <v/>
      </c>
      <c r="O72" t="str">
        <f>"(0.440)"</f>
        <v>(0.440)</v>
      </c>
      <c r="P72" t="str">
        <f>""</f>
        <v/>
      </c>
      <c r="Q72" t="str">
        <f>""</f>
        <v/>
      </c>
      <c r="R72" t="str">
        <f>""</f>
        <v/>
      </c>
      <c r="S72" t="str">
        <f>""</f>
        <v/>
      </c>
      <c r="T72" t="str">
        <f>""</f>
        <v/>
      </c>
      <c r="U72" t="str">
        <f>""</f>
        <v/>
      </c>
    </row>
    <row r="73" spans="1:21" x14ac:dyDescent="0.25">
      <c r="A73" t="str">
        <f>"Country level index of secular over traditional values"</f>
        <v>Country level index of secular over traditional values</v>
      </c>
      <c r="B73" t="str">
        <f>""</f>
        <v/>
      </c>
      <c r="C73" t="str">
        <f>""</f>
        <v/>
      </c>
      <c r="D73" t="str">
        <f>""</f>
        <v/>
      </c>
      <c r="E73" t="str">
        <f>""</f>
        <v/>
      </c>
      <c r="F73" t="str">
        <f>"-0.169**"</f>
        <v>-0.169**</v>
      </c>
      <c r="G73" t="str">
        <f>"-0.174**"</f>
        <v>-0.174**</v>
      </c>
      <c r="H73" t="str">
        <f>""</f>
        <v/>
      </c>
      <c r="I73" t="str">
        <f>""</f>
        <v/>
      </c>
      <c r="J73" t="str">
        <f>""</f>
        <v/>
      </c>
      <c r="K73" t="str">
        <f>""</f>
        <v/>
      </c>
      <c r="L73" t="str">
        <f>""</f>
        <v/>
      </c>
      <c r="M73" t="str">
        <f>""</f>
        <v/>
      </c>
      <c r="N73" t="str">
        <f>""</f>
        <v/>
      </c>
      <c r="O73" t="str">
        <f>""</f>
        <v/>
      </c>
      <c r="P73" t="str">
        <f>"-0.012"</f>
        <v>-0.012</v>
      </c>
      <c r="Q73" t="str">
        <f>"-0.013"</f>
        <v>-0.013</v>
      </c>
      <c r="R73" t="str">
        <f>""</f>
        <v/>
      </c>
      <c r="S73" t="str">
        <f>""</f>
        <v/>
      </c>
      <c r="T73" t="str">
        <f>""</f>
        <v/>
      </c>
      <c r="U73" t="str">
        <f>""</f>
        <v/>
      </c>
    </row>
    <row r="74" spans="1:21" x14ac:dyDescent="0.25">
      <c r="A74" t="str">
        <f>""</f>
        <v/>
      </c>
      <c r="B74" t="str">
        <f>""</f>
        <v/>
      </c>
      <c r="C74" t="str">
        <f>""</f>
        <v/>
      </c>
      <c r="D74" t="str">
        <f>""</f>
        <v/>
      </c>
      <c r="E74" t="str">
        <f>""</f>
        <v/>
      </c>
      <c r="F74" t="str">
        <f>"(-3.246)"</f>
        <v>(-3.246)</v>
      </c>
      <c r="G74" t="str">
        <f>"(-3.406)"</f>
        <v>(-3.406)</v>
      </c>
      <c r="H74" t="str">
        <f>""</f>
        <v/>
      </c>
      <c r="I74" t="str">
        <f>""</f>
        <v/>
      </c>
      <c r="J74" t="str">
        <f>""</f>
        <v/>
      </c>
      <c r="K74" t="str">
        <f>""</f>
        <v/>
      </c>
      <c r="L74" t="str">
        <f>""</f>
        <v/>
      </c>
      <c r="M74" t="str">
        <f>""</f>
        <v/>
      </c>
      <c r="N74" t="str">
        <f>""</f>
        <v/>
      </c>
      <c r="O74" t="str">
        <f>""</f>
        <v/>
      </c>
      <c r="P74" t="str">
        <f>"(-0.283)"</f>
        <v>(-0.283)</v>
      </c>
      <c r="Q74" t="str">
        <f>"(-0.322)"</f>
        <v>(-0.322)</v>
      </c>
      <c r="R74" t="str">
        <f>""</f>
        <v/>
      </c>
      <c r="S74" t="str">
        <f>""</f>
        <v/>
      </c>
      <c r="T74" t="str">
        <f>""</f>
        <v/>
      </c>
      <c r="U74" t="str">
        <f>""</f>
        <v/>
      </c>
    </row>
    <row r="75" spans="1:21" x14ac:dyDescent="0.25">
      <c r="A75" t="str">
        <f>"PCRQ X secular values"</f>
        <v>PCRQ X secular values</v>
      </c>
      <c r="B75" t="str">
        <f>""</f>
        <v/>
      </c>
      <c r="C75" t="str">
        <f>""</f>
        <v/>
      </c>
      <c r="D75" t="str">
        <f>""</f>
        <v/>
      </c>
      <c r="E75" t="str">
        <f>""</f>
        <v/>
      </c>
      <c r="F75" t="str">
        <f>""</f>
        <v/>
      </c>
      <c r="G75" t="str">
        <f>"0.038**"</f>
        <v>0.038**</v>
      </c>
      <c r="H75" t="str">
        <f>""</f>
        <v/>
      </c>
      <c r="I75" t="str">
        <f>""</f>
        <v/>
      </c>
      <c r="J75" t="str">
        <f>""</f>
        <v/>
      </c>
      <c r="K75" t="str">
        <f>""</f>
        <v/>
      </c>
      <c r="L75" t="str">
        <f>""</f>
        <v/>
      </c>
      <c r="M75" t="str">
        <f>""</f>
        <v/>
      </c>
      <c r="N75" t="str">
        <f>""</f>
        <v/>
      </c>
      <c r="O75" t="str">
        <f>""</f>
        <v/>
      </c>
      <c r="P75" t="str">
        <f>""</f>
        <v/>
      </c>
      <c r="Q75" t="str">
        <f>"0.011"</f>
        <v>0.011</v>
      </c>
      <c r="R75" t="str">
        <f>""</f>
        <v/>
      </c>
      <c r="S75" t="str">
        <f>""</f>
        <v/>
      </c>
      <c r="T75" t="str">
        <f>""</f>
        <v/>
      </c>
      <c r="U75" t="str">
        <f>""</f>
        <v/>
      </c>
    </row>
    <row r="76" spans="1:21" x14ac:dyDescent="0.25">
      <c r="A76" t="str">
        <f>""</f>
        <v/>
      </c>
      <c r="B76" t="str">
        <f>""</f>
        <v/>
      </c>
      <c r="C76" t="str">
        <f>""</f>
        <v/>
      </c>
      <c r="D76" t="str">
        <f>""</f>
        <v/>
      </c>
      <c r="E76" t="str">
        <f>""</f>
        <v/>
      </c>
      <c r="F76" t="str">
        <f>""</f>
        <v/>
      </c>
      <c r="G76" t="str">
        <f>"(5.622)"</f>
        <v>(5.622)</v>
      </c>
      <c r="H76" t="str">
        <f>""</f>
        <v/>
      </c>
      <c r="I76" t="str">
        <f>""</f>
        <v/>
      </c>
      <c r="J76" t="str">
        <f>""</f>
        <v/>
      </c>
      <c r="K76" t="str">
        <f>""</f>
        <v/>
      </c>
      <c r="L76" t="str">
        <f>""</f>
        <v/>
      </c>
      <c r="M76" t="str">
        <f>""</f>
        <v/>
      </c>
      <c r="N76" t="str">
        <f>""</f>
        <v/>
      </c>
      <c r="O76" t="str">
        <f>""</f>
        <v/>
      </c>
      <c r="P76" t="str">
        <f>""</f>
        <v/>
      </c>
      <c r="Q76" t="str">
        <f>"(1.487)"</f>
        <v>(1.487)</v>
      </c>
      <c r="R76" t="str">
        <f>""</f>
        <v/>
      </c>
      <c r="S76" t="str">
        <f>""</f>
        <v/>
      </c>
      <c r="T76" t="str">
        <f>""</f>
        <v/>
      </c>
      <c r="U76" t="str">
        <f>""</f>
        <v/>
      </c>
    </row>
    <row r="77" spans="1:21" x14ac:dyDescent="0.25">
      <c r="A77" t="str">
        <f>"Z-score of electoral democracy index"</f>
        <v>Z-score of electoral democracy index</v>
      </c>
      <c r="B77" t="str">
        <f>""</f>
        <v/>
      </c>
      <c r="C77" t="str">
        <f>""</f>
        <v/>
      </c>
      <c r="D77" t="str">
        <f>""</f>
        <v/>
      </c>
      <c r="E77" t="str">
        <f>""</f>
        <v/>
      </c>
      <c r="F77" t="str">
        <f>""</f>
        <v/>
      </c>
      <c r="G77" t="str">
        <f>""</f>
        <v/>
      </c>
      <c r="H77" t="str">
        <f>"0.036"</f>
        <v>0.036</v>
      </c>
      <c r="I77" t="str">
        <f>"0.027"</f>
        <v>0.027</v>
      </c>
      <c r="J77" t="str">
        <f>""</f>
        <v/>
      </c>
      <c r="K77" t="str">
        <f>""</f>
        <v/>
      </c>
      <c r="L77" t="str">
        <f>""</f>
        <v/>
      </c>
      <c r="M77" t="str">
        <f>""</f>
        <v/>
      </c>
      <c r="N77" t="str">
        <f>""</f>
        <v/>
      </c>
      <c r="O77" t="str">
        <f>""</f>
        <v/>
      </c>
      <c r="P77" t="str">
        <f>""</f>
        <v/>
      </c>
      <c r="Q77" t="str">
        <f>""</f>
        <v/>
      </c>
      <c r="R77" t="str">
        <f>"0.378**"</f>
        <v>0.378**</v>
      </c>
      <c r="S77" t="str">
        <f>"0.376**"</f>
        <v>0.376**</v>
      </c>
      <c r="T77" t="str">
        <f>""</f>
        <v/>
      </c>
      <c r="U77" t="str">
        <f>""</f>
        <v/>
      </c>
    </row>
    <row r="78" spans="1:21" x14ac:dyDescent="0.25">
      <c r="A78" t="str">
        <f>""</f>
        <v/>
      </c>
      <c r="B78" t="str">
        <f>""</f>
        <v/>
      </c>
      <c r="C78" t="str">
        <f>""</f>
        <v/>
      </c>
      <c r="D78" t="str">
        <f>""</f>
        <v/>
      </c>
      <c r="E78" t="str">
        <f>""</f>
        <v/>
      </c>
      <c r="F78" t="str">
        <f>""</f>
        <v/>
      </c>
      <c r="G78" t="str">
        <f>""</f>
        <v/>
      </c>
      <c r="H78" t="str">
        <f>"(0.124)"</f>
        <v>(0.124)</v>
      </c>
      <c r="I78" t="str">
        <f>"(0.092)"</f>
        <v>(0.092)</v>
      </c>
      <c r="J78" t="str">
        <f>""</f>
        <v/>
      </c>
      <c r="K78" t="str">
        <f>""</f>
        <v/>
      </c>
      <c r="L78" t="str">
        <f>""</f>
        <v/>
      </c>
      <c r="M78" t="str">
        <f>""</f>
        <v/>
      </c>
      <c r="N78" t="str">
        <f>""</f>
        <v/>
      </c>
      <c r="O78" t="str">
        <f>""</f>
        <v/>
      </c>
      <c r="P78" t="str">
        <f>""</f>
        <v/>
      </c>
      <c r="Q78" t="str">
        <f>""</f>
        <v/>
      </c>
      <c r="R78" t="str">
        <f>"(2.718)"</f>
        <v>(2.718)</v>
      </c>
      <c r="S78" t="str">
        <f>"(2.700)"</f>
        <v>(2.700)</v>
      </c>
      <c r="T78" t="str">
        <f>""</f>
        <v/>
      </c>
      <c r="U78" t="str">
        <f>""</f>
        <v/>
      </c>
    </row>
    <row r="79" spans="1:21" x14ac:dyDescent="0.25">
      <c r="A79" t="str">
        <f>"PCRQ X electoral democracy"</f>
        <v>PCRQ X electoral democracy</v>
      </c>
      <c r="B79" t="str">
        <f>""</f>
        <v/>
      </c>
      <c r="C79" t="str">
        <f>""</f>
        <v/>
      </c>
      <c r="D79" t="str">
        <f>""</f>
        <v/>
      </c>
      <c r="E79" t="str">
        <f>""</f>
        <v/>
      </c>
      <c r="F79" t="str">
        <f>""</f>
        <v/>
      </c>
      <c r="G79" t="str">
        <f>""</f>
        <v/>
      </c>
      <c r="H79" t="str">
        <f>""</f>
        <v/>
      </c>
      <c r="I79" t="str">
        <f>"0.060"</f>
        <v>0.060</v>
      </c>
      <c r="J79" t="str">
        <f>""</f>
        <v/>
      </c>
      <c r="K79" t="str">
        <f>""</f>
        <v/>
      </c>
      <c r="L79" t="str">
        <f>""</f>
        <v/>
      </c>
      <c r="M79" t="str">
        <f>""</f>
        <v/>
      </c>
      <c r="N79" t="str">
        <f>""</f>
        <v/>
      </c>
      <c r="O79" t="str">
        <f>""</f>
        <v/>
      </c>
      <c r="P79" t="str">
        <f>""</f>
        <v/>
      </c>
      <c r="Q79" t="str">
        <f>""</f>
        <v/>
      </c>
      <c r="R79" t="str">
        <f>""</f>
        <v/>
      </c>
      <c r="S79" t="str">
        <f>"0.013"</f>
        <v>0.013</v>
      </c>
      <c r="T79" t="str">
        <f>""</f>
        <v/>
      </c>
      <c r="U79" t="str">
        <f>""</f>
        <v/>
      </c>
    </row>
    <row r="80" spans="1:21" x14ac:dyDescent="0.25">
      <c r="A80" t="str">
        <f>""</f>
        <v/>
      </c>
      <c r="B80" t="str">
        <f>""</f>
        <v/>
      </c>
      <c r="C80" t="str">
        <f>""</f>
        <v/>
      </c>
      <c r="D80" t="str">
        <f>""</f>
        <v/>
      </c>
      <c r="E80" t="str">
        <f>""</f>
        <v/>
      </c>
      <c r="F80" t="str">
        <f>""</f>
        <v/>
      </c>
      <c r="G80" t="str">
        <f>""</f>
        <v/>
      </c>
      <c r="H80" t="str">
        <f>""</f>
        <v/>
      </c>
      <c r="I80" t="str">
        <f>"(0.759)"</f>
        <v>(0.759)</v>
      </c>
      <c r="J80" t="str">
        <f>""</f>
        <v/>
      </c>
      <c r="K80" t="str">
        <f>""</f>
        <v/>
      </c>
      <c r="L80" t="str">
        <f>""</f>
        <v/>
      </c>
      <c r="M80" t="str">
        <f>""</f>
        <v/>
      </c>
      <c r="N80" t="str">
        <f>""</f>
        <v/>
      </c>
      <c r="O80" t="str">
        <f>""</f>
        <v/>
      </c>
      <c r="P80" t="str">
        <f>""</f>
        <v/>
      </c>
      <c r="Q80" t="str">
        <f>""</f>
        <v/>
      </c>
      <c r="R80" t="str">
        <f>""</f>
        <v/>
      </c>
      <c r="S80" t="str">
        <f>"(0.373)"</f>
        <v>(0.373)</v>
      </c>
      <c r="T80" t="str">
        <f>""</f>
        <v/>
      </c>
      <c r="U80" t="str">
        <f>""</f>
        <v/>
      </c>
    </row>
    <row r="81" spans="1:21" x14ac:dyDescent="0.25">
      <c r="A81" t="str">
        <f>"Z-score of Women's Peace and Security Index"</f>
        <v>Z-score of Women's Peace and Security Index</v>
      </c>
      <c r="B81" t="str">
        <f>""</f>
        <v/>
      </c>
      <c r="C81" t="str">
        <f>""</f>
        <v/>
      </c>
      <c r="D81" t="str">
        <f>""</f>
        <v/>
      </c>
      <c r="E81" t="str">
        <f>""</f>
        <v/>
      </c>
      <c r="F81" t="str">
        <f>""</f>
        <v/>
      </c>
      <c r="G81" t="str">
        <f>""</f>
        <v/>
      </c>
      <c r="H81" t="str">
        <f>""</f>
        <v/>
      </c>
      <c r="I81" t="str">
        <f>""</f>
        <v/>
      </c>
      <c r="J81" t="str">
        <f>"-0.153**"</f>
        <v>-0.153**</v>
      </c>
      <c r="K81" t="str">
        <f>"-0.161**"</f>
        <v>-0.161**</v>
      </c>
      <c r="L81" t="str">
        <f>""</f>
        <v/>
      </c>
      <c r="M81" t="str">
        <f>""</f>
        <v/>
      </c>
      <c r="N81" t="str">
        <f>""</f>
        <v/>
      </c>
      <c r="O81" t="str">
        <f>""</f>
        <v/>
      </c>
      <c r="P81" t="str">
        <f>""</f>
        <v/>
      </c>
      <c r="Q81" t="str">
        <f>""</f>
        <v/>
      </c>
      <c r="R81" t="str">
        <f>""</f>
        <v/>
      </c>
      <c r="S81" t="str">
        <f>""</f>
        <v/>
      </c>
      <c r="T81" t="str">
        <f>"0.038"</f>
        <v>0.038</v>
      </c>
      <c r="U81" t="str">
        <f>"0.036"</f>
        <v>0.036</v>
      </c>
    </row>
    <row r="82" spans="1:21" x14ac:dyDescent="0.25">
      <c r="A82" t="str">
        <f>""</f>
        <v/>
      </c>
      <c r="B82" t="str">
        <f>""</f>
        <v/>
      </c>
      <c r="C82" t="str">
        <f>""</f>
        <v/>
      </c>
      <c r="D82" t="str">
        <f>""</f>
        <v/>
      </c>
      <c r="E82" t="str">
        <f>""</f>
        <v/>
      </c>
      <c r="F82" t="str">
        <f>""</f>
        <v/>
      </c>
      <c r="G82" t="str">
        <f>""</f>
        <v/>
      </c>
      <c r="H82" t="str">
        <f>""</f>
        <v/>
      </c>
      <c r="I82" t="str">
        <f>""</f>
        <v/>
      </c>
      <c r="J82" t="str">
        <f>"(-2.623)"</f>
        <v>(-2.623)</v>
      </c>
      <c r="K82" t="str">
        <f>"(-2.780)"</f>
        <v>(-2.780)</v>
      </c>
      <c r="L82" t="str">
        <f>""</f>
        <v/>
      </c>
      <c r="M82" t="str">
        <f>""</f>
        <v/>
      </c>
      <c r="N82" t="str">
        <f>""</f>
        <v/>
      </c>
      <c r="O82" t="str">
        <f>""</f>
        <v/>
      </c>
      <c r="P82" t="str">
        <f>""</f>
        <v/>
      </c>
      <c r="Q82" t="str">
        <f>""</f>
        <v/>
      </c>
      <c r="R82" t="str">
        <f>""</f>
        <v/>
      </c>
      <c r="S82" t="str">
        <f>""</f>
        <v/>
      </c>
      <c r="T82" t="str">
        <f>"(0.814)"</f>
        <v>(0.814)</v>
      </c>
      <c r="U82" t="str">
        <f>"(0.761)"</f>
        <v>(0.761)</v>
      </c>
    </row>
    <row r="83" spans="1:21" x14ac:dyDescent="0.25">
      <c r="A83" t="str">
        <f>"PCRQ X Women's rights"</f>
        <v>PCRQ X Women's rights</v>
      </c>
      <c r="B83" t="str">
        <f>""</f>
        <v/>
      </c>
      <c r="C83" t="str">
        <f>""</f>
        <v/>
      </c>
      <c r="D83" t="str">
        <f>""</f>
        <v/>
      </c>
      <c r="E83" t="str">
        <f>""</f>
        <v/>
      </c>
      <c r="F83" t="str">
        <f>""</f>
        <v/>
      </c>
      <c r="G83" t="str">
        <f>""</f>
        <v/>
      </c>
      <c r="H83" t="str">
        <f>""</f>
        <v/>
      </c>
      <c r="I83" t="str">
        <f>""</f>
        <v/>
      </c>
      <c r="J83" t="str">
        <f>""</f>
        <v/>
      </c>
      <c r="K83" t="str">
        <f>"0.034**"</f>
        <v>0.034**</v>
      </c>
      <c r="L83" t="str">
        <f>""</f>
        <v/>
      </c>
      <c r="M83" t="str">
        <f>""</f>
        <v/>
      </c>
      <c r="N83" t="str">
        <f>""</f>
        <v/>
      </c>
      <c r="O83" t="str">
        <f>""</f>
        <v/>
      </c>
      <c r="P83" t="str">
        <f>""</f>
        <v/>
      </c>
      <c r="Q83" t="str">
        <f>""</f>
        <v/>
      </c>
      <c r="R83" t="str">
        <f>""</f>
        <v/>
      </c>
      <c r="S83" t="str">
        <f>""</f>
        <v/>
      </c>
      <c r="T83" t="str">
        <f>""</f>
        <v/>
      </c>
      <c r="U83" t="str">
        <f>"0.010"</f>
        <v>0.010</v>
      </c>
    </row>
    <row r="84" spans="1:21" x14ac:dyDescent="0.25">
      <c r="A84" t="str">
        <f>""</f>
        <v/>
      </c>
      <c r="B84" t="str">
        <f>""</f>
        <v/>
      </c>
      <c r="C84" t="str">
        <f>""</f>
        <v/>
      </c>
      <c r="D84" t="str">
        <f>""</f>
        <v/>
      </c>
      <c r="E84" t="str">
        <f>""</f>
        <v/>
      </c>
      <c r="F84" t="str">
        <f>""</f>
        <v/>
      </c>
      <c r="G84" t="str">
        <f>""</f>
        <v/>
      </c>
      <c r="H84" t="str">
        <f>""</f>
        <v/>
      </c>
      <c r="I84" t="str">
        <f>""</f>
        <v/>
      </c>
      <c r="J84" t="str">
        <f>""</f>
        <v/>
      </c>
      <c r="K84" t="str">
        <f>"(2.755)"</f>
        <v>(2.755)</v>
      </c>
      <c r="L84" t="str">
        <f>""</f>
        <v/>
      </c>
      <c r="M84" t="str">
        <f>""</f>
        <v/>
      </c>
      <c r="N84" t="str">
        <f>""</f>
        <v/>
      </c>
      <c r="O84" t="str">
        <f>""</f>
        <v/>
      </c>
      <c r="P84" t="str">
        <f>""</f>
        <v/>
      </c>
      <c r="Q84" t="str">
        <f>""</f>
        <v/>
      </c>
      <c r="R84" t="str">
        <f>""</f>
        <v/>
      </c>
      <c r="S84" t="str">
        <f>""</f>
        <v/>
      </c>
      <c r="T84" t="str">
        <f>""</f>
        <v/>
      </c>
      <c r="U84" t="str">
        <f>"(0.944)"</f>
        <v>(0.944)</v>
      </c>
    </row>
    <row r="85" spans="1:21" x14ac:dyDescent="0.25">
      <c r="A85" t="str">
        <f>"Constant"</f>
        <v>Constant</v>
      </c>
      <c r="B85" t="str">
        <f>"-0.115"</f>
        <v>-0.115</v>
      </c>
      <c r="C85" t="str">
        <f>"0.096"</f>
        <v>0.096</v>
      </c>
      <c r="D85" t="str">
        <f>"1.494**"</f>
        <v>1.494**</v>
      </c>
      <c r="E85" t="str">
        <f>"1.608**"</f>
        <v>1.608**</v>
      </c>
      <c r="F85" t="str">
        <f>"0.221*"</f>
        <v>0.221*</v>
      </c>
      <c r="G85" t="str">
        <f>"0.228*"</f>
        <v>0.228*</v>
      </c>
      <c r="H85" t="str">
        <f>"0.180"</f>
        <v>0.180</v>
      </c>
      <c r="I85" t="str">
        <f>"0.188"</f>
        <v>0.188</v>
      </c>
      <c r="J85" t="str">
        <f>"0.250*"</f>
        <v>0.250*</v>
      </c>
      <c r="K85" t="str">
        <f>"0.258**"</f>
        <v>0.258**</v>
      </c>
      <c r="L85" t="str">
        <f>"-0.590**"</f>
        <v>-0.590**</v>
      </c>
      <c r="M85" t="str">
        <f>"-0.460**"</f>
        <v>-0.460**</v>
      </c>
      <c r="N85" t="str">
        <f>"-0.274"</f>
        <v>-0.274</v>
      </c>
      <c r="O85" t="str">
        <f>"-0.258"</f>
        <v>-0.258</v>
      </c>
      <c r="P85" t="str">
        <f>"-0.325**"</f>
        <v>-0.325**</v>
      </c>
      <c r="Q85" t="str">
        <f>"-0.323**"</f>
        <v>-0.323**</v>
      </c>
      <c r="R85" t="str">
        <f>"-0.556**"</f>
        <v>-0.556**</v>
      </c>
      <c r="S85" t="str">
        <f>"-0.555**"</f>
        <v>-0.555**</v>
      </c>
      <c r="T85" t="str">
        <f>"-0.338**"</f>
        <v>-0.338**</v>
      </c>
      <c r="U85" t="str">
        <f>"-0.336**"</f>
        <v>-0.336**</v>
      </c>
    </row>
    <row r="86" spans="1:21" x14ac:dyDescent="0.25">
      <c r="A86" t="str">
        <f>""</f>
        <v/>
      </c>
      <c r="B86" t="str">
        <f>"(-1.252)"</f>
        <v>(-1.252)</v>
      </c>
      <c r="C86" t="str">
        <f>"(0.964)"</f>
        <v>(0.964)</v>
      </c>
      <c r="D86" t="str">
        <f>"(2.587)"</f>
        <v>(2.587)</v>
      </c>
      <c r="E86" t="str">
        <f>"(2.773)"</f>
        <v>(2.773)</v>
      </c>
      <c r="F86" t="str">
        <f>"(2.244)"</f>
        <v>(2.244)</v>
      </c>
      <c r="G86" t="str">
        <f>"(2.342)"</f>
        <v>(2.342)</v>
      </c>
      <c r="H86" t="str">
        <f>"(0.899)"</f>
        <v>(0.899)</v>
      </c>
      <c r="I86" t="str">
        <f>"(0.913)"</f>
        <v>(0.913)</v>
      </c>
      <c r="J86" t="str">
        <f>"(2.533)"</f>
        <v>(2.533)</v>
      </c>
      <c r="K86" t="str">
        <f>"(2.652)"</f>
        <v>(2.652)</v>
      </c>
      <c r="L86" t="str">
        <f>"(-7.263)"</f>
        <v>(-7.263)</v>
      </c>
      <c r="M86" t="str">
        <f>"(-5.568)"</f>
        <v>(-5.568)</v>
      </c>
      <c r="N86" t="str">
        <f>"(-0.630)"</f>
        <v>(-0.630)</v>
      </c>
      <c r="O86" t="str">
        <f>"(-0.577)"</f>
        <v>(-0.577)</v>
      </c>
      <c r="P86" t="str">
        <f>"(-4.231)"</f>
        <v>(-4.231)</v>
      </c>
      <c r="Q86" t="str">
        <f>"(-4.178)"</f>
        <v>(-4.178)</v>
      </c>
      <c r="R86" t="str">
        <f>"(-4.945)"</f>
        <v>(-4.945)</v>
      </c>
      <c r="S86" t="str">
        <f>"(-4.881)"</f>
        <v>(-4.881)</v>
      </c>
      <c r="T86" t="str">
        <f>"(-4.286)"</f>
        <v>(-4.286)</v>
      </c>
      <c r="U86" t="str">
        <f>"(-4.161)"</f>
        <v>(-4.161)</v>
      </c>
    </row>
    <row r="87" spans="1:21" x14ac:dyDescent="0.25">
      <c r="A87" t="str">
        <f>"lns1_1_1"</f>
        <v>lns1_1_1</v>
      </c>
      <c r="B87" t="str">
        <f>""</f>
        <v/>
      </c>
      <c r="C87" t="str">
        <f>""</f>
        <v/>
      </c>
      <c r="D87" t="str">
        <f>""</f>
        <v/>
      </c>
      <c r="E87" t="str">
        <f>""</f>
        <v/>
      </c>
      <c r="F87" t="str">
        <f>""</f>
        <v/>
      </c>
      <c r="G87" t="str">
        <f>""</f>
        <v/>
      </c>
      <c r="H87" t="str">
        <f>""</f>
        <v/>
      </c>
      <c r="I87" t="str">
        <f>""</f>
        <v/>
      </c>
      <c r="J87" t="str">
        <f>""</f>
        <v/>
      </c>
      <c r="K87" t="str">
        <f>""</f>
        <v/>
      </c>
      <c r="L87" t="str">
        <f>""</f>
        <v/>
      </c>
      <c r="M87" t="str">
        <f>""</f>
        <v/>
      </c>
      <c r="N87" t="str">
        <f>""</f>
        <v/>
      </c>
      <c r="O87" t="str">
        <f>""</f>
        <v/>
      </c>
      <c r="P87" t="str">
        <f>""</f>
        <v/>
      </c>
      <c r="Q87" t="str">
        <f>""</f>
        <v/>
      </c>
      <c r="R87" t="str">
        <f>""</f>
        <v/>
      </c>
      <c r="S87" t="str">
        <f>""</f>
        <v/>
      </c>
      <c r="T87" t="str">
        <f>""</f>
        <v/>
      </c>
      <c r="U87" t="str">
        <f>""</f>
        <v/>
      </c>
    </row>
    <row r="88" spans="1:21" x14ac:dyDescent="0.25">
      <c r="A88" t="str">
        <f>"Constant"</f>
        <v>Constant</v>
      </c>
      <c r="B88" t="str">
        <f>"-1.070**"</f>
        <v>-1.070**</v>
      </c>
      <c r="C88" t="str">
        <f>"-1.051**"</f>
        <v>-1.051**</v>
      </c>
      <c r="D88" t="str">
        <f>"-1.283**"</f>
        <v>-1.283**</v>
      </c>
      <c r="E88" t="str">
        <f>"-1.293**"</f>
        <v>-1.293**</v>
      </c>
      <c r="F88" t="str">
        <f>"-1.405**"</f>
        <v>-1.405**</v>
      </c>
      <c r="G88" t="str">
        <f>"-1.424**"</f>
        <v>-1.424**</v>
      </c>
      <c r="H88" t="str">
        <f>"-1.195**"</f>
        <v>-1.195**</v>
      </c>
      <c r="I88" t="str">
        <f>"-1.193**"</f>
        <v>-1.193**</v>
      </c>
      <c r="J88" t="str">
        <f>"-1.316**"</f>
        <v>-1.316**</v>
      </c>
      <c r="K88" t="str">
        <f>"-1.326**"</f>
        <v>-1.326**</v>
      </c>
      <c r="L88" t="str">
        <f>"-1.313**"</f>
        <v>-1.313**</v>
      </c>
      <c r="M88" t="str">
        <f>"-1.358**"</f>
        <v>-1.358**</v>
      </c>
      <c r="N88" t="str">
        <f>"-1.535**"</f>
        <v>-1.535**</v>
      </c>
      <c r="O88" t="str">
        <f>"-1.534**"</f>
        <v>-1.534**</v>
      </c>
      <c r="P88" t="str">
        <f>"-1.536**"</f>
        <v>-1.536**</v>
      </c>
      <c r="Q88" t="str">
        <f>"-1.535**"</f>
        <v>-1.535**</v>
      </c>
      <c r="R88" t="str">
        <f>"-1.625**"</f>
        <v>-1.625**</v>
      </c>
      <c r="S88" t="str">
        <f>"-1.624**"</f>
        <v>-1.624**</v>
      </c>
      <c r="T88" t="str">
        <f>"-1.548**"</f>
        <v>-1.548**</v>
      </c>
      <c r="U88" t="str">
        <f>"-1.547**"</f>
        <v>-1.547**</v>
      </c>
    </row>
    <row r="89" spans="1:21" x14ac:dyDescent="0.25">
      <c r="A89" t="str">
        <f>""</f>
        <v/>
      </c>
      <c r="B89" t="str">
        <f>"(-5.858)"</f>
        <v>(-5.858)</v>
      </c>
      <c r="C89" t="str">
        <f>"(-5.885)"</f>
        <v>(-5.885)</v>
      </c>
      <c r="D89" t="str">
        <f>"(-7.543)"</f>
        <v>(-7.543)</v>
      </c>
      <c r="E89" t="str">
        <f>"(-7.531)"</f>
        <v>(-7.531)</v>
      </c>
      <c r="F89" t="str">
        <f>"(-8.754)"</f>
        <v>(-8.754)</v>
      </c>
      <c r="G89" t="str">
        <f>"(-8.592)"</f>
        <v>(-8.592)</v>
      </c>
      <c r="H89" t="str">
        <f>"(-7.030)"</f>
        <v>(-7.030)</v>
      </c>
      <c r="I89" t="str">
        <f>"(-7.058)"</f>
        <v>(-7.058)</v>
      </c>
      <c r="J89" t="str">
        <f>"(-7.615)"</f>
        <v>(-7.615)</v>
      </c>
      <c r="K89" t="str">
        <f>"(-7.539)"</f>
        <v>(-7.539)</v>
      </c>
      <c r="L89" t="str">
        <f>"(-11.603)"</f>
        <v>(-11.603)</v>
      </c>
      <c r="M89" t="str">
        <f>"(-11.158)"</f>
        <v>(-11.158)</v>
      </c>
      <c r="N89" t="str">
        <f>"(-13.023)"</f>
        <v>(-13.023)</v>
      </c>
      <c r="O89" t="str">
        <f>"(-13.036)"</f>
        <v>(-13.036)</v>
      </c>
      <c r="P89" t="str">
        <f>"(-13.110)"</f>
        <v>(-13.110)</v>
      </c>
      <c r="Q89" t="str">
        <f>"(-13.183)"</f>
        <v>(-13.183)</v>
      </c>
      <c r="R89" t="str">
        <f>"(-12.712)"</f>
        <v>(-12.712)</v>
      </c>
      <c r="S89" t="str">
        <f>"(-12.733)"</f>
        <v>(-12.733)</v>
      </c>
      <c r="T89" t="str">
        <f>"(-13.993)"</f>
        <v>(-13.993)</v>
      </c>
      <c r="U89" t="str">
        <f>"(-14.032)"</f>
        <v>(-14.032)</v>
      </c>
    </row>
    <row r="90" spans="1:21" x14ac:dyDescent="0.25">
      <c r="A90" t="str">
        <f>"lnsig_e"</f>
        <v>lnsig_e</v>
      </c>
      <c r="B90" t="str">
        <f>""</f>
        <v/>
      </c>
      <c r="C90" t="str">
        <f>""</f>
        <v/>
      </c>
      <c r="D90" t="str">
        <f>""</f>
        <v/>
      </c>
      <c r="E90" t="str">
        <f>""</f>
        <v/>
      </c>
      <c r="F90" t="str">
        <f>""</f>
        <v/>
      </c>
      <c r="G90" t="str">
        <f>""</f>
        <v/>
      </c>
      <c r="H90" t="str">
        <f>""</f>
        <v/>
      </c>
      <c r="I90" t="str">
        <f>""</f>
        <v/>
      </c>
      <c r="J90" t="str">
        <f>""</f>
        <v/>
      </c>
      <c r="K90" t="str">
        <f>""</f>
        <v/>
      </c>
      <c r="L90" t="str">
        <f>""</f>
        <v/>
      </c>
      <c r="M90" t="str">
        <f>""</f>
        <v/>
      </c>
      <c r="N90" t="str">
        <f>""</f>
        <v/>
      </c>
      <c r="O90" t="str">
        <f>""</f>
        <v/>
      </c>
      <c r="P90" t="str">
        <f>""</f>
        <v/>
      </c>
      <c r="Q90" t="str">
        <f>""</f>
        <v/>
      </c>
      <c r="R90" t="str">
        <f>""</f>
        <v/>
      </c>
      <c r="S90" t="str">
        <f>""</f>
        <v/>
      </c>
      <c r="T90" t="str">
        <f>""</f>
        <v/>
      </c>
      <c r="U90" t="str">
        <f>""</f>
        <v/>
      </c>
    </row>
    <row r="91" spans="1:21" x14ac:dyDescent="0.25">
      <c r="A91" t="str">
        <f>"Constant"</f>
        <v>Constant</v>
      </c>
      <c r="B91" t="str">
        <f>"-0.161**"</f>
        <v>-0.161**</v>
      </c>
      <c r="C91" t="str">
        <f>"-0.174**"</f>
        <v>-0.174**</v>
      </c>
      <c r="D91" t="str">
        <f>"-0.223**"</f>
        <v>-0.223**</v>
      </c>
      <c r="E91" t="str">
        <f>"-0.224**"</f>
        <v>-0.224**</v>
      </c>
      <c r="F91" t="str">
        <f>"-0.223**"</f>
        <v>-0.223**</v>
      </c>
      <c r="G91" t="str">
        <f>"-0.224**"</f>
        <v>-0.224**</v>
      </c>
      <c r="H91" t="str">
        <f>"-0.223**"</f>
        <v>-0.223**</v>
      </c>
      <c r="I91" t="str">
        <f>"-0.223**"</f>
        <v>-0.223**</v>
      </c>
      <c r="J91" t="str">
        <f>"-0.223**"</f>
        <v>-0.223**</v>
      </c>
      <c r="K91" t="str">
        <f>"-0.224**"</f>
        <v>-0.224**</v>
      </c>
      <c r="L91" t="str">
        <f>"-0.099**"</f>
        <v>-0.099**</v>
      </c>
      <c r="M91" t="str">
        <f>"-0.114**"</f>
        <v>-0.114**</v>
      </c>
      <c r="N91" t="str">
        <f t="shared" ref="N91:U91" si="26">"-0.142**"</f>
        <v>-0.142**</v>
      </c>
      <c r="O91" t="str">
        <f t="shared" si="26"/>
        <v>-0.142**</v>
      </c>
      <c r="P91" t="str">
        <f t="shared" si="26"/>
        <v>-0.142**</v>
      </c>
      <c r="Q91" t="str">
        <f t="shared" si="26"/>
        <v>-0.142**</v>
      </c>
      <c r="R91" t="str">
        <f t="shared" si="26"/>
        <v>-0.142**</v>
      </c>
      <c r="S91" t="str">
        <f t="shared" si="26"/>
        <v>-0.142**</v>
      </c>
      <c r="T91" t="str">
        <f t="shared" si="26"/>
        <v>-0.142**</v>
      </c>
      <c r="U91" t="str">
        <f t="shared" si="26"/>
        <v>-0.142**</v>
      </c>
    </row>
    <row r="92" spans="1:21" x14ac:dyDescent="0.25">
      <c r="A92" t="str">
        <f>""</f>
        <v/>
      </c>
      <c r="B92" t="str">
        <f>"(-5.841)"</f>
        <v>(-5.841)</v>
      </c>
      <c r="C92" t="str">
        <f>"(-7.190)"</f>
        <v>(-7.190)</v>
      </c>
      <c r="D92" t="str">
        <f>"(-8.272)"</f>
        <v>(-8.272)</v>
      </c>
      <c r="E92" t="str">
        <f>"(-8.324)"</f>
        <v>(-8.324)</v>
      </c>
      <c r="F92" t="str">
        <f>"(-8.272)"</f>
        <v>(-8.272)</v>
      </c>
      <c r="G92" t="str">
        <f>"(-8.382)"</f>
        <v>(-8.382)</v>
      </c>
      <c r="H92" t="str">
        <f>"(-8.272)"</f>
        <v>(-8.272)</v>
      </c>
      <c r="I92" t="str">
        <f>"(-8.290)"</f>
        <v>(-8.290)</v>
      </c>
      <c r="J92" t="str">
        <f>"(-8.272)"</f>
        <v>(-8.272)</v>
      </c>
      <c r="K92" t="str">
        <f>"(-8.330)"</f>
        <v>(-8.330)</v>
      </c>
      <c r="L92" t="str">
        <f>"(-4.411)"</f>
        <v>(-4.411)</v>
      </c>
      <c r="M92" t="str">
        <f>"(-5.531)"</f>
        <v>(-5.531)</v>
      </c>
      <c r="N92" t="str">
        <f>"(-6.226)"</f>
        <v>(-6.226)</v>
      </c>
      <c r="O92" t="str">
        <f>"(-6.229)"</f>
        <v>(-6.229)</v>
      </c>
      <c r="P92" t="str">
        <f>"(-6.226)"</f>
        <v>(-6.226)</v>
      </c>
      <c r="Q92" t="str">
        <f>"(-6.227)"</f>
        <v>(-6.227)</v>
      </c>
      <c r="R92" t="str">
        <f>"(-6.225)"</f>
        <v>(-6.225)</v>
      </c>
      <c r="S92" t="str">
        <f>"(-6.227)"</f>
        <v>(-6.227)</v>
      </c>
      <c r="T92" t="str">
        <f>"(-6.225)"</f>
        <v>(-6.225)</v>
      </c>
      <c r="U92" t="str">
        <f>"(-6.226)"</f>
        <v>(-6.226)</v>
      </c>
    </row>
    <row r="93" spans="1:21" x14ac:dyDescent="0.25">
      <c r="A93" t="str">
        <f>"Log likelihood"</f>
        <v>Log likelihood</v>
      </c>
      <c r="B93" t="str">
        <f>"-212596.3346271193"</f>
        <v>-212596.3346271193</v>
      </c>
      <c r="C93" t="str">
        <f>"-199474.8030295042"</f>
        <v>-199474.8030295042</v>
      </c>
      <c r="D93" t="str">
        <f>"-190942.2858935724"</f>
        <v>-190942.2858935724</v>
      </c>
      <c r="E93" t="str">
        <f>"-190874.3447931904"</f>
        <v>-190874.3447931904</v>
      </c>
      <c r="F93" t="str">
        <f>"-190939.7433617607"</f>
        <v>-190939.7433617607</v>
      </c>
      <c r="G93" t="str">
        <f>"-190807.030997561"</f>
        <v>-190807.030997561</v>
      </c>
      <c r="H93" t="str">
        <f>"-190944.1315022425"</f>
        <v>-190944.1315022425</v>
      </c>
      <c r="I93" t="str">
        <f>"-190933.2827853701"</f>
        <v>-190933.2827853701</v>
      </c>
      <c r="J93" t="str">
        <f>"-190941.6033969467"</f>
        <v>-190941.6033969467</v>
      </c>
      <c r="K93" t="str">
        <f>"-190871.8510271365"</f>
        <v>-190871.8510271365</v>
      </c>
      <c r="L93" t="str">
        <f>"-223081.0106753988"</f>
        <v>-223081.0106753988</v>
      </c>
      <c r="M93" t="str">
        <f>"-209033.4718705711"</f>
        <v>-209033.4718705711</v>
      </c>
      <c r="N93" t="str">
        <f>"-203975.5688211015"</f>
        <v>-203975.5688211015</v>
      </c>
      <c r="O93" t="str">
        <f>"-203974.4146546382"</f>
        <v>-203974.4146546382</v>
      </c>
      <c r="P93" t="str">
        <f>"-203975.5398981776"</f>
        <v>-203975.5398981776</v>
      </c>
      <c r="Q93" t="str">
        <f>"-203965.9816021161"</f>
        <v>-203965.9816021161</v>
      </c>
      <c r="R93" t="str">
        <f>"-203973.6758845847"</f>
        <v>-203973.6758845847</v>
      </c>
      <c r="S93" t="str">
        <f>"-203973.2101689062"</f>
        <v>-203973.2101689062</v>
      </c>
      <c r="T93" t="str">
        <f>"-203975.2955905331"</f>
        <v>-203975.2955905331</v>
      </c>
      <c r="U93" t="str">
        <f>"-203969.9188693179"</f>
        <v>-203969.9188693179</v>
      </c>
    </row>
    <row r="94" spans="1:21" x14ac:dyDescent="0.25">
      <c r="A94" t="str">
        <f>"Sample Size"</f>
        <v>Sample Size</v>
      </c>
      <c r="B94" t="str">
        <f>"169386.000"</f>
        <v>169386.000</v>
      </c>
      <c r="C94" t="str">
        <f>"160612.000"</f>
        <v>160612.000</v>
      </c>
      <c r="D94" t="str">
        <f t="shared" ref="D94:K94" si="27">"160078.000"</f>
        <v>160078.000</v>
      </c>
      <c r="E94" t="str">
        <f t="shared" si="27"/>
        <v>160078.000</v>
      </c>
      <c r="F94" t="str">
        <f t="shared" si="27"/>
        <v>160078.000</v>
      </c>
      <c r="G94" t="str">
        <f t="shared" si="27"/>
        <v>160078.000</v>
      </c>
      <c r="H94" t="str">
        <f t="shared" si="27"/>
        <v>160078.000</v>
      </c>
      <c r="I94" t="str">
        <f t="shared" si="27"/>
        <v>160078.000</v>
      </c>
      <c r="J94" t="str">
        <f t="shared" si="27"/>
        <v>160078.000</v>
      </c>
      <c r="K94" t="str">
        <f t="shared" si="27"/>
        <v>160078.000</v>
      </c>
      <c r="L94" t="str">
        <f>"169383.000"</f>
        <v>169383.000</v>
      </c>
      <c r="M94" t="str">
        <f>"160610.000"</f>
        <v>160610.000</v>
      </c>
      <c r="N94" t="str">
        <f t="shared" ref="N94:U94" si="28">"160076.000"</f>
        <v>160076.000</v>
      </c>
      <c r="O94" t="str">
        <f t="shared" si="28"/>
        <v>160076.000</v>
      </c>
      <c r="P94" t="str">
        <f t="shared" si="28"/>
        <v>160076.000</v>
      </c>
      <c r="Q94" t="str">
        <f t="shared" si="28"/>
        <v>160076.000</v>
      </c>
      <c r="R94" t="str">
        <f t="shared" si="28"/>
        <v>160076.000</v>
      </c>
      <c r="S94" t="str">
        <f t="shared" si="28"/>
        <v>160076.000</v>
      </c>
      <c r="T94" t="str">
        <f t="shared" si="28"/>
        <v>160076.000</v>
      </c>
      <c r="U94" t="str">
        <f t="shared" si="28"/>
        <v>160076.000</v>
      </c>
    </row>
    <row r="95" spans="1:21" x14ac:dyDescent="0.25">
      <c r="A95" t="str">
        <f>"t statistics in parentheses"</f>
        <v>t statistics in parentheses</v>
      </c>
    </row>
    <row r="96" spans="1:21" x14ac:dyDescent="0.25">
      <c r="A96" t="s">
        <v>336</v>
      </c>
      <c r="B96" t="s">
        <v>337</v>
      </c>
    </row>
  </sheetData>
  <mergeCells count="1">
    <mergeCell ref="A1:U1"/>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EE63F1-E07F-4DDD-A3A3-104D72A09892}">
  <dimension ref="A1:S109"/>
  <sheetViews>
    <sheetView workbookViewId="0">
      <selection sqref="A1:L1"/>
    </sheetView>
  </sheetViews>
  <sheetFormatPr defaultRowHeight="15" x14ac:dyDescent="0.25"/>
  <cols>
    <col min="1" max="1" width="48.85546875" bestFit="1" customWidth="1"/>
  </cols>
  <sheetData>
    <row r="1" spans="1:12" ht="55.5" customHeight="1" x14ac:dyDescent="0.25">
      <c r="A1" s="89" t="s">
        <v>1045</v>
      </c>
      <c r="B1" s="89"/>
      <c r="C1" s="89"/>
      <c r="D1" s="89"/>
      <c r="E1" s="89"/>
      <c r="F1" s="89"/>
      <c r="G1" s="89"/>
      <c r="H1" s="89"/>
      <c r="I1" s="89"/>
      <c r="J1" s="89"/>
      <c r="K1" s="89"/>
      <c r="L1" s="89"/>
    </row>
    <row r="2" spans="1:12" x14ac:dyDescent="0.25">
      <c r="A2" t="str">
        <f>""</f>
        <v/>
      </c>
      <c r="B2" t="str">
        <f>"(1)"</f>
        <v>(1)</v>
      </c>
      <c r="C2" t="str">
        <f>"(2)"</f>
        <v>(2)</v>
      </c>
      <c r="D2" t="str">
        <f>"(3)"</f>
        <v>(3)</v>
      </c>
      <c r="E2" t="str">
        <f>"(4)"</f>
        <v>(4)</v>
      </c>
      <c r="F2" t="str">
        <f>"(5)"</f>
        <v>(5)</v>
      </c>
      <c r="G2" t="str">
        <f>"(6)"</f>
        <v>(6)</v>
      </c>
      <c r="H2" t="str">
        <f>"(7)"</f>
        <v>(7)</v>
      </c>
      <c r="I2" t="str">
        <f>"(8)"</f>
        <v>(8)</v>
      </c>
      <c r="J2" t="str">
        <f>"(9)"</f>
        <v>(9)</v>
      </c>
      <c r="K2" t="str">
        <f>"(10)"</f>
        <v>(10)</v>
      </c>
      <c r="L2" t="str">
        <f>"(11)"</f>
        <v>(11)</v>
      </c>
    </row>
    <row r="3" spans="1:12" x14ac:dyDescent="0.25">
      <c r="A3" t="str">
        <f>""</f>
        <v/>
      </c>
      <c r="B3" t="str">
        <f t="shared" ref="B3:L3" si="0">"Parent-child relationship quality index"</f>
        <v>Parent-child relationship quality index</v>
      </c>
      <c r="C3" t="str">
        <f t="shared" si="0"/>
        <v>Parent-child relationship quality index</v>
      </c>
      <c r="D3" t="str">
        <f t="shared" si="0"/>
        <v>Parent-child relationship quality index</v>
      </c>
      <c r="E3" t="str">
        <f t="shared" si="0"/>
        <v>Parent-child relationship quality index</v>
      </c>
      <c r="F3" t="str">
        <f t="shared" si="0"/>
        <v>Parent-child relationship quality index</v>
      </c>
      <c r="G3" t="str">
        <f t="shared" si="0"/>
        <v>Parent-child relationship quality index</v>
      </c>
      <c r="H3" t="str">
        <f t="shared" si="0"/>
        <v>Parent-child relationship quality index</v>
      </c>
      <c r="I3" t="str">
        <f t="shared" si="0"/>
        <v>Parent-child relationship quality index</v>
      </c>
      <c r="J3" t="str">
        <f t="shared" si="0"/>
        <v>Parent-child relationship quality index</v>
      </c>
      <c r="K3" t="str">
        <f t="shared" si="0"/>
        <v>Parent-child relationship quality index</v>
      </c>
      <c r="L3" t="str">
        <f t="shared" si="0"/>
        <v>Parent-child relationship quality index</v>
      </c>
    </row>
    <row r="4" spans="1:12" x14ac:dyDescent="0.25">
      <c r="B4" t="str">
        <f>""</f>
        <v/>
      </c>
      <c r="C4" t="str">
        <f>""</f>
        <v/>
      </c>
      <c r="D4" t="str">
        <f>""</f>
        <v/>
      </c>
      <c r="E4" t="str">
        <f>""</f>
        <v/>
      </c>
      <c r="F4" t="str">
        <f>""</f>
        <v/>
      </c>
      <c r="G4" t="str">
        <f>""</f>
        <v/>
      </c>
      <c r="H4" t="str">
        <f>""</f>
        <v/>
      </c>
      <c r="I4" t="str">
        <f>""</f>
        <v/>
      </c>
      <c r="J4" t="str">
        <f>""</f>
        <v/>
      </c>
      <c r="K4" t="str">
        <f>""</f>
        <v/>
      </c>
      <c r="L4" t="str">
        <f>""</f>
        <v/>
      </c>
    </row>
    <row r="5" spans="1:12" x14ac:dyDescent="0.25">
      <c r="A5" t="str">
        <f>"Respondet is male"</f>
        <v>Respondet is male</v>
      </c>
      <c r="B5" t="str">
        <f>"0.130**"</f>
        <v>0.130**</v>
      </c>
      <c r="C5" t="str">
        <f>"0.107**"</f>
        <v>0.107**</v>
      </c>
      <c r="D5" t="str">
        <f>"0.103**"</f>
        <v>0.103**</v>
      </c>
      <c r="E5" t="str">
        <f>"0.108**"</f>
        <v>0.108**</v>
      </c>
      <c r="F5" t="str">
        <f>"0.108**"</f>
        <v>0.108**</v>
      </c>
      <c r="G5" t="str">
        <f>"0.108**"</f>
        <v>0.108**</v>
      </c>
      <c r="H5" t="str">
        <f>"0.109**"</f>
        <v>0.109**</v>
      </c>
      <c r="I5" t="str">
        <f>"0.108**"</f>
        <v>0.108**</v>
      </c>
      <c r="J5" t="str">
        <f>"0.108**"</f>
        <v>0.108**</v>
      </c>
      <c r="K5" t="str">
        <f>"0.108**"</f>
        <v>0.108**</v>
      </c>
      <c r="L5" t="str">
        <f>"0.108**"</f>
        <v>0.108**</v>
      </c>
    </row>
    <row r="6" spans="1:12" x14ac:dyDescent="0.25">
      <c r="A6" t="str">
        <f>""</f>
        <v/>
      </c>
      <c r="B6" t="str">
        <f>"(0.042)"</f>
        <v>(0.042)</v>
      </c>
      <c r="C6" t="str">
        <f>"(0.023)"</f>
        <v>(0.023)</v>
      </c>
      <c r="D6" t="str">
        <f>"(0.024)"</f>
        <v>(0.024)</v>
      </c>
      <c r="E6" t="str">
        <f t="shared" ref="E6:L6" si="1">"(0.027)"</f>
        <v>(0.027)</v>
      </c>
      <c r="F6" t="str">
        <f t="shared" si="1"/>
        <v>(0.027)</v>
      </c>
      <c r="G6" t="str">
        <f t="shared" si="1"/>
        <v>(0.027)</v>
      </c>
      <c r="H6" t="str">
        <f t="shared" si="1"/>
        <v>(0.027)</v>
      </c>
      <c r="I6" t="str">
        <f t="shared" si="1"/>
        <v>(0.027)</v>
      </c>
      <c r="J6" t="str">
        <f t="shared" si="1"/>
        <v>(0.027)</v>
      </c>
      <c r="K6" t="str">
        <f t="shared" si="1"/>
        <v>(0.027)</v>
      </c>
      <c r="L6" t="str">
        <f t="shared" si="1"/>
        <v>(0.027)</v>
      </c>
    </row>
    <row r="7" spans="1:12" x14ac:dyDescent="0.25">
      <c r="A7" t="str">
        <f>"Did not select male or female"</f>
        <v>Did not select male or female</v>
      </c>
      <c r="B7" t="str">
        <f>"-0.298**"</f>
        <v>-0.298**</v>
      </c>
      <c r="C7" t="str">
        <f>"-0.226**"</f>
        <v>-0.226**</v>
      </c>
      <c r="D7" t="str">
        <f>"-0.219**"</f>
        <v>-0.219**</v>
      </c>
      <c r="E7" t="str">
        <f>"-0.192**"</f>
        <v>-0.192**</v>
      </c>
      <c r="F7" t="str">
        <f>"-0.192**"</f>
        <v>-0.192**</v>
      </c>
      <c r="G7" t="str">
        <f>"-0.192**"</f>
        <v>-0.192**</v>
      </c>
      <c r="H7" t="str">
        <f>"-0.190**"</f>
        <v>-0.190**</v>
      </c>
      <c r="I7" t="str">
        <f>"-0.192**"</f>
        <v>-0.192**</v>
      </c>
      <c r="J7" t="str">
        <f>"-0.192**"</f>
        <v>-0.192**</v>
      </c>
      <c r="K7" t="str">
        <f>"-0.192**"</f>
        <v>-0.192**</v>
      </c>
      <c r="L7" t="str">
        <f>"-0.192**"</f>
        <v>-0.192**</v>
      </c>
    </row>
    <row r="8" spans="1:12" x14ac:dyDescent="0.25">
      <c r="A8" t="str">
        <f>""</f>
        <v/>
      </c>
      <c r="B8" t="str">
        <f>"(0.053)"</f>
        <v>(0.053)</v>
      </c>
      <c r="C8" t="str">
        <f>"(0.053)"</f>
        <v>(0.053)</v>
      </c>
      <c r="D8" t="str">
        <f>"(0.053)"</f>
        <v>(0.053)</v>
      </c>
      <c r="E8" t="str">
        <f t="shared" ref="E8:L8" si="2">"(0.046)"</f>
        <v>(0.046)</v>
      </c>
      <c r="F8" t="str">
        <f t="shared" si="2"/>
        <v>(0.046)</v>
      </c>
      <c r="G8" t="str">
        <f t="shared" si="2"/>
        <v>(0.046)</v>
      </c>
      <c r="H8" t="str">
        <f t="shared" si="2"/>
        <v>(0.046)</v>
      </c>
      <c r="I8" t="str">
        <f t="shared" si="2"/>
        <v>(0.046)</v>
      </c>
      <c r="J8" t="str">
        <f t="shared" si="2"/>
        <v>(0.046)</v>
      </c>
      <c r="K8" t="str">
        <f t="shared" si="2"/>
        <v>(0.046)</v>
      </c>
      <c r="L8" t="str">
        <f t="shared" si="2"/>
        <v>(0.046)</v>
      </c>
    </row>
    <row r="9" spans="1:12" x14ac:dyDescent="0.25">
      <c r="A9" t="str">
        <f>"secondary education"</f>
        <v>secondary education</v>
      </c>
      <c r="B9" t="str">
        <f>"0.046*"</f>
        <v>0.046*</v>
      </c>
      <c r="C9" t="str">
        <f>"-0.006"</f>
        <v>-0.006</v>
      </c>
      <c r="D9" t="str">
        <f>"-0.010"</f>
        <v>-0.010</v>
      </c>
      <c r="E9" t="str">
        <f>"-0.007"</f>
        <v>-0.007</v>
      </c>
      <c r="F9" t="str">
        <f>"-0.007"</f>
        <v>-0.007</v>
      </c>
      <c r="G9" t="str">
        <f>"-0.007"</f>
        <v>-0.007</v>
      </c>
      <c r="H9" t="str">
        <f>"-0.010"</f>
        <v>-0.010</v>
      </c>
      <c r="I9" t="str">
        <f>"-0.007"</f>
        <v>-0.007</v>
      </c>
      <c r="J9" t="str">
        <f>"-0.007"</f>
        <v>-0.007</v>
      </c>
      <c r="K9" t="str">
        <f>"-0.007"</f>
        <v>-0.007</v>
      </c>
      <c r="L9" t="str">
        <f>"-0.009"</f>
        <v>-0.009</v>
      </c>
    </row>
    <row r="10" spans="1:12" x14ac:dyDescent="0.25">
      <c r="A10" t="str">
        <f>""</f>
        <v/>
      </c>
      <c r="B10" t="str">
        <f>"(0.021)"</f>
        <v>(0.021)</v>
      </c>
      <c r="C10" t="str">
        <f>"(0.020)"</f>
        <v>(0.020)</v>
      </c>
      <c r="D10" t="str">
        <f>"(0.019)"</f>
        <v>(0.019)</v>
      </c>
      <c r="E10" t="str">
        <f t="shared" ref="E10:L10" si="3">"(0.020)"</f>
        <v>(0.020)</v>
      </c>
      <c r="F10" t="str">
        <f t="shared" si="3"/>
        <v>(0.020)</v>
      </c>
      <c r="G10" t="str">
        <f t="shared" si="3"/>
        <v>(0.020)</v>
      </c>
      <c r="H10" t="str">
        <f t="shared" si="3"/>
        <v>(0.020)</v>
      </c>
      <c r="I10" t="str">
        <f t="shared" si="3"/>
        <v>(0.020)</v>
      </c>
      <c r="J10" t="str">
        <f t="shared" si="3"/>
        <v>(0.020)</v>
      </c>
      <c r="K10" t="str">
        <f t="shared" si="3"/>
        <v>(0.020)</v>
      </c>
      <c r="L10" t="str">
        <f t="shared" si="3"/>
        <v>(0.020)</v>
      </c>
    </row>
    <row r="11" spans="1:12" x14ac:dyDescent="0.25">
      <c r="A11" t="str">
        <f>"tertiary education"</f>
        <v>tertiary education</v>
      </c>
      <c r="B11" t="str">
        <f>"0.161**"</f>
        <v>0.161**</v>
      </c>
      <c r="C11" t="str">
        <f>"0.044"</f>
        <v>0.044</v>
      </c>
      <c r="D11" t="str">
        <f>"0.037"</f>
        <v>0.037</v>
      </c>
      <c r="E11" t="str">
        <f>"0.039"</f>
        <v>0.039</v>
      </c>
      <c r="F11" t="str">
        <f>"0.039"</f>
        <v>0.039</v>
      </c>
      <c r="G11" t="str">
        <f>"0.038"</f>
        <v>0.038</v>
      </c>
      <c r="H11" t="str">
        <f>"0.037"</f>
        <v>0.037</v>
      </c>
      <c r="I11" t="str">
        <f>"0.038"</f>
        <v>0.038</v>
      </c>
      <c r="J11" t="str">
        <f>"0.038"</f>
        <v>0.038</v>
      </c>
      <c r="K11" t="str">
        <f>"0.038"</f>
        <v>0.038</v>
      </c>
      <c r="L11" t="str">
        <f>"0.038"</f>
        <v>0.038</v>
      </c>
    </row>
    <row r="12" spans="1:12" x14ac:dyDescent="0.25">
      <c r="A12" t="str">
        <f>""</f>
        <v/>
      </c>
      <c r="B12" t="str">
        <f>"(0.028)"</f>
        <v>(0.028)</v>
      </c>
      <c r="C12" t="str">
        <f>"(0.023)"</f>
        <v>(0.023)</v>
      </c>
      <c r="D12" t="str">
        <f>"(0.023)"</f>
        <v>(0.023)</v>
      </c>
      <c r="E12" t="str">
        <f>"(0.024)"</f>
        <v>(0.024)</v>
      </c>
      <c r="F12" t="str">
        <f>"(0.024)"</f>
        <v>(0.024)</v>
      </c>
      <c r="G12" t="str">
        <f>"(0.024)"</f>
        <v>(0.024)</v>
      </c>
      <c r="H12" t="str">
        <f>"(0.024)"</f>
        <v>(0.024)</v>
      </c>
      <c r="I12" t="str">
        <f>"(0.024)"</f>
        <v>(0.024)</v>
      </c>
      <c r="J12" t="str">
        <f>"(0.023)"</f>
        <v>(0.023)</v>
      </c>
      <c r="K12" t="str">
        <f>"(0.024)"</f>
        <v>(0.024)</v>
      </c>
      <c r="L12" t="str">
        <f>"(0.024)"</f>
        <v>(0.024)</v>
      </c>
    </row>
    <row r="13" spans="1:12" x14ac:dyDescent="0.25">
      <c r="A13" t="str">
        <f>"household income-national rank"</f>
        <v>household income-national rank</v>
      </c>
      <c r="B13" t="str">
        <f>"0.002**"</f>
        <v>0.002**</v>
      </c>
      <c r="C13" t="str">
        <f>"0.001*"</f>
        <v>0.001*</v>
      </c>
      <c r="D13" t="str">
        <f>"0.001*"</f>
        <v>0.001*</v>
      </c>
      <c r="E13" t="str">
        <f t="shared" ref="E13:L13" si="4">"0.001"</f>
        <v>0.001</v>
      </c>
      <c r="F13" t="str">
        <f t="shared" si="4"/>
        <v>0.001</v>
      </c>
      <c r="G13" t="str">
        <f t="shared" si="4"/>
        <v>0.001</v>
      </c>
      <c r="H13" t="str">
        <f t="shared" si="4"/>
        <v>0.001</v>
      </c>
      <c r="I13" t="str">
        <f t="shared" si="4"/>
        <v>0.001</v>
      </c>
      <c r="J13" t="str">
        <f t="shared" si="4"/>
        <v>0.001</v>
      </c>
      <c r="K13" t="str">
        <f t="shared" si="4"/>
        <v>0.001</v>
      </c>
      <c r="L13" t="str">
        <f t="shared" si="4"/>
        <v>0.001</v>
      </c>
    </row>
    <row r="14" spans="1:12" x14ac:dyDescent="0.25">
      <c r="A14" t="str">
        <f>""</f>
        <v/>
      </c>
      <c r="B14" t="str">
        <f>"(0.001)"</f>
        <v>(0.001)</v>
      </c>
      <c r="C14" t="str">
        <f t="shared" ref="C14:L14" si="5">"(0.000)"</f>
        <v>(0.000)</v>
      </c>
      <c r="D14" t="str">
        <f t="shared" si="5"/>
        <v>(0.000)</v>
      </c>
      <c r="E14" t="str">
        <f t="shared" si="5"/>
        <v>(0.000)</v>
      </c>
      <c r="F14" t="str">
        <f t="shared" si="5"/>
        <v>(0.000)</v>
      </c>
      <c r="G14" t="str">
        <f t="shared" si="5"/>
        <v>(0.000)</v>
      </c>
      <c r="H14" t="str">
        <f t="shared" si="5"/>
        <v>(0.000)</v>
      </c>
      <c r="I14" t="str">
        <f t="shared" si="5"/>
        <v>(0.000)</v>
      </c>
      <c r="J14" t="str">
        <f t="shared" si="5"/>
        <v>(0.000)</v>
      </c>
      <c r="K14" t="str">
        <f t="shared" si="5"/>
        <v>(0.000)</v>
      </c>
      <c r="L14" t="str">
        <f t="shared" si="5"/>
        <v>(0.000)</v>
      </c>
    </row>
    <row r="15" spans="1:12" x14ac:dyDescent="0.25">
      <c r="A15" t="str">
        <f>"Ages 25-34"</f>
        <v>Ages 25-34</v>
      </c>
      <c r="B15" t="str">
        <f>"-0.087*"</f>
        <v>-0.087*</v>
      </c>
      <c r="C15" t="str">
        <f>"-0.048"</f>
        <v>-0.048</v>
      </c>
      <c r="D15" t="str">
        <f>"-0.045"</f>
        <v>-0.045</v>
      </c>
      <c r="E15" t="str">
        <f>"-0.032"</f>
        <v>-0.032</v>
      </c>
      <c r="F15" t="str">
        <f>"-0.032"</f>
        <v>-0.032</v>
      </c>
      <c r="G15" t="str">
        <f>"-0.032"</f>
        <v>-0.032</v>
      </c>
      <c r="H15" t="str">
        <f>"-0.033"</f>
        <v>-0.033</v>
      </c>
      <c r="I15" t="str">
        <f>"-0.032"</f>
        <v>-0.032</v>
      </c>
      <c r="J15" t="str">
        <f>"-0.032"</f>
        <v>-0.032</v>
      </c>
      <c r="K15" t="str">
        <f>"-0.032"</f>
        <v>-0.032</v>
      </c>
      <c r="L15" t="str">
        <f>"-0.033"</f>
        <v>-0.033</v>
      </c>
    </row>
    <row r="16" spans="1:12" x14ac:dyDescent="0.25">
      <c r="A16" t="str">
        <f>""</f>
        <v/>
      </c>
      <c r="B16" t="str">
        <f>"(0.044)"</f>
        <v>(0.044)</v>
      </c>
      <c r="C16" t="str">
        <f>"(0.036)"</f>
        <v>(0.036)</v>
      </c>
      <c r="D16" t="str">
        <f>"(0.034)"</f>
        <v>(0.034)</v>
      </c>
      <c r="E16" t="str">
        <f t="shared" ref="E16:L16" si="6">"(0.027)"</f>
        <v>(0.027)</v>
      </c>
      <c r="F16" t="str">
        <f t="shared" si="6"/>
        <v>(0.027)</v>
      </c>
      <c r="G16" t="str">
        <f t="shared" si="6"/>
        <v>(0.027)</v>
      </c>
      <c r="H16" t="str">
        <f t="shared" si="6"/>
        <v>(0.027)</v>
      </c>
      <c r="I16" t="str">
        <f t="shared" si="6"/>
        <v>(0.027)</v>
      </c>
      <c r="J16" t="str">
        <f t="shared" si="6"/>
        <v>(0.027)</v>
      </c>
      <c r="K16" t="str">
        <f t="shared" si="6"/>
        <v>(0.027)</v>
      </c>
      <c r="L16" t="str">
        <f t="shared" si="6"/>
        <v>(0.027)</v>
      </c>
    </row>
    <row r="17" spans="1:12" x14ac:dyDescent="0.25">
      <c r="A17" t="str">
        <f>"Ages 35-44"</f>
        <v>Ages 35-44</v>
      </c>
      <c r="B17" t="str">
        <f>"-0.079*"</f>
        <v>-0.079*</v>
      </c>
      <c r="C17" t="str">
        <f>"-0.034"</f>
        <v>-0.034</v>
      </c>
      <c r="D17" t="str">
        <f>"-0.031"</f>
        <v>-0.031</v>
      </c>
      <c r="E17" t="str">
        <f>"-0.016"</f>
        <v>-0.016</v>
      </c>
      <c r="F17" t="str">
        <f>"-0.016"</f>
        <v>-0.016</v>
      </c>
      <c r="G17" t="str">
        <f>"-0.016"</f>
        <v>-0.016</v>
      </c>
      <c r="H17" t="str">
        <f>"-0.017"</f>
        <v>-0.017</v>
      </c>
      <c r="I17" t="str">
        <f>"-0.016"</f>
        <v>-0.016</v>
      </c>
      <c r="J17" t="str">
        <f>"-0.016"</f>
        <v>-0.016</v>
      </c>
      <c r="K17" t="str">
        <f>"-0.016"</f>
        <v>-0.016</v>
      </c>
      <c r="L17" t="str">
        <f>"-0.017"</f>
        <v>-0.017</v>
      </c>
    </row>
    <row r="18" spans="1:12" x14ac:dyDescent="0.25">
      <c r="A18" t="str">
        <f>""</f>
        <v/>
      </c>
      <c r="B18" t="str">
        <f>"(0.039)"</f>
        <v>(0.039)</v>
      </c>
      <c r="C18" t="str">
        <f>"(0.033)"</f>
        <v>(0.033)</v>
      </c>
      <c r="D18" t="str">
        <f>"(0.032)"</f>
        <v>(0.032)</v>
      </c>
      <c r="E18" t="str">
        <f>"(0.029)"</f>
        <v>(0.029)</v>
      </c>
      <c r="F18" t="str">
        <f>"(0.029)"</f>
        <v>(0.029)</v>
      </c>
      <c r="G18" t="str">
        <f>"(0.029)"</f>
        <v>(0.029)</v>
      </c>
      <c r="H18" t="str">
        <f>"(0.028)"</f>
        <v>(0.028)</v>
      </c>
      <c r="I18" t="str">
        <f>"(0.029)"</f>
        <v>(0.029)</v>
      </c>
      <c r="J18" t="str">
        <f>"(0.029)"</f>
        <v>(0.029)</v>
      </c>
      <c r="K18" t="str">
        <f>"(0.029)"</f>
        <v>(0.029)</v>
      </c>
      <c r="L18" t="str">
        <f>"(0.029)"</f>
        <v>(0.029)</v>
      </c>
    </row>
    <row r="19" spans="1:12" x14ac:dyDescent="0.25">
      <c r="A19" t="str">
        <f>"Ages 45-54"</f>
        <v>Ages 45-54</v>
      </c>
      <c r="B19" t="str">
        <f>"-0.042"</f>
        <v>-0.042</v>
      </c>
      <c r="C19" t="str">
        <f>"0.001"</f>
        <v>0.001</v>
      </c>
      <c r="D19" t="str">
        <f>"0.000"</f>
        <v>0.000</v>
      </c>
      <c r="E19" t="str">
        <f>"0.010"</f>
        <v>0.010</v>
      </c>
      <c r="F19" t="str">
        <f>"0.010"</f>
        <v>0.010</v>
      </c>
      <c r="G19" t="str">
        <f>"0.010"</f>
        <v>0.010</v>
      </c>
      <c r="H19" t="str">
        <f>"0.009"</f>
        <v>0.009</v>
      </c>
      <c r="I19" t="str">
        <f>"0.010"</f>
        <v>0.010</v>
      </c>
      <c r="J19" t="str">
        <f>"0.010"</f>
        <v>0.010</v>
      </c>
      <c r="K19" t="str">
        <f>"0.010"</f>
        <v>0.010</v>
      </c>
      <c r="L19" t="str">
        <f>"0.010"</f>
        <v>0.010</v>
      </c>
    </row>
    <row r="20" spans="1:12" x14ac:dyDescent="0.25">
      <c r="A20" t="str">
        <f>""</f>
        <v/>
      </c>
      <c r="B20" t="str">
        <f>"(0.034)"</f>
        <v>(0.034)</v>
      </c>
      <c r="C20" t="str">
        <f>"(0.027)"</f>
        <v>(0.027)</v>
      </c>
      <c r="D20" t="str">
        <f>"(0.027)"</f>
        <v>(0.027)</v>
      </c>
      <c r="E20" t="str">
        <f t="shared" ref="E20:L20" si="7">"(0.026)"</f>
        <v>(0.026)</v>
      </c>
      <c r="F20" t="str">
        <f t="shared" si="7"/>
        <v>(0.026)</v>
      </c>
      <c r="G20" t="str">
        <f t="shared" si="7"/>
        <v>(0.026)</v>
      </c>
      <c r="H20" t="str">
        <f t="shared" si="7"/>
        <v>(0.026)</v>
      </c>
      <c r="I20" t="str">
        <f t="shared" si="7"/>
        <v>(0.026)</v>
      </c>
      <c r="J20" t="str">
        <f t="shared" si="7"/>
        <v>(0.026)</v>
      </c>
      <c r="K20" t="str">
        <f t="shared" si="7"/>
        <v>(0.026)</v>
      </c>
      <c r="L20" t="str">
        <f t="shared" si="7"/>
        <v>(0.026)</v>
      </c>
    </row>
    <row r="21" spans="1:12" x14ac:dyDescent="0.25">
      <c r="A21" t="str">
        <f>"Ages 55-64"</f>
        <v>Ages 55-64</v>
      </c>
      <c r="B21" t="str">
        <f>"0.038"</f>
        <v>0.038</v>
      </c>
      <c r="C21" t="str">
        <f>"0.054"</f>
        <v>0.054</v>
      </c>
      <c r="D21" t="str">
        <f>"0.046"</f>
        <v>0.046</v>
      </c>
      <c r="E21" t="str">
        <f>"0.047"</f>
        <v>0.047</v>
      </c>
      <c r="F21" t="str">
        <f>"0.047"</f>
        <v>0.047</v>
      </c>
      <c r="G21" t="str">
        <f>"0.046"</f>
        <v>0.046</v>
      </c>
      <c r="H21" t="str">
        <f>"0.046"</f>
        <v>0.046</v>
      </c>
      <c r="I21" t="str">
        <f>"0.046"</f>
        <v>0.046</v>
      </c>
      <c r="J21" t="str">
        <f>"0.046"</f>
        <v>0.046</v>
      </c>
      <c r="K21" t="str">
        <f>"0.046"</f>
        <v>0.046</v>
      </c>
      <c r="L21" t="str">
        <f>"0.047"</f>
        <v>0.047</v>
      </c>
    </row>
    <row r="22" spans="1:12" x14ac:dyDescent="0.25">
      <c r="A22" t="str">
        <f>""</f>
        <v/>
      </c>
      <c r="B22" t="str">
        <f>"(0.039)"</f>
        <v>(0.039)</v>
      </c>
      <c r="C22" t="str">
        <f>"(0.034)"</f>
        <v>(0.034)</v>
      </c>
      <c r="D22" t="str">
        <f>"(0.033)"</f>
        <v>(0.033)</v>
      </c>
      <c r="E22" t="str">
        <f t="shared" ref="E22:L22" si="8">"(0.031)"</f>
        <v>(0.031)</v>
      </c>
      <c r="F22" t="str">
        <f t="shared" si="8"/>
        <v>(0.031)</v>
      </c>
      <c r="G22" t="str">
        <f t="shared" si="8"/>
        <v>(0.031)</v>
      </c>
      <c r="H22" t="str">
        <f t="shared" si="8"/>
        <v>(0.031)</v>
      </c>
      <c r="I22" t="str">
        <f t="shared" si="8"/>
        <v>(0.031)</v>
      </c>
      <c r="J22" t="str">
        <f t="shared" si="8"/>
        <v>(0.031)</v>
      </c>
      <c r="K22" t="str">
        <f t="shared" si="8"/>
        <v>(0.031)</v>
      </c>
      <c r="L22" t="str">
        <f t="shared" si="8"/>
        <v>(0.031)</v>
      </c>
    </row>
    <row r="23" spans="1:12" x14ac:dyDescent="0.25">
      <c r="A23" t="str">
        <f>"Ages 65-74"</f>
        <v>Ages 65-74</v>
      </c>
      <c r="B23" t="str">
        <f>"0.147**"</f>
        <v>0.147**</v>
      </c>
      <c r="C23" t="str">
        <f>"0.136**"</f>
        <v>0.136**</v>
      </c>
      <c r="D23" t="str">
        <f>"0.122**"</f>
        <v>0.122**</v>
      </c>
      <c r="E23" t="str">
        <f>"0.115**"</f>
        <v>0.115**</v>
      </c>
      <c r="F23" t="str">
        <f>"0.115**"</f>
        <v>0.115**</v>
      </c>
      <c r="G23" t="str">
        <f>"0.115**"</f>
        <v>0.115**</v>
      </c>
      <c r="H23" t="str">
        <f>"0.116**"</f>
        <v>0.116**</v>
      </c>
      <c r="I23" t="str">
        <f>"0.115**"</f>
        <v>0.115**</v>
      </c>
      <c r="J23" t="str">
        <f>"0.115**"</f>
        <v>0.115**</v>
      </c>
      <c r="K23" t="str">
        <f>"0.115**"</f>
        <v>0.115**</v>
      </c>
      <c r="L23" t="str">
        <f>"0.116**"</f>
        <v>0.116**</v>
      </c>
    </row>
    <row r="24" spans="1:12" x14ac:dyDescent="0.25">
      <c r="A24" t="str">
        <f>""</f>
        <v/>
      </c>
      <c r="B24" t="str">
        <f>"(0.043)"</f>
        <v>(0.043)</v>
      </c>
      <c r="C24" t="str">
        <f>"(0.031)"</f>
        <v>(0.031)</v>
      </c>
      <c r="D24" t="str">
        <f>"(0.030)"</f>
        <v>(0.030)</v>
      </c>
      <c r="E24" t="str">
        <f>"(0.031)"</f>
        <v>(0.031)</v>
      </c>
      <c r="F24" t="str">
        <f>"(0.031)"</f>
        <v>(0.031)</v>
      </c>
      <c r="G24" t="str">
        <f>"(0.031)"</f>
        <v>(0.031)</v>
      </c>
      <c r="H24" t="str">
        <f>"(0.032)"</f>
        <v>(0.032)</v>
      </c>
      <c r="I24" t="str">
        <f>"(0.031)"</f>
        <v>(0.031)</v>
      </c>
      <c r="J24" t="str">
        <f>"(0.031)"</f>
        <v>(0.031)</v>
      </c>
      <c r="K24" t="str">
        <f>"(0.031)"</f>
        <v>(0.031)</v>
      </c>
      <c r="L24" t="str">
        <f>"(0.032)"</f>
        <v>(0.032)</v>
      </c>
    </row>
    <row r="25" spans="1:12" x14ac:dyDescent="0.25">
      <c r="A25" t="str">
        <f>"Ages 75 and older"</f>
        <v>Ages 75 and older</v>
      </c>
      <c r="B25" t="str">
        <f>"0.283**"</f>
        <v>0.283**</v>
      </c>
      <c r="C25" t="str">
        <f>"0.231**"</f>
        <v>0.231**</v>
      </c>
      <c r="D25" t="str">
        <f>"0.209**"</f>
        <v>0.209**</v>
      </c>
      <c r="E25" t="str">
        <f>"0.187**"</f>
        <v>0.187**</v>
      </c>
      <c r="F25" t="str">
        <f>"0.187**"</f>
        <v>0.187**</v>
      </c>
      <c r="G25" t="str">
        <f>"0.187**"</f>
        <v>0.187**</v>
      </c>
      <c r="H25" t="str">
        <f>"0.191**"</f>
        <v>0.191**</v>
      </c>
      <c r="I25" t="str">
        <f>"0.187**"</f>
        <v>0.187**</v>
      </c>
      <c r="J25" t="str">
        <f>"0.187**"</f>
        <v>0.187**</v>
      </c>
      <c r="K25" t="str">
        <f>"0.187**"</f>
        <v>0.187**</v>
      </c>
      <c r="L25" t="str">
        <f>"0.190**"</f>
        <v>0.190**</v>
      </c>
    </row>
    <row r="26" spans="1:12" x14ac:dyDescent="0.25">
      <c r="A26" t="str">
        <f>""</f>
        <v/>
      </c>
      <c r="B26" t="str">
        <f>"(0.048)"</f>
        <v>(0.048)</v>
      </c>
      <c r="C26" t="str">
        <f>"(0.041)"</f>
        <v>(0.041)</v>
      </c>
      <c r="D26" t="str">
        <f>"(0.041)"</f>
        <v>(0.041)</v>
      </c>
      <c r="E26" t="str">
        <f>"(0.041)"</f>
        <v>(0.041)</v>
      </c>
      <c r="F26" t="str">
        <f>"(0.042)"</f>
        <v>(0.042)</v>
      </c>
      <c r="G26" t="str">
        <f>"(0.041)"</f>
        <v>(0.041)</v>
      </c>
      <c r="H26" t="str">
        <f>"(0.042)"</f>
        <v>(0.042)</v>
      </c>
      <c r="I26" t="str">
        <f>"(0.041)"</f>
        <v>(0.041)</v>
      </c>
      <c r="J26" t="str">
        <f>"(0.042)"</f>
        <v>(0.042)</v>
      </c>
      <c r="K26" t="str">
        <f>"(0.041)"</f>
        <v>(0.041)</v>
      </c>
      <c r="L26" t="str">
        <f>"(0.042)"</f>
        <v>(0.042)</v>
      </c>
    </row>
    <row r="27" spans="1:12" x14ac:dyDescent="0.25">
      <c r="A27" t="str">
        <f>"Born in another country"</f>
        <v>Born in another country</v>
      </c>
      <c r="B27" t="str">
        <f>"-0.072"</f>
        <v>-0.072</v>
      </c>
      <c r="C27" t="str">
        <f>"-0.041"</f>
        <v>-0.041</v>
      </c>
      <c r="D27" t="str">
        <f>"-0.048"</f>
        <v>-0.048</v>
      </c>
      <c r="E27" t="str">
        <f>"-0.053"</f>
        <v>-0.053</v>
      </c>
      <c r="F27" t="str">
        <f>"-0.053"</f>
        <v>-0.053</v>
      </c>
      <c r="G27" t="str">
        <f>"-0.053"</f>
        <v>-0.053</v>
      </c>
      <c r="H27" t="str">
        <f>"-0.051"</f>
        <v>-0.051</v>
      </c>
      <c r="I27" t="str">
        <f>"-0.053"</f>
        <v>-0.053</v>
      </c>
      <c r="J27" t="str">
        <f>"-0.054"</f>
        <v>-0.054</v>
      </c>
      <c r="K27" t="str">
        <f>"-0.053"</f>
        <v>-0.053</v>
      </c>
      <c r="L27" t="str">
        <f>"-0.051"</f>
        <v>-0.051</v>
      </c>
    </row>
    <row r="28" spans="1:12" x14ac:dyDescent="0.25">
      <c r="A28" t="str">
        <f>""</f>
        <v/>
      </c>
      <c r="B28" t="str">
        <f>"(0.057)"</f>
        <v>(0.057)</v>
      </c>
      <c r="C28" t="str">
        <f>"(0.045)"</f>
        <v>(0.045)</v>
      </c>
      <c r="D28" t="str">
        <f>"(0.048)"</f>
        <v>(0.048)</v>
      </c>
      <c r="E28" t="str">
        <f t="shared" ref="E28:L28" si="9">"(0.047)"</f>
        <v>(0.047)</v>
      </c>
      <c r="F28" t="str">
        <f t="shared" si="9"/>
        <v>(0.047)</v>
      </c>
      <c r="G28" t="str">
        <f t="shared" si="9"/>
        <v>(0.047)</v>
      </c>
      <c r="H28" t="str">
        <f t="shared" si="9"/>
        <v>(0.047)</v>
      </c>
      <c r="I28" t="str">
        <f t="shared" si="9"/>
        <v>(0.047)</v>
      </c>
      <c r="J28" t="str">
        <f t="shared" si="9"/>
        <v>(0.047)</v>
      </c>
      <c r="K28" t="str">
        <f t="shared" si="9"/>
        <v>(0.047)</v>
      </c>
      <c r="L28" t="str">
        <f t="shared" si="9"/>
        <v>(0.047)</v>
      </c>
    </row>
    <row r="29" spans="1:12" x14ac:dyDescent="0.25">
      <c r="A29" t="str">
        <f>"Currently working for pay"</f>
        <v>Currently working for pay</v>
      </c>
      <c r="B29" t="str">
        <f>"0.020"</f>
        <v>0.020</v>
      </c>
      <c r="C29" t="str">
        <f>"0.016"</f>
        <v>0.016</v>
      </c>
      <c r="D29" t="str">
        <f>"0.016"</f>
        <v>0.016</v>
      </c>
      <c r="E29" t="str">
        <f t="shared" ref="E29:L29" si="10">"0.014"</f>
        <v>0.014</v>
      </c>
      <c r="F29" t="str">
        <f t="shared" si="10"/>
        <v>0.014</v>
      </c>
      <c r="G29" t="str">
        <f t="shared" si="10"/>
        <v>0.014</v>
      </c>
      <c r="H29" t="str">
        <f t="shared" si="10"/>
        <v>0.014</v>
      </c>
      <c r="I29" t="str">
        <f t="shared" si="10"/>
        <v>0.014</v>
      </c>
      <c r="J29" t="str">
        <f t="shared" si="10"/>
        <v>0.014</v>
      </c>
      <c r="K29" t="str">
        <f t="shared" si="10"/>
        <v>0.014</v>
      </c>
      <c r="L29" t="str">
        <f t="shared" si="10"/>
        <v>0.014</v>
      </c>
    </row>
    <row r="30" spans="1:12" x14ac:dyDescent="0.25">
      <c r="A30" t="str">
        <f>""</f>
        <v/>
      </c>
      <c r="B30" t="str">
        <f>"(0.023)"</f>
        <v>(0.023)</v>
      </c>
      <c r="C30" t="str">
        <f t="shared" ref="C30:L30" si="11">"(0.018)"</f>
        <v>(0.018)</v>
      </c>
      <c r="D30" t="str">
        <f t="shared" si="11"/>
        <v>(0.018)</v>
      </c>
      <c r="E30" t="str">
        <f t="shared" si="11"/>
        <v>(0.018)</v>
      </c>
      <c r="F30" t="str">
        <f t="shared" si="11"/>
        <v>(0.018)</v>
      </c>
      <c r="G30" t="str">
        <f t="shared" si="11"/>
        <v>(0.018)</v>
      </c>
      <c r="H30" t="str">
        <f t="shared" si="11"/>
        <v>(0.018)</v>
      </c>
      <c r="I30" t="str">
        <f t="shared" si="11"/>
        <v>(0.018)</v>
      </c>
      <c r="J30" t="str">
        <f t="shared" si="11"/>
        <v>(0.018)</v>
      </c>
      <c r="K30" t="str">
        <f t="shared" si="11"/>
        <v>(0.018)</v>
      </c>
      <c r="L30" t="str">
        <f t="shared" si="11"/>
        <v>(0.018)</v>
      </c>
    </row>
    <row r="31" spans="1:12" x14ac:dyDescent="0.25">
      <c r="A31" t="str">
        <f>"Never married"</f>
        <v>Never married</v>
      </c>
      <c r="B31" t="str">
        <f>"0.021"</f>
        <v>0.021</v>
      </c>
      <c r="C31" t="str">
        <f>"-0.008"</f>
        <v>-0.008</v>
      </c>
      <c r="D31" t="str">
        <f>"-0.008"</f>
        <v>-0.008</v>
      </c>
      <c r="E31" t="str">
        <f>"-0.010"</f>
        <v>-0.010</v>
      </c>
      <c r="F31" t="str">
        <f>"-0.010"</f>
        <v>-0.010</v>
      </c>
      <c r="G31" t="str">
        <f>"-0.010"</f>
        <v>-0.010</v>
      </c>
      <c r="H31" t="str">
        <f>"-0.011"</f>
        <v>-0.011</v>
      </c>
      <c r="I31" t="str">
        <f>"-0.010"</f>
        <v>-0.010</v>
      </c>
      <c r="J31" t="str">
        <f>"-0.010"</f>
        <v>-0.010</v>
      </c>
      <c r="K31" t="str">
        <f>"-0.010"</f>
        <v>-0.010</v>
      </c>
      <c r="L31" t="str">
        <f>"-0.011"</f>
        <v>-0.011</v>
      </c>
    </row>
    <row r="32" spans="1:12" x14ac:dyDescent="0.25">
      <c r="A32" t="str">
        <f>""</f>
        <v/>
      </c>
      <c r="B32" t="str">
        <f>"(0.015)"</f>
        <v>(0.015)</v>
      </c>
      <c r="C32" t="str">
        <f>"(0.014)"</f>
        <v>(0.014)</v>
      </c>
      <c r="D32" t="str">
        <f>"(0.014)"</f>
        <v>(0.014)</v>
      </c>
      <c r="E32" t="str">
        <f t="shared" ref="E32:L32" si="12">"(0.013)"</f>
        <v>(0.013)</v>
      </c>
      <c r="F32" t="str">
        <f t="shared" si="12"/>
        <v>(0.013)</v>
      </c>
      <c r="G32" t="str">
        <f t="shared" si="12"/>
        <v>(0.013)</v>
      </c>
      <c r="H32" t="str">
        <f t="shared" si="12"/>
        <v>(0.013)</v>
      </c>
      <c r="I32" t="str">
        <f t="shared" si="12"/>
        <v>(0.013)</v>
      </c>
      <c r="J32" t="str">
        <f t="shared" si="12"/>
        <v>(0.013)</v>
      </c>
      <c r="K32" t="str">
        <f t="shared" si="12"/>
        <v>(0.013)</v>
      </c>
      <c r="L32" t="str">
        <f t="shared" si="12"/>
        <v>(0.013)</v>
      </c>
    </row>
    <row r="33" spans="1:12" x14ac:dyDescent="0.25">
      <c r="A33" t="str">
        <f>"Married"</f>
        <v>Married</v>
      </c>
      <c r="B33" t="str">
        <f>"0.109**"</f>
        <v>0.109**</v>
      </c>
      <c r="C33" t="str">
        <f>"0.062**"</f>
        <v>0.062**</v>
      </c>
      <c r="D33" t="str">
        <f>"0.056*"</f>
        <v>0.056*</v>
      </c>
      <c r="E33" t="str">
        <f>"0.042*"</f>
        <v>0.042*</v>
      </c>
      <c r="F33" t="str">
        <f>"0.042*"</f>
        <v>0.042*</v>
      </c>
      <c r="G33" t="str">
        <f>"0.042*"</f>
        <v>0.042*</v>
      </c>
      <c r="H33" t="str">
        <f>"0.043*"</f>
        <v>0.043*</v>
      </c>
      <c r="I33" t="str">
        <f>"0.042*"</f>
        <v>0.042*</v>
      </c>
      <c r="J33" t="str">
        <f>"0.042*"</f>
        <v>0.042*</v>
      </c>
      <c r="K33" t="str">
        <f>"0.042*"</f>
        <v>0.042*</v>
      </c>
      <c r="L33" t="str">
        <f>"0.043*"</f>
        <v>0.043*</v>
      </c>
    </row>
    <row r="34" spans="1:12" x14ac:dyDescent="0.25">
      <c r="A34" t="str">
        <f>""</f>
        <v/>
      </c>
      <c r="B34" t="str">
        <f>"(0.032)"</f>
        <v>(0.032)</v>
      </c>
      <c r="C34" t="str">
        <f>"(0.022)"</f>
        <v>(0.022)</v>
      </c>
      <c r="D34" t="str">
        <f>"(0.023)"</f>
        <v>(0.023)</v>
      </c>
      <c r="E34" t="str">
        <f>"(0.020)"</f>
        <v>(0.020)</v>
      </c>
      <c r="F34" t="str">
        <f>"(0.019)"</f>
        <v>(0.019)</v>
      </c>
      <c r="G34" t="str">
        <f>"(0.020)"</f>
        <v>(0.020)</v>
      </c>
      <c r="H34" t="str">
        <f>"(0.019)"</f>
        <v>(0.019)</v>
      </c>
      <c r="I34" t="str">
        <f>"(0.020)"</f>
        <v>(0.020)</v>
      </c>
      <c r="J34" t="str">
        <f>"(0.019)"</f>
        <v>(0.019)</v>
      </c>
      <c r="K34" t="str">
        <f>"(0.020)"</f>
        <v>(0.020)</v>
      </c>
      <c r="L34" t="str">
        <f>"(0.019)"</f>
        <v>(0.019)</v>
      </c>
    </row>
    <row r="35" spans="1:12" x14ac:dyDescent="0.25">
      <c r="A35" t="str">
        <f>"Live alone"</f>
        <v>Live alone</v>
      </c>
      <c r="B35" t="str">
        <f>"-0.018"</f>
        <v>-0.018</v>
      </c>
      <c r="C35" t="str">
        <f>"-0.037*"</f>
        <v>-0.037*</v>
      </c>
      <c r="D35" t="str">
        <f>"-0.039*"</f>
        <v>-0.039*</v>
      </c>
      <c r="E35" t="str">
        <f t="shared" ref="E35:L35" si="13">"-0.043**"</f>
        <v>-0.043**</v>
      </c>
      <c r="F35" t="str">
        <f t="shared" si="13"/>
        <v>-0.043**</v>
      </c>
      <c r="G35" t="str">
        <f t="shared" si="13"/>
        <v>-0.043**</v>
      </c>
      <c r="H35" t="str">
        <f t="shared" si="13"/>
        <v>-0.043**</v>
      </c>
      <c r="I35" t="str">
        <f t="shared" si="13"/>
        <v>-0.043**</v>
      </c>
      <c r="J35" t="str">
        <f t="shared" si="13"/>
        <v>-0.043**</v>
      </c>
      <c r="K35" t="str">
        <f t="shared" si="13"/>
        <v>-0.043**</v>
      </c>
      <c r="L35" t="str">
        <f t="shared" si="13"/>
        <v>-0.043**</v>
      </c>
    </row>
    <row r="36" spans="1:12" x14ac:dyDescent="0.25">
      <c r="A36" t="str">
        <f>""</f>
        <v/>
      </c>
      <c r="B36" t="str">
        <f>"(0.031)"</f>
        <v>(0.031)</v>
      </c>
      <c r="C36" t="str">
        <f>"(0.018)"</f>
        <v>(0.018)</v>
      </c>
      <c r="D36" t="str">
        <f>"(0.018)"</f>
        <v>(0.018)</v>
      </c>
      <c r="E36" t="str">
        <f t="shared" ref="E36:L36" si="14">"(0.015)"</f>
        <v>(0.015)</v>
      </c>
      <c r="F36" t="str">
        <f t="shared" si="14"/>
        <v>(0.015)</v>
      </c>
      <c r="G36" t="str">
        <f t="shared" si="14"/>
        <v>(0.015)</v>
      </c>
      <c r="H36" t="str">
        <f t="shared" si="14"/>
        <v>(0.015)</v>
      </c>
      <c r="I36" t="str">
        <f t="shared" si="14"/>
        <v>(0.015)</v>
      </c>
      <c r="J36" t="str">
        <f t="shared" si="14"/>
        <v>(0.015)</v>
      </c>
      <c r="K36" t="str">
        <f t="shared" si="14"/>
        <v>(0.015)</v>
      </c>
      <c r="L36" t="str">
        <f t="shared" si="14"/>
        <v>(0.015)</v>
      </c>
    </row>
    <row r="37" spans="1:12" x14ac:dyDescent="0.25">
      <c r="A37" t="str">
        <f>"Do not have children"</f>
        <v>Do not have children</v>
      </c>
      <c r="B37" t="str">
        <f>"0.054*"</f>
        <v>0.054*</v>
      </c>
      <c r="C37" t="str">
        <f>"0.030"</f>
        <v>0.030</v>
      </c>
      <c r="D37" t="str">
        <f>"0.036"</f>
        <v>0.036</v>
      </c>
      <c r="E37" t="str">
        <f>"0.043*"</f>
        <v>0.043*</v>
      </c>
      <c r="F37" t="str">
        <f>"0.043*"</f>
        <v>0.043*</v>
      </c>
      <c r="G37" t="str">
        <f>"0.043*"</f>
        <v>0.043*</v>
      </c>
      <c r="H37" t="str">
        <f>"0.042*"</f>
        <v>0.042*</v>
      </c>
      <c r="I37" t="str">
        <f>"0.043*"</f>
        <v>0.043*</v>
      </c>
      <c r="J37" t="str">
        <f>"0.043*"</f>
        <v>0.043*</v>
      </c>
      <c r="K37" t="str">
        <f>"0.043*"</f>
        <v>0.043*</v>
      </c>
      <c r="L37" t="str">
        <f>"0.042*"</f>
        <v>0.042*</v>
      </c>
    </row>
    <row r="38" spans="1:12" x14ac:dyDescent="0.25">
      <c r="A38" t="str">
        <f>""</f>
        <v/>
      </c>
      <c r="B38" t="str">
        <f>"(0.024)"</f>
        <v>(0.024)</v>
      </c>
      <c r="C38" t="str">
        <f>"(0.018)"</f>
        <v>(0.018)</v>
      </c>
      <c r="D38" t="str">
        <f>"(0.019)"</f>
        <v>(0.019)</v>
      </c>
      <c r="E38" t="str">
        <f t="shared" ref="E38:L38" si="15">"(0.021)"</f>
        <v>(0.021)</v>
      </c>
      <c r="F38" t="str">
        <f t="shared" si="15"/>
        <v>(0.021)</v>
      </c>
      <c r="G38" t="str">
        <f t="shared" si="15"/>
        <v>(0.021)</v>
      </c>
      <c r="H38" t="str">
        <f t="shared" si="15"/>
        <v>(0.021)</v>
      </c>
      <c r="I38" t="str">
        <f t="shared" si="15"/>
        <v>(0.021)</v>
      </c>
      <c r="J38" t="str">
        <f t="shared" si="15"/>
        <v>(0.021)</v>
      </c>
      <c r="K38" t="str">
        <f t="shared" si="15"/>
        <v>(0.021)</v>
      </c>
      <c r="L38" t="str">
        <f t="shared" si="15"/>
        <v>(0.021)</v>
      </c>
    </row>
    <row r="39" spans="1:12" x14ac:dyDescent="0.25">
      <c r="A39" t="str">
        <f>"Has one child"</f>
        <v>Has one child</v>
      </c>
      <c r="B39" t="str">
        <f>"0.010"</f>
        <v>0.010</v>
      </c>
      <c r="C39" t="str">
        <f>"-0.002"</f>
        <v>-0.002</v>
      </c>
      <c r="D39" t="str">
        <f>"0.001"</f>
        <v>0.001</v>
      </c>
      <c r="E39" t="str">
        <f t="shared" ref="E39:L39" si="16">"0.005"</f>
        <v>0.005</v>
      </c>
      <c r="F39" t="str">
        <f t="shared" si="16"/>
        <v>0.005</v>
      </c>
      <c r="G39" t="str">
        <f t="shared" si="16"/>
        <v>0.005</v>
      </c>
      <c r="H39" t="str">
        <f t="shared" si="16"/>
        <v>0.005</v>
      </c>
      <c r="I39" t="str">
        <f t="shared" si="16"/>
        <v>0.005</v>
      </c>
      <c r="J39" t="str">
        <f t="shared" si="16"/>
        <v>0.005</v>
      </c>
      <c r="K39" t="str">
        <f t="shared" si="16"/>
        <v>0.005</v>
      </c>
      <c r="L39" t="str">
        <f t="shared" si="16"/>
        <v>0.005</v>
      </c>
    </row>
    <row r="40" spans="1:12" x14ac:dyDescent="0.25">
      <c r="A40" t="str">
        <f>""</f>
        <v/>
      </c>
      <c r="B40" t="str">
        <f>"(0.021)"</f>
        <v>(0.021)</v>
      </c>
      <c r="C40" t="str">
        <f>"(0.016)"</f>
        <v>(0.016)</v>
      </c>
      <c r="D40" t="str">
        <f>"(0.017)"</f>
        <v>(0.017)</v>
      </c>
      <c r="E40" t="str">
        <f>"(0.019)"</f>
        <v>(0.019)</v>
      </c>
      <c r="F40" t="str">
        <f>"(0.020)"</f>
        <v>(0.020)</v>
      </c>
      <c r="G40" t="str">
        <f t="shared" ref="G40:L40" si="17">"(0.019)"</f>
        <v>(0.019)</v>
      </c>
      <c r="H40" t="str">
        <f t="shared" si="17"/>
        <v>(0.019)</v>
      </c>
      <c r="I40" t="str">
        <f t="shared" si="17"/>
        <v>(0.019)</v>
      </c>
      <c r="J40" t="str">
        <f t="shared" si="17"/>
        <v>(0.019)</v>
      </c>
      <c r="K40" t="str">
        <f t="shared" si="17"/>
        <v>(0.019)</v>
      </c>
      <c r="L40" t="str">
        <f t="shared" si="17"/>
        <v>(0.019)</v>
      </c>
    </row>
    <row r="41" spans="1:12" x14ac:dyDescent="0.25">
      <c r="A41" t="str">
        <f>"Has two children"</f>
        <v>Has two children</v>
      </c>
      <c r="B41" t="str">
        <f>"0.002"</f>
        <v>0.002</v>
      </c>
      <c r="C41" t="str">
        <f>"-0.014"</f>
        <v>-0.014</v>
      </c>
      <c r="D41" t="str">
        <f>"-0.012"</f>
        <v>-0.012</v>
      </c>
      <c r="E41" t="str">
        <f>"-0.010"</f>
        <v>-0.010</v>
      </c>
      <c r="F41" t="str">
        <f>"-0.010"</f>
        <v>-0.010</v>
      </c>
      <c r="G41" t="str">
        <f>"-0.010"</f>
        <v>-0.010</v>
      </c>
      <c r="H41" t="str">
        <f>"-0.011"</f>
        <v>-0.011</v>
      </c>
      <c r="I41" t="str">
        <f>"-0.010"</f>
        <v>-0.010</v>
      </c>
      <c r="J41" t="str">
        <f>"-0.010"</f>
        <v>-0.010</v>
      </c>
      <c r="K41" t="str">
        <f>"-0.010"</f>
        <v>-0.010</v>
      </c>
      <c r="L41" t="str">
        <f>"-0.010"</f>
        <v>-0.010</v>
      </c>
    </row>
    <row r="42" spans="1:12" x14ac:dyDescent="0.25">
      <c r="A42" t="str">
        <f>""</f>
        <v/>
      </c>
      <c r="B42" t="str">
        <f>"(0.017)"</f>
        <v>(0.017)</v>
      </c>
      <c r="C42" t="str">
        <f>"(0.016)"</f>
        <v>(0.016)</v>
      </c>
      <c r="D42" t="str">
        <f>"(0.016)"</f>
        <v>(0.016)</v>
      </c>
      <c r="E42" t="str">
        <f t="shared" ref="E42:L42" si="18">"(0.015)"</f>
        <v>(0.015)</v>
      </c>
      <c r="F42" t="str">
        <f t="shared" si="18"/>
        <v>(0.015)</v>
      </c>
      <c r="G42" t="str">
        <f t="shared" si="18"/>
        <v>(0.015)</v>
      </c>
      <c r="H42" t="str">
        <f t="shared" si="18"/>
        <v>(0.015)</v>
      </c>
      <c r="I42" t="str">
        <f t="shared" si="18"/>
        <v>(0.015)</v>
      </c>
      <c r="J42" t="str">
        <f t="shared" si="18"/>
        <v>(0.015)</v>
      </c>
      <c r="K42" t="str">
        <f t="shared" si="18"/>
        <v>(0.015)</v>
      </c>
      <c r="L42" t="str">
        <f t="shared" si="18"/>
        <v>(0.015)</v>
      </c>
    </row>
    <row r="43" spans="1:12" x14ac:dyDescent="0.25">
      <c r="A43" t="str">
        <f>"Live in rural area"</f>
        <v>Live in rural area</v>
      </c>
      <c r="B43" t="str">
        <f>"0.051*"</f>
        <v>0.051*</v>
      </c>
      <c r="C43" t="str">
        <f>"0.052**"</f>
        <v>0.052**</v>
      </c>
      <c r="D43" t="str">
        <f>"0.051**"</f>
        <v>0.051**</v>
      </c>
      <c r="E43" t="str">
        <f>"0.041*"</f>
        <v>0.041*</v>
      </c>
      <c r="F43" t="str">
        <f>"0.042*"</f>
        <v>0.042*</v>
      </c>
      <c r="G43" t="str">
        <f>"0.042*"</f>
        <v>0.042*</v>
      </c>
      <c r="H43" t="str">
        <f>"0.043*"</f>
        <v>0.043*</v>
      </c>
      <c r="I43" t="str">
        <f>"0.042*"</f>
        <v>0.042*</v>
      </c>
      <c r="J43" t="str">
        <f>"0.041*"</f>
        <v>0.041*</v>
      </c>
      <c r="K43" t="str">
        <f>"0.042*"</f>
        <v>0.042*</v>
      </c>
      <c r="L43" t="str">
        <f>"0.043*"</f>
        <v>0.043*</v>
      </c>
    </row>
    <row r="44" spans="1:12" x14ac:dyDescent="0.25">
      <c r="A44" t="str">
        <f>""</f>
        <v/>
      </c>
      <c r="B44" t="str">
        <f>"(0.026)"</f>
        <v>(0.026)</v>
      </c>
      <c r="C44" t="str">
        <f>"(0.019)"</f>
        <v>(0.019)</v>
      </c>
      <c r="D44" t="str">
        <f>"(0.018)"</f>
        <v>(0.018)</v>
      </c>
      <c r="E44" t="str">
        <f t="shared" ref="E44:L44" si="19">"(0.017)"</f>
        <v>(0.017)</v>
      </c>
      <c r="F44" t="str">
        <f t="shared" si="19"/>
        <v>(0.017)</v>
      </c>
      <c r="G44" t="str">
        <f t="shared" si="19"/>
        <v>(0.017)</v>
      </c>
      <c r="H44" t="str">
        <f t="shared" si="19"/>
        <v>(0.017)</v>
      </c>
      <c r="I44" t="str">
        <f t="shared" si="19"/>
        <v>(0.017)</v>
      </c>
      <c r="J44" t="str">
        <f t="shared" si="19"/>
        <v>(0.017)</v>
      </c>
      <c r="K44" t="str">
        <f t="shared" si="19"/>
        <v>(0.017)</v>
      </c>
      <c r="L44" t="str">
        <f t="shared" si="19"/>
        <v>(0.017)</v>
      </c>
    </row>
    <row r="45" spans="1:12" x14ac:dyDescent="0.25">
      <c r="A45" t="str">
        <f>"Live in village or small town"</f>
        <v>Live in village or small town</v>
      </c>
      <c r="B45" t="str">
        <f>"0.031"</f>
        <v>0.031</v>
      </c>
      <c r="C45" t="str">
        <f>"0.033*"</f>
        <v>0.033*</v>
      </c>
      <c r="D45" t="str">
        <f>"0.030*"</f>
        <v>0.030*</v>
      </c>
      <c r="E45" t="str">
        <f>"0.025"</f>
        <v>0.025</v>
      </c>
      <c r="F45" t="str">
        <f>"0.025"</f>
        <v>0.025</v>
      </c>
      <c r="G45" t="str">
        <f>"0.025"</f>
        <v>0.025</v>
      </c>
      <c r="H45" t="str">
        <f>"0.024"</f>
        <v>0.024</v>
      </c>
      <c r="I45" t="str">
        <f>"0.025"</f>
        <v>0.025</v>
      </c>
      <c r="J45" t="str">
        <f>"0.025"</f>
        <v>0.025</v>
      </c>
      <c r="K45" t="str">
        <f>"0.025"</f>
        <v>0.025</v>
      </c>
      <c r="L45" t="str">
        <f>"0.025"</f>
        <v>0.025</v>
      </c>
    </row>
    <row r="46" spans="1:12" x14ac:dyDescent="0.25">
      <c r="A46" t="str">
        <f>""</f>
        <v/>
      </c>
      <c r="B46" t="str">
        <f>"(0.019)"</f>
        <v>(0.019)</v>
      </c>
      <c r="C46" t="str">
        <f>"(0.016)"</f>
        <v>(0.016)</v>
      </c>
      <c r="D46" t="str">
        <f>"(0.015)"</f>
        <v>(0.015)</v>
      </c>
      <c r="E46" t="str">
        <f t="shared" ref="E46:L46" si="20">"(0.014)"</f>
        <v>(0.014)</v>
      </c>
      <c r="F46" t="str">
        <f t="shared" si="20"/>
        <v>(0.014)</v>
      </c>
      <c r="G46" t="str">
        <f t="shared" si="20"/>
        <v>(0.014)</v>
      </c>
      <c r="H46" t="str">
        <f t="shared" si="20"/>
        <v>(0.014)</v>
      </c>
      <c r="I46" t="str">
        <f t="shared" si="20"/>
        <v>(0.014)</v>
      </c>
      <c r="J46" t="str">
        <f t="shared" si="20"/>
        <v>(0.014)</v>
      </c>
      <c r="K46" t="str">
        <f t="shared" si="20"/>
        <v>(0.014)</v>
      </c>
      <c r="L46" t="str">
        <f t="shared" si="20"/>
        <v>(0.014)</v>
      </c>
    </row>
    <row r="47" spans="1:12" x14ac:dyDescent="0.25">
      <c r="A47" t="str">
        <f>"Live in suburb of city"</f>
        <v>Live in suburb of city</v>
      </c>
      <c r="B47" t="str">
        <f>"0.003"</f>
        <v>0.003</v>
      </c>
      <c r="C47" t="str">
        <f>"0.010"</f>
        <v>0.010</v>
      </c>
      <c r="D47" t="str">
        <f>"0.010"</f>
        <v>0.010</v>
      </c>
      <c r="E47" t="str">
        <f>"0.009"</f>
        <v>0.009</v>
      </c>
      <c r="F47" t="str">
        <f>"0.009"</f>
        <v>0.009</v>
      </c>
      <c r="G47" t="str">
        <f>"0.009"</f>
        <v>0.009</v>
      </c>
      <c r="H47" t="str">
        <f>"0.008"</f>
        <v>0.008</v>
      </c>
      <c r="I47" t="str">
        <f>"0.009"</f>
        <v>0.009</v>
      </c>
      <c r="J47" t="str">
        <f>"0.009"</f>
        <v>0.009</v>
      </c>
      <c r="K47" t="str">
        <f>"0.009"</f>
        <v>0.009</v>
      </c>
      <c r="L47" t="str">
        <f>"0.009"</f>
        <v>0.009</v>
      </c>
    </row>
    <row r="48" spans="1:12" x14ac:dyDescent="0.25">
      <c r="A48" t="str">
        <f>""</f>
        <v/>
      </c>
      <c r="B48" t="str">
        <f>"(0.030)"</f>
        <v>(0.030)</v>
      </c>
      <c r="C48" t="str">
        <f>"(0.024)"</f>
        <v>(0.024)</v>
      </c>
      <c r="D48" t="str">
        <f>"(0.023)"</f>
        <v>(0.023)</v>
      </c>
      <c r="E48" t="str">
        <f t="shared" ref="E48:L48" si="21">"(0.022)"</f>
        <v>(0.022)</v>
      </c>
      <c r="F48" t="str">
        <f t="shared" si="21"/>
        <v>(0.022)</v>
      </c>
      <c r="G48" t="str">
        <f t="shared" si="21"/>
        <v>(0.022)</v>
      </c>
      <c r="H48" t="str">
        <f t="shared" si="21"/>
        <v>(0.022)</v>
      </c>
      <c r="I48" t="str">
        <f t="shared" si="21"/>
        <v>(0.022)</v>
      </c>
      <c r="J48" t="str">
        <f t="shared" si="21"/>
        <v>(0.022)</v>
      </c>
      <c r="K48" t="str">
        <f t="shared" si="21"/>
        <v>(0.022)</v>
      </c>
      <c r="L48" t="str">
        <f t="shared" si="21"/>
        <v>(0.022)</v>
      </c>
    </row>
    <row r="49" spans="1:12" x14ac:dyDescent="0.25">
      <c r="A49" t="str">
        <f>"Parents were married at age 12"</f>
        <v>Parents were married at age 12</v>
      </c>
      <c r="B49" t="str">
        <f>""</f>
        <v/>
      </c>
      <c r="C49" t="str">
        <f>"0.360**"</f>
        <v>0.360**</v>
      </c>
      <c r="D49" t="str">
        <f>"0.345**"</f>
        <v>0.345**</v>
      </c>
      <c r="E49" t="str">
        <f>"0.340**"</f>
        <v>0.340**</v>
      </c>
      <c r="F49" t="str">
        <f>"0.340**"</f>
        <v>0.340**</v>
      </c>
      <c r="G49" t="str">
        <f>"0.340**"</f>
        <v>0.340**</v>
      </c>
      <c r="H49" t="str">
        <f>"0.338**"</f>
        <v>0.338**</v>
      </c>
      <c r="I49" t="str">
        <f>"0.340**"</f>
        <v>0.340**</v>
      </c>
      <c r="J49" t="str">
        <f>"0.340**"</f>
        <v>0.340**</v>
      </c>
      <c r="K49" t="str">
        <f>"0.340**"</f>
        <v>0.340**</v>
      </c>
      <c r="L49" t="str">
        <f>"0.340**"</f>
        <v>0.340**</v>
      </c>
    </row>
    <row r="50" spans="1:12" x14ac:dyDescent="0.25">
      <c r="A50" t="str">
        <f>""</f>
        <v/>
      </c>
      <c r="B50" t="str">
        <f>""</f>
        <v/>
      </c>
      <c r="C50" t="str">
        <f>"(0.061)"</f>
        <v>(0.061)</v>
      </c>
      <c r="D50" t="str">
        <f>"(0.056)"</f>
        <v>(0.056)</v>
      </c>
      <c r="E50" t="str">
        <f t="shared" ref="E50:L50" si="22">"(0.055)"</f>
        <v>(0.055)</v>
      </c>
      <c r="F50" t="str">
        <f t="shared" si="22"/>
        <v>(0.055)</v>
      </c>
      <c r="G50" t="str">
        <f t="shared" si="22"/>
        <v>(0.055)</v>
      </c>
      <c r="H50" t="str">
        <f t="shared" si="22"/>
        <v>(0.055)</v>
      </c>
      <c r="I50" t="str">
        <f t="shared" si="22"/>
        <v>(0.055)</v>
      </c>
      <c r="J50" t="str">
        <f t="shared" si="22"/>
        <v>(0.055)</v>
      </c>
      <c r="K50" t="str">
        <f t="shared" si="22"/>
        <v>(0.055)</v>
      </c>
      <c r="L50" t="str">
        <f t="shared" si="22"/>
        <v>(0.055)</v>
      </c>
    </row>
    <row r="51" spans="1:12" x14ac:dyDescent="0.25">
      <c r="A51" t="str">
        <f>"Knew mom but not dad"</f>
        <v>Knew mom but not dad</v>
      </c>
      <c r="B51" t="str">
        <f>""</f>
        <v/>
      </c>
      <c r="C51" t="str">
        <f>"0.421**"</f>
        <v>0.421**</v>
      </c>
      <c r="D51" t="str">
        <f>"0.424**"</f>
        <v>0.424**</v>
      </c>
      <c r="E51" t="str">
        <f t="shared" ref="E51:K51" si="23">"0.422**"</f>
        <v>0.422**</v>
      </c>
      <c r="F51" t="str">
        <f t="shared" si="23"/>
        <v>0.422**</v>
      </c>
      <c r="G51" t="str">
        <f t="shared" si="23"/>
        <v>0.422**</v>
      </c>
      <c r="H51" t="str">
        <f t="shared" si="23"/>
        <v>0.422**</v>
      </c>
      <c r="I51" t="str">
        <f t="shared" si="23"/>
        <v>0.422**</v>
      </c>
      <c r="J51" t="str">
        <f t="shared" si="23"/>
        <v>0.422**</v>
      </c>
      <c r="K51" t="str">
        <f t="shared" si="23"/>
        <v>0.422**</v>
      </c>
      <c r="L51" t="str">
        <f>"0.423**"</f>
        <v>0.423**</v>
      </c>
    </row>
    <row r="52" spans="1:12" x14ac:dyDescent="0.25">
      <c r="A52" t="str">
        <f>""</f>
        <v/>
      </c>
      <c r="B52" t="str">
        <f>""</f>
        <v/>
      </c>
      <c r="C52" t="str">
        <f>"(0.061)"</f>
        <v>(0.061)</v>
      </c>
      <c r="D52" t="str">
        <f>"(0.062)"</f>
        <v>(0.062)</v>
      </c>
      <c r="E52" t="str">
        <f t="shared" ref="E52:L52" si="24">"(0.060)"</f>
        <v>(0.060)</v>
      </c>
      <c r="F52" t="str">
        <f t="shared" si="24"/>
        <v>(0.060)</v>
      </c>
      <c r="G52" t="str">
        <f t="shared" si="24"/>
        <v>(0.060)</v>
      </c>
      <c r="H52" t="str">
        <f t="shared" si="24"/>
        <v>(0.060)</v>
      </c>
      <c r="I52" t="str">
        <f t="shared" si="24"/>
        <v>(0.060)</v>
      </c>
      <c r="J52" t="str">
        <f t="shared" si="24"/>
        <v>(0.060)</v>
      </c>
      <c r="K52" t="str">
        <f t="shared" si="24"/>
        <v>(0.060)</v>
      </c>
      <c r="L52" t="str">
        <f t="shared" si="24"/>
        <v>(0.060)</v>
      </c>
    </row>
    <row r="53" spans="1:12" x14ac:dyDescent="0.25">
      <c r="A53" t="str">
        <f>"Knew dad but not mom"</f>
        <v>Knew dad but not mom</v>
      </c>
      <c r="B53" t="str">
        <f>""</f>
        <v/>
      </c>
      <c r="C53" t="str">
        <f>"0.313**"</f>
        <v>0.313**</v>
      </c>
      <c r="D53" t="str">
        <f>"0.316**"</f>
        <v>0.316**</v>
      </c>
      <c r="E53" t="str">
        <f>"0.312**"</f>
        <v>0.312**</v>
      </c>
      <c r="F53" t="str">
        <f>"0.313**"</f>
        <v>0.313**</v>
      </c>
      <c r="G53" t="str">
        <f>"0.313**"</f>
        <v>0.313**</v>
      </c>
      <c r="H53" t="str">
        <f>"0.312**"</f>
        <v>0.312**</v>
      </c>
      <c r="I53" t="str">
        <f>"0.313**"</f>
        <v>0.313**</v>
      </c>
      <c r="J53" t="str">
        <f>"0.313**"</f>
        <v>0.313**</v>
      </c>
      <c r="K53" t="str">
        <f>"0.313**"</f>
        <v>0.313**</v>
      </c>
      <c r="L53" t="str">
        <f>"0.313**"</f>
        <v>0.313**</v>
      </c>
    </row>
    <row r="54" spans="1:12" x14ac:dyDescent="0.25">
      <c r="A54" t="str">
        <f>""</f>
        <v/>
      </c>
      <c r="B54" t="str">
        <f>""</f>
        <v/>
      </c>
      <c r="C54" t="str">
        <f>"(0.040)"</f>
        <v>(0.040)</v>
      </c>
      <c r="D54" t="str">
        <f>"(0.040)"</f>
        <v>(0.040)</v>
      </c>
      <c r="E54" t="str">
        <f>"(0.039)"</f>
        <v>(0.039)</v>
      </c>
      <c r="F54" t="str">
        <f>"(0.039)"</f>
        <v>(0.039)</v>
      </c>
      <c r="G54" t="str">
        <f>"(0.039)"</f>
        <v>(0.039)</v>
      </c>
      <c r="H54" t="str">
        <f>"(0.039)"</f>
        <v>(0.039)</v>
      </c>
      <c r="I54" t="str">
        <f>"(0.039)"</f>
        <v>(0.039)</v>
      </c>
      <c r="J54" t="str">
        <f>"(0.040)"</f>
        <v>(0.040)</v>
      </c>
      <c r="K54" t="str">
        <f>"(0.039)"</f>
        <v>(0.039)</v>
      </c>
      <c r="L54" t="str">
        <f>"(0.039)"</f>
        <v>(0.039)</v>
      </c>
    </row>
    <row r="55" spans="1:12" x14ac:dyDescent="0.25">
      <c r="A55" t="str">
        <f>"Did not know mom or dad"</f>
        <v>Did not know mom or dad</v>
      </c>
      <c r="B55" t="str">
        <f>""</f>
        <v/>
      </c>
      <c r="C55" t="str">
        <f>"0.414*"</f>
        <v>0.414*</v>
      </c>
      <c r="D55" t="str">
        <f>"0.426*"</f>
        <v>0.426*</v>
      </c>
      <c r="E55" t="str">
        <f>"0.427*"</f>
        <v>0.427*</v>
      </c>
      <c r="F55" t="str">
        <f>"0.428*"</f>
        <v>0.428*</v>
      </c>
      <c r="G55" t="str">
        <f>"0.428*"</f>
        <v>0.428*</v>
      </c>
      <c r="H55" t="str">
        <f>"0.422*"</f>
        <v>0.422*</v>
      </c>
      <c r="I55" t="str">
        <f>"0.428*"</f>
        <v>0.428*</v>
      </c>
      <c r="J55" t="str">
        <f>"0.428*"</f>
        <v>0.428*</v>
      </c>
      <c r="K55" t="str">
        <f>"0.428*"</f>
        <v>0.428*</v>
      </c>
      <c r="L55" t="str">
        <f>"0.426*"</f>
        <v>0.426*</v>
      </c>
    </row>
    <row r="56" spans="1:12" x14ac:dyDescent="0.25">
      <c r="A56" t="str">
        <f>""</f>
        <v/>
      </c>
      <c r="B56" t="str">
        <f>""</f>
        <v/>
      </c>
      <c r="C56" t="str">
        <f>"(0.175)"</f>
        <v>(0.175)</v>
      </c>
      <c r="D56" t="str">
        <f>"(0.181)"</f>
        <v>(0.181)</v>
      </c>
      <c r="E56" t="str">
        <f>"(0.183)"</f>
        <v>(0.183)</v>
      </c>
      <c r="F56" t="str">
        <f>"(0.183)"</f>
        <v>(0.183)</v>
      </c>
      <c r="G56" t="str">
        <f>"(0.183)"</f>
        <v>(0.183)</v>
      </c>
      <c r="H56" t="str">
        <f>"(0.180)"</f>
        <v>(0.180)</v>
      </c>
      <c r="I56" t="str">
        <f>"(0.183)"</f>
        <v>(0.183)</v>
      </c>
      <c r="J56" t="str">
        <f>"(0.183)"</f>
        <v>(0.183)</v>
      </c>
      <c r="K56" t="str">
        <f>"(0.183)"</f>
        <v>(0.183)</v>
      </c>
      <c r="L56" t="str">
        <f>"(0.182)"</f>
        <v>(0.182)</v>
      </c>
    </row>
    <row r="57" spans="1:12" x14ac:dyDescent="0.25">
      <c r="A57" t="str">
        <f>"Level of financial difficulty while growing up"</f>
        <v>Level of financial difficulty while growing up</v>
      </c>
      <c r="B57" t="str">
        <f>""</f>
        <v/>
      </c>
      <c r="C57" t="str">
        <f>"-0.233**"</f>
        <v>-0.233**</v>
      </c>
      <c r="D57" t="str">
        <f>"-0.229**"</f>
        <v>-0.229**</v>
      </c>
      <c r="E57" t="str">
        <f t="shared" ref="E57:L57" si="25">"-0.222**"</f>
        <v>-0.222**</v>
      </c>
      <c r="F57" t="str">
        <f t="shared" si="25"/>
        <v>-0.222**</v>
      </c>
      <c r="G57" t="str">
        <f t="shared" si="25"/>
        <v>-0.222**</v>
      </c>
      <c r="H57" t="str">
        <f t="shared" si="25"/>
        <v>-0.222**</v>
      </c>
      <c r="I57" t="str">
        <f t="shared" si="25"/>
        <v>-0.222**</v>
      </c>
      <c r="J57" t="str">
        <f t="shared" si="25"/>
        <v>-0.222**</v>
      </c>
      <c r="K57" t="str">
        <f t="shared" si="25"/>
        <v>-0.222**</v>
      </c>
      <c r="L57" t="str">
        <f t="shared" si="25"/>
        <v>-0.222**</v>
      </c>
    </row>
    <row r="58" spans="1:12" x14ac:dyDescent="0.25">
      <c r="A58" t="str">
        <f>""</f>
        <v/>
      </c>
      <c r="B58" t="str">
        <f>""</f>
        <v/>
      </c>
      <c r="C58" t="str">
        <f>"(0.027)"</f>
        <v>(0.027)</v>
      </c>
      <c r="D58" t="str">
        <f>"(0.027)"</f>
        <v>(0.027)</v>
      </c>
      <c r="E58" t="str">
        <f>"(0.026)"</f>
        <v>(0.026)</v>
      </c>
      <c r="F58" t="str">
        <f>"(0.026)"</f>
        <v>(0.026)</v>
      </c>
      <c r="G58" t="str">
        <f>"(0.026)"</f>
        <v>(0.026)</v>
      </c>
      <c r="H58" t="str">
        <f>"(0.025)"</f>
        <v>(0.025)</v>
      </c>
      <c r="I58" t="str">
        <f>"(0.026)"</f>
        <v>(0.026)</v>
      </c>
      <c r="J58" t="str">
        <f>"(0.026)"</f>
        <v>(0.026)</v>
      </c>
      <c r="K58" t="str">
        <f>"(0.026)"</f>
        <v>(0.026)</v>
      </c>
      <c r="L58" t="str">
        <f>"(0.026)"</f>
        <v>(0.026)</v>
      </c>
    </row>
    <row r="59" spans="1:12" x14ac:dyDescent="0.25">
      <c r="A59" t="str">
        <f>"Respondent was abused sexually or physically"</f>
        <v>Respondent was abused sexually or physically</v>
      </c>
      <c r="B59" t="str">
        <f>""</f>
        <v/>
      </c>
      <c r="C59" t="str">
        <f>"-0.651**"</f>
        <v>-0.651**</v>
      </c>
      <c r="D59" t="str">
        <f>"-0.648**"</f>
        <v>-0.648**</v>
      </c>
      <c r="E59" t="str">
        <f>"-0.642**"</f>
        <v>-0.642**</v>
      </c>
      <c r="F59" t="str">
        <f>"-0.642**"</f>
        <v>-0.642**</v>
      </c>
      <c r="G59" t="str">
        <f>"-0.642**"</f>
        <v>-0.642**</v>
      </c>
      <c r="H59" t="str">
        <f>"-0.640**"</f>
        <v>-0.640**</v>
      </c>
      <c r="I59" t="str">
        <f>"-0.642**"</f>
        <v>-0.642**</v>
      </c>
      <c r="J59" t="str">
        <f>"-0.642**"</f>
        <v>-0.642**</v>
      </c>
      <c r="K59" t="str">
        <f>"-0.642**"</f>
        <v>-0.642**</v>
      </c>
      <c r="L59" t="str">
        <f>"-0.641**"</f>
        <v>-0.641**</v>
      </c>
    </row>
    <row r="60" spans="1:12" x14ac:dyDescent="0.25">
      <c r="A60" t="str">
        <f>""</f>
        <v/>
      </c>
      <c r="B60" t="str">
        <f>""</f>
        <v/>
      </c>
      <c r="C60" t="str">
        <f>"(0.081)"</f>
        <v>(0.081)</v>
      </c>
      <c r="D60" t="str">
        <f>"(0.079)"</f>
        <v>(0.079)</v>
      </c>
      <c r="E60" t="str">
        <f t="shared" ref="E60:L60" si="26">"(0.077)"</f>
        <v>(0.077)</v>
      </c>
      <c r="F60" t="str">
        <f t="shared" si="26"/>
        <v>(0.077)</v>
      </c>
      <c r="G60" t="str">
        <f t="shared" si="26"/>
        <v>(0.077)</v>
      </c>
      <c r="H60" t="str">
        <f t="shared" si="26"/>
        <v>(0.077)</v>
      </c>
      <c r="I60" t="str">
        <f t="shared" si="26"/>
        <v>(0.077)</v>
      </c>
      <c r="J60" t="str">
        <f t="shared" si="26"/>
        <v>(0.077)</v>
      </c>
      <c r="K60" t="str">
        <f t="shared" si="26"/>
        <v>(0.077)</v>
      </c>
      <c r="L60" t="str">
        <f t="shared" si="26"/>
        <v>(0.077)</v>
      </c>
    </row>
    <row r="61" spans="1:12" x14ac:dyDescent="0.25">
      <c r="A61" t="str">
        <f>"Parental religiosity index"</f>
        <v>Parental religiosity index</v>
      </c>
      <c r="B61" t="str">
        <f>""</f>
        <v/>
      </c>
      <c r="C61" t="str">
        <f>""</f>
        <v/>
      </c>
      <c r="D61" t="str">
        <f>"0.086**"</f>
        <v>0.086**</v>
      </c>
      <c r="E61" t="str">
        <f>"0.054**"</f>
        <v>0.054**</v>
      </c>
      <c r="F61" t="str">
        <f>"0.081"</f>
        <v>0.081</v>
      </c>
      <c r="G61" t="str">
        <f>"0.054**"</f>
        <v>0.054**</v>
      </c>
      <c r="H61" t="str">
        <f>"0.076**"</f>
        <v>0.076**</v>
      </c>
      <c r="I61" t="str">
        <f>"0.054**"</f>
        <v>0.054**</v>
      </c>
      <c r="J61" t="str">
        <f>"0.049"</f>
        <v>0.049</v>
      </c>
      <c r="K61" t="str">
        <f>"0.054**"</f>
        <v>0.054**</v>
      </c>
      <c r="L61" t="str">
        <f>"0.079**"</f>
        <v>0.079**</v>
      </c>
    </row>
    <row r="62" spans="1:12" x14ac:dyDescent="0.25">
      <c r="A62" t="str">
        <f>""</f>
        <v/>
      </c>
      <c r="B62" t="str">
        <f>""</f>
        <v/>
      </c>
      <c r="C62" t="str">
        <f>""</f>
        <v/>
      </c>
      <c r="D62" t="str">
        <f>"(0.014)"</f>
        <v>(0.014)</v>
      </c>
      <c r="E62" t="str">
        <f>"(0.009)"</f>
        <v>(0.009)</v>
      </c>
      <c r="F62" t="str">
        <f>"(0.165)"</f>
        <v>(0.165)</v>
      </c>
      <c r="G62" t="str">
        <f>"(0.009)"</f>
        <v>(0.009)</v>
      </c>
      <c r="H62" t="str">
        <f>"(0.011)"</f>
        <v>(0.011)</v>
      </c>
      <c r="I62" t="str">
        <f>"(0.009)"</f>
        <v>(0.009)</v>
      </c>
      <c r="J62" t="str">
        <f>"(0.056)"</f>
        <v>(0.056)</v>
      </c>
      <c r="K62" t="str">
        <f>"(0.009)"</f>
        <v>(0.009)</v>
      </c>
      <c r="L62" t="str">
        <f>"(0.011)"</f>
        <v>(0.011)</v>
      </c>
    </row>
    <row r="63" spans="1:12" x14ac:dyDescent="0.25">
      <c r="A63" t="str">
        <f>"Natural log of GDP per capita in PPP dollars"</f>
        <v>Natural log of GDP per capita in PPP dollars</v>
      </c>
      <c r="B63" t="str">
        <f>""</f>
        <v/>
      </c>
      <c r="C63" t="str">
        <f>""</f>
        <v/>
      </c>
      <c r="D63" t="str">
        <f>""</f>
        <v/>
      </c>
      <c r="E63" t="str">
        <f>"-0.224**"</f>
        <v>-0.224**</v>
      </c>
      <c r="F63" t="str">
        <f>"-0.222**"</f>
        <v>-0.222**</v>
      </c>
      <c r="G63" t="str">
        <f>""</f>
        <v/>
      </c>
      <c r="H63" t="str">
        <f>""</f>
        <v/>
      </c>
      <c r="I63" t="str">
        <f>""</f>
        <v/>
      </c>
      <c r="J63" t="str">
        <f>""</f>
        <v/>
      </c>
      <c r="K63" t="str">
        <f>""</f>
        <v/>
      </c>
      <c r="L63" t="str">
        <f>""</f>
        <v/>
      </c>
    </row>
    <row r="64" spans="1:12" x14ac:dyDescent="0.25">
      <c r="A64" t="str">
        <f>""</f>
        <v/>
      </c>
      <c r="B64" t="str">
        <f>""</f>
        <v/>
      </c>
      <c r="C64" t="str">
        <f>""</f>
        <v/>
      </c>
      <c r="D64" t="str">
        <f>""</f>
        <v/>
      </c>
      <c r="E64" t="str">
        <f>"(0.041)"</f>
        <v>(0.041)</v>
      </c>
      <c r="F64" t="str">
        <f>"(0.041)"</f>
        <v>(0.041)</v>
      </c>
      <c r="G64" t="str">
        <f>""</f>
        <v/>
      </c>
      <c r="H64" t="str">
        <f>""</f>
        <v/>
      </c>
      <c r="I64" t="str">
        <f>""</f>
        <v/>
      </c>
      <c r="J64" t="str">
        <f>""</f>
        <v/>
      </c>
      <c r="K64" t="str">
        <f>""</f>
        <v/>
      </c>
      <c r="L64" t="str">
        <f>""</f>
        <v/>
      </c>
    </row>
    <row r="65" spans="1:12" x14ac:dyDescent="0.25">
      <c r="A65" t="str">
        <f>"Respondent religiosity index"</f>
        <v>Respondent religiosity index</v>
      </c>
      <c r="B65" t="str">
        <f>""</f>
        <v/>
      </c>
      <c r="C65" t="str">
        <f>""</f>
        <v/>
      </c>
      <c r="D65" t="str">
        <f>""</f>
        <v/>
      </c>
      <c r="E65" t="str">
        <f>"0.078**"</f>
        <v>0.078**</v>
      </c>
      <c r="F65" t="str">
        <f>"0.078**"</f>
        <v>0.078**</v>
      </c>
      <c r="G65" t="str">
        <f>"0.078**"</f>
        <v>0.078**</v>
      </c>
      <c r="H65" t="str">
        <f>"0.082**"</f>
        <v>0.082**</v>
      </c>
      <c r="I65" t="str">
        <f>"0.078**"</f>
        <v>0.078**</v>
      </c>
      <c r="J65" t="str">
        <f>"0.078**"</f>
        <v>0.078**</v>
      </c>
      <c r="K65" t="str">
        <f>"0.078**"</f>
        <v>0.078**</v>
      </c>
      <c r="L65" t="str">
        <f>"0.081**"</f>
        <v>0.081**</v>
      </c>
    </row>
    <row r="66" spans="1:12" x14ac:dyDescent="0.25">
      <c r="A66" t="str">
        <f>""</f>
        <v/>
      </c>
      <c r="B66" t="str">
        <f>""</f>
        <v/>
      </c>
      <c r="C66" t="str">
        <f>""</f>
        <v/>
      </c>
      <c r="D66" t="str">
        <f>""</f>
        <v/>
      </c>
      <c r="E66" t="str">
        <f>"(0.026)"</f>
        <v>(0.026)</v>
      </c>
      <c r="F66" t="str">
        <f>"(0.025)"</f>
        <v>(0.025)</v>
      </c>
      <c r="G66" t="str">
        <f>"(0.026)"</f>
        <v>(0.026)</v>
      </c>
      <c r="H66" t="str">
        <f>"(0.025)"</f>
        <v>(0.025)</v>
      </c>
      <c r="I66" t="str">
        <f>"(0.026)"</f>
        <v>(0.026)</v>
      </c>
      <c r="J66" t="str">
        <f>"(0.026)"</f>
        <v>(0.026)</v>
      </c>
      <c r="K66" t="str">
        <f>"(0.026)"</f>
        <v>(0.026)</v>
      </c>
      <c r="L66" t="str">
        <f>"(0.025)"</f>
        <v>(0.025)</v>
      </c>
    </row>
    <row r="67" spans="1:12" x14ac:dyDescent="0.25">
      <c r="A67" t="str">
        <f>"Living comfortably on present income 1-4 scale"</f>
        <v>Living comfortably on present income 1-4 scale</v>
      </c>
      <c r="B67" t="str">
        <f>""</f>
        <v/>
      </c>
      <c r="C67" t="str">
        <f>""</f>
        <v/>
      </c>
      <c r="D67" t="str">
        <f>""</f>
        <v/>
      </c>
      <c r="E67" t="str">
        <f t="shared" ref="E67:L67" si="27">"0.047**"</f>
        <v>0.047**</v>
      </c>
      <c r="F67" t="str">
        <f t="shared" si="27"/>
        <v>0.047**</v>
      </c>
      <c r="G67" t="str">
        <f t="shared" si="27"/>
        <v>0.047**</v>
      </c>
      <c r="H67" t="str">
        <f t="shared" si="27"/>
        <v>0.047**</v>
      </c>
      <c r="I67" t="str">
        <f t="shared" si="27"/>
        <v>0.047**</v>
      </c>
      <c r="J67" t="str">
        <f t="shared" si="27"/>
        <v>0.047**</v>
      </c>
      <c r="K67" t="str">
        <f t="shared" si="27"/>
        <v>0.047**</v>
      </c>
      <c r="L67" t="str">
        <f t="shared" si="27"/>
        <v>0.047**</v>
      </c>
    </row>
    <row r="68" spans="1:12" x14ac:dyDescent="0.25">
      <c r="A68" t="str">
        <f>""</f>
        <v/>
      </c>
      <c r="B68" t="str">
        <f>""</f>
        <v/>
      </c>
      <c r="C68" t="str">
        <f>""</f>
        <v/>
      </c>
      <c r="D68" t="str">
        <f>""</f>
        <v/>
      </c>
      <c r="E68" t="str">
        <f t="shared" ref="E68:L68" si="28">"(0.014)"</f>
        <v>(0.014)</v>
      </c>
      <c r="F68" t="str">
        <f t="shared" si="28"/>
        <v>(0.014)</v>
      </c>
      <c r="G68" t="str">
        <f t="shared" si="28"/>
        <v>(0.014)</v>
      </c>
      <c r="H68" t="str">
        <f t="shared" si="28"/>
        <v>(0.014)</v>
      </c>
      <c r="I68" t="str">
        <f t="shared" si="28"/>
        <v>(0.014)</v>
      </c>
      <c r="J68" t="str">
        <f t="shared" si="28"/>
        <v>(0.014)</v>
      </c>
      <c r="K68" t="str">
        <f t="shared" si="28"/>
        <v>(0.014)</v>
      </c>
      <c r="L68" t="str">
        <f t="shared" si="28"/>
        <v>(0.014)</v>
      </c>
    </row>
    <row r="69" spans="1:12" x14ac:dyDescent="0.25">
      <c r="A69" t="str">
        <f>"Interaction-parental religiosity X GDP per capita"</f>
        <v>Interaction-parental religiosity X GDP per capita</v>
      </c>
      <c r="B69" t="str">
        <f>""</f>
        <v/>
      </c>
      <c r="C69" t="str">
        <f>""</f>
        <v/>
      </c>
      <c r="D69" t="str">
        <f>""</f>
        <v/>
      </c>
      <c r="E69" t="str">
        <f>""</f>
        <v/>
      </c>
      <c r="F69" t="str">
        <f>"-0.003"</f>
        <v>-0.003</v>
      </c>
      <c r="G69" t="str">
        <f>""</f>
        <v/>
      </c>
      <c r="H69" t="str">
        <f>""</f>
        <v/>
      </c>
      <c r="I69" t="str">
        <f>""</f>
        <v/>
      </c>
      <c r="J69" t="str">
        <f>""</f>
        <v/>
      </c>
      <c r="K69" t="str">
        <f>""</f>
        <v/>
      </c>
      <c r="L69" t="str">
        <f>""</f>
        <v/>
      </c>
    </row>
    <row r="70" spans="1:12" x14ac:dyDescent="0.25">
      <c r="A70" t="str">
        <f>""</f>
        <v/>
      </c>
      <c r="B70" t="str">
        <f>""</f>
        <v/>
      </c>
      <c r="C70" t="str">
        <f>""</f>
        <v/>
      </c>
      <c r="D70" t="str">
        <f>""</f>
        <v/>
      </c>
      <c r="E70" t="str">
        <f>""</f>
        <v/>
      </c>
      <c r="F70" t="str">
        <f>"(0.016)"</f>
        <v>(0.016)</v>
      </c>
      <c r="G70" t="str">
        <f>""</f>
        <v/>
      </c>
      <c r="H70" t="str">
        <f>""</f>
        <v/>
      </c>
      <c r="I70" t="str">
        <f>""</f>
        <v/>
      </c>
      <c r="J70" t="str">
        <f>""</f>
        <v/>
      </c>
      <c r="K70" t="str">
        <f>""</f>
        <v/>
      </c>
      <c r="L70" t="str">
        <f>""</f>
        <v/>
      </c>
    </row>
    <row r="71" spans="1:12" x14ac:dyDescent="0.25">
      <c r="A71" t="str">
        <f>"Country level index of secular over traditional values"</f>
        <v>Country level index of secular over traditional values</v>
      </c>
      <c r="B71" t="str">
        <f>""</f>
        <v/>
      </c>
      <c r="C71" t="str">
        <f>""</f>
        <v/>
      </c>
      <c r="D71" t="str">
        <f>""</f>
        <v/>
      </c>
      <c r="E71" t="str">
        <f>""</f>
        <v/>
      </c>
      <c r="F71" t="str">
        <f>""</f>
        <v/>
      </c>
      <c r="G71" t="str">
        <f>"-0.191**"</f>
        <v>-0.191**</v>
      </c>
      <c r="H71" t="str">
        <f>"-0.186**"</f>
        <v>-0.186**</v>
      </c>
      <c r="I71" t="str">
        <f>""</f>
        <v/>
      </c>
      <c r="J71" t="str">
        <f>""</f>
        <v/>
      </c>
      <c r="K71" t="str">
        <f>""</f>
        <v/>
      </c>
      <c r="L71" t="str">
        <f>""</f>
        <v/>
      </c>
    </row>
    <row r="72" spans="1:12" x14ac:dyDescent="0.25">
      <c r="A72" t="str">
        <f>""</f>
        <v/>
      </c>
      <c r="B72" t="str">
        <f>""</f>
        <v/>
      </c>
      <c r="C72" t="str">
        <f>""</f>
        <v/>
      </c>
      <c r="D72" t="str">
        <f>""</f>
        <v/>
      </c>
      <c r="E72" t="str">
        <f>""</f>
        <v/>
      </c>
      <c r="F72" t="str">
        <f>""</f>
        <v/>
      </c>
      <c r="G72" t="str">
        <f>"(0.033)"</f>
        <v>(0.033)</v>
      </c>
      <c r="H72" t="str">
        <f>"(0.034)"</f>
        <v>(0.034)</v>
      </c>
      <c r="I72" t="str">
        <f>""</f>
        <v/>
      </c>
      <c r="J72" t="str">
        <f>""</f>
        <v/>
      </c>
      <c r="K72" t="str">
        <f>""</f>
        <v/>
      </c>
      <c r="L72" t="str">
        <f>""</f>
        <v/>
      </c>
    </row>
    <row r="73" spans="1:12" x14ac:dyDescent="0.25">
      <c r="A73" t="str">
        <f>"Interaction-parental religiosity X secular values"</f>
        <v>Interaction-parental religiosity X secular values</v>
      </c>
      <c r="B73" t="str">
        <f>""</f>
        <v/>
      </c>
      <c r="C73" t="str">
        <f>""</f>
        <v/>
      </c>
      <c r="D73" t="str">
        <f>""</f>
        <v/>
      </c>
      <c r="E73" t="str">
        <f>""</f>
        <v/>
      </c>
      <c r="F73" t="str">
        <f>""</f>
        <v/>
      </c>
      <c r="G73" t="str">
        <f>""</f>
        <v/>
      </c>
      <c r="H73" t="str">
        <f>"-0.032**"</f>
        <v>-0.032**</v>
      </c>
      <c r="I73" t="str">
        <f>""</f>
        <v/>
      </c>
      <c r="J73" t="str">
        <f>""</f>
        <v/>
      </c>
      <c r="K73" t="str">
        <f>""</f>
        <v/>
      </c>
      <c r="L73" t="str">
        <f>""</f>
        <v/>
      </c>
    </row>
    <row r="74" spans="1:12" x14ac:dyDescent="0.25">
      <c r="A74" t="str">
        <f>""</f>
        <v/>
      </c>
      <c r="B74" t="str">
        <f>""</f>
        <v/>
      </c>
      <c r="C74" t="str">
        <f>""</f>
        <v/>
      </c>
      <c r="D74" t="str">
        <f>""</f>
        <v/>
      </c>
      <c r="E74" t="str">
        <f>""</f>
        <v/>
      </c>
      <c r="F74" t="str">
        <f>""</f>
        <v/>
      </c>
      <c r="G74" t="str">
        <f>""</f>
        <v/>
      </c>
      <c r="H74" t="str">
        <f>"(0.012)"</f>
        <v>(0.012)</v>
      </c>
      <c r="I74" t="str">
        <f>""</f>
        <v/>
      </c>
      <c r="J74" t="str">
        <f>""</f>
        <v/>
      </c>
      <c r="K74" t="str">
        <f>""</f>
        <v/>
      </c>
      <c r="L74" t="str">
        <f>""</f>
        <v/>
      </c>
    </row>
    <row r="75" spans="1:12" x14ac:dyDescent="0.25">
      <c r="A75" t="str">
        <f>"Z-score of electoral democracy index"</f>
        <v>Z-score of electoral democracy index</v>
      </c>
      <c r="B75" t="str">
        <f>""</f>
        <v/>
      </c>
      <c r="C75" t="str">
        <f>""</f>
        <v/>
      </c>
      <c r="D75" t="str">
        <f>""</f>
        <v/>
      </c>
      <c r="E75" t="str">
        <f>""</f>
        <v/>
      </c>
      <c r="F75" t="str">
        <f>""</f>
        <v/>
      </c>
      <c r="G75" t="str">
        <f>""</f>
        <v/>
      </c>
      <c r="H75" t="str">
        <f>""</f>
        <v/>
      </c>
      <c r="I75" t="str">
        <f>"-0.387"</f>
        <v>-0.387</v>
      </c>
      <c r="J75" t="str">
        <f>"-0.386"</f>
        <v>-0.386</v>
      </c>
      <c r="K75" t="str">
        <f>""</f>
        <v/>
      </c>
      <c r="L75" t="str">
        <f>""</f>
        <v/>
      </c>
    </row>
    <row r="76" spans="1:12" x14ac:dyDescent="0.25">
      <c r="A76" t="str">
        <f>""</f>
        <v/>
      </c>
      <c r="B76" t="str">
        <f>""</f>
        <v/>
      </c>
      <c r="C76" t="str">
        <f>""</f>
        <v/>
      </c>
      <c r="D76" t="str">
        <f>""</f>
        <v/>
      </c>
      <c r="E76" t="str">
        <f>""</f>
        <v/>
      </c>
      <c r="F76" t="str">
        <f>""</f>
        <v/>
      </c>
      <c r="G76" t="str">
        <f>""</f>
        <v/>
      </c>
      <c r="H76" t="str">
        <f>""</f>
        <v/>
      </c>
      <c r="I76" t="str">
        <f>"(0.289)"</f>
        <v>(0.289)</v>
      </c>
      <c r="J76" t="str">
        <f>"(0.292)"</f>
        <v>(0.292)</v>
      </c>
      <c r="K76" t="str">
        <f>""</f>
        <v/>
      </c>
      <c r="L76" t="str">
        <f>""</f>
        <v/>
      </c>
    </row>
    <row r="77" spans="1:12" x14ac:dyDescent="0.25">
      <c r="A77" t="str">
        <f>"Interaction-parental religiosity X electoral democracy"</f>
        <v>Interaction-parental religiosity X electoral democracy</v>
      </c>
      <c r="B77" t="str">
        <f>""</f>
        <v/>
      </c>
      <c r="C77" t="str">
        <f>""</f>
        <v/>
      </c>
      <c r="D77" t="str">
        <f>""</f>
        <v/>
      </c>
      <c r="E77" t="str">
        <f>""</f>
        <v/>
      </c>
      <c r="F77" t="str">
        <f>""</f>
        <v/>
      </c>
      <c r="G77" t="str">
        <f>""</f>
        <v/>
      </c>
      <c r="H77" t="str">
        <f>""</f>
        <v/>
      </c>
      <c r="I77" t="str">
        <f>""</f>
        <v/>
      </c>
      <c r="J77" t="str">
        <f>"0.006"</f>
        <v>0.006</v>
      </c>
      <c r="K77" t="str">
        <f>""</f>
        <v/>
      </c>
      <c r="L77" t="str">
        <f>""</f>
        <v/>
      </c>
    </row>
    <row r="78" spans="1:12" x14ac:dyDescent="0.25">
      <c r="A78" t="str">
        <f>""</f>
        <v/>
      </c>
      <c r="B78" t="str">
        <f>""</f>
        <v/>
      </c>
      <c r="C78" t="str">
        <f>""</f>
        <v/>
      </c>
      <c r="D78" t="str">
        <f>""</f>
        <v/>
      </c>
      <c r="E78" t="str">
        <f>""</f>
        <v/>
      </c>
      <c r="F78" t="str">
        <f>""</f>
        <v/>
      </c>
      <c r="G78" t="str">
        <f>""</f>
        <v/>
      </c>
      <c r="H78" t="str">
        <f>""</f>
        <v/>
      </c>
      <c r="I78" t="str">
        <f>""</f>
        <v/>
      </c>
      <c r="J78" t="str">
        <f>"(0.074)"</f>
        <v>(0.074)</v>
      </c>
      <c r="K78" t="str">
        <f>""</f>
        <v/>
      </c>
      <c r="L78" t="str">
        <f>""</f>
        <v/>
      </c>
    </row>
    <row r="79" spans="1:12" x14ac:dyDescent="0.25">
      <c r="A79" t="str">
        <f>"Z-score of Women's Peace and Security Index"</f>
        <v>Z-score of Women's Peace and Security Index</v>
      </c>
      <c r="B79" t="str">
        <f>""</f>
        <v/>
      </c>
      <c r="C79" t="str">
        <f>""</f>
        <v/>
      </c>
      <c r="D79" t="str">
        <f>""</f>
        <v/>
      </c>
      <c r="E79" t="str">
        <f>""</f>
        <v/>
      </c>
      <c r="F79" t="str">
        <f>""</f>
        <v/>
      </c>
      <c r="G79" t="str">
        <f>""</f>
        <v/>
      </c>
      <c r="H79" t="str">
        <f>""</f>
        <v/>
      </c>
      <c r="I79" t="str">
        <f>""</f>
        <v/>
      </c>
      <c r="J79" t="str">
        <f>""</f>
        <v/>
      </c>
      <c r="K79" t="str">
        <f>"-0.190**"</f>
        <v>-0.190**</v>
      </c>
      <c r="L79" t="str">
        <f>"-0.177**"</f>
        <v>-0.177**</v>
      </c>
    </row>
    <row r="80" spans="1:12" x14ac:dyDescent="0.25">
      <c r="A80" t="str">
        <f>""</f>
        <v/>
      </c>
      <c r="B80" t="str">
        <f>""</f>
        <v/>
      </c>
      <c r="C80" t="str">
        <f>""</f>
        <v/>
      </c>
      <c r="D80" t="str">
        <f>""</f>
        <v/>
      </c>
      <c r="E80" t="str">
        <f>""</f>
        <v/>
      </c>
      <c r="F80" t="str">
        <f>""</f>
        <v/>
      </c>
      <c r="G80" t="str">
        <f>""</f>
        <v/>
      </c>
      <c r="H80" t="str">
        <f>""</f>
        <v/>
      </c>
      <c r="I80" t="str">
        <f>""</f>
        <v/>
      </c>
      <c r="J80" t="str">
        <f>""</f>
        <v/>
      </c>
      <c r="K80" t="str">
        <f>"(0.045)"</f>
        <v>(0.045)</v>
      </c>
      <c r="L80" t="str">
        <f>"(0.045)"</f>
        <v>(0.045)</v>
      </c>
    </row>
    <row r="81" spans="1:19" x14ac:dyDescent="0.25">
      <c r="A81" t="str">
        <f>"Interaction-parental religiosity X Women's rights"</f>
        <v>Interaction-parental religiosity X Women's rights</v>
      </c>
      <c r="B81" t="str">
        <f>""</f>
        <v/>
      </c>
      <c r="C81" t="str">
        <f>""</f>
        <v/>
      </c>
      <c r="D81" t="str">
        <f>""</f>
        <v/>
      </c>
      <c r="E81" t="str">
        <f>""</f>
        <v/>
      </c>
      <c r="F81" t="str">
        <f>""</f>
        <v/>
      </c>
      <c r="G81" t="str">
        <f>""</f>
        <v/>
      </c>
      <c r="H81" t="str">
        <f>""</f>
        <v/>
      </c>
      <c r="I81" t="str">
        <f>""</f>
        <v/>
      </c>
      <c r="J81" t="str">
        <f>""</f>
        <v/>
      </c>
      <c r="K81" t="str">
        <f>""</f>
        <v/>
      </c>
      <c r="L81" t="str">
        <f>"-0.031**"</f>
        <v>-0.031**</v>
      </c>
    </row>
    <row r="82" spans="1:19" x14ac:dyDescent="0.25">
      <c r="B82" t="str">
        <f>""</f>
        <v/>
      </c>
      <c r="C82" t="str">
        <f>""</f>
        <v/>
      </c>
      <c r="D82" t="str">
        <f>""</f>
        <v/>
      </c>
      <c r="E82" t="str">
        <f>""</f>
        <v/>
      </c>
      <c r="F82" t="str">
        <f>""</f>
        <v/>
      </c>
      <c r="G82" t="str">
        <f>""</f>
        <v/>
      </c>
      <c r="H82" t="str">
        <f>""</f>
        <v/>
      </c>
      <c r="I82" t="str">
        <f>""</f>
        <v/>
      </c>
      <c r="J82" t="str">
        <f>""</f>
        <v/>
      </c>
      <c r="K82" t="str">
        <f>""</f>
        <v/>
      </c>
      <c r="L82" t="str">
        <f>"(0.010)"</f>
        <v>(0.010)</v>
      </c>
    </row>
    <row r="83" spans="1:19" x14ac:dyDescent="0.25">
      <c r="A83" t="str">
        <f>"Constant"</f>
        <v>Constant</v>
      </c>
      <c r="B83" t="str">
        <f>"-0.230"</f>
        <v>-0.230</v>
      </c>
      <c r="C83" t="str">
        <f>"0.137"</f>
        <v>0.137</v>
      </c>
      <c r="D83" t="str">
        <f>"0.140"</f>
        <v>0.140</v>
      </c>
      <c r="E83" t="str">
        <f>"2.366**"</f>
        <v>2.366**</v>
      </c>
      <c r="F83" t="str">
        <f>"2.352**"</f>
        <v>2.352**</v>
      </c>
      <c r="G83" t="str">
        <f>"0.168"</f>
        <v>0.168</v>
      </c>
      <c r="H83" t="str">
        <f>"0.151"</f>
        <v>0.151</v>
      </c>
      <c r="I83" t="str">
        <f>"0.381"</f>
        <v>0.381</v>
      </c>
      <c r="J83" t="str">
        <f>"0.381"</f>
        <v>0.381</v>
      </c>
      <c r="K83" t="str">
        <f>"0.205*"</f>
        <v>0.205*</v>
      </c>
      <c r="L83" t="str">
        <f>"0.188*"</f>
        <v>0.188*</v>
      </c>
    </row>
    <row r="84" spans="1:19" x14ac:dyDescent="0.25">
      <c r="A84" t="str">
        <f>""</f>
        <v/>
      </c>
      <c r="B84" t="str">
        <f>"(0.124)"</f>
        <v>(0.124)</v>
      </c>
      <c r="C84" t="str">
        <f>"(0.086)"</f>
        <v>(0.086)</v>
      </c>
      <c r="D84" t="str">
        <f>"(0.085)"</f>
        <v>(0.085)</v>
      </c>
      <c r="E84" t="str">
        <f>"(0.423)"</f>
        <v>(0.423)</v>
      </c>
      <c r="F84" t="str">
        <f>"(0.416)"</f>
        <v>(0.416)</v>
      </c>
      <c r="G84" t="str">
        <f>"(0.088)"</f>
        <v>(0.088)</v>
      </c>
      <c r="H84" t="str">
        <f>"(0.088)"</f>
        <v>(0.088)</v>
      </c>
      <c r="I84" t="str">
        <f>"(0.222)"</f>
        <v>(0.222)</v>
      </c>
      <c r="J84" t="str">
        <f>"(0.220)"</f>
        <v>(0.220)</v>
      </c>
      <c r="K84" t="str">
        <f>"(0.089)"</f>
        <v>(0.089)</v>
      </c>
      <c r="L84" t="str">
        <f>"(0.087)"</f>
        <v>(0.087)</v>
      </c>
    </row>
    <row r="85" spans="1:19" x14ac:dyDescent="0.25">
      <c r="A85" t="str">
        <f>"lns1_1_1"</f>
        <v>lns1_1_1</v>
      </c>
      <c r="B85" t="str">
        <f>""</f>
        <v/>
      </c>
      <c r="C85" t="str">
        <f>""</f>
        <v/>
      </c>
      <c r="D85" t="str">
        <f>""</f>
        <v/>
      </c>
      <c r="E85" t="str">
        <f>""</f>
        <v/>
      </c>
      <c r="F85" t="str">
        <f>""</f>
        <v/>
      </c>
      <c r="G85" t="str">
        <f>""</f>
        <v/>
      </c>
      <c r="H85" t="str">
        <f>""</f>
        <v/>
      </c>
      <c r="I85" t="str">
        <f>""</f>
        <v/>
      </c>
      <c r="J85" t="str">
        <f>""</f>
        <v/>
      </c>
      <c r="K85" t="str">
        <f>""</f>
        <v/>
      </c>
      <c r="L85" t="str">
        <f>""</f>
        <v/>
      </c>
    </row>
    <row r="86" spans="1:19" x14ac:dyDescent="0.25">
      <c r="A86" t="str">
        <f>"Constant"</f>
        <v>Constant</v>
      </c>
      <c r="B86" t="str">
        <f>"-1.199**"</f>
        <v>-1.199**</v>
      </c>
      <c r="C86" t="str">
        <f>"-1.178**"</f>
        <v>-1.178**</v>
      </c>
      <c r="D86" t="str">
        <f>"-1.320**"</f>
        <v>-1.320**</v>
      </c>
      <c r="E86" t="str">
        <f>"-1.974**"</f>
        <v>-1.974**</v>
      </c>
      <c r="F86" t="str">
        <f>"-1.973**"</f>
        <v>-1.973**</v>
      </c>
      <c r="G86" t="str">
        <f>"-1.890**"</f>
        <v>-1.890**</v>
      </c>
      <c r="H86" t="str">
        <f>"-1.875**"</f>
        <v>-1.875**</v>
      </c>
      <c r="I86" t="str">
        <f>"-1.450**"</f>
        <v>-1.450**</v>
      </c>
      <c r="J86" t="str">
        <f>"-1.448**"</f>
        <v>-1.448**</v>
      </c>
      <c r="K86" t="str">
        <f>"-1.708**"</f>
        <v>-1.708**</v>
      </c>
      <c r="L86" t="str">
        <f>"-1.710**"</f>
        <v>-1.710**</v>
      </c>
    </row>
    <row r="87" spans="1:19" x14ac:dyDescent="0.25">
      <c r="A87" t="str">
        <f>""</f>
        <v/>
      </c>
      <c r="B87" t="str">
        <f>"(0.106)"</f>
        <v>(0.106)</v>
      </c>
      <c r="C87" t="str">
        <f>"(0.127)"</f>
        <v>(0.127)</v>
      </c>
      <c r="D87" t="str">
        <f>"(0.121)"</f>
        <v>(0.121)</v>
      </c>
      <c r="E87" t="str">
        <f>"(0.167)"</f>
        <v>(0.167)</v>
      </c>
      <c r="F87" t="str">
        <f>"(0.167)"</f>
        <v>(0.167)</v>
      </c>
      <c r="G87" t="str">
        <f>"(0.131)"</f>
        <v>(0.131)</v>
      </c>
      <c r="H87" t="str">
        <f>"(0.123)"</f>
        <v>(0.123)</v>
      </c>
      <c r="I87" t="str">
        <f>"(0.166)"</f>
        <v>(0.166)</v>
      </c>
      <c r="J87" t="str">
        <f>"(0.167)"</f>
        <v>(0.167)</v>
      </c>
      <c r="K87" t="str">
        <f>"(0.110)"</f>
        <v>(0.110)</v>
      </c>
      <c r="L87" t="str">
        <f>"(0.112)"</f>
        <v>(0.112)</v>
      </c>
    </row>
    <row r="88" spans="1:19" x14ac:dyDescent="0.25">
      <c r="A88" t="str">
        <f>"lnsig_e"</f>
        <v>lnsig_e</v>
      </c>
      <c r="B88" t="str">
        <f>""</f>
        <v/>
      </c>
      <c r="C88" t="str">
        <f>""</f>
        <v/>
      </c>
      <c r="D88" t="str">
        <f>""</f>
        <v/>
      </c>
      <c r="E88" t="str">
        <f>""</f>
        <v/>
      </c>
      <c r="F88" t="str">
        <f>""</f>
        <v/>
      </c>
      <c r="G88" t="str">
        <f>""</f>
        <v/>
      </c>
      <c r="H88" t="str">
        <f>""</f>
        <v/>
      </c>
      <c r="I88" t="str">
        <f>""</f>
        <v/>
      </c>
      <c r="J88" t="str">
        <f>""</f>
        <v/>
      </c>
      <c r="K88" t="str">
        <f>""</f>
        <v/>
      </c>
      <c r="L88" t="str">
        <f>""</f>
        <v/>
      </c>
    </row>
    <row r="89" spans="1:19" x14ac:dyDescent="0.25">
      <c r="A89" t="str">
        <f>"Constant"</f>
        <v>Constant</v>
      </c>
      <c r="B89" t="str">
        <f>"-0.066"</f>
        <v>-0.066</v>
      </c>
      <c r="C89" t="str">
        <f>"-0.131*"</f>
        <v>-0.131*</v>
      </c>
      <c r="D89" t="str">
        <f>"-0.134*"</f>
        <v>-0.134*</v>
      </c>
      <c r="E89" t="str">
        <f t="shared" ref="E89:L89" si="29">"-0.137*"</f>
        <v>-0.137*</v>
      </c>
      <c r="F89" t="str">
        <f t="shared" si="29"/>
        <v>-0.137*</v>
      </c>
      <c r="G89" t="str">
        <f t="shared" si="29"/>
        <v>-0.137*</v>
      </c>
      <c r="H89" t="str">
        <f t="shared" si="29"/>
        <v>-0.137*</v>
      </c>
      <c r="I89" t="str">
        <f t="shared" si="29"/>
        <v>-0.137*</v>
      </c>
      <c r="J89" t="str">
        <f t="shared" si="29"/>
        <v>-0.137*</v>
      </c>
      <c r="K89" t="str">
        <f t="shared" si="29"/>
        <v>-0.137*</v>
      </c>
      <c r="L89" t="str">
        <f t="shared" si="29"/>
        <v>-0.137*</v>
      </c>
    </row>
    <row r="90" spans="1:19" x14ac:dyDescent="0.25">
      <c r="A90" t="str">
        <f>""</f>
        <v/>
      </c>
      <c r="B90" t="str">
        <f>"(0.077)"</f>
        <v>(0.077)</v>
      </c>
      <c r="C90" t="str">
        <f>"(0.062)"</f>
        <v>(0.062)</v>
      </c>
      <c r="D90" t="str">
        <f>"(0.062)"</f>
        <v>(0.062)</v>
      </c>
      <c r="E90" t="str">
        <f t="shared" ref="E90:L90" si="30">"(0.061)"</f>
        <v>(0.061)</v>
      </c>
      <c r="F90" t="str">
        <f t="shared" si="30"/>
        <v>(0.061)</v>
      </c>
      <c r="G90" t="str">
        <f t="shared" si="30"/>
        <v>(0.061)</v>
      </c>
      <c r="H90" t="str">
        <f t="shared" si="30"/>
        <v>(0.061)</v>
      </c>
      <c r="I90" t="str">
        <f t="shared" si="30"/>
        <v>(0.061)</v>
      </c>
      <c r="J90" t="str">
        <f t="shared" si="30"/>
        <v>(0.061)</v>
      </c>
      <c r="K90" t="str">
        <f t="shared" si="30"/>
        <v>(0.061)</v>
      </c>
      <c r="L90" t="str">
        <f t="shared" si="30"/>
        <v>(0.061)</v>
      </c>
    </row>
    <row r="91" spans="1:19" x14ac:dyDescent="0.25">
      <c r="A91" t="str">
        <f>"Log likelihood"</f>
        <v>Log likelihood</v>
      </c>
      <c r="B91" t="str">
        <f>"-228711.2944980528"</f>
        <v>-228711.2944980528</v>
      </c>
      <c r="C91" t="str">
        <f>"-206373.8971150814"</f>
        <v>-206373.8971150814</v>
      </c>
      <c r="D91" t="str">
        <f>"-205686.0677670003"</f>
        <v>-205686.0677670003</v>
      </c>
      <c r="E91" t="str">
        <f>"-204718.2295708848"</f>
        <v>-204718.2295708848</v>
      </c>
      <c r="F91" t="str">
        <f>"-204717.958290211"</f>
        <v>-204717.958290211</v>
      </c>
      <c r="G91" t="str">
        <f>"-204720.0011558075"</f>
        <v>-204720.0011558075</v>
      </c>
      <c r="H91" t="str">
        <f>"-204657.372849427"</f>
        <v>-204657.372849427</v>
      </c>
      <c r="I91" t="str">
        <f>"-204729.2110959116"</f>
        <v>-204729.2110959116</v>
      </c>
      <c r="J91" t="str">
        <f>"-204729.1235213414"</f>
        <v>-204729.1235213414</v>
      </c>
      <c r="K91" t="str">
        <f>"-204723.8028257687"</f>
        <v>-204723.8028257687</v>
      </c>
      <c r="L91" t="str">
        <f>"-204692.2750536507"</f>
        <v>-204692.2750536507</v>
      </c>
    </row>
    <row r="92" spans="1:19" x14ac:dyDescent="0.25">
      <c r="A92" t="str">
        <f>"Sample Size"</f>
        <v>Sample Size</v>
      </c>
      <c r="B92" t="str">
        <f>"169386.000"</f>
        <v>169386.000</v>
      </c>
      <c r="C92" t="str">
        <f>"160612.000"</f>
        <v>160612.000</v>
      </c>
      <c r="D92" t="str">
        <f>"160510.000"</f>
        <v>160510.000</v>
      </c>
      <c r="E92" t="str">
        <f t="shared" ref="E92:L92" si="31">"160078.000"</f>
        <v>160078.000</v>
      </c>
      <c r="F92" t="str">
        <f t="shared" si="31"/>
        <v>160078.000</v>
      </c>
      <c r="G92" t="str">
        <f t="shared" si="31"/>
        <v>160078.000</v>
      </c>
      <c r="H92" t="str">
        <f t="shared" si="31"/>
        <v>160078.000</v>
      </c>
      <c r="I92" t="str">
        <f t="shared" si="31"/>
        <v>160078.000</v>
      </c>
      <c r="J92" t="str">
        <f t="shared" si="31"/>
        <v>160078.000</v>
      </c>
      <c r="K92" t="str">
        <f t="shared" si="31"/>
        <v>160078.000</v>
      </c>
      <c r="L92" t="str">
        <f t="shared" si="31"/>
        <v>160078.000</v>
      </c>
    </row>
    <row r="93" spans="1:19" x14ac:dyDescent="0.25">
      <c r="A93" t="str">
        <f>"Standard errors in parentheses"</f>
        <v>Standard errors in parentheses</v>
      </c>
    </row>
    <row r="94" spans="1:19" x14ac:dyDescent="0.25">
      <c r="A94" t="s">
        <v>336</v>
      </c>
      <c r="B94" t="s">
        <v>337</v>
      </c>
    </row>
    <row r="96" spans="1:19" x14ac:dyDescent="0.25">
      <c r="N96" t="str">
        <f>""</f>
        <v/>
      </c>
      <c r="O96" t="str">
        <f>""</f>
        <v/>
      </c>
      <c r="P96" t="str">
        <f>""</f>
        <v/>
      </c>
      <c r="Q96" t="str">
        <f>""</f>
        <v/>
      </c>
      <c r="R96" t="str">
        <f>""</f>
        <v/>
      </c>
      <c r="S96" t="str">
        <f>""</f>
        <v/>
      </c>
    </row>
    <row r="97" spans="13:19" x14ac:dyDescent="0.25">
      <c r="N97" t="str">
        <f>""</f>
        <v/>
      </c>
      <c r="O97" t="str">
        <f>""</f>
        <v/>
      </c>
      <c r="P97" t="str">
        <f>""</f>
        <v/>
      </c>
      <c r="Q97" t="str">
        <f>""</f>
        <v/>
      </c>
      <c r="R97" t="str">
        <f>""</f>
        <v/>
      </c>
      <c r="S97" t="str">
        <f>""</f>
        <v/>
      </c>
    </row>
    <row r="98" spans="13:19" x14ac:dyDescent="0.25">
      <c r="M98" t="str">
        <f>""</f>
        <v/>
      </c>
      <c r="P98" t="str">
        <f>""</f>
        <v/>
      </c>
      <c r="Q98" t="str">
        <f>""</f>
        <v/>
      </c>
      <c r="R98" t="str">
        <f>""</f>
        <v/>
      </c>
      <c r="S98" t="str">
        <f>""</f>
        <v/>
      </c>
    </row>
    <row r="99" spans="13:19" x14ac:dyDescent="0.25">
      <c r="M99" t="str">
        <f>""</f>
        <v/>
      </c>
      <c r="P99" t="str">
        <f>""</f>
        <v/>
      </c>
      <c r="Q99" t="str">
        <f>""</f>
        <v/>
      </c>
      <c r="R99" t="str">
        <f>""</f>
        <v/>
      </c>
      <c r="S99" t="str">
        <f>""</f>
        <v/>
      </c>
    </row>
    <row r="100" spans="13:19" x14ac:dyDescent="0.25">
      <c r="M100" t="str">
        <f>""</f>
        <v/>
      </c>
      <c r="P100" t="str">
        <f>""</f>
        <v/>
      </c>
      <c r="Q100" t="str">
        <f>""</f>
        <v/>
      </c>
      <c r="R100" t="str">
        <f>""</f>
        <v/>
      </c>
      <c r="S100" t="str">
        <f>""</f>
        <v/>
      </c>
    </row>
    <row r="101" spans="13:19" x14ac:dyDescent="0.25">
      <c r="M101" t="str">
        <f>""</f>
        <v/>
      </c>
      <c r="P101" t="str">
        <f>""</f>
        <v/>
      </c>
      <c r="Q101" t="str">
        <f>""</f>
        <v/>
      </c>
      <c r="R101" t="str">
        <f>""</f>
        <v/>
      </c>
      <c r="S101" t="str">
        <f>""</f>
        <v/>
      </c>
    </row>
    <row r="102" spans="13:19" x14ac:dyDescent="0.25">
      <c r="M102" t="str">
        <f>""</f>
        <v/>
      </c>
      <c r="R102" t="str">
        <f>""</f>
        <v/>
      </c>
      <c r="S102" t="str">
        <f>""</f>
        <v/>
      </c>
    </row>
    <row r="103" spans="13:19" x14ac:dyDescent="0.25">
      <c r="M103" t="str">
        <f>""</f>
        <v/>
      </c>
      <c r="R103" t="str">
        <f>""</f>
        <v/>
      </c>
      <c r="S103" t="str">
        <f>""</f>
        <v/>
      </c>
    </row>
    <row r="104" spans="13:19" x14ac:dyDescent="0.25">
      <c r="M104" t="str">
        <f>""</f>
        <v/>
      </c>
      <c r="R104" t="str">
        <f>""</f>
        <v/>
      </c>
      <c r="S104" t="str">
        <f>""</f>
        <v/>
      </c>
    </row>
    <row r="105" spans="13:19" x14ac:dyDescent="0.25">
      <c r="M105" t="str">
        <f>""</f>
        <v/>
      </c>
      <c r="R105" t="str">
        <f>""</f>
        <v/>
      </c>
      <c r="S105" t="str">
        <f>""</f>
        <v/>
      </c>
    </row>
    <row r="106" spans="13:19" x14ac:dyDescent="0.25">
      <c r="M106" t="str">
        <f>""</f>
        <v/>
      </c>
      <c r="P106" t="str">
        <f>""</f>
        <v/>
      </c>
      <c r="Q106" t="str">
        <f>""</f>
        <v/>
      </c>
    </row>
    <row r="107" spans="13:19" x14ac:dyDescent="0.25">
      <c r="M107" t="str">
        <f>""</f>
        <v/>
      </c>
      <c r="P107" t="str">
        <f>""</f>
        <v/>
      </c>
      <c r="Q107" t="str">
        <f>""</f>
        <v/>
      </c>
    </row>
    <row r="108" spans="13:19" x14ac:dyDescent="0.25">
      <c r="M108" t="str">
        <f>""</f>
        <v/>
      </c>
      <c r="P108" t="str">
        <f>""</f>
        <v/>
      </c>
      <c r="Q108" t="str">
        <f>""</f>
        <v/>
      </c>
    </row>
    <row r="109" spans="13:19" x14ac:dyDescent="0.25">
      <c r="M109" t="str">
        <f>""</f>
        <v/>
      </c>
      <c r="P109" t="str">
        <f>""</f>
        <v/>
      </c>
      <c r="Q109" t="str">
        <f>""</f>
        <v/>
      </c>
    </row>
  </sheetData>
  <mergeCells count="1">
    <mergeCell ref="A1:L1"/>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D7F48-C692-454F-A9A9-F1E6C437935D}">
  <dimension ref="A1:R94"/>
  <sheetViews>
    <sheetView workbookViewId="0">
      <selection sqref="A1:L1"/>
    </sheetView>
  </sheetViews>
  <sheetFormatPr defaultRowHeight="15" x14ac:dyDescent="0.25"/>
  <cols>
    <col min="1" max="1" width="48.85546875" bestFit="1" customWidth="1"/>
  </cols>
  <sheetData>
    <row r="1" spans="1:18" ht="59.25" customHeight="1" x14ac:dyDescent="0.25">
      <c r="A1" s="89" t="s">
        <v>1046</v>
      </c>
      <c r="B1" s="88"/>
      <c r="C1" s="88"/>
      <c r="D1" s="88"/>
      <c r="E1" s="88"/>
      <c r="F1" s="88"/>
      <c r="G1" s="88"/>
      <c r="H1" s="88"/>
      <c r="I1" s="88"/>
      <c r="J1" s="88"/>
      <c r="K1" s="88"/>
      <c r="L1" s="88"/>
    </row>
    <row r="2" spans="1:18" x14ac:dyDescent="0.25">
      <c r="A2" t="str">
        <f>""</f>
        <v/>
      </c>
      <c r="B2" t="str">
        <f>"(1)"</f>
        <v>(1)</v>
      </c>
      <c r="C2" t="str">
        <f>"(2)"</f>
        <v>(2)</v>
      </c>
      <c r="D2" t="str">
        <f>"(3)"</f>
        <v>(3)</v>
      </c>
      <c r="E2" t="str">
        <f>"(4)"</f>
        <v>(4)</v>
      </c>
      <c r="F2" t="str">
        <f>"(5)"</f>
        <v>(5)</v>
      </c>
      <c r="G2" t="str">
        <f>"(6)"</f>
        <v>(6)</v>
      </c>
      <c r="H2" t="str">
        <f>"(7)"</f>
        <v>(7)</v>
      </c>
      <c r="I2" t="str">
        <f>"(8)"</f>
        <v>(8)</v>
      </c>
      <c r="J2" t="str">
        <f>"(9)"</f>
        <v>(9)</v>
      </c>
      <c r="K2" t="str">
        <f>"(10)"</f>
        <v>(10)</v>
      </c>
      <c r="L2" t="str">
        <f>"(11)"</f>
        <v>(11)</v>
      </c>
    </row>
    <row r="3" spans="1:18" x14ac:dyDescent="0.25">
      <c r="A3" t="str">
        <f>""</f>
        <v/>
      </c>
      <c r="B3" t="str">
        <f t="shared" ref="B3:L3" si="0">"Parent-child relationship quality index"</f>
        <v>Parent-child relationship quality index</v>
      </c>
      <c r="C3" t="str">
        <f t="shared" si="0"/>
        <v>Parent-child relationship quality index</v>
      </c>
      <c r="D3" t="str">
        <f t="shared" si="0"/>
        <v>Parent-child relationship quality index</v>
      </c>
      <c r="E3" t="str">
        <f t="shared" si="0"/>
        <v>Parent-child relationship quality index</v>
      </c>
      <c r="F3" t="str">
        <f t="shared" si="0"/>
        <v>Parent-child relationship quality index</v>
      </c>
      <c r="G3" t="str">
        <f t="shared" si="0"/>
        <v>Parent-child relationship quality index</v>
      </c>
      <c r="H3" t="str">
        <f t="shared" si="0"/>
        <v>Parent-child relationship quality index</v>
      </c>
      <c r="I3" t="str">
        <f t="shared" si="0"/>
        <v>Parent-child relationship quality index</v>
      </c>
      <c r="J3" t="str">
        <f t="shared" si="0"/>
        <v>Parent-child relationship quality index</v>
      </c>
      <c r="K3" t="str">
        <f t="shared" si="0"/>
        <v>Parent-child relationship quality index</v>
      </c>
      <c r="L3" t="str">
        <f t="shared" si="0"/>
        <v>Parent-child relationship quality index</v>
      </c>
    </row>
    <row r="5" spans="1:18" x14ac:dyDescent="0.25">
      <c r="A5" t="str">
        <f>"Respondet is male"</f>
        <v>Respondet is male</v>
      </c>
      <c r="B5" t="str">
        <f>"0.130**"</f>
        <v>0.130**</v>
      </c>
      <c r="C5" t="str">
        <f>"0.107**"</f>
        <v>0.107**</v>
      </c>
      <c r="D5" t="str">
        <f>"0.103**"</f>
        <v>0.103**</v>
      </c>
      <c r="E5" t="str">
        <f>"0.108**"</f>
        <v>0.108**</v>
      </c>
      <c r="F5" t="str">
        <f>"0.108**"</f>
        <v>0.108**</v>
      </c>
      <c r="G5" t="str">
        <f>"0.108**"</f>
        <v>0.108**</v>
      </c>
      <c r="H5" t="str">
        <f>"0.109**"</f>
        <v>0.109**</v>
      </c>
      <c r="I5" t="str">
        <f>"0.108**"</f>
        <v>0.108**</v>
      </c>
      <c r="J5" t="str">
        <f>"0.108**"</f>
        <v>0.108**</v>
      </c>
      <c r="K5" t="str">
        <f>"0.108**"</f>
        <v>0.108**</v>
      </c>
      <c r="L5" t="str">
        <f>"0.108**"</f>
        <v>0.108**</v>
      </c>
    </row>
    <row r="6" spans="1:18" x14ac:dyDescent="0.25">
      <c r="A6" t="str">
        <f>""</f>
        <v/>
      </c>
      <c r="B6" t="str">
        <f>"(3.090)"</f>
        <v>(3.090)</v>
      </c>
      <c r="C6" t="str">
        <f>"(4.562)"</f>
        <v>(4.562)</v>
      </c>
      <c r="D6" t="str">
        <f>"(4.304)"</f>
        <v>(4.304)</v>
      </c>
      <c r="E6" t="str">
        <f>"(3.995)"</f>
        <v>(3.995)</v>
      </c>
      <c r="F6" t="str">
        <f>"(4.010)"</f>
        <v>(4.010)</v>
      </c>
      <c r="G6" t="str">
        <f>"(3.995)"</f>
        <v>(3.995)</v>
      </c>
      <c r="H6" t="str">
        <f>"(4.035)"</f>
        <v>(4.035)</v>
      </c>
      <c r="I6" t="str">
        <f>"(3.995)"</f>
        <v>(3.995)</v>
      </c>
      <c r="J6" t="str">
        <f>"(4.002)"</f>
        <v>(4.002)</v>
      </c>
      <c r="K6" t="str">
        <f>"(3.994)"</f>
        <v>(3.994)</v>
      </c>
      <c r="L6" t="str">
        <f>"(4.021)"</f>
        <v>(4.021)</v>
      </c>
    </row>
    <row r="7" spans="1:18" x14ac:dyDescent="0.25">
      <c r="A7" t="str">
        <f>"Did not select male or female"</f>
        <v>Did not select male or female</v>
      </c>
      <c r="B7" t="str">
        <f>"-0.298**"</f>
        <v>-0.298**</v>
      </c>
      <c r="C7" t="str">
        <f>"-0.226**"</f>
        <v>-0.226**</v>
      </c>
      <c r="D7" t="str">
        <f>"-0.219**"</f>
        <v>-0.219**</v>
      </c>
      <c r="E7" t="str">
        <f>"-0.192**"</f>
        <v>-0.192**</v>
      </c>
      <c r="F7" t="str">
        <f>"-0.192**"</f>
        <v>-0.192**</v>
      </c>
      <c r="G7" t="str">
        <f>"-0.192**"</f>
        <v>-0.192**</v>
      </c>
      <c r="H7" t="str">
        <f>"-0.190**"</f>
        <v>-0.190**</v>
      </c>
      <c r="I7" t="str">
        <f>"-0.192**"</f>
        <v>-0.192**</v>
      </c>
      <c r="J7" t="str">
        <f>"-0.192**"</f>
        <v>-0.192**</v>
      </c>
      <c r="K7" t="str">
        <f>"-0.192**"</f>
        <v>-0.192**</v>
      </c>
      <c r="L7" t="str">
        <f>"-0.192**"</f>
        <v>-0.192**</v>
      </c>
    </row>
    <row r="8" spans="1:18" x14ac:dyDescent="0.25">
      <c r="A8" t="str">
        <f>""</f>
        <v/>
      </c>
      <c r="B8" t="str">
        <f>"(-5.626)"</f>
        <v>(-5.626)</v>
      </c>
      <c r="C8" t="str">
        <f>"(-4.301)"</f>
        <v>(-4.301)</v>
      </c>
      <c r="D8" t="str">
        <f>"(-4.150)"</f>
        <v>(-4.150)</v>
      </c>
      <c r="E8" t="str">
        <f>"(-4.190)"</f>
        <v>(-4.190)</v>
      </c>
      <c r="F8" t="str">
        <f>"(-4.190)"</f>
        <v>(-4.190)</v>
      </c>
      <c r="G8" t="str">
        <f>"(-4.197)"</f>
        <v>(-4.197)</v>
      </c>
      <c r="H8" t="str">
        <f>"(-4.145)"</f>
        <v>(-4.145)</v>
      </c>
      <c r="I8" t="str">
        <f>"(-4.193)"</f>
        <v>(-4.193)</v>
      </c>
      <c r="J8" t="str">
        <f>"(-4.197)"</f>
        <v>(-4.197)</v>
      </c>
      <c r="K8" t="str">
        <f>"(-4.192)"</f>
        <v>(-4.192)</v>
      </c>
      <c r="L8" t="str">
        <f>"(-4.184)"</f>
        <v>(-4.184)</v>
      </c>
    </row>
    <row r="9" spans="1:18" x14ac:dyDescent="0.25">
      <c r="A9" t="str">
        <f>"secondary education"</f>
        <v>secondary education</v>
      </c>
      <c r="B9" t="str">
        <f>"0.046*"</f>
        <v>0.046*</v>
      </c>
      <c r="C9" t="str">
        <f>"-0.006"</f>
        <v>-0.006</v>
      </c>
      <c r="D9" t="str">
        <f>"-0.010"</f>
        <v>-0.010</v>
      </c>
      <c r="E9" t="str">
        <f>"-0.007"</f>
        <v>-0.007</v>
      </c>
      <c r="F9" t="str">
        <f>"-0.007"</f>
        <v>-0.007</v>
      </c>
      <c r="G9" t="str">
        <f>"-0.007"</f>
        <v>-0.007</v>
      </c>
      <c r="H9" t="str">
        <f>"-0.010"</f>
        <v>-0.010</v>
      </c>
      <c r="I9" t="str">
        <f>"-0.007"</f>
        <v>-0.007</v>
      </c>
      <c r="J9" t="str">
        <f>"-0.007"</f>
        <v>-0.007</v>
      </c>
      <c r="K9" t="str">
        <f>"-0.007"</f>
        <v>-0.007</v>
      </c>
      <c r="L9" t="str">
        <f>"-0.009"</f>
        <v>-0.009</v>
      </c>
    </row>
    <row r="10" spans="1:18" x14ac:dyDescent="0.25">
      <c r="A10" t="str">
        <f>""</f>
        <v/>
      </c>
      <c r="B10" t="str">
        <f>"(2.187)"</f>
        <v>(2.187)</v>
      </c>
      <c r="C10" t="str">
        <f>"(-0.298)"</f>
        <v>(-0.298)</v>
      </c>
      <c r="D10" t="str">
        <f>"(-0.513)"</f>
        <v>(-0.513)</v>
      </c>
      <c r="E10" t="str">
        <f>"(-0.344)"</f>
        <v>(-0.344)</v>
      </c>
      <c r="F10" t="str">
        <f>"(-0.358)"</f>
        <v>(-0.358)</v>
      </c>
      <c r="G10" t="str">
        <f>"(-0.355)"</f>
        <v>(-0.355)</v>
      </c>
      <c r="H10" t="str">
        <f>"(-0.477)"</f>
        <v>(-0.477)</v>
      </c>
      <c r="I10" t="str">
        <f>"(-0.357)"</f>
        <v>(-0.357)</v>
      </c>
      <c r="J10" t="str">
        <f>"(-0.355)"</f>
        <v>(-0.355)</v>
      </c>
      <c r="K10" t="str">
        <f>"(-0.356)"</f>
        <v>(-0.356)</v>
      </c>
      <c r="L10" t="str">
        <f>"(-0.443)"</f>
        <v>(-0.443)</v>
      </c>
    </row>
    <row r="11" spans="1:18" x14ac:dyDescent="0.25">
      <c r="A11" t="str">
        <f>"tertiary education"</f>
        <v>tertiary education</v>
      </c>
      <c r="B11" t="str">
        <f>"0.161**"</f>
        <v>0.161**</v>
      </c>
      <c r="C11" t="str">
        <f>"0.044"</f>
        <v>0.044</v>
      </c>
      <c r="D11" t="str">
        <f>"0.037"</f>
        <v>0.037</v>
      </c>
      <c r="E11" t="str">
        <f>"0.039"</f>
        <v>0.039</v>
      </c>
      <c r="F11" t="str">
        <f>"0.039"</f>
        <v>0.039</v>
      </c>
      <c r="G11" t="str">
        <f>"0.038"</f>
        <v>0.038</v>
      </c>
      <c r="H11" t="str">
        <f>"0.037"</f>
        <v>0.037</v>
      </c>
      <c r="I11" t="str">
        <f>"0.038"</f>
        <v>0.038</v>
      </c>
      <c r="J11" t="str">
        <f>"0.038"</f>
        <v>0.038</v>
      </c>
      <c r="K11" t="str">
        <f>"0.038"</f>
        <v>0.038</v>
      </c>
      <c r="L11" t="str">
        <f>"0.038"</f>
        <v>0.038</v>
      </c>
    </row>
    <row r="12" spans="1:18" x14ac:dyDescent="0.25">
      <c r="A12" t="str">
        <f>""</f>
        <v/>
      </c>
      <c r="B12" t="str">
        <f>"(5.685)"</f>
        <v>(5.685)</v>
      </c>
      <c r="C12" t="str">
        <f>"(1.885)"</f>
        <v>(1.885)</v>
      </c>
      <c r="D12" t="str">
        <f>"(1.586)"</f>
        <v>(1.586)</v>
      </c>
      <c r="E12" t="str">
        <f>"(1.638)"</f>
        <v>(1.638)</v>
      </c>
      <c r="F12" t="str">
        <f>"(1.628)"</f>
        <v>(1.628)</v>
      </c>
      <c r="G12" t="str">
        <f>"(1.625)"</f>
        <v>(1.625)</v>
      </c>
      <c r="H12" t="str">
        <f>"(1.554)"</f>
        <v>(1.554)</v>
      </c>
      <c r="I12" t="str">
        <f>"(1.628)"</f>
        <v>(1.628)</v>
      </c>
      <c r="J12" t="str">
        <f>"(1.633)"</f>
        <v>(1.633)</v>
      </c>
      <c r="K12" t="str">
        <f>"(1.627)"</f>
        <v>(1.627)</v>
      </c>
      <c r="L12" t="str">
        <f>"(1.578)"</f>
        <v>(1.578)</v>
      </c>
    </row>
    <row r="13" spans="1:18" x14ac:dyDescent="0.25">
      <c r="A13" t="str">
        <f>"household income-national rank"</f>
        <v>household income-national rank</v>
      </c>
      <c r="B13" t="str">
        <f>"0.002**"</f>
        <v>0.002**</v>
      </c>
      <c r="C13" t="str">
        <f>"0.001*"</f>
        <v>0.001*</v>
      </c>
      <c r="D13" t="str">
        <f>"0.001*"</f>
        <v>0.001*</v>
      </c>
      <c r="E13" t="str">
        <f t="shared" ref="E13:L13" si="1">"0.001"</f>
        <v>0.001</v>
      </c>
      <c r="F13" t="str">
        <f t="shared" si="1"/>
        <v>0.001</v>
      </c>
      <c r="G13" t="str">
        <f t="shared" si="1"/>
        <v>0.001</v>
      </c>
      <c r="H13" t="str">
        <f t="shared" si="1"/>
        <v>0.001</v>
      </c>
      <c r="I13" t="str">
        <f t="shared" si="1"/>
        <v>0.001</v>
      </c>
      <c r="J13" t="str">
        <f t="shared" si="1"/>
        <v>0.001</v>
      </c>
      <c r="K13" t="str">
        <f t="shared" si="1"/>
        <v>0.001</v>
      </c>
      <c r="L13" t="str">
        <f t="shared" si="1"/>
        <v>0.001</v>
      </c>
    </row>
    <row r="14" spans="1:18" x14ac:dyDescent="0.25">
      <c r="A14" t="str">
        <f>""</f>
        <v/>
      </c>
      <c r="B14" t="str">
        <f>"(3.506)"</f>
        <v>(3.506)</v>
      </c>
      <c r="C14" t="str">
        <f>"(2.543)"</f>
        <v>(2.543)</v>
      </c>
      <c r="D14" t="str">
        <f>"(2.536)"</f>
        <v>(2.536)</v>
      </c>
      <c r="E14" t="str">
        <f>"(1.733)"</f>
        <v>(1.733)</v>
      </c>
      <c r="F14" t="str">
        <f>"(1.731)"</f>
        <v>(1.731)</v>
      </c>
      <c r="G14" t="str">
        <f>"(1.712)"</f>
        <v>(1.712)</v>
      </c>
      <c r="H14" t="str">
        <f>"(1.730)"</f>
        <v>(1.730)</v>
      </c>
      <c r="I14" t="str">
        <f>"(1.724)"</f>
        <v>(1.724)</v>
      </c>
      <c r="J14" t="str">
        <f>"(1.725)"</f>
        <v>(1.725)</v>
      </c>
      <c r="K14" t="str">
        <f>"(1.714)"</f>
        <v>(1.714)</v>
      </c>
      <c r="L14" t="str">
        <f>"(1.713)"</f>
        <v>(1.713)</v>
      </c>
      <c r="N14">
        <v>18</v>
      </c>
      <c r="O14">
        <v>24</v>
      </c>
      <c r="Q14">
        <f>2023-O14</f>
        <v>1999</v>
      </c>
      <c r="R14">
        <f t="shared" ref="R14:R23" si="2">2023-N14</f>
        <v>2005</v>
      </c>
    </row>
    <row r="15" spans="1:18" x14ac:dyDescent="0.25">
      <c r="A15" t="str">
        <f>"Ages 25-34"</f>
        <v>Ages 25-34</v>
      </c>
      <c r="B15" t="str">
        <f>"-0.087*"</f>
        <v>-0.087*</v>
      </c>
      <c r="C15" t="str">
        <f>"-0.048"</f>
        <v>-0.048</v>
      </c>
      <c r="D15" t="str">
        <f>"-0.045"</f>
        <v>-0.045</v>
      </c>
      <c r="E15" t="str">
        <f>"-0.032"</f>
        <v>-0.032</v>
      </c>
      <c r="F15" t="str">
        <f>"-0.032"</f>
        <v>-0.032</v>
      </c>
      <c r="G15" t="str">
        <f>"-0.032"</f>
        <v>-0.032</v>
      </c>
      <c r="H15" t="str">
        <f>"-0.033"</f>
        <v>-0.033</v>
      </c>
      <c r="I15" t="str">
        <f>"-0.032"</f>
        <v>-0.032</v>
      </c>
      <c r="J15" t="str">
        <f>"-0.032"</f>
        <v>-0.032</v>
      </c>
      <c r="K15" t="str">
        <f>"-0.032"</f>
        <v>-0.032</v>
      </c>
      <c r="L15" t="str">
        <f>"-0.033"</f>
        <v>-0.033</v>
      </c>
      <c r="N15">
        <v>25</v>
      </c>
      <c r="O15">
        <v>34</v>
      </c>
      <c r="Q15">
        <f>2023-O15</f>
        <v>1989</v>
      </c>
      <c r="R15">
        <f t="shared" si="2"/>
        <v>1998</v>
      </c>
    </row>
    <row r="16" spans="1:18" x14ac:dyDescent="0.25">
      <c r="A16" t="str">
        <f>""</f>
        <v/>
      </c>
      <c r="B16" t="str">
        <f>"(-1.988)"</f>
        <v>(-1.988)</v>
      </c>
      <c r="C16" t="str">
        <f>"(-1.363)"</f>
        <v>(-1.363)</v>
      </c>
      <c r="D16" t="str">
        <f>"(-1.342)"</f>
        <v>(-1.342)</v>
      </c>
      <c r="E16" t="str">
        <f>"(-1.179)"</f>
        <v>(-1.179)</v>
      </c>
      <c r="F16" t="str">
        <f>"(-1.199)"</f>
        <v>(-1.199)</v>
      </c>
      <c r="G16" t="str">
        <f>"(-1.181)"</f>
        <v>(-1.181)</v>
      </c>
      <c r="H16" t="str">
        <f>"(-1.229)"</f>
        <v>(-1.229)</v>
      </c>
      <c r="I16" t="str">
        <f>"(-1.183)"</f>
        <v>(-1.183)</v>
      </c>
      <c r="J16" t="str">
        <f>"(-1.183)"</f>
        <v>(-1.183)</v>
      </c>
      <c r="K16" t="str">
        <f>"(-1.183)"</f>
        <v>(-1.183)</v>
      </c>
      <c r="L16" t="str">
        <f>"(-1.219)"</f>
        <v>(-1.219)</v>
      </c>
      <c r="N16">
        <v>35</v>
      </c>
      <c r="O16">
        <v>44</v>
      </c>
      <c r="Q16">
        <f t="shared" ref="Q16:Q23" si="3">2023-O16</f>
        <v>1979</v>
      </c>
      <c r="R16">
        <f t="shared" si="2"/>
        <v>1988</v>
      </c>
    </row>
    <row r="17" spans="1:18" x14ac:dyDescent="0.25">
      <c r="A17" t="str">
        <f>"Ages 35-44"</f>
        <v>Ages 35-44</v>
      </c>
      <c r="B17" t="str">
        <f>"-0.079*"</f>
        <v>-0.079*</v>
      </c>
      <c r="C17" t="str">
        <f>"-0.034"</f>
        <v>-0.034</v>
      </c>
      <c r="D17" t="str">
        <f>"-0.031"</f>
        <v>-0.031</v>
      </c>
      <c r="E17" t="str">
        <f>"-0.016"</f>
        <v>-0.016</v>
      </c>
      <c r="F17" t="str">
        <f>"-0.016"</f>
        <v>-0.016</v>
      </c>
      <c r="G17" t="str">
        <f>"-0.016"</f>
        <v>-0.016</v>
      </c>
      <c r="H17" t="str">
        <f>"-0.017"</f>
        <v>-0.017</v>
      </c>
      <c r="I17" t="str">
        <f>"-0.016"</f>
        <v>-0.016</v>
      </c>
      <c r="J17" t="str">
        <f>"-0.016"</f>
        <v>-0.016</v>
      </c>
      <c r="K17" t="str">
        <f>"-0.016"</f>
        <v>-0.016</v>
      </c>
      <c r="L17" t="str">
        <f>"-0.017"</f>
        <v>-0.017</v>
      </c>
      <c r="N17">
        <v>45</v>
      </c>
      <c r="O17">
        <v>54</v>
      </c>
      <c r="Q17">
        <f t="shared" si="3"/>
        <v>1969</v>
      </c>
      <c r="R17">
        <f t="shared" si="2"/>
        <v>1978</v>
      </c>
    </row>
    <row r="18" spans="1:18" x14ac:dyDescent="0.25">
      <c r="A18" t="str">
        <f>""</f>
        <v/>
      </c>
      <c r="B18" t="str">
        <f>"(-2.000)"</f>
        <v>(-2.000)</v>
      </c>
      <c r="C18" t="str">
        <f>"(-1.034)"</f>
        <v>(-1.034)</v>
      </c>
      <c r="D18" t="str">
        <f>"(-0.954)"</f>
        <v>(-0.954)</v>
      </c>
      <c r="E18" t="str">
        <f>"(-0.546)"</f>
        <v>(-0.546)</v>
      </c>
      <c r="F18" t="str">
        <f>"(-0.552)"</f>
        <v>(-0.552)</v>
      </c>
      <c r="G18" t="str">
        <f>"(-0.551)"</f>
        <v>(-0.551)</v>
      </c>
      <c r="H18" t="str">
        <f>"(-0.605)"</f>
        <v>(-0.605)</v>
      </c>
      <c r="I18" t="str">
        <f>"(-0.555)"</f>
        <v>(-0.555)</v>
      </c>
      <c r="J18" t="str">
        <f>"(-0.555)"</f>
        <v>(-0.555)</v>
      </c>
      <c r="K18" t="str">
        <f>"(-0.552)"</f>
        <v>(-0.552)</v>
      </c>
      <c r="L18" t="str">
        <f>"(-0.586)"</f>
        <v>(-0.586)</v>
      </c>
      <c r="Q18">
        <f t="shared" si="3"/>
        <v>2023</v>
      </c>
      <c r="R18">
        <f t="shared" si="2"/>
        <v>2023</v>
      </c>
    </row>
    <row r="19" spans="1:18" x14ac:dyDescent="0.25">
      <c r="A19" t="str">
        <f>"Ages 45-54"</f>
        <v>Ages 45-54</v>
      </c>
      <c r="B19" t="str">
        <f>"-0.042"</f>
        <v>-0.042</v>
      </c>
      <c r="C19" t="str">
        <f>"0.001"</f>
        <v>0.001</v>
      </c>
      <c r="D19" t="str">
        <f>"0.000"</f>
        <v>0.000</v>
      </c>
      <c r="E19" t="str">
        <f>"0.010"</f>
        <v>0.010</v>
      </c>
      <c r="F19" t="str">
        <f>"0.010"</f>
        <v>0.010</v>
      </c>
      <c r="G19" t="str">
        <f>"0.010"</f>
        <v>0.010</v>
      </c>
      <c r="H19" t="str">
        <f>"0.009"</f>
        <v>0.009</v>
      </c>
      <c r="I19" t="str">
        <f>"0.010"</f>
        <v>0.010</v>
      </c>
      <c r="J19" t="str">
        <f>"0.010"</f>
        <v>0.010</v>
      </c>
      <c r="K19" t="str">
        <f>"0.010"</f>
        <v>0.010</v>
      </c>
      <c r="L19" t="str">
        <f>"0.010"</f>
        <v>0.010</v>
      </c>
      <c r="N19">
        <v>45</v>
      </c>
      <c r="O19">
        <v>54</v>
      </c>
      <c r="Q19">
        <f t="shared" si="3"/>
        <v>1969</v>
      </c>
      <c r="R19">
        <f t="shared" si="2"/>
        <v>1978</v>
      </c>
    </row>
    <row r="20" spans="1:18" x14ac:dyDescent="0.25">
      <c r="A20" t="str">
        <f>""</f>
        <v/>
      </c>
      <c r="B20" t="str">
        <f>"(-1.241)"</f>
        <v>(-1.241)</v>
      </c>
      <c r="C20" t="str">
        <f>"(0.055)"</f>
        <v>(0.055)</v>
      </c>
      <c r="D20" t="str">
        <f>"(0.006)"</f>
        <v>(0.006)</v>
      </c>
      <c r="E20" t="str">
        <f>"(0.388)"</f>
        <v>(0.388)</v>
      </c>
      <c r="F20" t="str">
        <f>"(0.386)"</f>
        <v>(0.386)</v>
      </c>
      <c r="G20" t="str">
        <f>"(0.383)"</f>
        <v>(0.383)</v>
      </c>
      <c r="H20" t="str">
        <f>"(0.354)"</f>
        <v>(0.354)</v>
      </c>
      <c r="I20" t="str">
        <f>"(0.377)"</f>
        <v>(0.377)</v>
      </c>
      <c r="J20" t="str">
        <f>"(0.377)"</f>
        <v>(0.377)</v>
      </c>
      <c r="K20" t="str">
        <f>"(0.381)"</f>
        <v>(0.381)</v>
      </c>
      <c r="L20" t="str">
        <f>"(0.374)"</f>
        <v>(0.374)</v>
      </c>
      <c r="Q20">
        <f t="shared" si="3"/>
        <v>2023</v>
      </c>
      <c r="R20">
        <f t="shared" si="2"/>
        <v>2023</v>
      </c>
    </row>
    <row r="21" spans="1:18" x14ac:dyDescent="0.25">
      <c r="A21" t="str">
        <f>"Ages 55-64"</f>
        <v>Ages 55-64</v>
      </c>
      <c r="B21" t="str">
        <f>"0.038"</f>
        <v>0.038</v>
      </c>
      <c r="C21" t="str">
        <f>"0.054"</f>
        <v>0.054</v>
      </c>
      <c r="D21" t="str">
        <f>"0.046"</f>
        <v>0.046</v>
      </c>
      <c r="E21" t="str">
        <f>"0.047"</f>
        <v>0.047</v>
      </c>
      <c r="F21" t="str">
        <f>"0.047"</f>
        <v>0.047</v>
      </c>
      <c r="G21" t="str">
        <f>"0.046"</f>
        <v>0.046</v>
      </c>
      <c r="H21" t="str">
        <f>"0.046"</f>
        <v>0.046</v>
      </c>
      <c r="I21" t="str">
        <f>"0.046"</f>
        <v>0.046</v>
      </c>
      <c r="J21" t="str">
        <f>"0.046"</f>
        <v>0.046</v>
      </c>
      <c r="K21" t="str">
        <f>"0.046"</f>
        <v>0.046</v>
      </c>
      <c r="L21" t="str">
        <f>"0.047"</f>
        <v>0.047</v>
      </c>
      <c r="Q21">
        <f t="shared" si="3"/>
        <v>2023</v>
      </c>
      <c r="R21">
        <f t="shared" si="2"/>
        <v>2023</v>
      </c>
    </row>
    <row r="22" spans="1:18" x14ac:dyDescent="0.25">
      <c r="A22" t="str">
        <f>""</f>
        <v/>
      </c>
      <c r="B22" t="str">
        <f>"(0.990)"</f>
        <v>(0.990)</v>
      </c>
      <c r="C22" t="str">
        <f>"(1.597)"</f>
        <v>(1.597)</v>
      </c>
      <c r="D22" t="str">
        <f>"(1.390)"</f>
        <v>(1.390)</v>
      </c>
      <c r="E22" t="str">
        <f>"(1.497)"</f>
        <v>(1.497)</v>
      </c>
      <c r="F22" t="str">
        <f>"(1.496)"</f>
        <v>(1.496)</v>
      </c>
      <c r="G22" t="str">
        <f>"(1.493)"</f>
        <v>(1.493)</v>
      </c>
      <c r="H22" t="str">
        <f>"(1.486)"</f>
        <v>(1.486)</v>
      </c>
      <c r="I22" t="str">
        <f>"(1.488)"</f>
        <v>(1.488)</v>
      </c>
      <c r="J22" t="str">
        <f>"(1.495)"</f>
        <v>(1.495)</v>
      </c>
      <c r="K22" t="str">
        <f>"(1.492)"</f>
        <v>(1.492)</v>
      </c>
      <c r="L22" t="str">
        <f>"(1.498)"</f>
        <v>(1.498)</v>
      </c>
      <c r="Q22">
        <f t="shared" si="3"/>
        <v>2023</v>
      </c>
      <c r="R22">
        <f t="shared" si="2"/>
        <v>2023</v>
      </c>
    </row>
    <row r="23" spans="1:18" x14ac:dyDescent="0.25">
      <c r="A23" t="str">
        <f>"Ages 65-74"</f>
        <v>Ages 65-74</v>
      </c>
      <c r="B23" t="str">
        <f>"0.147**"</f>
        <v>0.147**</v>
      </c>
      <c r="C23" t="str">
        <f>"0.136**"</f>
        <v>0.136**</v>
      </c>
      <c r="D23" t="str">
        <f>"0.122**"</f>
        <v>0.122**</v>
      </c>
      <c r="E23" t="str">
        <f>"0.115**"</f>
        <v>0.115**</v>
      </c>
      <c r="F23" t="str">
        <f>"0.115**"</f>
        <v>0.115**</v>
      </c>
      <c r="G23" t="str">
        <f>"0.115**"</f>
        <v>0.115**</v>
      </c>
      <c r="H23" t="str">
        <f>"0.116**"</f>
        <v>0.116**</v>
      </c>
      <c r="I23" t="str">
        <f>"0.115**"</f>
        <v>0.115**</v>
      </c>
      <c r="J23" t="str">
        <f>"0.115**"</f>
        <v>0.115**</v>
      </c>
      <c r="K23" t="str">
        <f>"0.115**"</f>
        <v>0.115**</v>
      </c>
      <c r="L23" t="str">
        <f>"0.116**"</f>
        <v>0.116**</v>
      </c>
      <c r="N23">
        <v>65</v>
      </c>
      <c r="O23">
        <v>74</v>
      </c>
      <c r="Q23">
        <f t="shared" si="3"/>
        <v>1949</v>
      </c>
      <c r="R23">
        <f t="shared" si="2"/>
        <v>1958</v>
      </c>
    </row>
    <row r="24" spans="1:18" x14ac:dyDescent="0.25">
      <c r="A24" t="str">
        <f>""</f>
        <v/>
      </c>
      <c r="B24" t="str">
        <f>"(3.457)"</f>
        <v>(3.457)</v>
      </c>
      <c r="C24" t="str">
        <f>"(4.388)"</f>
        <v>(4.388)</v>
      </c>
      <c r="D24" t="str">
        <f>"(4.021)"</f>
        <v>(4.021)</v>
      </c>
      <c r="E24" t="str">
        <f>"(3.669)"</f>
        <v>(3.669)</v>
      </c>
      <c r="F24" t="str">
        <f>"(3.662)"</f>
        <v>(3.662)</v>
      </c>
      <c r="G24" t="str">
        <f>"(3.656)"</f>
        <v>(3.656)</v>
      </c>
      <c r="H24" t="str">
        <f>"(3.642)"</f>
        <v>(3.642)</v>
      </c>
      <c r="I24" t="str">
        <f>"(3.664)"</f>
        <v>(3.664)</v>
      </c>
      <c r="J24" t="str">
        <f>"(3.673)"</f>
        <v>(3.673)</v>
      </c>
      <c r="K24" t="str">
        <f>"(3.662)"</f>
        <v>(3.662)</v>
      </c>
      <c r="L24" t="str">
        <f>"(3.671)"</f>
        <v>(3.671)</v>
      </c>
    </row>
    <row r="25" spans="1:18" x14ac:dyDescent="0.25">
      <c r="A25" t="str">
        <f>"Ages 75 and older"</f>
        <v>Ages 75 and older</v>
      </c>
      <c r="B25" t="str">
        <f>"0.283**"</f>
        <v>0.283**</v>
      </c>
      <c r="C25" t="str">
        <f>"0.231**"</f>
        <v>0.231**</v>
      </c>
      <c r="D25" t="str">
        <f>"0.209**"</f>
        <v>0.209**</v>
      </c>
      <c r="E25" t="str">
        <f>"0.187**"</f>
        <v>0.187**</v>
      </c>
      <c r="F25" t="str">
        <f>"0.187**"</f>
        <v>0.187**</v>
      </c>
      <c r="G25" t="str">
        <f>"0.187**"</f>
        <v>0.187**</v>
      </c>
      <c r="H25" t="str">
        <f>"0.191**"</f>
        <v>0.191**</v>
      </c>
      <c r="I25" t="str">
        <f>"0.187**"</f>
        <v>0.187**</v>
      </c>
      <c r="J25" t="str">
        <f>"0.187**"</f>
        <v>0.187**</v>
      </c>
      <c r="K25" t="str">
        <f>"0.187**"</f>
        <v>0.187**</v>
      </c>
      <c r="L25" t="str">
        <f>"0.190**"</f>
        <v>0.190**</v>
      </c>
    </row>
    <row r="26" spans="1:18" x14ac:dyDescent="0.25">
      <c r="A26" t="str">
        <f>""</f>
        <v/>
      </c>
      <c r="B26" t="str">
        <f>"(5.909)"</f>
        <v>(5.909)</v>
      </c>
      <c r="C26" t="str">
        <f>"(5.591)"</f>
        <v>(5.591)</v>
      </c>
      <c r="D26" t="str">
        <f>"(5.167)"</f>
        <v>(5.167)</v>
      </c>
      <c r="E26" t="str">
        <f>"(4.536)"</f>
        <v>(4.536)</v>
      </c>
      <c r="F26" t="str">
        <f>"(4.515)"</f>
        <v>(4.515)</v>
      </c>
      <c r="G26" t="str">
        <f>"(4.522)"</f>
        <v>(4.522)</v>
      </c>
      <c r="H26" t="str">
        <f>"(4.552)"</f>
        <v>(4.552)</v>
      </c>
      <c r="I26" t="str">
        <f>"(4.527)"</f>
        <v>(4.527)</v>
      </c>
      <c r="J26" t="str">
        <f>"(4.504)"</f>
        <v>(4.504)</v>
      </c>
      <c r="K26" t="str">
        <f>"(4.527)"</f>
        <v>(4.527)</v>
      </c>
      <c r="L26" t="str">
        <f>"(4.558)"</f>
        <v>(4.558)</v>
      </c>
    </row>
    <row r="27" spans="1:18" x14ac:dyDescent="0.25">
      <c r="A27" t="str">
        <f>"Born in another country"</f>
        <v>Born in another country</v>
      </c>
      <c r="B27" t="str">
        <f>"-0.072"</f>
        <v>-0.072</v>
      </c>
      <c r="C27" t="str">
        <f>"-0.041"</f>
        <v>-0.041</v>
      </c>
      <c r="D27" t="str">
        <f>"-0.048"</f>
        <v>-0.048</v>
      </c>
      <c r="E27" t="str">
        <f>"-0.053"</f>
        <v>-0.053</v>
      </c>
      <c r="F27" t="str">
        <f>"-0.053"</f>
        <v>-0.053</v>
      </c>
      <c r="G27" t="str">
        <f>"-0.053"</f>
        <v>-0.053</v>
      </c>
      <c r="H27" t="str">
        <f>"-0.051"</f>
        <v>-0.051</v>
      </c>
      <c r="I27" t="str">
        <f>"-0.053"</f>
        <v>-0.053</v>
      </c>
      <c r="J27" t="str">
        <f>"-0.054"</f>
        <v>-0.054</v>
      </c>
      <c r="K27" t="str">
        <f>"-0.053"</f>
        <v>-0.053</v>
      </c>
      <c r="L27" t="str">
        <f>"-0.051"</f>
        <v>-0.051</v>
      </c>
    </row>
    <row r="28" spans="1:18" x14ac:dyDescent="0.25">
      <c r="A28" t="str">
        <f>""</f>
        <v/>
      </c>
      <c r="B28" t="str">
        <f>"(-1.262)"</f>
        <v>(-1.262)</v>
      </c>
      <c r="C28" t="str">
        <f>"(-0.915)"</f>
        <v>(-0.915)</v>
      </c>
      <c r="D28" t="str">
        <f>"(-0.996)"</f>
        <v>(-0.996)</v>
      </c>
      <c r="E28" t="str">
        <f>"(-1.121)"</f>
        <v>(-1.121)</v>
      </c>
      <c r="F28" t="str">
        <f>"(-1.124)"</f>
        <v>(-1.124)</v>
      </c>
      <c r="G28" t="str">
        <f>"(-1.123)"</f>
        <v>(-1.123)</v>
      </c>
      <c r="H28" t="str">
        <f>"(-1.075)"</f>
        <v>(-1.075)</v>
      </c>
      <c r="I28" t="str">
        <f>"(-1.128)"</f>
        <v>(-1.128)</v>
      </c>
      <c r="J28" t="str">
        <f>"(-1.143)"</f>
        <v>(-1.143)</v>
      </c>
      <c r="K28" t="str">
        <f>"(-1.124)"</f>
        <v>(-1.124)</v>
      </c>
      <c r="L28" t="str">
        <f>"(-1.099)"</f>
        <v>(-1.099)</v>
      </c>
    </row>
    <row r="29" spans="1:18" x14ac:dyDescent="0.25">
      <c r="A29" t="str">
        <f>"Currently working for pay"</f>
        <v>Currently working for pay</v>
      </c>
      <c r="B29" t="str">
        <f>"0.020"</f>
        <v>0.020</v>
      </c>
      <c r="C29" t="str">
        <f>"0.016"</f>
        <v>0.016</v>
      </c>
      <c r="D29" t="str">
        <f>"0.016"</f>
        <v>0.016</v>
      </c>
      <c r="E29" t="str">
        <f t="shared" ref="E29:L29" si="4">"0.014"</f>
        <v>0.014</v>
      </c>
      <c r="F29" t="str">
        <f t="shared" si="4"/>
        <v>0.014</v>
      </c>
      <c r="G29" t="str">
        <f t="shared" si="4"/>
        <v>0.014</v>
      </c>
      <c r="H29" t="str">
        <f t="shared" si="4"/>
        <v>0.014</v>
      </c>
      <c r="I29" t="str">
        <f t="shared" si="4"/>
        <v>0.014</v>
      </c>
      <c r="J29" t="str">
        <f t="shared" si="4"/>
        <v>0.014</v>
      </c>
      <c r="K29" t="str">
        <f t="shared" si="4"/>
        <v>0.014</v>
      </c>
      <c r="L29" t="str">
        <f t="shared" si="4"/>
        <v>0.014</v>
      </c>
    </row>
    <row r="30" spans="1:18" x14ac:dyDescent="0.25">
      <c r="A30" t="str">
        <f>""</f>
        <v/>
      </c>
      <c r="B30" t="str">
        <f>"(0.839)"</f>
        <v>(0.839)</v>
      </c>
      <c r="C30" t="str">
        <f>"(0.881)"</f>
        <v>(0.881)</v>
      </c>
      <c r="D30" t="str">
        <f>"(0.866)"</f>
        <v>(0.866)</v>
      </c>
      <c r="E30" t="str">
        <f>"(0.774)"</f>
        <v>(0.774)</v>
      </c>
      <c r="F30" t="str">
        <f>"(0.771)"</f>
        <v>(0.771)</v>
      </c>
      <c r="G30" t="str">
        <f>"(0.781)"</f>
        <v>(0.781)</v>
      </c>
      <c r="H30" t="str">
        <f>"(0.766)"</f>
        <v>(0.766)</v>
      </c>
      <c r="I30" t="str">
        <f>"(0.778)"</f>
        <v>(0.778)</v>
      </c>
      <c r="J30" t="str">
        <f>"(0.781)"</f>
        <v>(0.781)</v>
      </c>
      <c r="K30" t="str">
        <f>"(0.780)"</f>
        <v>(0.780)</v>
      </c>
      <c r="L30" t="str">
        <f>"(0.752)"</f>
        <v>(0.752)</v>
      </c>
    </row>
    <row r="31" spans="1:18" x14ac:dyDescent="0.25">
      <c r="A31" t="str">
        <f>"Never married"</f>
        <v>Never married</v>
      </c>
      <c r="B31" t="str">
        <f>"0.021"</f>
        <v>0.021</v>
      </c>
      <c r="C31" t="str">
        <f>"-0.008"</f>
        <v>-0.008</v>
      </c>
      <c r="D31" t="str">
        <f>"-0.008"</f>
        <v>-0.008</v>
      </c>
      <c r="E31" t="str">
        <f>"-0.010"</f>
        <v>-0.010</v>
      </c>
      <c r="F31" t="str">
        <f>"-0.010"</f>
        <v>-0.010</v>
      </c>
      <c r="G31" t="str">
        <f>"-0.010"</f>
        <v>-0.010</v>
      </c>
      <c r="H31" t="str">
        <f>"-0.011"</f>
        <v>-0.011</v>
      </c>
      <c r="I31" t="str">
        <f>"-0.010"</f>
        <v>-0.010</v>
      </c>
      <c r="J31" t="str">
        <f>"-0.010"</f>
        <v>-0.010</v>
      </c>
      <c r="K31" t="str">
        <f>"-0.010"</f>
        <v>-0.010</v>
      </c>
      <c r="L31" t="str">
        <f>"-0.011"</f>
        <v>-0.011</v>
      </c>
    </row>
    <row r="32" spans="1:18" x14ac:dyDescent="0.25">
      <c r="A32" t="str">
        <f>""</f>
        <v/>
      </c>
      <c r="B32" t="str">
        <f>"(1.383)"</f>
        <v>(1.383)</v>
      </c>
      <c r="C32" t="str">
        <f>"(-0.553)"</f>
        <v>(-0.553)</v>
      </c>
      <c r="D32" t="str">
        <f>"(-0.544)"</f>
        <v>(-0.544)</v>
      </c>
      <c r="E32" t="str">
        <f>"(-0.793)"</f>
        <v>(-0.793)</v>
      </c>
      <c r="F32" t="str">
        <f>"(-0.801)"</f>
        <v>(-0.801)</v>
      </c>
      <c r="G32" t="str">
        <f>"(-0.778)"</f>
        <v>(-0.778)</v>
      </c>
      <c r="H32" t="str">
        <f>"(-0.890)"</f>
        <v>(-0.890)</v>
      </c>
      <c r="I32" t="str">
        <f>"(-0.788)"</f>
        <v>(-0.788)</v>
      </c>
      <c r="J32" t="str">
        <f>"(-0.788)"</f>
        <v>(-0.788)</v>
      </c>
      <c r="K32" t="str">
        <f>"(-0.790)"</f>
        <v>(-0.790)</v>
      </c>
      <c r="L32" t="str">
        <f>"(-0.830)"</f>
        <v>(-0.830)</v>
      </c>
    </row>
    <row r="33" spans="1:12" x14ac:dyDescent="0.25">
      <c r="A33" t="str">
        <f>"Married"</f>
        <v>Married</v>
      </c>
      <c r="B33" t="str">
        <f>"0.109**"</f>
        <v>0.109**</v>
      </c>
      <c r="C33" t="str">
        <f>"0.062**"</f>
        <v>0.062**</v>
      </c>
      <c r="D33" t="str">
        <f>"0.056*"</f>
        <v>0.056*</v>
      </c>
      <c r="E33" t="str">
        <f>"0.042*"</f>
        <v>0.042*</v>
      </c>
      <c r="F33" t="str">
        <f>"0.042*"</f>
        <v>0.042*</v>
      </c>
      <c r="G33" t="str">
        <f>"0.042*"</f>
        <v>0.042*</v>
      </c>
      <c r="H33" t="str">
        <f>"0.043*"</f>
        <v>0.043*</v>
      </c>
      <c r="I33" t="str">
        <f>"0.042*"</f>
        <v>0.042*</v>
      </c>
      <c r="J33" t="str">
        <f>"0.042*"</f>
        <v>0.042*</v>
      </c>
      <c r="K33" t="str">
        <f>"0.042*"</f>
        <v>0.042*</v>
      </c>
      <c r="L33" t="str">
        <f>"0.043*"</f>
        <v>0.043*</v>
      </c>
    </row>
    <row r="34" spans="1:12" x14ac:dyDescent="0.25">
      <c r="A34" t="str">
        <f>""</f>
        <v/>
      </c>
      <c r="B34" t="str">
        <f>"(3.389)"</f>
        <v>(3.389)</v>
      </c>
      <c r="C34" t="str">
        <f>"(2.823)"</f>
        <v>(2.823)</v>
      </c>
      <c r="D34" t="str">
        <f>"(2.479)"</f>
        <v>(2.479)</v>
      </c>
      <c r="E34" t="str">
        <f>"(2.163)"</f>
        <v>(2.163)</v>
      </c>
      <c r="F34" t="str">
        <f>"(2.170)"</f>
        <v>(2.170)</v>
      </c>
      <c r="G34" t="str">
        <f>"(2.169)"</f>
        <v>(2.169)</v>
      </c>
      <c r="H34" t="str">
        <f>"(2.224)"</f>
        <v>(2.224)</v>
      </c>
      <c r="I34" t="str">
        <f>"(2.163)"</f>
        <v>(2.163)</v>
      </c>
      <c r="J34" t="str">
        <f>"(2.166)"</f>
        <v>(2.166)</v>
      </c>
      <c r="K34" t="str">
        <f>"(2.165)"</f>
        <v>(2.165)</v>
      </c>
      <c r="L34" t="str">
        <f>"(2.219)"</f>
        <v>(2.219)</v>
      </c>
    </row>
    <row r="35" spans="1:12" x14ac:dyDescent="0.25">
      <c r="A35" t="str">
        <f>"Live alone"</f>
        <v>Live alone</v>
      </c>
      <c r="B35" t="str">
        <f>"-0.018"</f>
        <v>-0.018</v>
      </c>
      <c r="C35" t="str">
        <f>"-0.037*"</f>
        <v>-0.037*</v>
      </c>
      <c r="D35" t="str">
        <f>"-0.039*"</f>
        <v>-0.039*</v>
      </c>
      <c r="E35" t="str">
        <f t="shared" ref="E35:L35" si="5">"-0.043**"</f>
        <v>-0.043**</v>
      </c>
      <c r="F35" t="str">
        <f t="shared" si="5"/>
        <v>-0.043**</v>
      </c>
      <c r="G35" t="str">
        <f t="shared" si="5"/>
        <v>-0.043**</v>
      </c>
      <c r="H35" t="str">
        <f t="shared" si="5"/>
        <v>-0.043**</v>
      </c>
      <c r="I35" t="str">
        <f t="shared" si="5"/>
        <v>-0.043**</v>
      </c>
      <c r="J35" t="str">
        <f t="shared" si="5"/>
        <v>-0.043**</v>
      </c>
      <c r="K35" t="str">
        <f t="shared" si="5"/>
        <v>-0.043**</v>
      </c>
      <c r="L35" t="str">
        <f t="shared" si="5"/>
        <v>-0.043**</v>
      </c>
    </row>
    <row r="36" spans="1:12" x14ac:dyDescent="0.25">
      <c r="A36" t="str">
        <f>""</f>
        <v/>
      </c>
      <c r="B36" t="str">
        <f>"(-0.585)"</f>
        <v>(-0.585)</v>
      </c>
      <c r="C36" t="str">
        <f>"(-2.039)"</f>
        <v>(-2.039)</v>
      </c>
      <c r="D36" t="str">
        <f>"(-2.161)"</f>
        <v>(-2.161)</v>
      </c>
      <c r="E36" t="str">
        <f>"(-2.829)"</f>
        <v>(-2.829)</v>
      </c>
      <c r="F36" t="str">
        <f>"(-2.847)"</f>
        <v>(-2.847)</v>
      </c>
      <c r="G36" t="str">
        <f>"(-2.826)"</f>
        <v>(-2.826)</v>
      </c>
      <c r="H36" t="str">
        <f>"(-2.846)"</f>
        <v>(-2.846)</v>
      </c>
      <c r="I36" t="str">
        <f>"(-2.826)"</f>
        <v>(-2.826)</v>
      </c>
      <c r="J36" t="str">
        <f>"(-2.826)"</f>
        <v>(-2.826)</v>
      </c>
      <c r="K36" t="str">
        <f>"(-2.827)"</f>
        <v>(-2.827)</v>
      </c>
      <c r="L36" t="str">
        <f>"(-2.842)"</f>
        <v>(-2.842)</v>
      </c>
    </row>
    <row r="37" spans="1:12" x14ac:dyDescent="0.25">
      <c r="A37" t="str">
        <f>"Do not have children"</f>
        <v>Do not have children</v>
      </c>
      <c r="B37" t="str">
        <f>"0.054*"</f>
        <v>0.054*</v>
      </c>
      <c r="C37" t="str">
        <f>"0.030"</f>
        <v>0.030</v>
      </c>
      <c r="D37" t="str">
        <f>"0.036"</f>
        <v>0.036</v>
      </c>
      <c r="E37" t="str">
        <f>"0.043*"</f>
        <v>0.043*</v>
      </c>
      <c r="F37" t="str">
        <f>"0.043*"</f>
        <v>0.043*</v>
      </c>
      <c r="G37" t="str">
        <f>"0.043*"</f>
        <v>0.043*</v>
      </c>
      <c r="H37" t="str">
        <f>"0.042*"</f>
        <v>0.042*</v>
      </c>
      <c r="I37" t="str">
        <f>"0.043*"</f>
        <v>0.043*</v>
      </c>
      <c r="J37" t="str">
        <f>"0.043*"</f>
        <v>0.043*</v>
      </c>
      <c r="K37" t="str">
        <f>"0.043*"</f>
        <v>0.043*</v>
      </c>
      <c r="L37" t="str">
        <f>"0.042*"</f>
        <v>0.042*</v>
      </c>
    </row>
    <row r="38" spans="1:12" x14ac:dyDescent="0.25">
      <c r="A38" t="str">
        <f>""</f>
        <v/>
      </c>
      <c r="B38" t="str">
        <f>"(2.223)"</f>
        <v>(2.223)</v>
      </c>
      <c r="C38" t="str">
        <f>"(1.650)"</f>
        <v>(1.650)</v>
      </c>
      <c r="D38" t="str">
        <f>"(1.912)"</f>
        <v>(1.912)</v>
      </c>
      <c r="E38" t="str">
        <f>"(2.054)"</f>
        <v>(2.054)</v>
      </c>
      <c r="F38" t="str">
        <f>"(2.039)"</f>
        <v>(2.039)</v>
      </c>
      <c r="G38" t="str">
        <f>"(2.046)"</f>
        <v>(2.046)</v>
      </c>
      <c r="H38" t="str">
        <f>"(2.012)"</f>
        <v>(2.012)</v>
      </c>
      <c r="I38" t="str">
        <f>"(2.037)"</f>
        <v>(2.037)</v>
      </c>
      <c r="J38" t="str">
        <f>"(2.034)"</f>
        <v>(2.034)</v>
      </c>
      <c r="K38" t="str">
        <f>"(2.044)"</f>
        <v>(2.044)</v>
      </c>
      <c r="L38" t="str">
        <f>"(2.022)"</f>
        <v>(2.022)</v>
      </c>
    </row>
    <row r="39" spans="1:12" x14ac:dyDescent="0.25">
      <c r="A39" t="str">
        <f>"Has one child"</f>
        <v>Has one child</v>
      </c>
      <c r="B39" t="str">
        <f>"0.010"</f>
        <v>0.010</v>
      </c>
      <c r="C39" t="str">
        <f>"-0.002"</f>
        <v>-0.002</v>
      </c>
      <c r="D39" t="str">
        <f>"0.001"</f>
        <v>0.001</v>
      </c>
      <c r="E39" t="str">
        <f t="shared" ref="E39:L39" si="6">"0.005"</f>
        <v>0.005</v>
      </c>
      <c r="F39" t="str">
        <f t="shared" si="6"/>
        <v>0.005</v>
      </c>
      <c r="G39" t="str">
        <f t="shared" si="6"/>
        <v>0.005</v>
      </c>
      <c r="H39" t="str">
        <f t="shared" si="6"/>
        <v>0.005</v>
      </c>
      <c r="I39" t="str">
        <f t="shared" si="6"/>
        <v>0.005</v>
      </c>
      <c r="J39" t="str">
        <f t="shared" si="6"/>
        <v>0.005</v>
      </c>
      <c r="K39" t="str">
        <f t="shared" si="6"/>
        <v>0.005</v>
      </c>
      <c r="L39" t="str">
        <f t="shared" si="6"/>
        <v>0.005</v>
      </c>
    </row>
    <row r="40" spans="1:12" x14ac:dyDescent="0.25">
      <c r="A40" t="str">
        <f>""</f>
        <v/>
      </c>
      <c r="B40" t="str">
        <f>"(0.459)"</f>
        <v>(0.459)</v>
      </c>
      <c r="C40" t="str">
        <f>"(-0.094)"</f>
        <v>(-0.094)</v>
      </c>
      <c r="D40" t="str">
        <f>"(0.077)"</f>
        <v>(0.077)</v>
      </c>
      <c r="E40" t="str">
        <f>"(0.281)"</f>
        <v>(0.281)</v>
      </c>
      <c r="F40" t="str">
        <f>"(0.276)"</f>
        <v>(0.276)</v>
      </c>
      <c r="G40" t="str">
        <f>"(0.270)"</f>
        <v>(0.270)</v>
      </c>
      <c r="H40" t="str">
        <f>"(0.243)"</f>
        <v>(0.243)</v>
      </c>
      <c r="I40" t="str">
        <f>"(0.265)"</f>
        <v>(0.265)</v>
      </c>
      <c r="J40" t="str">
        <f>"(0.268)"</f>
        <v>(0.268)</v>
      </c>
      <c r="K40" t="str">
        <f>"(0.270)"</f>
        <v>(0.270)</v>
      </c>
      <c r="L40" t="str">
        <f>"(0.244)"</f>
        <v>(0.244)</v>
      </c>
    </row>
    <row r="41" spans="1:12" x14ac:dyDescent="0.25">
      <c r="A41" t="str">
        <f>"Has two children"</f>
        <v>Has two children</v>
      </c>
      <c r="B41" t="str">
        <f>"0.002"</f>
        <v>0.002</v>
      </c>
      <c r="C41" t="str">
        <f>"-0.014"</f>
        <v>-0.014</v>
      </c>
      <c r="D41" t="str">
        <f>"-0.012"</f>
        <v>-0.012</v>
      </c>
      <c r="E41" t="str">
        <f>"-0.010"</f>
        <v>-0.010</v>
      </c>
      <c r="F41" t="str">
        <f>"-0.010"</f>
        <v>-0.010</v>
      </c>
      <c r="G41" t="str">
        <f>"-0.010"</f>
        <v>-0.010</v>
      </c>
      <c r="H41" t="str">
        <f>"-0.011"</f>
        <v>-0.011</v>
      </c>
      <c r="I41" t="str">
        <f>"-0.010"</f>
        <v>-0.010</v>
      </c>
      <c r="J41" t="str">
        <f>"-0.010"</f>
        <v>-0.010</v>
      </c>
      <c r="K41" t="str">
        <f>"-0.010"</f>
        <v>-0.010</v>
      </c>
      <c r="L41" t="str">
        <f>"-0.010"</f>
        <v>-0.010</v>
      </c>
    </row>
    <row r="42" spans="1:12" x14ac:dyDescent="0.25">
      <c r="A42" t="str">
        <f>""</f>
        <v/>
      </c>
      <c r="B42" t="str">
        <f>"(0.143)"</f>
        <v>(0.143)</v>
      </c>
      <c r="C42" t="str">
        <f>"(-0.876)"</f>
        <v>(-0.876)</v>
      </c>
      <c r="D42" t="str">
        <f>"(-0.752)"</f>
        <v>(-0.752)</v>
      </c>
      <c r="E42" t="str">
        <f>"(-0.627)"</f>
        <v>(-0.627)</v>
      </c>
      <c r="F42" t="str">
        <f>"(-0.638)"</f>
        <v>(-0.638)</v>
      </c>
      <c r="G42" t="str">
        <f>"(-0.638)"</f>
        <v>(-0.638)</v>
      </c>
      <c r="H42" t="str">
        <f>"(-0.684)"</f>
        <v>(-0.684)</v>
      </c>
      <c r="I42" t="str">
        <f>"(-0.642)"</f>
        <v>(-0.642)</v>
      </c>
      <c r="J42" t="str">
        <f>"(-0.647)"</f>
        <v>(-0.647)</v>
      </c>
      <c r="K42" t="str">
        <f>"(-0.636)"</f>
        <v>(-0.636)</v>
      </c>
      <c r="L42" t="str">
        <f>"(-0.659)"</f>
        <v>(-0.659)</v>
      </c>
    </row>
    <row r="43" spans="1:12" x14ac:dyDescent="0.25">
      <c r="A43" t="str">
        <f>"Live in rural area"</f>
        <v>Live in rural area</v>
      </c>
      <c r="B43" t="str">
        <f>"0.051*"</f>
        <v>0.051*</v>
      </c>
      <c r="C43" t="str">
        <f>"0.052**"</f>
        <v>0.052**</v>
      </c>
      <c r="D43" t="str">
        <f>"0.051**"</f>
        <v>0.051**</v>
      </c>
      <c r="E43" t="str">
        <f>"0.041*"</f>
        <v>0.041*</v>
      </c>
      <c r="F43" t="str">
        <f>"0.042*"</f>
        <v>0.042*</v>
      </c>
      <c r="G43" t="str">
        <f>"0.042*"</f>
        <v>0.042*</v>
      </c>
      <c r="H43" t="str">
        <f>"0.043*"</f>
        <v>0.043*</v>
      </c>
      <c r="I43" t="str">
        <f>"0.042*"</f>
        <v>0.042*</v>
      </c>
      <c r="J43" t="str">
        <f>"0.041*"</f>
        <v>0.041*</v>
      </c>
      <c r="K43" t="str">
        <f>"0.042*"</f>
        <v>0.042*</v>
      </c>
      <c r="L43" t="str">
        <f>"0.043*"</f>
        <v>0.043*</v>
      </c>
    </row>
    <row r="44" spans="1:12" x14ac:dyDescent="0.25">
      <c r="A44" t="str">
        <f>""</f>
        <v/>
      </c>
      <c r="B44" t="str">
        <f>"(1.988)"</f>
        <v>(1.988)</v>
      </c>
      <c r="C44" t="str">
        <f>"(2.768)"</f>
        <v>(2.768)</v>
      </c>
      <c r="D44" t="str">
        <f>"(2.757)"</f>
        <v>(2.757)</v>
      </c>
      <c r="E44" t="str">
        <f>"(2.437)"</f>
        <v>(2.437)</v>
      </c>
      <c r="F44" t="str">
        <f>"(2.445)"</f>
        <v>(2.445)</v>
      </c>
      <c r="G44" t="str">
        <f>"(2.448)"</f>
        <v>(2.448)</v>
      </c>
      <c r="H44" t="str">
        <f>"(2.562)"</f>
        <v>(2.562)</v>
      </c>
      <c r="I44" t="str">
        <f>"(2.450)"</f>
        <v>(2.450)</v>
      </c>
      <c r="J44" t="str">
        <f>"(2.476)"</f>
        <v>(2.476)</v>
      </c>
      <c r="K44" t="str">
        <f>"(2.448)"</f>
        <v>(2.448)</v>
      </c>
      <c r="L44" t="str">
        <f>"(2.518)"</f>
        <v>(2.518)</v>
      </c>
    </row>
    <row r="45" spans="1:12" x14ac:dyDescent="0.25">
      <c r="A45" t="str">
        <f>"Live in village or small town"</f>
        <v>Live in village or small town</v>
      </c>
      <c r="B45" t="str">
        <f>"0.031"</f>
        <v>0.031</v>
      </c>
      <c r="C45" t="str">
        <f>"0.033*"</f>
        <v>0.033*</v>
      </c>
      <c r="D45" t="str">
        <f>"0.030*"</f>
        <v>0.030*</v>
      </c>
      <c r="E45" t="str">
        <f>"0.025"</f>
        <v>0.025</v>
      </c>
      <c r="F45" t="str">
        <f>"0.025"</f>
        <v>0.025</v>
      </c>
      <c r="G45" t="str">
        <f>"0.025"</f>
        <v>0.025</v>
      </c>
      <c r="H45" t="str">
        <f>"0.024"</f>
        <v>0.024</v>
      </c>
      <c r="I45" t="str">
        <f>"0.025"</f>
        <v>0.025</v>
      </c>
      <c r="J45" t="str">
        <f>"0.025"</f>
        <v>0.025</v>
      </c>
      <c r="K45" t="str">
        <f>"0.025"</f>
        <v>0.025</v>
      </c>
      <c r="L45" t="str">
        <f>"0.025"</f>
        <v>0.025</v>
      </c>
    </row>
    <row r="46" spans="1:12" x14ac:dyDescent="0.25">
      <c r="A46" t="str">
        <f>""</f>
        <v/>
      </c>
      <c r="B46" t="str">
        <f>"(1.642)"</f>
        <v>(1.642)</v>
      </c>
      <c r="C46" t="str">
        <f>"(2.129)"</f>
        <v>(2.129)</v>
      </c>
      <c r="D46" t="str">
        <f>"(2.003)"</f>
        <v>(2.003)</v>
      </c>
      <c r="E46" t="str">
        <f>"(1.725)"</f>
        <v>(1.725)</v>
      </c>
      <c r="F46" t="str">
        <f>"(1.724)"</f>
        <v>(1.724)</v>
      </c>
      <c r="G46" t="str">
        <f>"(1.736)"</f>
        <v>(1.736)</v>
      </c>
      <c r="H46" t="str">
        <f>"(1.691)"</f>
        <v>(1.691)</v>
      </c>
      <c r="I46" t="str">
        <f>"(1.732)"</f>
        <v>(1.732)</v>
      </c>
      <c r="J46" t="str">
        <f>"(1.732)"</f>
        <v>(1.732)</v>
      </c>
      <c r="K46" t="str">
        <f>"(1.734)"</f>
        <v>(1.734)</v>
      </c>
      <c r="L46" t="str">
        <f>"(1.728)"</f>
        <v>(1.728)</v>
      </c>
    </row>
    <row r="47" spans="1:12" x14ac:dyDescent="0.25">
      <c r="A47" t="str">
        <f>"Live in suburb of city"</f>
        <v>Live in suburb of city</v>
      </c>
      <c r="B47" t="str">
        <f>"0.003"</f>
        <v>0.003</v>
      </c>
      <c r="C47" t="str">
        <f>"0.010"</f>
        <v>0.010</v>
      </c>
      <c r="D47" t="str">
        <f>"0.010"</f>
        <v>0.010</v>
      </c>
      <c r="E47" t="str">
        <f>"0.009"</f>
        <v>0.009</v>
      </c>
      <c r="F47" t="str">
        <f>"0.009"</f>
        <v>0.009</v>
      </c>
      <c r="G47" t="str">
        <f>"0.009"</f>
        <v>0.009</v>
      </c>
      <c r="H47" t="str">
        <f>"0.008"</f>
        <v>0.008</v>
      </c>
      <c r="I47" t="str">
        <f>"0.009"</f>
        <v>0.009</v>
      </c>
      <c r="J47" t="str">
        <f>"0.009"</f>
        <v>0.009</v>
      </c>
      <c r="K47" t="str">
        <f>"0.009"</f>
        <v>0.009</v>
      </c>
      <c r="L47" t="str">
        <f>"0.009"</f>
        <v>0.009</v>
      </c>
    </row>
    <row r="48" spans="1:12" x14ac:dyDescent="0.25">
      <c r="A48" t="str">
        <f>""</f>
        <v/>
      </c>
      <c r="B48" t="str">
        <f>"(0.099)"</f>
        <v>(0.099)</v>
      </c>
      <c r="C48" t="str">
        <f>"(0.399)"</f>
        <v>(0.399)</v>
      </c>
      <c r="D48" t="str">
        <f>"(0.411)"</f>
        <v>(0.411)</v>
      </c>
      <c r="E48" t="str">
        <f>"(0.403)"</f>
        <v>(0.403)</v>
      </c>
      <c r="F48" t="str">
        <f>"(0.406)"</f>
        <v>(0.406)</v>
      </c>
      <c r="G48" t="str">
        <f>"(0.408)"</f>
        <v>(0.408)</v>
      </c>
      <c r="H48" t="str">
        <f>"(0.375)"</f>
        <v>(0.375)</v>
      </c>
      <c r="I48" t="str">
        <f>"(0.406)"</f>
        <v>(0.406)</v>
      </c>
      <c r="J48" t="str">
        <f>"(0.407)"</f>
        <v>(0.407)</v>
      </c>
      <c r="K48" t="str">
        <f>"(0.408)"</f>
        <v>(0.408)</v>
      </c>
      <c r="L48" t="str">
        <f>"(0.411)"</f>
        <v>(0.411)</v>
      </c>
    </row>
    <row r="49" spans="1:12" x14ac:dyDescent="0.25">
      <c r="A49" t="str">
        <f>"Parents were married at age 12"</f>
        <v>Parents were married at age 12</v>
      </c>
      <c r="B49" t="str">
        <f>""</f>
        <v/>
      </c>
      <c r="C49" t="str">
        <f>"0.360**"</f>
        <v>0.360**</v>
      </c>
      <c r="D49" t="str">
        <f>"0.345**"</f>
        <v>0.345**</v>
      </c>
      <c r="E49" t="str">
        <f>"0.340**"</f>
        <v>0.340**</v>
      </c>
      <c r="F49" t="str">
        <f>"0.340**"</f>
        <v>0.340**</v>
      </c>
      <c r="G49" t="str">
        <f>"0.340**"</f>
        <v>0.340**</v>
      </c>
      <c r="H49" t="str">
        <f>"0.338**"</f>
        <v>0.338**</v>
      </c>
      <c r="I49" t="str">
        <f>"0.340**"</f>
        <v>0.340**</v>
      </c>
      <c r="J49" t="str">
        <f>"0.340**"</f>
        <v>0.340**</v>
      </c>
      <c r="K49" t="str">
        <f>"0.340**"</f>
        <v>0.340**</v>
      </c>
      <c r="L49" t="str">
        <f>"0.340**"</f>
        <v>0.340**</v>
      </c>
    </row>
    <row r="50" spans="1:12" x14ac:dyDescent="0.25">
      <c r="A50" t="str">
        <f>""</f>
        <v/>
      </c>
      <c r="B50" t="str">
        <f>""</f>
        <v/>
      </c>
      <c r="C50" t="str">
        <f>"(5.898)"</f>
        <v>(5.898)</v>
      </c>
      <c r="D50" t="str">
        <f>"(6.150)"</f>
        <v>(6.150)</v>
      </c>
      <c r="E50" t="str">
        <f>"(6.208)"</f>
        <v>(6.208)</v>
      </c>
      <c r="F50" t="str">
        <f>"(6.226)"</f>
        <v>(6.226)</v>
      </c>
      <c r="G50" t="str">
        <f>"(6.209)"</f>
        <v>(6.209)</v>
      </c>
      <c r="H50" t="str">
        <f>"(6.189)"</f>
        <v>(6.189)</v>
      </c>
      <c r="I50" t="str">
        <f>"(6.210)"</f>
        <v>(6.210)</v>
      </c>
      <c r="J50" t="str">
        <f>"(6.225)"</f>
        <v>(6.225)</v>
      </c>
      <c r="K50" t="str">
        <f>"(6.210)"</f>
        <v>(6.210)</v>
      </c>
      <c r="L50" t="str">
        <f>"(6.208)"</f>
        <v>(6.208)</v>
      </c>
    </row>
    <row r="51" spans="1:12" x14ac:dyDescent="0.25">
      <c r="A51" t="str">
        <f>"Knew mom but not dad"</f>
        <v>Knew mom but not dad</v>
      </c>
      <c r="B51" t="str">
        <f>""</f>
        <v/>
      </c>
      <c r="C51" t="str">
        <f>"0.421**"</f>
        <v>0.421**</v>
      </c>
      <c r="D51" t="str">
        <f>"0.424**"</f>
        <v>0.424**</v>
      </c>
      <c r="E51" t="str">
        <f t="shared" ref="E51:K51" si="7">"0.422**"</f>
        <v>0.422**</v>
      </c>
      <c r="F51" t="str">
        <f t="shared" si="7"/>
        <v>0.422**</v>
      </c>
      <c r="G51" t="str">
        <f t="shared" si="7"/>
        <v>0.422**</v>
      </c>
      <c r="H51" t="str">
        <f t="shared" si="7"/>
        <v>0.422**</v>
      </c>
      <c r="I51" t="str">
        <f t="shared" si="7"/>
        <v>0.422**</v>
      </c>
      <c r="J51" t="str">
        <f t="shared" si="7"/>
        <v>0.422**</v>
      </c>
      <c r="K51" t="str">
        <f t="shared" si="7"/>
        <v>0.422**</v>
      </c>
      <c r="L51" t="str">
        <f>"0.423**"</f>
        <v>0.423**</v>
      </c>
    </row>
    <row r="52" spans="1:12" x14ac:dyDescent="0.25">
      <c r="A52" t="str">
        <f>""</f>
        <v/>
      </c>
      <c r="B52" t="str">
        <f>""</f>
        <v/>
      </c>
      <c r="C52" t="str">
        <f>"(6.867)"</f>
        <v>(6.867)</v>
      </c>
      <c r="D52" t="str">
        <f>"(6.875)"</f>
        <v>(6.875)</v>
      </c>
      <c r="E52" t="str">
        <f>"(7.060)"</f>
        <v>(7.060)</v>
      </c>
      <c r="F52" t="str">
        <f>"(7.050)"</f>
        <v>(7.050)</v>
      </c>
      <c r="G52" t="str">
        <f>"(7.062)"</f>
        <v>(7.062)</v>
      </c>
      <c r="H52" t="str">
        <f>"(7.082)"</f>
        <v>(7.082)</v>
      </c>
      <c r="I52" t="str">
        <f>"(7.062)"</f>
        <v>(7.062)</v>
      </c>
      <c r="J52" t="str">
        <f>"(7.080)"</f>
        <v>(7.080)</v>
      </c>
      <c r="K52" t="str">
        <f>"(7.061)"</f>
        <v>(7.061)</v>
      </c>
      <c r="L52" t="str">
        <f>"(7.087)"</f>
        <v>(7.087)</v>
      </c>
    </row>
    <row r="53" spans="1:12" x14ac:dyDescent="0.25">
      <c r="A53" t="str">
        <f>"Knew dad but not mom"</f>
        <v>Knew dad but not mom</v>
      </c>
      <c r="B53" t="str">
        <f>""</f>
        <v/>
      </c>
      <c r="C53" t="str">
        <f>"0.313**"</f>
        <v>0.313**</v>
      </c>
      <c r="D53" t="str">
        <f>"0.316**"</f>
        <v>0.316**</v>
      </c>
      <c r="E53" t="str">
        <f>"0.312**"</f>
        <v>0.312**</v>
      </c>
      <c r="F53" t="str">
        <f>"0.313**"</f>
        <v>0.313**</v>
      </c>
      <c r="G53" t="str">
        <f>"0.313**"</f>
        <v>0.313**</v>
      </c>
      <c r="H53" t="str">
        <f>"0.312**"</f>
        <v>0.312**</v>
      </c>
      <c r="I53" t="str">
        <f>"0.313**"</f>
        <v>0.313**</v>
      </c>
      <c r="J53" t="str">
        <f>"0.313**"</f>
        <v>0.313**</v>
      </c>
      <c r="K53" t="str">
        <f>"0.313**"</f>
        <v>0.313**</v>
      </c>
      <c r="L53" t="str">
        <f>"0.313**"</f>
        <v>0.313**</v>
      </c>
    </row>
    <row r="54" spans="1:12" x14ac:dyDescent="0.25">
      <c r="A54" t="str">
        <f>""</f>
        <v/>
      </c>
      <c r="B54" t="str">
        <f>""</f>
        <v/>
      </c>
      <c r="C54" t="str">
        <f>"(7.875)"</f>
        <v>(7.875)</v>
      </c>
      <c r="D54" t="str">
        <f>"(7.896)"</f>
        <v>(7.896)</v>
      </c>
      <c r="E54" t="str">
        <f>"(7.943)"</f>
        <v>(7.943)</v>
      </c>
      <c r="F54" t="str">
        <f>"(7.966)"</f>
        <v>(7.966)</v>
      </c>
      <c r="G54" t="str">
        <f>"(7.941)"</f>
        <v>(7.941)</v>
      </c>
      <c r="H54" t="str">
        <f>"(8.023)"</f>
        <v>(8.023)</v>
      </c>
      <c r="I54" t="str">
        <f>"(7.946)"</f>
        <v>(7.946)</v>
      </c>
      <c r="J54" t="str">
        <f>"(7.905)"</f>
        <v>(7.905)</v>
      </c>
      <c r="K54" t="str">
        <f>"(7.944)"</f>
        <v>(7.944)</v>
      </c>
      <c r="L54" t="str">
        <f>"(8.050)"</f>
        <v>(8.050)</v>
      </c>
    </row>
    <row r="55" spans="1:12" x14ac:dyDescent="0.25">
      <c r="A55" t="str">
        <f>"Did not know mom or dad"</f>
        <v>Did not know mom or dad</v>
      </c>
      <c r="B55" t="str">
        <f>""</f>
        <v/>
      </c>
      <c r="C55" t="str">
        <f>"0.414*"</f>
        <v>0.414*</v>
      </c>
      <c r="D55" t="str">
        <f>"0.426*"</f>
        <v>0.426*</v>
      </c>
      <c r="E55" t="str">
        <f>"0.427*"</f>
        <v>0.427*</v>
      </c>
      <c r="F55" t="str">
        <f>"0.428*"</f>
        <v>0.428*</v>
      </c>
      <c r="G55" t="str">
        <f>"0.428*"</f>
        <v>0.428*</v>
      </c>
      <c r="H55" t="str">
        <f>"0.422*"</f>
        <v>0.422*</v>
      </c>
      <c r="I55" t="str">
        <f>"0.428*"</f>
        <v>0.428*</v>
      </c>
      <c r="J55" t="str">
        <f>"0.428*"</f>
        <v>0.428*</v>
      </c>
      <c r="K55" t="str">
        <f>"0.428*"</f>
        <v>0.428*</v>
      </c>
      <c r="L55" t="str">
        <f>"0.426*"</f>
        <v>0.426*</v>
      </c>
    </row>
    <row r="56" spans="1:12" x14ac:dyDescent="0.25">
      <c r="A56" t="str">
        <f>""</f>
        <v/>
      </c>
      <c r="B56" t="str">
        <f>""</f>
        <v/>
      </c>
      <c r="C56" t="str">
        <f>"(2.360)"</f>
        <v>(2.360)</v>
      </c>
      <c r="D56" t="str">
        <f>"(2.355)"</f>
        <v>(2.355)</v>
      </c>
      <c r="E56" t="str">
        <f>"(2.339)"</f>
        <v>(2.339)</v>
      </c>
      <c r="F56" t="str">
        <f>"(2.340)"</f>
        <v>(2.340)</v>
      </c>
      <c r="G56" t="str">
        <f>"(2.341)"</f>
        <v>(2.341)</v>
      </c>
      <c r="H56" t="str">
        <f>"(2.343)"</f>
        <v>(2.343)</v>
      </c>
      <c r="I56" t="str">
        <f>"(2.339)"</f>
        <v>(2.339)</v>
      </c>
      <c r="J56" t="str">
        <f>"(2.339)"</f>
        <v>(2.339)</v>
      </c>
      <c r="K56" t="str">
        <f>"(2.339)"</f>
        <v>(2.339)</v>
      </c>
      <c r="L56" t="str">
        <f>"(2.347)"</f>
        <v>(2.347)</v>
      </c>
    </row>
    <row r="57" spans="1:12" x14ac:dyDescent="0.25">
      <c r="A57" t="str">
        <f>"Level of financial difficulty while growing up"</f>
        <v>Level of financial difficulty while growing up</v>
      </c>
      <c r="B57" t="str">
        <f>""</f>
        <v/>
      </c>
      <c r="C57" t="str">
        <f>"-0.233**"</f>
        <v>-0.233**</v>
      </c>
      <c r="D57" t="str">
        <f>"-0.229**"</f>
        <v>-0.229**</v>
      </c>
      <c r="E57" t="str">
        <f t="shared" ref="E57:L57" si="8">"-0.222**"</f>
        <v>-0.222**</v>
      </c>
      <c r="F57" t="str">
        <f t="shared" si="8"/>
        <v>-0.222**</v>
      </c>
      <c r="G57" t="str">
        <f t="shared" si="8"/>
        <v>-0.222**</v>
      </c>
      <c r="H57" t="str">
        <f t="shared" si="8"/>
        <v>-0.222**</v>
      </c>
      <c r="I57" t="str">
        <f t="shared" si="8"/>
        <v>-0.222**</v>
      </c>
      <c r="J57" t="str">
        <f t="shared" si="8"/>
        <v>-0.222**</v>
      </c>
      <c r="K57" t="str">
        <f t="shared" si="8"/>
        <v>-0.222**</v>
      </c>
      <c r="L57" t="str">
        <f t="shared" si="8"/>
        <v>-0.222**</v>
      </c>
    </row>
    <row r="58" spans="1:12" x14ac:dyDescent="0.25">
      <c r="A58" t="str">
        <f>""</f>
        <v/>
      </c>
      <c r="B58" t="str">
        <f>""</f>
        <v/>
      </c>
      <c r="C58" t="str">
        <f>"(-8.652)"</f>
        <v>(-8.652)</v>
      </c>
      <c r="D58" t="str">
        <f>"(-8.468)"</f>
        <v>(-8.468)</v>
      </c>
      <c r="E58" t="str">
        <f>"(-8.680)"</f>
        <v>(-8.680)</v>
      </c>
      <c r="F58" t="str">
        <f>"(-8.664)"</f>
        <v>(-8.664)</v>
      </c>
      <c r="G58" t="str">
        <f>"(-8.677)"</f>
        <v>(-8.677)</v>
      </c>
      <c r="H58" t="str">
        <f>"(-8.704)"</f>
        <v>(-8.704)</v>
      </c>
      <c r="I58" t="str">
        <f>"(-8.675)"</f>
        <v>(-8.675)</v>
      </c>
      <c r="J58" t="str">
        <f>"(-8.686)"</f>
        <v>(-8.686)</v>
      </c>
      <c r="K58" t="str">
        <f>"(-8.677)"</f>
        <v>(-8.677)</v>
      </c>
      <c r="L58" t="str">
        <f>"(-8.652)"</f>
        <v>(-8.652)</v>
      </c>
    </row>
    <row r="59" spans="1:12" x14ac:dyDescent="0.25">
      <c r="A59" t="str">
        <f>"Respondent was abused sexually or physically"</f>
        <v>Respondent was abused sexually or physically</v>
      </c>
      <c r="B59" t="str">
        <f>""</f>
        <v/>
      </c>
      <c r="C59" t="str">
        <f>"-0.651**"</f>
        <v>-0.651**</v>
      </c>
      <c r="D59" t="str">
        <f>"-0.648**"</f>
        <v>-0.648**</v>
      </c>
      <c r="E59" t="str">
        <f>"-0.642**"</f>
        <v>-0.642**</v>
      </c>
      <c r="F59" t="str">
        <f>"-0.642**"</f>
        <v>-0.642**</v>
      </c>
      <c r="G59" t="str">
        <f>"-0.642**"</f>
        <v>-0.642**</v>
      </c>
      <c r="H59" t="str">
        <f>"-0.640**"</f>
        <v>-0.640**</v>
      </c>
      <c r="I59" t="str">
        <f>"-0.642**"</f>
        <v>-0.642**</v>
      </c>
      <c r="J59" t="str">
        <f>"-0.642**"</f>
        <v>-0.642**</v>
      </c>
      <c r="K59" t="str">
        <f>"-0.642**"</f>
        <v>-0.642**</v>
      </c>
      <c r="L59" t="str">
        <f>"-0.641**"</f>
        <v>-0.641**</v>
      </c>
    </row>
    <row r="60" spans="1:12" x14ac:dyDescent="0.25">
      <c r="A60" t="str">
        <f>""</f>
        <v/>
      </c>
      <c r="B60" t="str">
        <f>""</f>
        <v/>
      </c>
      <c r="C60" t="str">
        <f>"(-8.047)"</f>
        <v>(-8.047)</v>
      </c>
      <c r="D60" t="str">
        <f>"(-8.171)"</f>
        <v>(-8.171)</v>
      </c>
      <c r="E60" t="str">
        <f>"(-8.331)"</f>
        <v>(-8.331)</v>
      </c>
      <c r="F60" t="str">
        <f>"(-8.330)"</f>
        <v>(-8.330)</v>
      </c>
      <c r="G60" t="str">
        <f>"(-8.328)"</f>
        <v>(-8.328)</v>
      </c>
      <c r="H60" t="str">
        <f>"(-8.334)"</f>
        <v>(-8.334)</v>
      </c>
      <c r="I60" t="str">
        <f>"(-8.331)"</f>
        <v>(-8.331)</v>
      </c>
      <c r="J60" t="str">
        <f>"(-8.338)"</f>
        <v>(-8.338)</v>
      </c>
      <c r="K60" t="str">
        <f>"(-8.332)"</f>
        <v>(-8.332)</v>
      </c>
      <c r="L60" t="str">
        <f>"(-8.312)"</f>
        <v>(-8.312)</v>
      </c>
    </row>
    <row r="61" spans="1:12" x14ac:dyDescent="0.25">
      <c r="A61" t="str">
        <f>"Parental religiosity index"</f>
        <v>Parental religiosity index</v>
      </c>
      <c r="B61" t="str">
        <f>""</f>
        <v/>
      </c>
      <c r="C61" t="str">
        <f>""</f>
        <v/>
      </c>
      <c r="D61" t="str">
        <f>"0.086**"</f>
        <v>0.086**</v>
      </c>
      <c r="E61" t="str">
        <f>"0.054**"</f>
        <v>0.054**</v>
      </c>
      <c r="F61" t="str">
        <f>"0.081"</f>
        <v>0.081</v>
      </c>
      <c r="G61" t="str">
        <f>"0.054**"</f>
        <v>0.054**</v>
      </c>
      <c r="H61" t="str">
        <f>"0.076**"</f>
        <v>0.076**</v>
      </c>
      <c r="I61" t="str">
        <f>"0.054**"</f>
        <v>0.054**</v>
      </c>
      <c r="J61" t="str">
        <f>"0.049"</f>
        <v>0.049</v>
      </c>
      <c r="K61" t="str">
        <f>"0.054**"</f>
        <v>0.054**</v>
      </c>
      <c r="L61" t="str">
        <f>"0.079**"</f>
        <v>0.079**</v>
      </c>
    </row>
    <row r="62" spans="1:12" x14ac:dyDescent="0.25">
      <c r="A62" t="str">
        <f>""</f>
        <v/>
      </c>
      <c r="B62" t="str">
        <f>""</f>
        <v/>
      </c>
      <c r="C62" t="str">
        <f>""</f>
        <v/>
      </c>
      <c r="D62" t="str">
        <f>"(6.049)"</f>
        <v>(6.049)</v>
      </c>
      <c r="E62" t="str">
        <f>"(5.733)"</f>
        <v>(5.733)</v>
      </c>
      <c r="F62" t="str">
        <f>"(0.490)"</f>
        <v>(0.490)</v>
      </c>
      <c r="G62" t="str">
        <f>"(5.679)"</f>
        <v>(5.679)</v>
      </c>
      <c r="H62" t="str">
        <f>"(6.640)"</f>
        <v>(6.640)</v>
      </c>
      <c r="I62" t="str">
        <f>"(5.697)"</f>
        <v>(5.697)</v>
      </c>
      <c r="J62" t="str">
        <f>"(0.878)"</f>
        <v>(0.878)</v>
      </c>
      <c r="K62" t="str">
        <f>"(5.700)"</f>
        <v>(5.700)</v>
      </c>
      <c r="L62" t="str">
        <f>"(7.472)"</f>
        <v>(7.472)</v>
      </c>
    </row>
    <row r="63" spans="1:12" x14ac:dyDescent="0.25">
      <c r="A63" t="str">
        <f>"Natural log of GDP per capita in PPP dollars"</f>
        <v>Natural log of GDP per capita in PPP dollars</v>
      </c>
      <c r="B63" t="str">
        <f>""</f>
        <v/>
      </c>
      <c r="C63" t="str">
        <f>""</f>
        <v/>
      </c>
      <c r="D63" t="str">
        <f>""</f>
        <v/>
      </c>
      <c r="E63" t="str">
        <f>"-0.224**"</f>
        <v>-0.224**</v>
      </c>
      <c r="F63" t="str">
        <f>"-0.222**"</f>
        <v>-0.222**</v>
      </c>
      <c r="G63" t="str">
        <f>""</f>
        <v/>
      </c>
      <c r="H63" t="str">
        <f>""</f>
        <v/>
      </c>
      <c r="I63" t="str">
        <f>""</f>
        <v/>
      </c>
      <c r="J63" t="str">
        <f>""</f>
        <v/>
      </c>
      <c r="K63" t="str">
        <f>""</f>
        <v/>
      </c>
      <c r="L63" t="str">
        <f>""</f>
        <v/>
      </c>
    </row>
    <row r="64" spans="1:12" x14ac:dyDescent="0.25">
      <c r="A64" t="str">
        <f>""</f>
        <v/>
      </c>
      <c r="B64" t="str">
        <f>""</f>
        <v/>
      </c>
      <c r="C64" t="str">
        <f>""</f>
        <v/>
      </c>
      <c r="D64" t="str">
        <f>""</f>
        <v/>
      </c>
      <c r="E64" t="str">
        <f>"(-5.514)"</f>
        <v>(-5.514)</v>
      </c>
      <c r="F64" t="str">
        <f>"(-5.488)"</f>
        <v>(-5.488)</v>
      </c>
      <c r="G64" t="str">
        <f>""</f>
        <v/>
      </c>
      <c r="H64" t="str">
        <f>""</f>
        <v/>
      </c>
      <c r="I64" t="str">
        <f>""</f>
        <v/>
      </c>
      <c r="J64" t="str">
        <f>""</f>
        <v/>
      </c>
      <c r="K64" t="str">
        <f>""</f>
        <v/>
      </c>
      <c r="L64" t="str">
        <f>""</f>
        <v/>
      </c>
    </row>
    <row r="65" spans="1:12" x14ac:dyDescent="0.25">
      <c r="A65" t="str">
        <f>"Respondent religiosity index"</f>
        <v>Respondent religiosity index</v>
      </c>
      <c r="B65" t="str">
        <f>""</f>
        <v/>
      </c>
      <c r="C65" t="str">
        <f>""</f>
        <v/>
      </c>
      <c r="D65" t="str">
        <f>""</f>
        <v/>
      </c>
      <c r="E65" t="str">
        <f>"0.078**"</f>
        <v>0.078**</v>
      </c>
      <c r="F65" t="str">
        <f>"0.078**"</f>
        <v>0.078**</v>
      </c>
      <c r="G65" t="str">
        <f>"0.078**"</f>
        <v>0.078**</v>
      </c>
      <c r="H65" t="str">
        <f>"0.082**"</f>
        <v>0.082**</v>
      </c>
      <c r="I65" t="str">
        <f>"0.078**"</f>
        <v>0.078**</v>
      </c>
      <c r="J65" t="str">
        <f>"0.078**"</f>
        <v>0.078**</v>
      </c>
      <c r="K65" t="str">
        <f>"0.078**"</f>
        <v>0.078**</v>
      </c>
      <c r="L65" t="str">
        <f>"0.081**"</f>
        <v>0.081**</v>
      </c>
    </row>
    <row r="66" spans="1:12" x14ac:dyDescent="0.25">
      <c r="A66" t="str">
        <f>""</f>
        <v/>
      </c>
      <c r="B66" t="str">
        <f>""</f>
        <v/>
      </c>
      <c r="C66" t="str">
        <f>""</f>
        <v/>
      </c>
      <c r="D66" t="str">
        <f>""</f>
        <v/>
      </c>
      <c r="E66" t="str">
        <f>"(2.955)"</f>
        <v>(2.955)</v>
      </c>
      <c r="F66" t="str">
        <f>"(3.113)"</f>
        <v>(3.113)</v>
      </c>
      <c r="G66" t="str">
        <f>"(2.950)"</f>
        <v>(2.950)</v>
      </c>
      <c r="H66" t="str">
        <f>"(3.222)"</f>
        <v>(3.222)</v>
      </c>
      <c r="I66" t="str">
        <f>"(2.969)"</f>
        <v>(2.969)</v>
      </c>
      <c r="J66" t="str">
        <f>"(2.976)"</f>
        <v>(2.976)</v>
      </c>
      <c r="K66" t="str">
        <f>"(2.957)"</f>
        <v>(2.957)</v>
      </c>
      <c r="L66" t="str">
        <f>"(3.219)"</f>
        <v>(3.219)</v>
      </c>
    </row>
    <row r="67" spans="1:12" x14ac:dyDescent="0.25">
      <c r="A67" t="str">
        <f>"Living comfortably on present income 1-4 scale"</f>
        <v>Living comfortably on present income 1-4 scale</v>
      </c>
      <c r="B67" t="str">
        <f>""</f>
        <v/>
      </c>
      <c r="C67" t="str">
        <f>""</f>
        <v/>
      </c>
      <c r="D67" t="str">
        <f>""</f>
        <v/>
      </c>
      <c r="E67" t="str">
        <f t="shared" ref="E67:L67" si="9">"0.047**"</f>
        <v>0.047**</v>
      </c>
      <c r="F67" t="str">
        <f t="shared" si="9"/>
        <v>0.047**</v>
      </c>
      <c r="G67" t="str">
        <f t="shared" si="9"/>
        <v>0.047**</v>
      </c>
      <c r="H67" t="str">
        <f t="shared" si="9"/>
        <v>0.047**</v>
      </c>
      <c r="I67" t="str">
        <f t="shared" si="9"/>
        <v>0.047**</v>
      </c>
      <c r="J67" t="str">
        <f t="shared" si="9"/>
        <v>0.047**</v>
      </c>
      <c r="K67" t="str">
        <f t="shared" si="9"/>
        <v>0.047**</v>
      </c>
      <c r="L67" t="str">
        <f t="shared" si="9"/>
        <v>0.047**</v>
      </c>
    </row>
    <row r="68" spans="1:12" x14ac:dyDescent="0.25">
      <c r="A68" t="str">
        <f>""</f>
        <v/>
      </c>
      <c r="B68" t="str">
        <f>""</f>
        <v/>
      </c>
      <c r="C68" t="str">
        <f>""</f>
        <v/>
      </c>
      <c r="D68" t="str">
        <f>""</f>
        <v/>
      </c>
      <c r="E68" t="str">
        <f>"(3.275)"</f>
        <v>(3.275)</v>
      </c>
      <c r="F68" t="str">
        <f>"(3.285)"</f>
        <v>(3.285)</v>
      </c>
      <c r="G68" t="str">
        <f>"(3.277)"</f>
        <v>(3.277)</v>
      </c>
      <c r="H68" t="str">
        <f>"(3.290)"</f>
        <v>(3.290)</v>
      </c>
      <c r="I68" t="str">
        <f>"(3.267)"</f>
        <v>(3.267)</v>
      </c>
      <c r="J68" t="str">
        <f>"(3.259)"</f>
        <v>(3.259)</v>
      </c>
      <c r="K68" t="str">
        <f>"(3.276)"</f>
        <v>(3.276)</v>
      </c>
      <c r="L68" t="str">
        <f>"(3.284)"</f>
        <v>(3.284)</v>
      </c>
    </row>
    <row r="69" spans="1:12" x14ac:dyDescent="0.25">
      <c r="A69" t="str">
        <f>"Interaction-parental religiosity X GDP per capita"</f>
        <v>Interaction-parental religiosity X GDP per capita</v>
      </c>
      <c r="B69" t="str">
        <f>""</f>
        <v/>
      </c>
      <c r="C69" t="str">
        <f>""</f>
        <v/>
      </c>
      <c r="D69" t="str">
        <f>""</f>
        <v/>
      </c>
      <c r="E69" t="str">
        <f>""</f>
        <v/>
      </c>
      <c r="F69" t="str">
        <f>"-0.003"</f>
        <v>-0.003</v>
      </c>
      <c r="G69" t="str">
        <f>""</f>
        <v/>
      </c>
      <c r="H69" t="str">
        <f>""</f>
        <v/>
      </c>
      <c r="I69" t="str">
        <f>""</f>
        <v/>
      </c>
      <c r="J69" t="str">
        <f>""</f>
        <v/>
      </c>
      <c r="K69" t="str">
        <f>""</f>
        <v/>
      </c>
      <c r="L69" t="str">
        <f>""</f>
        <v/>
      </c>
    </row>
    <row r="70" spans="1:12" x14ac:dyDescent="0.25">
      <c r="A70" t="str">
        <f>""</f>
        <v/>
      </c>
      <c r="B70" t="str">
        <f>""</f>
        <v/>
      </c>
      <c r="C70" t="str">
        <f>""</f>
        <v/>
      </c>
      <c r="D70" t="str">
        <f>""</f>
        <v/>
      </c>
      <c r="E70" t="str">
        <f>""</f>
        <v/>
      </c>
      <c r="F70" t="str">
        <f>"(-0.163)"</f>
        <v>(-0.163)</v>
      </c>
      <c r="G70" t="str">
        <f>""</f>
        <v/>
      </c>
      <c r="H70" t="str">
        <f>""</f>
        <v/>
      </c>
      <c r="I70" t="str">
        <f>""</f>
        <v/>
      </c>
      <c r="J70" t="str">
        <f>""</f>
        <v/>
      </c>
      <c r="K70" t="str">
        <f>""</f>
        <v/>
      </c>
      <c r="L70" t="str">
        <f>""</f>
        <v/>
      </c>
    </row>
    <row r="71" spans="1:12" x14ac:dyDescent="0.25">
      <c r="A71" t="str">
        <f>"Country level index of secular over traditional values"</f>
        <v>Country level index of secular over traditional values</v>
      </c>
      <c r="B71" t="str">
        <f>""</f>
        <v/>
      </c>
      <c r="C71" t="str">
        <f>""</f>
        <v/>
      </c>
      <c r="D71" t="str">
        <f>""</f>
        <v/>
      </c>
      <c r="E71" t="str">
        <f>""</f>
        <v/>
      </c>
      <c r="F71" t="str">
        <f>""</f>
        <v/>
      </c>
      <c r="G71" t="str">
        <f>"-0.191**"</f>
        <v>-0.191**</v>
      </c>
      <c r="H71" t="str">
        <f>"-0.186**"</f>
        <v>-0.186**</v>
      </c>
      <c r="I71" t="str">
        <f>""</f>
        <v/>
      </c>
      <c r="J71" t="str">
        <f>""</f>
        <v/>
      </c>
      <c r="K71" t="str">
        <f>""</f>
        <v/>
      </c>
      <c r="L71" t="str">
        <f>""</f>
        <v/>
      </c>
    </row>
    <row r="72" spans="1:12" x14ac:dyDescent="0.25">
      <c r="A72" t="str">
        <f>""</f>
        <v/>
      </c>
      <c r="B72" t="str">
        <f>""</f>
        <v/>
      </c>
      <c r="C72" t="str">
        <f>""</f>
        <v/>
      </c>
      <c r="D72" t="str">
        <f>""</f>
        <v/>
      </c>
      <c r="E72" t="str">
        <f>""</f>
        <v/>
      </c>
      <c r="F72" t="str">
        <f>""</f>
        <v/>
      </c>
      <c r="G72" t="str">
        <f>"(-5.737)"</f>
        <v>(-5.737)</v>
      </c>
      <c r="H72" t="str">
        <f>"(-5.447)"</f>
        <v>(-5.447)</v>
      </c>
      <c r="I72" t="str">
        <f>""</f>
        <v/>
      </c>
      <c r="J72" t="str">
        <f>""</f>
        <v/>
      </c>
      <c r="K72" t="str">
        <f>""</f>
        <v/>
      </c>
      <c r="L72" t="str">
        <f>""</f>
        <v/>
      </c>
    </row>
    <row r="73" spans="1:12" x14ac:dyDescent="0.25">
      <c r="A73" t="str">
        <f>"Interaction-parental religiosity X secular values"</f>
        <v>Interaction-parental religiosity X secular values</v>
      </c>
      <c r="B73" t="str">
        <f>""</f>
        <v/>
      </c>
      <c r="C73" t="str">
        <f>""</f>
        <v/>
      </c>
      <c r="D73" t="str">
        <f>""</f>
        <v/>
      </c>
      <c r="E73" t="str">
        <f>""</f>
        <v/>
      </c>
      <c r="F73" t="str">
        <f>""</f>
        <v/>
      </c>
      <c r="G73" t="str">
        <f>""</f>
        <v/>
      </c>
      <c r="H73" t="str">
        <f>"-0.032**"</f>
        <v>-0.032**</v>
      </c>
      <c r="I73" t="str">
        <f>""</f>
        <v/>
      </c>
      <c r="J73" t="str">
        <f>""</f>
        <v/>
      </c>
      <c r="K73" t="str">
        <f>""</f>
        <v/>
      </c>
      <c r="L73" t="str">
        <f>""</f>
        <v/>
      </c>
    </row>
    <row r="74" spans="1:12" x14ac:dyDescent="0.25">
      <c r="A74" t="str">
        <f>""</f>
        <v/>
      </c>
      <c r="B74" t="str">
        <f>""</f>
        <v/>
      </c>
      <c r="C74" t="str">
        <f>""</f>
        <v/>
      </c>
      <c r="D74" t="str">
        <f>""</f>
        <v/>
      </c>
      <c r="E74" t="str">
        <f>""</f>
        <v/>
      </c>
      <c r="F74" t="str">
        <f>""</f>
        <v/>
      </c>
      <c r="G74" t="str">
        <f>""</f>
        <v/>
      </c>
      <c r="H74" t="str">
        <f>"(-2.705)"</f>
        <v>(-2.705)</v>
      </c>
      <c r="I74" t="str">
        <f>""</f>
        <v/>
      </c>
      <c r="J74" t="str">
        <f>""</f>
        <v/>
      </c>
      <c r="K74" t="str">
        <f>""</f>
        <v/>
      </c>
      <c r="L74" t="str">
        <f>""</f>
        <v/>
      </c>
    </row>
    <row r="75" spans="1:12" x14ac:dyDescent="0.25">
      <c r="A75" t="str">
        <f>"Z-score of electoral democracy index"</f>
        <v>Z-score of electoral democracy index</v>
      </c>
      <c r="B75" t="str">
        <f>""</f>
        <v/>
      </c>
      <c r="C75" t="str">
        <f>""</f>
        <v/>
      </c>
      <c r="D75" t="str">
        <f>""</f>
        <v/>
      </c>
      <c r="E75" t="str">
        <f>""</f>
        <v/>
      </c>
      <c r="F75" t="str">
        <f>""</f>
        <v/>
      </c>
      <c r="G75" t="str">
        <f>""</f>
        <v/>
      </c>
      <c r="H75" t="str">
        <f>""</f>
        <v/>
      </c>
      <c r="I75" t="str">
        <f>"-0.387"</f>
        <v>-0.387</v>
      </c>
      <c r="J75" t="str">
        <f>"-0.386"</f>
        <v>-0.386</v>
      </c>
      <c r="K75" t="str">
        <f>""</f>
        <v/>
      </c>
      <c r="L75" t="str">
        <f>""</f>
        <v/>
      </c>
    </row>
    <row r="76" spans="1:12" x14ac:dyDescent="0.25">
      <c r="A76" t="str">
        <f>""</f>
        <v/>
      </c>
      <c r="B76" t="str">
        <f>""</f>
        <v/>
      </c>
      <c r="C76" t="str">
        <f>""</f>
        <v/>
      </c>
      <c r="D76" t="str">
        <f>""</f>
        <v/>
      </c>
      <c r="E76" t="str">
        <f>""</f>
        <v/>
      </c>
      <c r="F76" t="str">
        <f>""</f>
        <v/>
      </c>
      <c r="G76" t="str">
        <f>""</f>
        <v/>
      </c>
      <c r="H76" t="str">
        <f>""</f>
        <v/>
      </c>
      <c r="I76" t="str">
        <f>"(-1.340)"</f>
        <v>(-1.340)</v>
      </c>
      <c r="J76" t="str">
        <f>"(-1.324)"</f>
        <v>(-1.324)</v>
      </c>
      <c r="K76" t="str">
        <f>""</f>
        <v/>
      </c>
      <c r="L76" t="str">
        <f>""</f>
        <v/>
      </c>
    </row>
    <row r="77" spans="1:12" x14ac:dyDescent="0.25">
      <c r="A77" t="str">
        <f>"Interaction-parental religiosity X electoral democracy"</f>
        <v>Interaction-parental religiosity X electoral democracy</v>
      </c>
      <c r="B77" t="str">
        <f>""</f>
        <v/>
      </c>
      <c r="C77" t="str">
        <f>""</f>
        <v/>
      </c>
      <c r="D77" t="str">
        <f>""</f>
        <v/>
      </c>
      <c r="E77" t="str">
        <f>""</f>
        <v/>
      </c>
      <c r="F77" t="str">
        <f>""</f>
        <v/>
      </c>
      <c r="G77" t="str">
        <f>""</f>
        <v/>
      </c>
      <c r="H77" t="str">
        <f>""</f>
        <v/>
      </c>
      <c r="I77" t="str">
        <f>""</f>
        <v/>
      </c>
      <c r="J77" t="str">
        <f>"0.006"</f>
        <v>0.006</v>
      </c>
      <c r="K77" t="str">
        <f>""</f>
        <v/>
      </c>
      <c r="L77" t="str">
        <f>""</f>
        <v/>
      </c>
    </row>
    <row r="78" spans="1:12" x14ac:dyDescent="0.25">
      <c r="A78" t="str">
        <f>""</f>
        <v/>
      </c>
      <c r="B78" t="str">
        <f>""</f>
        <v/>
      </c>
      <c r="C78" t="str">
        <f>""</f>
        <v/>
      </c>
      <c r="D78" t="str">
        <f>""</f>
        <v/>
      </c>
      <c r="E78" t="str">
        <f>""</f>
        <v/>
      </c>
      <c r="F78" t="str">
        <f>""</f>
        <v/>
      </c>
      <c r="G78" t="str">
        <f>""</f>
        <v/>
      </c>
      <c r="H78" t="str">
        <f>""</f>
        <v/>
      </c>
      <c r="I78" t="str">
        <f>""</f>
        <v/>
      </c>
      <c r="J78" t="str">
        <f>"(0.083)"</f>
        <v>(0.083)</v>
      </c>
      <c r="K78" t="str">
        <f>""</f>
        <v/>
      </c>
      <c r="L78" t="str">
        <f>""</f>
        <v/>
      </c>
    </row>
    <row r="79" spans="1:12" x14ac:dyDescent="0.25">
      <c r="A79" t="str">
        <f>"Z-score of Women's Peace and Security Index"</f>
        <v>Z-score of Women's Peace and Security Index</v>
      </c>
      <c r="B79" t="str">
        <f>""</f>
        <v/>
      </c>
      <c r="C79" t="str">
        <f>""</f>
        <v/>
      </c>
      <c r="D79" t="str">
        <f>""</f>
        <v/>
      </c>
      <c r="E79" t="str">
        <f>""</f>
        <v/>
      </c>
      <c r="F79" t="str">
        <f>""</f>
        <v/>
      </c>
      <c r="G79" t="str">
        <f>""</f>
        <v/>
      </c>
      <c r="H79" t="str">
        <f>""</f>
        <v/>
      </c>
      <c r="I79" t="str">
        <f>""</f>
        <v/>
      </c>
      <c r="J79" t="str">
        <f>""</f>
        <v/>
      </c>
      <c r="K79" t="str">
        <f>"-0.190**"</f>
        <v>-0.190**</v>
      </c>
      <c r="L79" t="str">
        <f>"-0.177**"</f>
        <v>-0.177**</v>
      </c>
    </row>
    <row r="80" spans="1:12" x14ac:dyDescent="0.25">
      <c r="A80" t="str">
        <f>""</f>
        <v/>
      </c>
      <c r="B80" t="str">
        <f>""</f>
        <v/>
      </c>
      <c r="C80" t="str">
        <f>""</f>
        <v/>
      </c>
      <c r="D80" t="str">
        <f>""</f>
        <v/>
      </c>
      <c r="E80" t="str">
        <f>""</f>
        <v/>
      </c>
      <c r="F80" t="str">
        <f>""</f>
        <v/>
      </c>
      <c r="G80" t="str">
        <f>""</f>
        <v/>
      </c>
      <c r="H80" t="str">
        <f>""</f>
        <v/>
      </c>
      <c r="I80" t="str">
        <f>""</f>
        <v/>
      </c>
      <c r="J80" t="str">
        <f>""</f>
        <v/>
      </c>
      <c r="K80" t="str">
        <f>"(-4.223)"</f>
        <v>(-4.223)</v>
      </c>
      <c r="L80" t="str">
        <f>"(-3.946)"</f>
        <v>(-3.946)</v>
      </c>
    </row>
    <row r="81" spans="1:12" x14ac:dyDescent="0.25">
      <c r="A81" t="str">
        <f>"Interaction-parental religiosity X Women's rights"</f>
        <v>Interaction-parental religiosity X Women's rights</v>
      </c>
      <c r="B81" t="str">
        <f>""</f>
        <v/>
      </c>
      <c r="C81" t="str">
        <f>""</f>
        <v/>
      </c>
      <c r="D81" t="str">
        <f>""</f>
        <v/>
      </c>
      <c r="E81" t="str">
        <f>""</f>
        <v/>
      </c>
      <c r="F81" t="str">
        <f>""</f>
        <v/>
      </c>
      <c r="G81" t="str">
        <f>""</f>
        <v/>
      </c>
      <c r="H81" t="str">
        <f>""</f>
        <v/>
      </c>
      <c r="I81" t="str">
        <f>""</f>
        <v/>
      </c>
      <c r="J81" t="str">
        <f>""</f>
        <v/>
      </c>
      <c r="K81" t="str">
        <f>""</f>
        <v/>
      </c>
      <c r="L81" t="str">
        <f>"-0.031**"</f>
        <v>-0.031**</v>
      </c>
    </row>
    <row r="82" spans="1:12" x14ac:dyDescent="0.25">
      <c r="A82" t="str">
        <f>""</f>
        <v/>
      </c>
      <c r="B82" t="str">
        <f>""</f>
        <v/>
      </c>
      <c r="C82" t="str">
        <f>""</f>
        <v/>
      </c>
      <c r="D82" t="str">
        <f>""</f>
        <v/>
      </c>
      <c r="E82" t="str">
        <f>""</f>
        <v/>
      </c>
      <c r="F82" t="str">
        <f>""</f>
        <v/>
      </c>
      <c r="G82" t="str">
        <f>""</f>
        <v/>
      </c>
      <c r="H82" t="str">
        <f>""</f>
        <v/>
      </c>
      <c r="I82" t="str">
        <f>""</f>
        <v/>
      </c>
      <c r="J82" t="str">
        <f>""</f>
        <v/>
      </c>
      <c r="K82" t="str">
        <f>""</f>
        <v/>
      </c>
      <c r="L82" t="str">
        <f>"(-3.161)"</f>
        <v>(-3.161)</v>
      </c>
    </row>
    <row r="83" spans="1:12" x14ac:dyDescent="0.25">
      <c r="A83" t="str">
        <f>"Constant"</f>
        <v>Constant</v>
      </c>
      <c r="B83" t="str">
        <f>"-0.230"</f>
        <v>-0.230</v>
      </c>
      <c r="C83" t="str">
        <f>"0.137"</f>
        <v>0.137</v>
      </c>
      <c r="D83" t="str">
        <f>"0.140"</f>
        <v>0.140</v>
      </c>
      <c r="E83" t="str">
        <f>"2.366**"</f>
        <v>2.366**</v>
      </c>
      <c r="F83" t="str">
        <f>"2.352**"</f>
        <v>2.352**</v>
      </c>
      <c r="G83" t="str">
        <f>"0.168"</f>
        <v>0.168</v>
      </c>
      <c r="H83" t="str">
        <f>"0.151"</f>
        <v>0.151</v>
      </c>
      <c r="I83" t="str">
        <f>"0.381"</f>
        <v>0.381</v>
      </c>
      <c r="J83" t="str">
        <f>"0.381"</f>
        <v>0.381</v>
      </c>
      <c r="K83" t="str">
        <f>"0.205*"</f>
        <v>0.205*</v>
      </c>
      <c r="L83" t="str">
        <f>"0.188*"</f>
        <v>0.188*</v>
      </c>
    </row>
    <row r="84" spans="1:12" x14ac:dyDescent="0.25">
      <c r="A84" t="str">
        <f>""</f>
        <v/>
      </c>
      <c r="B84" t="str">
        <f>"(-1.849)"</f>
        <v>(-1.849)</v>
      </c>
      <c r="C84" t="str">
        <f>"(1.604)"</f>
        <v>(1.604)</v>
      </c>
      <c r="D84" t="str">
        <f>"(1.651)"</f>
        <v>(1.651)</v>
      </c>
      <c r="E84" t="str">
        <f>"(5.593)"</f>
        <v>(5.593)</v>
      </c>
      <c r="F84" t="str">
        <f>"(5.654)"</f>
        <v>(5.654)</v>
      </c>
      <c r="G84" t="str">
        <f>"(1.902)"</f>
        <v>(1.902)</v>
      </c>
      <c r="H84" t="str">
        <f>"(1.710)"</f>
        <v>(1.710)</v>
      </c>
      <c r="I84" t="str">
        <f>"(1.713)"</f>
        <v>(1.713)</v>
      </c>
      <c r="J84" t="str">
        <f>"(1.729)"</f>
        <v>(1.729)</v>
      </c>
      <c r="K84" t="str">
        <f>"(2.315)"</f>
        <v>(2.315)</v>
      </c>
      <c r="L84" t="str">
        <f>"(2.159)"</f>
        <v>(2.159)</v>
      </c>
    </row>
    <row r="85" spans="1:12" x14ac:dyDescent="0.25">
      <c r="A85" t="str">
        <f>"lns1_1_1"</f>
        <v>lns1_1_1</v>
      </c>
      <c r="B85" t="str">
        <f>""</f>
        <v/>
      </c>
      <c r="C85" t="str">
        <f>""</f>
        <v/>
      </c>
      <c r="D85" t="str">
        <f>""</f>
        <v/>
      </c>
      <c r="E85" t="str">
        <f>""</f>
        <v/>
      </c>
      <c r="F85" t="str">
        <f>""</f>
        <v/>
      </c>
      <c r="G85" t="str">
        <f>""</f>
        <v/>
      </c>
      <c r="H85" t="str">
        <f>""</f>
        <v/>
      </c>
      <c r="I85" t="str">
        <f>""</f>
        <v/>
      </c>
      <c r="J85" t="str">
        <f>""</f>
        <v/>
      </c>
      <c r="K85" t="str">
        <f>""</f>
        <v/>
      </c>
      <c r="L85" t="str">
        <f>""</f>
        <v/>
      </c>
    </row>
    <row r="86" spans="1:12" x14ac:dyDescent="0.25">
      <c r="A86" t="str">
        <f>"Constant"</f>
        <v>Constant</v>
      </c>
      <c r="B86" t="str">
        <f>"-1.199**"</f>
        <v>-1.199**</v>
      </c>
      <c r="C86" t="str">
        <f>"-1.178**"</f>
        <v>-1.178**</v>
      </c>
      <c r="D86" t="str">
        <f>"-1.320**"</f>
        <v>-1.320**</v>
      </c>
      <c r="E86" t="str">
        <f>"-1.974**"</f>
        <v>-1.974**</v>
      </c>
      <c r="F86" t="str">
        <f>"-1.973**"</f>
        <v>-1.973**</v>
      </c>
      <c r="G86" t="str">
        <f>"-1.890**"</f>
        <v>-1.890**</v>
      </c>
      <c r="H86" t="str">
        <f>"-1.875**"</f>
        <v>-1.875**</v>
      </c>
      <c r="I86" t="str">
        <f>"-1.450**"</f>
        <v>-1.450**</v>
      </c>
      <c r="J86" t="str">
        <f>"-1.448**"</f>
        <v>-1.448**</v>
      </c>
      <c r="K86" t="str">
        <f>"-1.708**"</f>
        <v>-1.708**</v>
      </c>
      <c r="L86" t="str">
        <f>"-1.710**"</f>
        <v>-1.710**</v>
      </c>
    </row>
    <row r="87" spans="1:12" x14ac:dyDescent="0.25">
      <c r="A87" t="str">
        <f>""</f>
        <v/>
      </c>
      <c r="B87" t="str">
        <f>"(-11.312)"</f>
        <v>(-11.312)</v>
      </c>
      <c r="C87" t="str">
        <f>"(-9.303)"</f>
        <v>(-9.303)</v>
      </c>
      <c r="D87" t="str">
        <f>"(-10.897)"</f>
        <v>(-10.897)</v>
      </c>
      <c r="E87" t="str">
        <f>"(-11.840)"</f>
        <v>(-11.840)</v>
      </c>
      <c r="F87" t="str">
        <f>"(-11.845)"</f>
        <v>(-11.845)</v>
      </c>
      <c r="G87" t="str">
        <f>"(-14.475)"</f>
        <v>(-14.475)</v>
      </c>
      <c r="H87" t="str">
        <f>"(-15.299)"</f>
        <v>(-15.299)</v>
      </c>
      <c r="I87" t="str">
        <f>"(-8.751)"</f>
        <v>(-8.751)</v>
      </c>
      <c r="J87" t="str">
        <f>"(-8.691)"</f>
        <v>(-8.691)</v>
      </c>
      <c r="K87" t="str">
        <f>"(-15.522)"</f>
        <v>(-15.522)</v>
      </c>
      <c r="L87" t="str">
        <f>"(-15.200)"</f>
        <v>(-15.200)</v>
      </c>
    </row>
    <row r="88" spans="1:12" x14ac:dyDescent="0.25">
      <c r="A88" t="str">
        <f>"lnsig_e"</f>
        <v>lnsig_e</v>
      </c>
      <c r="B88" t="str">
        <f>""</f>
        <v/>
      </c>
      <c r="C88" t="str">
        <f>""</f>
        <v/>
      </c>
      <c r="D88" t="str">
        <f>""</f>
        <v/>
      </c>
      <c r="E88" t="str">
        <f>""</f>
        <v/>
      </c>
      <c r="F88" t="str">
        <f>""</f>
        <v/>
      </c>
      <c r="G88" t="str">
        <f>""</f>
        <v/>
      </c>
      <c r="H88" t="str">
        <f>""</f>
        <v/>
      </c>
      <c r="I88" t="str">
        <f>""</f>
        <v/>
      </c>
      <c r="J88" t="str">
        <f>""</f>
        <v/>
      </c>
      <c r="K88" t="str">
        <f>""</f>
        <v/>
      </c>
      <c r="L88" t="str">
        <f>""</f>
        <v/>
      </c>
    </row>
    <row r="89" spans="1:12" x14ac:dyDescent="0.25">
      <c r="A89" t="str">
        <f>"Constant"</f>
        <v>Constant</v>
      </c>
      <c r="B89" t="str">
        <f>"-0.066"</f>
        <v>-0.066</v>
      </c>
      <c r="C89" t="str">
        <f>"-0.131*"</f>
        <v>-0.131*</v>
      </c>
      <c r="D89" t="str">
        <f>"-0.134*"</f>
        <v>-0.134*</v>
      </c>
      <c r="E89" t="str">
        <f t="shared" ref="E89:L89" si="10">"-0.137*"</f>
        <v>-0.137*</v>
      </c>
      <c r="F89" t="str">
        <f t="shared" si="10"/>
        <v>-0.137*</v>
      </c>
      <c r="G89" t="str">
        <f t="shared" si="10"/>
        <v>-0.137*</v>
      </c>
      <c r="H89" t="str">
        <f t="shared" si="10"/>
        <v>-0.137*</v>
      </c>
      <c r="I89" t="str">
        <f t="shared" si="10"/>
        <v>-0.137*</v>
      </c>
      <c r="J89" t="str">
        <f t="shared" si="10"/>
        <v>-0.137*</v>
      </c>
      <c r="K89" t="str">
        <f t="shared" si="10"/>
        <v>-0.137*</v>
      </c>
      <c r="L89" t="str">
        <f t="shared" si="10"/>
        <v>-0.137*</v>
      </c>
    </row>
    <row r="90" spans="1:12" x14ac:dyDescent="0.25">
      <c r="A90" t="str">
        <f>""</f>
        <v/>
      </c>
      <c r="B90" t="str">
        <f>"(-0.853)"</f>
        <v>(-0.853)</v>
      </c>
      <c r="C90" t="str">
        <f>"(-2.096)"</f>
        <v>(-2.096)</v>
      </c>
      <c r="D90" t="str">
        <f>"(-2.156)"</f>
        <v>(-2.156)</v>
      </c>
      <c r="E90" t="str">
        <f>"(-2.249)"</f>
        <v>(-2.249)</v>
      </c>
      <c r="F90" t="str">
        <f>"(-2.249)"</f>
        <v>(-2.249)</v>
      </c>
      <c r="G90" t="str">
        <f>"(-2.249)"</f>
        <v>(-2.249)</v>
      </c>
      <c r="H90" t="str">
        <f>"(-2.257)"</f>
        <v>(-2.257)</v>
      </c>
      <c r="I90" t="str">
        <f>"(-2.249)"</f>
        <v>(-2.249)</v>
      </c>
      <c r="J90" t="str">
        <f>"(-2.249)"</f>
        <v>(-2.249)</v>
      </c>
      <c r="K90" t="str">
        <f>"(-2.249)"</f>
        <v>(-2.249)</v>
      </c>
      <c r="L90" t="str">
        <f>"(-2.251)"</f>
        <v>(-2.251)</v>
      </c>
    </row>
    <row r="91" spans="1:12" x14ac:dyDescent="0.25">
      <c r="A91" t="str">
        <f>"Log likelihood"</f>
        <v>Log likelihood</v>
      </c>
      <c r="B91" t="str">
        <f>"-228711.2944980528"</f>
        <v>-228711.2944980528</v>
      </c>
      <c r="C91" t="str">
        <f>"-206373.8971150814"</f>
        <v>-206373.8971150814</v>
      </c>
      <c r="D91" t="str">
        <f>"-205686.0677670003"</f>
        <v>-205686.0677670003</v>
      </c>
      <c r="E91" t="str">
        <f>"-204718.2295708848"</f>
        <v>-204718.2295708848</v>
      </c>
      <c r="F91" t="str">
        <f>"-204717.958290211"</f>
        <v>-204717.958290211</v>
      </c>
      <c r="G91" t="str">
        <f>"-204720.0011558075"</f>
        <v>-204720.0011558075</v>
      </c>
      <c r="H91" t="str">
        <f>"-204657.372849427"</f>
        <v>-204657.372849427</v>
      </c>
      <c r="I91" t="str">
        <f>"-204729.2110959116"</f>
        <v>-204729.2110959116</v>
      </c>
      <c r="J91" t="str">
        <f>"-204729.1235213414"</f>
        <v>-204729.1235213414</v>
      </c>
      <c r="K91" t="str">
        <f>"-204723.8028257687"</f>
        <v>-204723.8028257687</v>
      </c>
      <c r="L91" t="str">
        <f>"-204692.2750536507"</f>
        <v>-204692.2750536507</v>
      </c>
    </row>
    <row r="92" spans="1:12" x14ac:dyDescent="0.25">
      <c r="A92" t="str">
        <f>"Sample Size"</f>
        <v>Sample Size</v>
      </c>
      <c r="B92" t="str">
        <f>"169386.000"</f>
        <v>169386.000</v>
      </c>
      <c r="C92" t="str">
        <f>"160612.000"</f>
        <v>160612.000</v>
      </c>
      <c r="D92" t="str">
        <f>"160510.000"</f>
        <v>160510.000</v>
      </c>
      <c r="E92" t="str">
        <f t="shared" ref="E92:L92" si="11">"160078.000"</f>
        <v>160078.000</v>
      </c>
      <c r="F92" t="str">
        <f t="shared" si="11"/>
        <v>160078.000</v>
      </c>
      <c r="G92" t="str">
        <f t="shared" si="11"/>
        <v>160078.000</v>
      </c>
      <c r="H92" t="str">
        <f t="shared" si="11"/>
        <v>160078.000</v>
      </c>
      <c r="I92" t="str">
        <f t="shared" si="11"/>
        <v>160078.000</v>
      </c>
      <c r="J92" t="str">
        <f t="shared" si="11"/>
        <v>160078.000</v>
      </c>
      <c r="K92" t="str">
        <f t="shared" si="11"/>
        <v>160078.000</v>
      </c>
      <c r="L92" t="str">
        <f t="shared" si="11"/>
        <v>160078.000</v>
      </c>
    </row>
    <row r="93" spans="1:12" x14ac:dyDescent="0.25">
      <c r="A93" t="str">
        <f>"t statistics in parentheses"</f>
        <v>t statistics in parentheses</v>
      </c>
    </row>
    <row r="94" spans="1:12" x14ac:dyDescent="0.25">
      <c r="A94" t="s">
        <v>336</v>
      </c>
      <c r="B94" t="s">
        <v>337</v>
      </c>
    </row>
  </sheetData>
  <mergeCells count="1">
    <mergeCell ref="A1:L1"/>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10461-FF24-4AB5-AA2E-11A9A3900F2A}">
  <dimension ref="A1:BX33"/>
  <sheetViews>
    <sheetView workbookViewId="0">
      <selection activeCell="A2" sqref="A2"/>
    </sheetView>
  </sheetViews>
  <sheetFormatPr defaultRowHeight="15" x14ac:dyDescent="0.25"/>
  <cols>
    <col min="1" max="1" width="27.140625" bestFit="1" customWidth="1"/>
    <col min="2" max="2" width="9.140625" style="58"/>
    <col min="4" max="5" width="8.85546875" customWidth="1"/>
    <col min="11" max="11" width="10.140625" style="24" bestFit="1" customWidth="1"/>
    <col min="12" max="14" width="10.140625" style="24" customWidth="1"/>
    <col min="15" max="15" width="9.140625" style="24"/>
  </cols>
  <sheetData>
    <row r="1" spans="1:76" x14ac:dyDescent="0.25">
      <c r="A1" s="89" t="s">
        <v>1151</v>
      </c>
      <c r="B1" s="88"/>
      <c r="C1" s="88"/>
      <c r="D1" s="88"/>
      <c r="E1" s="88"/>
      <c r="F1" s="88"/>
      <c r="G1" s="88"/>
      <c r="H1" s="88"/>
      <c r="I1" s="88"/>
      <c r="J1" s="88"/>
      <c r="K1" s="88"/>
      <c r="L1" s="88"/>
      <c r="M1" s="88"/>
      <c r="N1" s="88"/>
      <c r="O1" s="88"/>
      <c r="P1" s="88"/>
      <c r="Q1" s="88"/>
      <c r="R1" s="88"/>
      <c r="S1" s="88"/>
      <c r="T1" s="88"/>
      <c r="U1" s="88"/>
      <c r="V1" s="88"/>
      <c r="W1" s="88"/>
      <c r="X1" s="88"/>
      <c r="AC1" t="s">
        <v>338</v>
      </c>
      <c r="AD1" t="s">
        <v>339</v>
      </c>
      <c r="AE1" t="s">
        <v>340</v>
      </c>
      <c r="AF1" t="s">
        <v>1059</v>
      </c>
      <c r="AG1" t="s">
        <v>539</v>
      </c>
      <c r="AH1" t="s">
        <v>1060</v>
      </c>
      <c r="AI1" t="s">
        <v>1061</v>
      </c>
      <c r="AJ1" t="s">
        <v>190</v>
      </c>
      <c r="AK1" t="s">
        <v>1062</v>
      </c>
      <c r="AL1" t="s">
        <v>1063</v>
      </c>
      <c r="AM1" t="s">
        <v>1064</v>
      </c>
      <c r="AN1" t="s">
        <v>1077</v>
      </c>
      <c r="AO1" t="s">
        <v>1078</v>
      </c>
      <c r="AP1" t="s">
        <v>1079</v>
      </c>
      <c r="AQ1" t="s">
        <v>1065</v>
      </c>
      <c r="AR1" t="s">
        <v>1066</v>
      </c>
      <c r="AS1" t="s">
        <v>1067</v>
      </c>
      <c r="AT1" t="s">
        <v>1068</v>
      </c>
      <c r="AU1" t="s">
        <v>1069</v>
      </c>
      <c r="AV1" t="s">
        <v>1070</v>
      </c>
      <c r="AW1" t="s">
        <v>1071</v>
      </c>
      <c r="AX1" t="s">
        <v>1072</v>
      </c>
      <c r="AY1" t="s">
        <v>1073</v>
      </c>
      <c r="AZ1" t="s">
        <v>1074</v>
      </c>
      <c r="BA1" t="s">
        <v>1048</v>
      </c>
      <c r="BB1" t="s">
        <v>1075</v>
      </c>
      <c r="BC1" t="s">
        <v>1076</v>
      </c>
      <c r="BD1" t="s">
        <v>1080</v>
      </c>
      <c r="BE1" t="s">
        <v>1081</v>
      </c>
      <c r="BF1" t="s">
        <v>1082</v>
      </c>
      <c r="BG1" t="s">
        <v>1083</v>
      </c>
      <c r="BH1" t="s">
        <v>1084</v>
      </c>
      <c r="BI1" t="s">
        <v>1085</v>
      </c>
      <c r="BJ1" t="s">
        <v>1086</v>
      </c>
      <c r="BK1" t="s">
        <v>1087</v>
      </c>
      <c r="BL1" t="s">
        <v>1088</v>
      </c>
      <c r="BM1" t="s">
        <v>1089</v>
      </c>
      <c r="BN1" t="s">
        <v>1090</v>
      </c>
      <c r="BO1" t="s">
        <v>1091</v>
      </c>
      <c r="BP1" t="s">
        <v>1092</v>
      </c>
      <c r="BQ1" t="s">
        <v>1093</v>
      </c>
      <c r="BR1" t="s">
        <v>1094</v>
      </c>
      <c r="BS1" t="s">
        <v>1029</v>
      </c>
      <c r="BT1" t="s">
        <v>1095</v>
      </c>
      <c r="BU1" t="s">
        <v>1096</v>
      </c>
      <c r="BV1" t="s">
        <v>1097</v>
      </c>
      <c r="BW1" t="s">
        <v>1098</v>
      </c>
      <c r="BX1" t="s">
        <v>282</v>
      </c>
    </row>
    <row r="2" spans="1:76" x14ac:dyDescent="0.25">
      <c r="A2" t="s">
        <v>338</v>
      </c>
      <c r="B2" s="58" t="s">
        <v>339</v>
      </c>
      <c r="C2" t="s">
        <v>340</v>
      </c>
      <c r="D2" t="s">
        <v>341</v>
      </c>
      <c r="E2" t="s">
        <v>342</v>
      </c>
      <c r="F2" t="s">
        <v>343</v>
      </c>
      <c r="G2" t="s">
        <v>344</v>
      </c>
      <c r="H2" t="s">
        <v>1126</v>
      </c>
      <c r="I2" t="s">
        <v>345</v>
      </c>
      <c r="J2" t="s">
        <v>346</v>
      </c>
      <c r="K2" s="24" t="s">
        <v>1125</v>
      </c>
      <c r="L2" t="s">
        <v>1129</v>
      </c>
      <c r="M2" s="24" t="s">
        <v>1130</v>
      </c>
      <c r="N2" s="24" t="s">
        <v>1131</v>
      </c>
      <c r="O2" s="24" t="s">
        <v>347</v>
      </c>
      <c r="P2" s="24" t="s">
        <v>348</v>
      </c>
      <c r="Q2" t="s">
        <v>349</v>
      </c>
      <c r="R2" t="s">
        <v>350</v>
      </c>
      <c r="S2" t="s">
        <v>351</v>
      </c>
      <c r="T2" t="s">
        <v>352</v>
      </c>
      <c r="U2" t="s">
        <v>353</v>
      </c>
      <c r="V2" t="s">
        <v>355</v>
      </c>
      <c r="W2" t="s">
        <v>354</v>
      </c>
      <c r="X2" t="s">
        <v>356</v>
      </c>
      <c r="AC2" t="s">
        <v>13</v>
      </c>
      <c r="AD2">
        <v>6600</v>
      </c>
      <c r="AE2">
        <v>-6.1746299999999997E-2</v>
      </c>
      <c r="AF2">
        <v>0.350414</v>
      </c>
      <c r="AG2">
        <v>-0.21809999999999999</v>
      </c>
      <c r="AH2">
        <v>-4.0460700000000002E-2</v>
      </c>
      <c r="AI2">
        <v>-0.62638439999999995</v>
      </c>
      <c r="AJ2">
        <v>0.50368420000000003</v>
      </c>
      <c r="AK2">
        <v>-4.1307400000000001E-2</v>
      </c>
      <c r="AL2">
        <v>-0.1167874</v>
      </c>
      <c r="AM2">
        <v>22461.43</v>
      </c>
      <c r="AN2">
        <v>0.82299999999999995</v>
      </c>
      <c r="AO2">
        <v>-0.1126701</v>
      </c>
      <c r="AP2">
        <v>0.59317620000000004</v>
      </c>
      <c r="AQ2">
        <v>0.1618685</v>
      </c>
      <c r="AR2">
        <v>0.12957650000000001</v>
      </c>
      <c r="AS2">
        <v>9.3588999999999999E-3</v>
      </c>
      <c r="AT2">
        <v>1.7869699999999999E-2</v>
      </c>
      <c r="AU2">
        <v>17.295649999999998</v>
      </c>
      <c r="AV2">
        <v>7.251188</v>
      </c>
      <c r="AW2">
        <v>0.18021200000000001</v>
      </c>
      <c r="AX2">
        <v>0.14352509999999999</v>
      </c>
      <c r="AY2">
        <v>0.14792</v>
      </c>
      <c r="AZ2">
        <v>0.111233</v>
      </c>
      <c r="BA2" t="s">
        <v>13</v>
      </c>
      <c r="BB2" t="s">
        <v>1099</v>
      </c>
      <c r="BC2">
        <v>1</v>
      </c>
      <c r="BD2">
        <v>10.01956</v>
      </c>
      <c r="BE2">
        <v>-0.59564189999999995</v>
      </c>
      <c r="BF2">
        <v>11.4</v>
      </c>
      <c r="BG2">
        <v>62.7</v>
      </c>
      <c r="BH2">
        <v>73.8</v>
      </c>
      <c r="BI2">
        <v>90</v>
      </c>
      <c r="BJ2">
        <v>44.4</v>
      </c>
      <c r="BK2">
        <v>79.400000000000006</v>
      </c>
      <c r="BL2">
        <v>2.5139999999999998</v>
      </c>
      <c r="BM2">
        <v>44.9</v>
      </c>
      <c r="BN2">
        <v>105.1</v>
      </c>
      <c r="BO2">
        <v>4</v>
      </c>
      <c r="BP2">
        <v>41</v>
      </c>
      <c r="BQ2">
        <v>0.03</v>
      </c>
      <c r="BR2">
        <v>0</v>
      </c>
      <c r="BS2">
        <v>0.62738240000000001</v>
      </c>
      <c r="BT2">
        <v>3.0452799999999999E-2</v>
      </c>
      <c r="BU2">
        <v>0.12096</v>
      </c>
      <c r="BV2">
        <v>5.6998E-2</v>
      </c>
      <c r="BW2">
        <v>2.1321639999999999</v>
      </c>
      <c r="BX2">
        <v>0.19805149999999999</v>
      </c>
    </row>
    <row r="3" spans="1:76" x14ac:dyDescent="0.25">
      <c r="A3" t="s">
        <v>13</v>
      </c>
      <c r="B3">
        <v>6600</v>
      </c>
      <c r="C3" s="24">
        <v>-6.1746299999999997E-2</v>
      </c>
      <c r="D3" s="24">
        <v>0.350414</v>
      </c>
      <c r="E3" s="24">
        <v>-0.21809999999999999</v>
      </c>
      <c r="F3" s="24">
        <v>-4.0460700000000002E-2</v>
      </c>
      <c r="G3" s="24">
        <v>-0.62638439999999995</v>
      </c>
      <c r="H3" s="24">
        <v>0.50368420000000003</v>
      </c>
      <c r="I3" s="24">
        <v>-4.1307400000000001E-2</v>
      </c>
      <c r="J3" s="24">
        <v>-0.1167874</v>
      </c>
      <c r="K3" s="59">
        <v>22461.43</v>
      </c>
      <c r="L3">
        <v>0.82299999999999995</v>
      </c>
      <c r="M3" s="24">
        <v>-0.1126701</v>
      </c>
      <c r="N3" s="24">
        <v>0.59317620000000004</v>
      </c>
      <c r="O3" s="24">
        <v>0.1618685</v>
      </c>
      <c r="P3" s="24">
        <v>0.12957650000000001</v>
      </c>
      <c r="Q3" s="24">
        <v>9.3588999999999999E-3</v>
      </c>
      <c r="R3" s="24">
        <v>1.7869699999999999E-2</v>
      </c>
      <c r="S3" s="24">
        <v>17.295649999999998</v>
      </c>
      <c r="T3" s="24">
        <v>7.251188</v>
      </c>
      <c r="U3" s="24">
        <v>0.18021200000000001</v>
      </c>
      <c r="V3" s="24">
        <v>0.14352509999999999</v>
      </c>
      <c r="W3" s="24">
        <v>0.14792</v>
      </c>
      <c r="X3" s="24">
        <v>0.111233</v>
      </c>
      <c r="AC3" t="s">
        <v>31</v>
      </c>
      <c r="AD3">
        <v>3793</v>
      </c>
      <c r="AE3">
        <v>-9.8400500000000002E-2</v>
      </c>
      <c r="AF3">
        <v>-8.80663E-2</v>
      </c>
      <c r="AG3">
        <v>-2.99425E-2</v>
      </c>
      <c r="AH3">
        <v>-0.63105679999999997</v>
      </c>
      <c r="AI3">
        <v>0.46307379999999998</v>
      </c>
      <c r="AJ3">
        <v>0.51881500000000003</v>
      </c>
      <c r="AK3">
        <v>-0.33414830000000001</v>
      </c>
      <c r="AL3">
        <v>-0.76527769999999995</v>
      </c>
      <c r="AM3">
        <v>51090.28</v>
      </c>
      <c r="AN3">
        <v>0.85799999999999998</v>
      </c>
      <c r="AO3">
        <v>0.90378809999999998</v>
      </c>
      <c r="AP3">
        <v>1.498864</v>
      </c>
      <c r="AQ3">
        <v>0.19935249999999999</v>
      </c>
      <c r="AR3">
        <v>6.5022200000000002E-2</v>
      </c>
      <c r="AS3">
        <v>1.29841E-2</v>
      </c>
      <c r="AT3">
        <v>1.7922400000000002E-2</v>
      </c>
      <c r="AU3">
        <v>15.353529999999999</v>
      </c>
      <c r="AV3">
        <v>3.6279789999999998</v>
      </c>
      <c r="AW3">
        <v>0.22480149999999999</v>
      </c>
      <c r="AX3">
        <v>0.17390359999999999</v>
      </c>
      <c r="AY3">
        <v>9.0471200000000002E-2</v>
      </c>
      <c r="AZ3">
        <v>3.9573299999999999E-2</v>
      </c>
      <c r="BA3" t="s">
        <v>31</v>
      </c>
      <c r="BB3" t="s">
        <v>1100</v>
      </c>
      <c r="BC3">
        <v>2</v>
      </c>
      <c r="BD3">
        <v>10.84135</v>
      </c>
      <c r="BE3">
        <v>-1.1767350000000001</v>
      </c>
      <c r="BF3">
        <v>12.8</v>
      </c>
      <c r="BG3">
        <v>75.2</v>
      </c>
      <c r="BH3">
        <v>100</v>
      </c>
      <c r="BI3">
        <v>94</v>
      </c>
      <c r="BJ3">
        <v>44.5</v>
      </c>
      <c r="BK3">
        <v>96.9</v>
      </c>
      <c r="BL3">
        <v>3.7029999999999998</v>
      </c>
      <c r="BM3">
        <v>2.9</v>
      </c>
      <c r="BN3">
        <v>105.6</v>
      </c>
      <c r="BO3">
        <v>3</v>
      </c>
      <c r="BP3">
        <v>54</v>
      </c>
      <c r="BQ3">
        <v>0</v>
      </c>
      <c r="BR3">
        <v>0</v>
      </c>
      <c r="BS3">
        <v>0.80134300000000003</v>
      </c>
      <c r="BT3">
        <v>2.5130900000000001E-2</v>
      </c>
      <c r="BU3">
        <v>4.0648999999999998E-2</v>
      </c>
      <c r="BV3">
        <v>9.1559999999999992E-3</v>
      </c>
      <c r="BW3">
        <v>1.732315</v>
      </c>
      <c r="BX3">
        <v>0.26288539999999999</v>
      </c>
    </row>
    <row r="4" spans="1:76" x14ac:dyDescent="0.25">
      <c r="A4" t="s">
        <v>31</v>
      </c>
      <c r="B4">
        <v>3793</v>
      </c>
      <c r="C4" s="24">
        <v>-9.8400500000000002E-2</v>
      </c>
      <c r="D4" s="24">
        <v>-8.80663E-2</v>
      </c>
      <c r="E4" s="24">
        <v>-2.99425E-2</v>
      </c>
      <c r="F4" s="24">
        <v>-0.63105679999999997</v>
      </c>
      <c r="G4" s="24">
        <v>0.46307379999999998</v>
      </c>
      <c r="H4" s="24">
        <v>0.51881500000000003</v>
      </c>
      <c r="I4" s="24">
        <v>-0.33414830000000001</v>
      </c>
      <c r="J4" s="24">
        <v>-0.76527769999999995</v>
      </c>
      <c r="K4" s="59">
        <v>51090.28</v>
      </c>
      <c r="L4">
        <v>0.85799999999999998</v>
      </c>
      <c r="M4" s="24">
        <v>0.90378809999999998</v>
      </c>
      <c r="N4" s="24">
        <v>1.498864</v>
      </c>
      <c r="O4" s="24">
        <v>0.19935249999999999</v>
      </c>
      <c r="P4" s="24">
        <v>6.5022200000000002E-2</v>
      </c>
      <c r="Q4" s="24">
        <v>1.29841E-2</v>
      </c>
      <c r="R4" s="24">
        <v>1.7922400000000002E-2</v>
      </c>
      <c r="S4" s="24">
        <v>15.353529999999999</v>
      </c>
      <c r="T4" s="24">
        <v>3.6279789999999998</v>
      </c>
      <c r="U4" s="24">
        <v>0.22480149999999999</v>
      </c>
      <c r="V4" s="24">
        <v>0.17390359999999999</v>
      </c>
      <c r="W4" s="24">
        <v>9.0471200000000002E-2</v>
      </c>
      <c r="X4" s="24">
        <v>3.9573299999999999E-2</v>
      </c>
      <c r="AC4" t="s">
        <v>42</v>
      </c>
      <c r="AD4">
        <v>11689</v>
      </c>
      <c r="AE4">
        <v>-3.2569599999999997E-2</v>
      </c>
      <c r="AF4">
        <v>0.29057569999999999</v>
      </c>
      <c r="AG4">
        <v>-0.4352684</v>
      </c>
      <c r="AH4">
        <v>0.32798509999999997</v>
      </c>
      <c r="AI4">
        <v>-0.50698449999999995</v>
      </c>
      <c r="AJ4">
        <v>0.50891019999999998</v>
      </c>
      <c r="AK4">
        <v>0.27640969999999998</v>
      </c>
      <c r="AL4">
        <v>0.34820830000000003</v>
      </c>
      <c r="AM4">
        <v>15093.46</v>
      </c>
      <c r="AN4">
        <v>0.67800000000000005</v>
      </c>
      <c r="AO4">
        <v>-1.30781E-2</v>
      </c>
      <c r="AP4">
        <v>-0.33954699999999999</v>
      </c>
      <c r="AQ4">
        <v>0.23939379999999999</v>
      </c>
      <c r="AR4">
        <v>0.2050003</v>
      </c>
      <c r="AS4">
        <v>9.0220000000000005E-3</v>
      </c>
      <c r="AT4">
        <v>1.3350000000000001E-2</v>
      </c>
      <c r="AU4">
        <v>26.53444</v>
      </c>
      <c r="AV4">
        <v>15.355790000000001</v>
      </c>
      <c r="AW4">
        <v>0.2570769</v>
      </c>
      <c r="AX4">
        <v>0.22171070000000001</v>
      </c>
      <c r="AY4">
        <v>0.2226834</v>
      </c>
      <c r="AZ4">
        <v>0.18731719999999999</v>
      </c>
      <c r="BA4" t="s">
        <v>42</v>
      </c>
      <c r="BB4" t="s">
        <v>1101</v>
      </c>
      <c r="BC4">
        <v>3</v>
      </c>
      <c r="BD4">
        <v>9.6220169999999996</v>
      </c>
      <c r="BE4">
        <v>-0.23554079999999999</v>
      </c>
      <c r="BF4">
        <v>8.3000000000000007</v>
      </c>
      <c r="BG4">
        <v>54.5</v>
      </c>
      <c r="BH4">
        <v>80.900000000000006</v>
      </c>
      <c r="BI4">
        <v>91</v>
      </c>
      <c r="BJ4">
        <v>17.7</v>
      </c>
      <c r="BK4">
        <v>85</v>
      </c>
      <c r="BL4">
        <v>2.2090000000000001</v>
      </c>
      <c r="BM4">
        <v>72.2</v>
      </c>
      <c r="BN4">
        <v>104.5</v>
      </c>
      <c r="BO4">
        <v>6</v>
      </c>
      <c r="BP4">
        <v>39</v>
      </c>
      <c r="BQ4">
        <v>0.29799999999999999</v>
      </c>
      <c r="BR4">
        <v>42.9</v>
      </c>
      <c r="BS4">
        <v>0.66985039999999996</v>
      </c>
      <c r="BT4">
        <v>3.97939E-2</v>
      </c>
      <c r="BU4">
        <v>5.3746000000000002E-2</v>
      </c>
      <c r="BV4">
        <v>2.0559000000000001E-2</v>
      </c>
      <c r="BW4">
        <v>1.9649350000000001</v>
      </c>
      <c r="BX4">
        <v>0.20437669999999999</v>
      </c>
    </row>
    <row r="5" spans="1:76" x14ac:dyDescent="0.25">
      <c r="A5" t="s">
        <v>42</v>
      </c>
      <c r="B5">
        <v>11689</v>
      </c>
      <c r="C5" s="24">
        <v>-3.2569599999999997E-2</v>
      </c>
      <c r="D5" s="24">
        <v>0.29057569999999999</v>
      </c>
      <c r="E5" s="24">
        <v>-0.4352684</v>
      </c>
      <c r="F5" s="24">
        <v>0.32798509999999997</v>
      </c>
      <c r="G5" s="24">
        <v>-0.50698449999999995</v>
      </c>
      <c r="H5" s="24">
        <v>0.50891019999999998</v>
      </c>
      <c r="I5" s="24">
        <v>0.27640969999999998</v>
      </c>
      <c r="J5" s="24">
        <v>0.34820830000000003</v>
      </c>
      <c r="K5" s="59">
        <v>15093.46</v>
      </c>
      <c r="L5">
        <v>0.67800000000000005</v>
      </c>
      <c r="M5" s="24">
        <v>-1.30781E-2</v>
      </c>
      <c r="N5" s="24">
        <v>-0.33954699999999999</v>
      </c>
      <c r="O5" s="24">
        <v>0.23939379999999999</v>
      </c>
      <c r="P5" s="24">
        <v>0.2050003</v>
      </c>
      <c r="Q5" s="24">
        <v>9.0220000000000005E-3</v>
      </c>
      <c r="R5" s="24">
        <v>1.3350000000000001E-2</v>
      </c>
      <c r="S5" s="24">
        <v>26.53444</v>
      </c>
      <c r="T5" s="24">
        <v>15.355790000000001</v>
      </c>
      <c r="U5" s="24">
        <v>0.2570769</v>
      </c>
      <c r="V5" s="24">
        <v>0.22171070000000001</v>
      </c>
      <c r="W5" s="24">
        <v>0.2226834</v>
      </c>
      <c r="X5" s="24">
        <v>0.18731719999999999</v>
      </c>
      <c r="AC5" t="s">
        <v>50</v>
      </c>
      <c r="AD5">
        <v>4708</v>
      </c>
      <c r="AE5">
        <v>0.47593829999999998</v>
      </c>
      <c r="AF5">
        <v>7.2245400000000001E-2</v>
      </c>
      <c r="AG5">
        <v>-0.43026959999999997</v>
      </c>
      <c r="AH5">
        <v>1.1588879999999999</v>
      </c>
      <c r="AI5">
        <v>-0.18092</v>
      </c>
      <c r="AJ5">
        <v>0.24180960000000001</v>
      </c>
      <c r="AK5">
        <v>0.26962360000000002</v>
      </c>
      <c r="AL5">
        <v>0.57747890000000002</v>
      </c>
      <c r="AM5">
        <v>12780.76</v>
      </c>
      <c r="AN5">
        <v>0.17499999999999999</v>
      </c>
      <c r="AO5">
        <v>-0.59779289999999996</v>
      </c>
      <c r="AP5">
        <v>-0.23816409999999999</v>
      </c>
      <c r="AQ5">
        <v>8.9504500000000001E-2</v>
      </c>
      <c r="AR5">
        <v>9.5918000000000003E-2</v>
      </c>
      <c r="AS5">
        <v>2.87899E-2</v>
      </c>
      <c r="AT5">
        <v>1.52546E-2</v>
      </c>
      <c r="AU5">
        <v>3.1088870000000002</v>
      </c>
      <c r="AV5">
        <v>6.2877980000000004</v>
      </c>
      <c r="AW5">
        <v>0.1459327</v>
      </c>
      <c r="AX5">
        <v>3.3076300000000003E-2</v>
      </c>
      <c r="AY5">
        <v>0.15234619999999999</v>
      </c>
      <c r="AZ5">
        <v>3.9489900000000001E-2</v>
      </c>
      <c r="BA5" t="s">
        <v>50</v>
      </c>
      <c r="BB5" t="s">
        <v>1102</v>
      </c>
      <c r="BC5">
        <v>4</v>
      </c>
      <c r="BD5">
        <v>9.4556959999999997</v>
      </c>
      <c r="BE5">
        <v>1.44657E-2</v>
      </c>
      <c r="BF5">
        <v>9.8000000000000007</v>
      </c>
      <c r="BG5">
        <v>17.7</v>
      </c>
      <c r="BH5">
        <v>24.2</v>
      </c>
      <c r="BI5">
        <v>80</v>
      </c>
      <c r="BJ5">
        <v>22.9</v>
      </c>
      <c r="BK5">
        <v>50.6</v>
      </c>
      <c r="BL5">
        <v>1.659</v>
      </c>
      <c r="BM5">
        <v>16.8</v>
      </c>
      <c r="BN5">
        <v>105.4</v>
      </c>
      <c r="BO5">
        <v>15</v>
      </c>
      <c r="BP5">
        <v>80</v>
      </c>
      <c r="BQ5">
        <v>5.0000000000000001E-3</v>
      </c>
      <c r="BR5">
        <v>5</v>
      </c>
      <c r="BS5">
        <v>0.86084450000000001</v>
      </c>
      <c r="BT5">
        <v>0.1031244</v>
      </c>
      <c r="BU5">
        <v>4.9585999999999998E-2</v>
      </c>
      <c r="BV5">
        <v>1.7940000000000001E-2</v>
      </c>
      <c r="BW5">
        <v>2.0301480000000001</v>
      </c>
      <c r="BX5">
        <v>8.6273500000000003E-2</v>
      </c>
    </row>
    <row r="6" spans="1:76" x14ac:dyDescent="0.25">
      <c r="A6" t="s">
        <v>50</v>
      </c>
      <c r="B6">
        <v>4708</v>
      </c>
      <c r="C6" s="24">
        <v>0.47593829999999998</v>
      </c>
      <c r="D6" s="24">
        <v>7.2245400000000001E-2</v>
      </c>
      <c r="E6" s="24">
        <v>-0.43026959999999997</v>
      </c>
      <c r="F6" s="24">
        <v>1.1588879999999999</v>
      </c>
      <c r="G6" s="24">
        <v>-0.18092</v>
      </c>
      <c r="H6" s="24">
        <v>0.24180960000000001</v>
      </c>
      <c r="I6" s="24">
        <v>0.26962360000000002</v>
      </c>
      <c r="J6" s="24">
        <v>0.57747890000000002</v>
      </c>
      <c r="K6" s="59">
        <v>12780.76</v>
      </c>
      <c r="L6">
        <v>0.17499999999999999</v>
      </c>
      <c r="M6" s="24">
        <v>-0.59779289999999996</v>
      </c>
      <c r="N6" s="24">
        <v>-0.23816409999999999</v>
      </c>
      <c r="O6" s="24">
        <v>8.9504500000000001E-2</v>
      </c>
      <c r="P6" s="24">
        <v>9.5918000000000003E-2</v>
      </c>
      <c r="Q6" s="24">
        <v>2.87899E-2</v>
      </c>
      <c r="R6" s="24">
        <v>1.52546E-2</v>
      </c>
      <c r="S6" s="24">
        <v>3.1088870000000002</v>
      </c>
      <c r="T6" s="24">
        <v>6.2877980000000004</v>
      </c>
      <c r="U6" s="24">
        <v>0.1459327</v>
      </c>
      <c r="V6" s="24">
        <v>3.3076300000000003E-2</v>
      </c>
      <c r="W6" s="24">
        <v>0.15234619999999999</v>
      </c>
      <c r="X6" s="24">
        <v>3.9489900000000001E-2</v>
      </c>
      <c r="AC6" t="s">
        <v>55</v>
      </c>
      <c r="AD6">
        <v>9389</v>
      </c>
      <c r="AE6">
        <v>-3.5450099999999998E-2</v>
      </c>
      <c r="AF6">
        <v>-0.1136929</v>
      </c>
      <c r="AG6">
        <v>0.2113738</v>
      </c>
      <c r="AH6">
        <v>-0.70767630000000004</v>
      </c>
      <c r="AI6">
        <v>0.26074459999999999</v>
      </c>
      <c r="AJ6">
        <v>0.41893580000000002</v>
      </c>
      <c r="AK6">
        <v>-0.48327019999999998</v>
      </c>
      <c r="AL6">
        <v>-0.62451219999999996</v>
      </c>
      <c r="AM6">
        <v>53969.61</v>
      </c>
      <c r="AN6">
        <v>0.85699999999999998</v>
      </c>
      <c r="AO6">
        <v>1.2692079999999999</v>
      </c>
      <c r="AP6">
        <v>1.289339</v>
      </c>
      <c r="AQ6">
        <v>0.16690430000000001</v>
      </c>
      <c r="AR6">
        <v>6.9872900000000002E-2</v>
      </c>
      <c r="AS6">
        <v>8.3596E-3</v>
      </c>
      <c r="AT6">
        <v>1.05527E-2</v>
      </c>
      <c r="AU6">
        <v>19.965499999999999</v>
      </c>
      <c r="AV6">
        <v>6.6213360000000003</v>
      </c>
      <c r="AW6">
        <v>0.18328920000000001</v>
      </c>
      <c r="AX6">
        <v>0.1505194</v>
      </c>
      <c r="AY6">
        <v>8.6257799999999996E-2</v>
      </c>
      <c r="AZ6">
        <v>5.3488000000000001E-2</v>
      </c>
      <c r="BA6" t="s">
        <v>55</v>
      </c>
      <c r="BB6" t="s">
        <v>1103</v>
      </c>
      <c r="BC6">
        <v>5</v>
      </c>
      <c r="BD6">
        <v>10.896179999999999</v>
      </c>
      <c r="BE6">
        <v>-1.085448</v>
      </c>
      <c r="BF6">
        <v>13.8</v>
      </c>
      <c r="BG6">
        <v>76.900000000000006</v>
      </c>
      <c r="BH6">
        <v>100</v>
      </c>
      <c r="BI6">
        <v>88</v>
      </c>
      <c r="BJ6">
        <v>35.5</v>
      </c>
      <c r="BK6">
        <v>100</v>
      </c>
      <c r="BL6">
        <v>3.9009999999999998</v>
      </c>
      <c r="BM6">
        <v>4.4000000000000004</v>
      </c>
      <c r="BN6">
        <v>105.6</v>
      </c>
      <c r="BO6">
        <v>3</v>
      </c>
      <c r="BP6">
        <v>71</v>
      </c>
      <c r="BQ6">
        <v>7.0000000000000001E-3</v>
      </c>
      <c r="BR6">
        <v>0</v>
      </c>
      <c r="BS6">
        <v>0.80791069999999998</v>
      </c>
      <c r="BT6">
        <v>2.5962800000000001E-2</v>
      </c>
      <c r="BU6">
        <v>6.6131999999999996E-2</v>
      </c>
      <c r="BV6">
        <v>3.4329999999999999E-2</v>
      </c>
      <c r="BW6">
        <v>1.887372</v>
      </c>
      <c r="BX6">
        <v>0.11544409999999999</v>
      </c>
    </row>
    <row r="7" spans="1:76" x14ac:dyDescent="0.25">
      <c r="A7" t="s">
        <v>55</v>
      </c>
      <c r="B7">
        <v>9389</v>
      </c>
      <c r="C7" s="24">
        <v>-3.5450099999999998E-2</v>
      </c>
      <c r="D7" s="24">
        <v>-0.1136929</v>
      </c>
      <c r="E7" s="24">
        <v>0.2113738</v>
      </c>
      <c r="F7" s="24">
        <v>-0.70767630000000004</v>
      </c>
      <c r="G7" s="24">
        <v>0.26074459999999999</v>
      </c>
      <c r="H7" s="24">
        <v>0.41893580000000002</v>
      </c>
      <c r="I7" s="24">
        <v>-0.48327019999999998</v>
      </c>
      <c r="J7" s="24">
        <v>-0.62451219999999996</v>
      </c>
      <c r="K7" s="59">
        <v>53969.61</v>
      </c>
      <c r="L7">
        <v>0.85699999999999998</v>
      </c>
      <c r="M7" s="24">
        <v>1.2692079999999999</v>
      </c>
      <c r="N7" s="24">
        <v>1.289339</v>
      </c>
      <c r="O7" s="24">
        <v>0.16690430000000001</v>
      </c>
      <c r="P7" s="24">
        <v>6.9872900000000002E-2</v>
      </c>
      <c r="Q7" s="24">
        <v>8.3596E-3</v>
      </c>
      <c r="R7" s="24">
        <v>1.05527E-2</v>
      </c>
      <c r="S7" s="24">
        <v>19.965499999999999</v>
      </c>
      <c r="T7" s="24">
        <v>6.6213360000000003</v>
      </c>
      <c r="U7" s="24">
        <v>0.18328920000000001</v>
      </c>
      <c r="V7" s="24">
        <v>0.1505194</v>
      </c>
      <c r="W7" s="24">
        <v>8.6257799999999996E-2</v>
      </c>
      <c r="X7" s="24">
        <v>5.3488000000000001E-2</v>
      </c>
      <c r="AC7" t="s">
        <v>298</v>
      </c>
      <c r="AD7">
        <v>12596</v>
      </c>
      <c r="AE7">
        <v>0.41868280000000002</v>
      </c>
      <c r="AF7">
        <v>3.8445800000000002E-2</v>
      </c>
      <c r="AG7">
        <v>-0.2290054</v>
      </c>
      <c r="AH7">
        <v>1.1128849999999999</v>
      </c>
      <c r="AI7">
        <v>-0.55558269999999998</v>
      </c>
      <c r="AJ7">
        <v>0.33933790000000003</v>
      </c>
      <c r="AK7">
        <v>0.35498879999999999</v>
      </c>
      <c r="AL7">
        <v>0.68162259999999997</v>
      </c>
      <c r="AM7">
        <v>7112.0370000000003</v>
      </c>
      <c r="AN7">
        <v>0.39900000000000002</v>
      </c>
      <c r="AO7">
        <v>-0.44278899999999999</v>
      </c>
      <c r="AP7">
        <v>-0.57610729999999999</v>
      </c>
      <c r="AQ7">
        <v>0.1266302</v>
      </c>
      <c r="AR7">
        <v>6.9469199999999995E-2</v>
      </c>
      <c r="AS7">
        <v>2.0493600000000001E-2</v>
      </c>
      <c r="AT7">
        <v>9.3197000000000002E-3</v>
      </c>
      <c r="AU7">
        <v>6.1790029999999998</v>
      </c>
      <c r="AV7">
        <v>7.4540319999999998</v>
      </c>
      <c r="AW7">
        <v>0.16679769999999999</v>
      </c>
      <c r="AX7">
        <v>8.6462700000000003E-2</v>
      </c>
      <c r="AY7">
        <v>0.1096367</v>
      </c>
      <c r="AZ7">
        <v>2.93017E-2</v>
      </c>
      <c r="BA7" t="s">
        <v>298</v>
      </c>
      <c r="BB7" t="s">
        <v>1104</v>
      </c>
      <c r="BC7">
        <v>7</v>
      </c>
      <c r="BD7">
        <v>8.8695439999999994</v>
      </c>
      <c r="BE7">
        <v>0.16813929999999999</v>
      </c>
      <c r="BF7">
        <v>6.3</v>
      </c>
      <c r="BG7">
        <v>34.6</v>
      </c>
      <c r="BH7">
        <v>77.599999999999994</v>
      </c>
      <c r="BI7">
        <v>55</v>
      </c>
      <c r="BJ7">
        <v>14.7</v>
      </c>
      <c r="BK7">
        <v>74.400000000000006</v>
      </c>
      <c r="BL7">
        <v>2.3959999999999999</v>
      </c>
      <c r="BM7">
        <v>102.7</v>
      </c>
      <c r="BN7">
        <v>107.5</v>
      </c>
      <c r="BO7">
        <v>18</v>
      </c>
      <c r="BP7">
        <v>58</v>
      </c>
      <c r="BQ7">
        <v>1.7999999999999999E-2</v>
      </c>
      <c r="BR7">
        <v>11.6</v>
      </c>
      <c r="BS7">
        <v>0.70698079999999996</v>
      </c>
      <c r="BT7">
        <v>0.119149</v>
      </c>
      <c r="BU7">
        <v>4.2202000000000003E-2</v>
      </c>
      <c r="BV7">
        <v>2.3543999999999999E-2</v>
      </c>
      <c r="BW7">
        <v>2.1438920000000001</v>
      </c>
      <c r="BX7">
        <v>0.1223764</v>
      </c>
    </row>
    <row r="8" spans="1:76" x14ac:dyDescent="0.25">
      <c r="A8" t="s">
        <v>298</v>
      </c>
      <c r="B8">
        <v>12596</v>
      </c>
      <c r="C8" s="24">
        <v>0.41868280000000002</v>
      </c>
      <c r="D8" s="24">
        <v>3.8445800000000002E-2</v>
      </c>
      <c r="E8" s="24">
        <v>-0.2290054</v>
      </c>
      <c r="F8" s="24">
        <v>1.1128849999999999</v>
      </c>
      <c r="G8" s="24">
        <v>-0.55558269999999998</v>
      </c>
      <c r="H8" s="24">
        <v>0.33933790000000003</v>
      </c>
      <c r="I8" s="24">
        <v>0.35498879999999999</v>
      </c>
      <c r="J8" s="24">
        <v>0.68162259999999997</v>
      </c>
      <c r="K8" s="59">
        <v>7112.0370000000003</v>
      </c>
      <c r="L8">
        <v>0.39900000000000002</v>
      </c>
      <c r="M8" s="24">
        <v>-0.44278899999999999</v>
      </c>
      <c r="N8" s="24">
        <v>-0.57610729999999999</v>
      </c>
      <c r="O8" s="24">
        <v>0.1266302</v>
      </c>
      <c r="P8" s="24">
        <v>6.9469199999999995E-2</v>
      </c>
      <c r="Q8" s="24">
        <v>2.0493600000000001E-2</v>
      </c>
      <c r="R8" s="24">
        <v>9.3197000000000002E-3</v>
      </c>
      <c r="S8" s="24">
        <v>6.1790029999999998</v>
      </c>
      <c r="T8" s="24">
        <v>7.4540319999999998</v>
      </c>
      <c r="U8" s="24">
        <v>0.16679769999999999</v>
      </c>
      <c r="V8" s="24">
        <v>8.6462700000000003E-2</v>
      </c>
      <c r="W8" s="24">
        <v>0.1096367</v>
      </c>
      <c r="X8" s="24">
        <v>2.93017E-2</v>
      </c>
      <c r="AC8" t="s">
        <v>295</v>
      </c>
      <c r="AD8">
        <v>6897</v>
      </c>
      <c r="AE8">
        <v>0.48908879999999999</v>
      </c>
      <c r="AF8">
        <v>0.64851879999999995</v>
      </c>
      <c r="AG8">
        <v>0.3499506</v>
      </c>
      <c r="AH8">
        <v>0.66146439999999995</v>
      </c>
      <c r="AI8">
        <v>0.20599919999999999</v>
      </c>
      <c r="AJ8">
        <v>0.54473720000000003</v>
      </c>
      <c r="AK8">
        <v>0.80331649999999999</v>
      </c>
      <c r="AL8">
        <v>0.94366760000000005</v>
      </c>
      <c r="AM8">
        <v>12409.75</v>
      </c>
      <c r="AN8">
        <v>0.57399999999999995</v>
      </c>
      <c r="AO8">
        <v>-0.98824469999999998</v>
      </c>
      <c r="AP8">
        <v>0.13357350000000001</v>
      </c>
      <c r="AQ8">
        <v>0.1385873</v>
      </c>
      <c r="AR8">
        <v>0.1916012</v>
      </c>
      <c r="AS8">
        <v>1.8511199999999998E-2</v>
      </c>
      <c r="AT8">
        <v>1.5587500000000001E-2</v>
      </c>
      <c r="AU8">
        <v>7.4866520000000003</v>
      </c>
      <c r="AV8">
        <v>12.29196</v>
      </c>
      <c r="AW8">
        <v>0.17486930000000001</v>
      </c>
      <c r="AX8">
        <v>0.1023052</v>
      </c>
      <c r="AY8">
        <v>0.22788330000000001</v>
      </c>
      <c r="AZ8">
        <v>0.15531919999999999</v>
      </c>
      <c r="BA8" t="s">
        <v>295</v>
      </c>
      <c r="BB8" t="s">
        <v>1105</v>
      </c>
      <c r="BC8">
        <v>8</v>
      </c>
      <c r="BD8">
        <v>9.4262379999999997</v>
      </c>
      <c r="BE8">
        <v>0.14061570000000001</v>
      </c>
      <c r="BF8">
        <v>8.1999999999999993</v>
      </c>
      <c r="BG8">
        <v>58.7</v>
      </c>
      <c r="BH8">
        <v>52.3</v>
      </c>
      <c r="BI8">
        <v>71</v>
      </c>
      <c r="BJ8">
        <v>21.6</v>
      </c>
      <c r="BK8">
        <v>70.599999999999994</v>
      </c>
      <c r="BL8">
        <v>2.2810000000000001</v>
      </c>
      <c r="BM8">
        <v>172.9</v>
      </c>
      <c r="BN8">
        <v>106.1</v>
      </c>
      <c r="BO8">
        <v>9</v>
      </c>
      <c r="BP8">
        <v>73</v>
      </c>
      <c r="BQ8">
        <v>0</v>
      </c>
      <c r="BR8">
        <v>14.3</v>
      </c>
      <c r="BS8">
        <v>0.80678810000000001</v>
      </c>
      <c r="BT8">
        <v>0.1067389</v>
      </c>
      <c r="BU8">
        <v>1.8411E-2</v>
      </c>
      <c r="BV8">
        <v>1.0573000000000001E-2</v>
      </c>
      <c r="BW8">
        <v>1.626808</v>
      </c>
      <c r="BX8">
        <v>7.0280899999999993E-2</v>
      </c>
    </row>
    <row r="9" spans="1:76" x14ac:dyDescent="0.25">
      <c r="A9" t="s">
        <v>295</v>
      </c>
      <c r="B9">
        <v>6897</v>
      </c>
      <c r="C9" s="24">
        <v>0.48908879999999999</v>
      </c>
      <c r="D9" s="24">
        <v>0.64851879999999995</v>
      </c>
      <c r="E9" s="24">
        <v>0.3499506</v>
      </c>
      <c r="F9" s="24">
        <v>0.66146439999999995</v>
      </c>
      <c r="G9" s="24">
        <v>0.20599919999999999</v>
      </c>
      <c r="H9" s="24">
        <v>0.54473720000000003</v>
      </c>
      <c r="I9" s="24">
        <v>0.80331649999999999</v>
      </c>
      <c r="J9" s="24">
        <v>0.94366760000000005</v>
      </c>
      <c r="K9" s="59">
        <v>12409.75</v>
      </c>
      <c r="L9">
        <v>0.57399999999999995</v>
      </c>
      <c r="M9" s="24">
        <v>-0.98824469999999998</v>
      </c>
      <c r="N9" s="24">
        <v>0.13357350000000001</v>
      </c>
      <c r="O9" s="24">
        <v>0.1385873</v>
      </c>
      <c r="P9" s="24">
        <v>0.1916012</v>
      </c>
      <c r="Q9" s="24">
        <v>1.8511199999999998E-2</v>
      </c>
      <c r="R9" s="24">
        <v>1.5587500000000001E-2</v>
      </c>
      <c r="S9" s="24">
        <v>7.4866520000000003</v>
      </c>
      <c r="T9" s="24">
        <v>12.29196</v>
      </c>
      <c r="U9" s="24">
        <v>0.17486930000000001</v>
      </c>
      <c r="V9" s="24">
        <v>0.1023052</v>
      </c>
      <c r="W9" s="24">
        <v>0.22788330000000001</v>
      </c>
      <c r="X9" s="24">
        <v>0.15531919999999999</v>
      </c>
      <c r="AC9" t="s">
        <v>300</v>
      </c>
      <c r="AD9">
        <v>3583</v>
      </c>
      <c r="AE9">
        <v>0.2381347</v>
      </c>
      <c r="AF9">
        <v>0.37675599999999998</v>
      </c>
      <c r="AG9">
        <v>0.36316759999999998</v>
      </c>
      <c r="AH9">
        <v>-7.0045099999999999E-2</v>
      </c>
      <c r="AI9">
        <v>0.35952460000000003</v>
      </c>
      <c r="AJ9">
        <v>0.61905600000000005</v>
      </c>
      <c r="AK9">
        <v>-3.04912E-2</v>
      </c>
      <c r="AL9">
        <v>0.17298910000000001</v>
      </c>
      <c r="AM9">
        <v>44393.3</v>
      </c>
      <c r="AN9">
        <v>0.72299999999999998</v>
      </c>
      <c r="AO9">
        <v>0.52157319999999996</v>
      </c>
      <c r="AP9">
        <v>0.15385009999999999</v>
      </c>
      <c r="AQ9">
        <v>9.6199099999999996E-2</v>
      </c>
      <c r="AR9">
        <v>5.5890000000000002E-2</v>
      </c>
      <c r="AS9">
        <v>1.8619500000000001E-2</v>
      </c>
      <c r="AT9">
        <v>2.1514800000000001E-2</v>
      </c>
      <c r="AU9">
        <v>5.166569</v>
      </c>
      <c r="AV9">
        <v>2.5977459999999999</v>
      </c>
      <c r="AW9">
        <v>0.13269339999999999</v>
      </c>
      <c r="AX9">
        <v>5.9704800000000002E-2</v>
      </c>
      <c r="AY9">
        <v>9.2384300000000003E-2</v>
      </c>
      <c r="AZ9">
        <v>1.9395800000000001E-2</v>
      </c>
      <c r="BA9" t="s">
        <v>300</v>
      </c>
      <c r="BB9" t="s">
        <v>1106</v>
      </c>
      <c r="BC9">
        <v>9</v>
      </c>
      <c r="BD9">
        <v>10.700839999999999</v>
      </c>
      <c r="BE9">
        <v>-1.208272</v>
      </c>
      <c r="BF9">
        <v>13.4</v>
      </c>
      <c r="BG9">
        <v>74</v>
      </c>
      <c r="BH9">
        <v>91.9</v>
      </c>
      <c r="BI9">
        <v>96</v>
      </c>
      <c r="BJ9">
        <v>24.2</v>
      </c>
      <c r="BK9">
        <v>80.599999999999994</v>
      </c>
      <c r="BL9">
        <v>3.4420000000000002</v>
      </c>
      <c r="BM9">
        <v>2.8</v>
      </c>
      <c r="BN9">
        <v>105.4</v>
      </c>
      <c r="BO9">
        <v>6</v>
      </c>
      <c r="BP9">
        <v>77</v>
      </c>
      <c r="BQ9">
        <v>6.6000000000000003E-2</v>
      </c>
      <c r="BR9">
        <v>97.2</v>
      </c>
      <c r="BS9">
        <v>0.87213309999999999</v>
      </c>
      <c r="BT9">
        <v>3.5617000000000003E-2</v>
      </c>
      <c r="BU9">
        <v>5.4348E-2</v>
      </c>
      <c r="BV9">
        <v>1.5206000000000001E-2</v>
      </c>
      <c r="BW9">
        <v>2.0609030000000002</v>
      </c>
    </row>
    <row r="10" spans="1:76" x14ac:dyDescent="0.25">
      <c r="A10" t="s">
        <v>300</v>
      </c>
      <c r="B10">
        <v>3583</v>
      </c>
      <c r="C10" s="24">
        <v>0.2381347</v>
      </c>
      <c r="D10" s="24">
        <v>0.37675599999999998</v>
      </c>
      <c r="E10" s="24">
        <v>0.36316759999999998</v>
      </c>
      <c r="F10" s="24">
        <v>-7.0045099999999999E-2</v>
      </c>
      <c r="G10" s="24">
        <v>0.35952460000000003</v>
      </c>
      <c r="H10" s="24">
        <v>0.61905600000000005</v>
      </c>
      <c r="I10" s="24">
        <v>-3.04912E-2</v>
      </c>
      <c r="J10" s="24">
        <v>0.17298910000000001</v>
      </c>
      <c r="K10" s="59">
        <v>44393.3</v>
      </c>
      <c r="L10">
        <v>0.72299999999999998</v>
      </c>
      <c r="M10" s="24">
        <v>0.52157319999999996</v>
      </c>
      <c r="N10" s="24">
        <v>0.15385009999999999</v>
      </c>
      <c r="O10" s="24">
        <v>9.6199099999999996E-2</v>
      </c>
      <c r="P10" s="24">
        <v>5.5890000000000002E-2</v>
      </c>
      <c r="Q10" s="24">
        <v>1.8619500000000001E-2</v>
      </c>
      <c r="R10" s="24">
        <v>2.1514800000000001E-2</v>
      </c>
      <c r="S10" s="24">
        <v>5.166569</v>
      </c>
      <c r="T10" s="24">
        <v>2.5977459999999999</v>
      </c>
      <c r="U10" s="24">
        <v>0.13269339999999999</v>
      </c>
      <c r="V10" s="24">
        <v>5.9704800000000002E-2</v>
      </c>
      <c r="W10" s="24">
        <v>9.2384300000000003E-2</v>
      </c>
      <c r="X10" s="24">
        <v>1.9395800000000001E-2</v>
      </c>
      <c r="AC10" t="s">
        <v>310</v>
      </c>
      <c r="AD10">
        <v>20009</v>
      </c>
      <c r="AE10">
        <v>-0.38395800000000002</v>
      </c>
      <c r="AF10">
        <v>-0.9364787</v>
      </c>
      <c r="AG10">
        <v>0.1907681</v>
      </c>
      <c r="AH10">
        <v>-1.007781</v>
      </c>
      <c r="AI10">
        <v>1.23464E-2</v>
      </c>
      <c r="AJ10">
        <v>0.24874389999999999</v>
      </c>
      <c r="AK10">
        <v>-1.2942469999999999</v>
      </c>
      <c r="AL10">
        <v>-1.057569</v>
      </c>
      <c r="AM10">
        <v>41837.89</v>
      </c>
      <c r="AN10">
        <v>0.83299999999999996</v>
      </c>
      <c r="AO10">
        <v>2.0433720000000002</v>
      </c>
      <c r="AP10">
        <v>1.2555449999999999</v>
      </c>
      <c r="AQ10">
        <v>0.26812589999999997</v>
      </c>
      <c r="AR10">
        <v>2.6448699999999999E-2</v>
      </c>
      <c r="AS10">
        <v>6.9976999999999999E-3</v>
      </c>
      <c r="AT10">
        <v>9.2011999999999997E-3</v>
      </c>
      <c r="AU10">
        <v>38.31626</v>
      </c>
      <c r="AV10">
        <v>2.874498</v>
      </c>
      <c r="AW10">
        <v>0.28184140000000002</v>
      </c>
      <c r="AX10">
        <v>0.25441039999999998</v>
      </c>
      <c r="AY10">
        <v>4.0164199999999997E-2</v>
      </c>
      <c r="AZ10">
        <v>1.27332E-2</v>
      </c>
      <c r="BA10" t="s">
        <v>310</v>
      </c>
      <c r="BB10" t="s">
        <v>1107</v>
      </c>
      <c r="BC10">
        <v>10</v>
      </c>
      <c r="BD10">
        <v>10.64156</v>
      </c>
      <c r="BE10">
        <v>-1.29027</v>
      </c>
      <c r="BF10">
        <v>13.3</v>
      </c>
      <c r="BG10">
        <v>77</v>
      </c>
      <c r="BH10">
        <v>98.8</v>
      </c>
      <c r="BI10">
        <v>91</v>
      </c>
      <c r="BJ10">
        <v>15.5</v>
      </c>
      <c r="BK10">
        <v>78.8</v>
      </c>
      <c r="BL10">
        <v>3.6139999999999999</v>
      </c>
      <c r="BM10">
        <v>4.3</v>
      </c>
      <c r="BN10">
        <v>105.1</v>
      </c>
      <c r="BO10">
        <v>4</v>
      </c>
      <c r="BP10">
        <v>70</v>
      </c>
      <c r="BQ10">
        <v>0</v>
      </c>
      <c r="BR10">
        <v>0</v>
      </c>
      <c r="BS10">
        <v>0.85863449999999997</v>
      </c>
      <c r="BT10">
        <v>3.5667699999999997E-2</v>
      </c>
      <c r="BU10">
        <v>0.17095299999999999</v>
      </c>
      <c r="BV10">
        <v>0.144957</v>
      </c>
      <c r="BW10">
        <v>1.7867489999999999</v>
      </c>
      <c r="BX10">
        <v>7.2816099999999995E-2</v>
      </c>
    </row>
    <row r="11" spans="1:76" x14ac:dyDescent="0.25">
      <c r="A11" t="s">
        <v>310</v>
      </c>
      <c r="B11">
        <v>20009</v>
      </c>
      <c r="C11" s="24">
        <v>-0.38395800000000002</v>
      </c>
      <c r="D11" s="24">
        <v>-0.9364787</v>
      </c>
      <c r="E11" s="24">
        <v>0.1907681</v>
      </c>
      <c r="F11" s="24">
        <v>-1.007781</v>
      </c>
      <c r="G11" s="24">
        <v>1.23464E-2</v>
      </c>
      <c r="H11" s="24">
        <v>0.24874389999999999</v>
      </c>
      <c r="I11" s="24">
        <v>-1.2942469999999999</v>
      </c>
      <c r="J11" s="24">
        <v>-1.057569</v>
      </c>
      <c r="K11" s="59">
        <v>41837.89</v>
      </c>
      <c r="L11">
        <v>0.83299999999999996</v>
      </c>
      <c r="M11" s="24">
        <v>2.0433720000000002</v>
      </c>
      <c r="N11" s="24">
        <v>1.2555449999999999</v>
      </c>
      <c r="O11" s="24">
        <v>0.26812589999999997</v>
      </c>
      <c r="P11" s="24">
        <v>2.6448699999999999E-2</v>
      </c>
      <c r="Q11" s="24">
        <v>6.9976999999999999E-3</v>
      </c>
      <c r="R11" s="24">
        <v>9.2011999999999997E-3</v>
      </c>
      <c r="S11" s="24">
        <v>38.31626</v>
      </c>
      <c r="T11" s="24">
        <v>2.874498</v>
      </c>
      <c r="U11" s="24">
        <v>0.28184140000000002</v>
      </c>
      <c r="V11" s="24">
        <v>0.25441039999999998</v>
      </c>
      <c r="W11" s="24">
        <v>4.0164199999999997E-2</v>
      </c>
      <c r="X11" s="24">
        <v>1.27332E-2</v>
      </c>
      <c r="AC11" t="s">
        <v>302</v>
      </c>
      <c r="AD11">
        <v>11198</v>
      </c>
      <c r="AE11">
        <v>0.34040619999999999</v>
      </c>
      <c r="AF11">
        <v>0.22807720000000001</v>
      </c>
      <c r="AG11">
        <v>-0.23592279999999999</v>
      </c>
      <c r="AH11">
        <v>0.8873103</v>
      </c>
      <c r="AI11">
        <v>-0.56453509999999996</v>
      </c>
      <c r="AJ11">
        <v>0.30064980000000002</v>
      </c>
      <c r="AK11">
        <v>0.65685249999999995</v>
      </c>
      <c r="AL11">
        <v>0.89299819999999996</v>
      </c>
      <c r="AM11">
        <v>4881.5330000000004</v>
      </c>
      <c r="AN11">
        <v>0.52200000000000002</v>
      </c>
      <c r="AO11">
        <v>-0.67706</v>
      </c>
      <c r="AP11">
        <v>-1.1438520000000001</v>
      </c>
      <c r="AQ11">
        <v>0.14232030000000001</v>
      </c>
      <c r="AR11">
        <v>0.1755486</v>
      </c>
      <c r="AS11">
        <v>1.40739E-2</v>
      </c>
      <c r="AT11">
        <v>1.28652E-2</v>
      </c>
      <c r="AU11">
        <v>10.11238</v>
      </c>
      <c r="AV11">
        <v>13.64522</v>
      </c>
      <c r="AW11">
        <v>0.1699051</v>
      </c>
      <c r="AX11">
        <v>0.1147355</v>
      </c>
      <c r="AY11">
        <v>0.20313329999999999</v>
      </c>
      <c r="AZ11">
        <v>0.14796380000000001</v>
      </c>
      <c r="BA11" t="s">
        <v>302</v>
      </c>
      <c r="BB11" t="s">
        <v>1108</v>
      </c>
      <c r="BC11">
        <v>11</v>
      </c>
      <c r="BD11">
        <v>8.4932149999999993</v>
      </c>
      <c r="BE11">
        <v>0.6417754</v>
      </c>
      <c r="BF11">
        <v>6.1</v>
      </c>
      <c r="BG11">
        <v>75.3</v>
      </c>
      <c r="BH11">
        <v>75.400000000000006</v>
      </c>
      <c r="BI11">
        <v>81</v>
      </c>
      <c r="BJ11">
        <v>24.6</v>
      </c>
      <c r="BK11">
        <v>80.599999999999994</v>
      </c>
      <c r="BL11">
        <v>2.5150000000000001</v>
      </c>
      <c r="BM11">
        <v>530</v>
      </c>
      <c r="BN11">
        <v>102.2</v>
      </c>
      <c r="BO11">
        <v>23</v>
      </c>
      <c r="BP11">
        <v>43</v>
      </c>
      <c r="BQ11">
        <v>0.20899999999999999</v>
      </c>
      <c r="BR11">
        <v>41</v>
      </c>
      <c r="BS11">
        <v>0.82505669999999998</v>
      </c>
      <c r="BT11">
        <v>4.20588E-2</v>
      </c>
      <c r="BU11">
        <v>8.8413000000000005E-2</v>
      </c>
      <c r="BV11">
        <v>2.4577000000000002E-2</v>
      </c>
      <c r="BW11">
        <v>2.2667480000000002</v>
      </c>
      <c r="BX11">
        <v>0.1146711</v>
      </c>
    </row>
    <row r="12" spans="1:76" x14ac:dyDescent="0.25">
      <c r="A12" t="s">
        <v>302</v>
      </c>
      <c r="B12">
        <v>11198</v>
      </c>
      <c r="C12" s="24">
        <v>0.34040619999999999</v>
      </c>
      <c r="D12" s="24">
        <v>0.22807720000000001</v>
      </c>
      <c r="E12" s="24">
        <v>-0.23592279999999999</v>
      </c>
      <c r="F12" s="24">
        <v>0.8873103</v>
      </c>
      <c r="G12" s="24">
        <v>-0.56453509999999996</v>
      </c>
      <c r="H12" s="24">
        <v>0.30064980000000002</v>
      </c>
      <c r="I12" s="24">
        <v>0.65685249999999995</v>
      </c>
      <c r="J12" s="24">
        <v>0.89299819999999996</v>
      </c>
      <c r="K12" s="59">
        <v>4881.5330000000004</v>
      </c>
      <c r="L12">
        <v>0.52200000000000002</v>
      </c>
      <c r="M12" s="24">
        <v>-0.67706</v>
      </c>
      <c r="N12" s="24">
        <v>-1.1438520000000001</v>
      </c>
      <c r="O12" s="24">
        <v>0.14232030000000001</v>
      </c>
      <c r="P12" s="24">
        <v>0.1755486</v>
      </c>
      <c r="Q12" s="24">
        <v>1.40739E-2</v>
      </c>
      <c r="R12" s="24">
        <v>1.28652E-2</v>
      </c>
      <c r="S12" s="24">
        <v>10.11238</v>
      </c>
      <c r="T12" s="24">
        <v>13.64522</v>
      </c>
      <c r="U12" s="24">
        <v>0.1699051</v>
      </c>
      <c r="V12" s="24">
        <v>0.1147355</v>
      </c>
      <c r="W12" s="24">
        <v>0.20313329999999999</v>
      </c>
      <c r="X12" s="24">
        <v>0.14796380000000001</v>
      </c>
      <c r="AC12" t="s">
        <v>308</v>
      </c>
      <c r="AD12">
        <v>5691</v>
      </c>
      <c r="AE12">
        <v>5.2833100000000001E-2</v>
      </c>
      <c r="AF12">
        <v>0.55106259999999996</v>
      </c>
      <c r="AG12">
        <v>2.39937E-2</v>
      </c>
      <c r="AH12">
        <v>0.17513500000000001</v>
      </c>
      <c r="AI12">
        <v>-0.3559446</v>
      </c>
      <c r="AJ12">
        <v>0.59512830000000005</v>
      </c>
      <c r="AK12">
        <v>0.26785910000000002</v>
      </c>
      <c r="AL12">
        <v>0.24481459999999999</v>
      </c>
      <c r="AM12">
        <v>20254.78</v>
      </c>
      <c r="AN12">
        <v>0.59799999999999998</v>
      </c>
      <c r="AO12">
        <v>-0.81805050000000001</v>
      </c>
      <c r="AP12">
        <v>-0.87349730000000003</v>
      </c>
      <c r="AQ12">
        <v>0.17479939999999999</v>
      </c>
      <c r="AR12">
        <v>0.12949649999999999</v>
      </c>
      <c r="AS12">
        <v>1.10975E-2</v>
      </c>
      <c r="AT12">
        <v>1.9651200000000001E-2</v>
      </c>
      <c r="AU12">
        <v>15.75126</v>
      </c>
      <c r="AV12">
        <v>6.5897540000000001</v>
      </c>
      <c r="AW12">
        <v>0.19655039999999999</v>
      </c>
      <c r="AX12">
        <v>0.1530483</v>
      </c>
      <c r="AY12">
        <v>0.15124760000000001</v>
      </c>
      <c r="AZ12">
        <v>0.10774540000000001</v>
      </c>
      <c r="BA12" t="s">
        <v>308</v>
      </c>
      <c r="BB12" t="s">
        <v>1109</v>
      </c>
      <c r="BC12">
        <v>12</v>
      </c>
      <c r="BD12">
        <v>9.9161459999999995</v>
      </c>
      <c r="BE12">
        <v>-0.42132550000000002</v>
      </c>
      <c r="BF12">
        <v>9.1</v>
      </c>
      <c r="BG12">
        <v>51.4</v>
      </c>
      <c r="BH12">
        <v>42.3</v>
      </c>
      <c r="BI12">
        <v>79</v>
      </c>
      <c r="BJ12">
        <v>50.1</v>
      </c>
      <c r="BK12">
        <v>88.8</v>
      </c>
      <c r="BL12">
        <v>1.6020000000000001</v>
      </c>
      <c r="BM12">
        <v>59.1</v>
      </c>
      <c r="BN12">
        <v>103.9</v>
      </c>
      <c r="BO12">
        <v>10</v>
      </c>
      <c r="BP12">
        <v>40</v>
      </c>
      <c r="BQ12">
        <v>0.82199999999999995</v>
      </c>
      <c r="BR12">
        <v>94.3</v>
      </c>
      <c r="BS12">
        <v>0.73037609999999997</v>
      </c>
      <c r="BT12">
        <v>3.2149700000000003E-2</v>
      </c>
      <c r="BU12">
        <v>9.6588999999999994E-2</v>
      </c>
      <c r="BV12">
        <v>4.6108000000000003E-2</v>
      </c>
      <c r="BW12">
        <v>2.1176439999999999</v>
      </c>
      <c r="BX12">
        <v>0.1642787</v>
      </c>
    </row>
    <row r="13" spans="1:76" x14ac:dyDescent="0.25">
      <c r="A13" t="s">
        <v>308</v>
      </c>
      <c r="B13">
        <v>5691</v>
      </c>
      <c r="C13" s="24">
        <v>5.2833100000000001E-2</v>
      </c>
      <c r="D13" s="24">
        <v>0.55106259999999996</v>
      </c>
      <c r="E13" s="24">
        <v>2.39937E-2</v>
      </c>
      <c r="F13" s="24">
        <v>0.17513500000000001</v>
      </c>
      <c r="G13" s="24">
        <v>-0.3559446</v>
      </c>
      <c r="H13" s="24">
        <v>0.59512830000000005</v>
      </c>
      <c r="I13" s="24">
        <v>0.26785910000000002</v>
      </c>
      <c r="J13" s="24">
        <v>0.24481459999999999</v>
      </c>
      <c r="K13" s="59">
        <v>20254.78</v>
      </c>
      <c r="L13">
        <v>0.59799999999999998</v>
      </c>
      <c r="M13" s="24">
        <v>-0.81805050000000001</v>
      </c>
      <c r="N13" s="24">
        <v>-0.87349730000000003</v>
      </c>
      <c r="O13" s="24">
        <v>0.17479939999999999</v>
      </c>
      <c r="P13" s="24">
        <v>0.12949649999999999</v>
      </c>
      <c r="Q13" s="24">
        <v>1.10975E-2</v>
      </c>
      <c r="R13" s="24">
        <v>1.9651200000000001E-2</v>
      </c>
      <c r="S13" s="24">
        <v>15.75126</v>
      </c>
      <c r="T13" s="24">
        <v>6.5897540000000001</v>
      </c>
      <c r="U13" s="24">
        <v>0.19655039999999999</v>
      </c>
      <c r="V13" s="24">
        <v>0.1530483</v>
      </c>
      <c r="W13" s="24">
        <v>0.15124760000000001</v>
      </c>
      <c r="X13" s="24">
        <v>0.10774540000000001</v>
      </c>
      <c r="AC13" t="s">
        <v>297</v>
      </c>
      <c r="AD13">
        <v>6780</v>
      </c>
      <c r="AE13">
        <v>0.44115300000000002</v>
      </c>
      <c r="AF13">
        <v>0.2441605</v>
      </c>
      <c r="AG13">
        <v>-0.23538890000000001</v>
      </c>
      <c r="AH13">
        <v>0.84334319999999996</v>
      </c>
      <c r="AI13">
        <v>-0.41893920000000001</v>
      </c>
      <c r="AJ13">
        <v>0.31045260000000002</v>
      </c>
      <c r="AK13">
        <v>0.85406110000000002</v>
      </c>
      <c r="AL13">
        <v>1.0578810000000001</v>
      </c>
      <c r="AM13">
        <v>4963.1610000000001</v>
      </c>
      <c r="AN13">
        <v>0.49</v>
      </c>
      <c r="AO13">
        <v>-1.153197</v>
      </c>
      <c r="AP13">
        <v>-1.4547600000000001</v>
      </c>
      <c r="AQ13">
        <v>8.0676999999999999E-2</v>
      </c>
      <c r="AR13">
        <v>0.16356129999999999</v>
      </c>
      <c r="AS13">
        <v>2.3478599999999999E-2</v>
      </c>
      <c r="AT13">
        <v>1.8003000000000002E-2</v>
      </c>
      <c r="AU13">
        <v>3.4361899999999999</v>
      </c>
      <c r="AV13">
        <v>9.0852380000000004</v>
      </c>
      <c r="AW13">
        <v>0.1266951</v>
      </c>
      <c r="AX13">
        <v>3.4658899999999999E-2</v>
      </c>
      <c r="AY13">
        <v>0.2095794</v>
      </c>
      <c r="AZ13">
        <v>0.1175432</v>
      </c>
      <c r="BA13" t="s">
        <v>297</v>
      </c>
      <c r="BB13" t="s">
        <v>1110</v>
      </c>
      <c r="BC13">
        <v>13</v>
      </c>
      <c r="BD13">
        <v>8.509798</v>
      </c>
      <c r="BE13">
        <v>2.1693380000000002</v>
      </c>
      <c r="BF13">
        <v>6.1</v>
      </c>
      <c r="BG13">
        <v>58.9</v>
      </c>
      <c r="BH13">
        <v>35</v>
      </c>
      <c r="BI13">
        <v>76</v>
      </c>
      <c r="BJ13">
        <v>4.2</v>
      </c>
      <c r="BK13">
        <v>66.3</v>
      </c>
      <c r="BL13">
        <v>2.5259999999999998</v>
      </c>
      <c r="BM13">
        <v>1047</v>
      </c>
      <c r="BN13">
        <v>103.8</v>
      </c>
      <c r="BO13">
        <v>13</v>
      </c>
      <c r="BP13">
        <v>52</v>
      </c>
      <c r="BQ13">
        <v>0.17899999999999999</v>
      </c>
      <c r="BR13">
        <v>69.599999999999994</v>
      </c>
      <c r="BS13">
        <v>0.82707960000000003</v>
      </c>
      <c r="BT13">
        <v>6.8625500000000006E-2</v>
      </c>
      <c r="BU13">
        <v>3.2472000000000001E-2</v>
      </c>
      <c r="BV13">
        <v>1.9546999999999998E-2</v>
      </c>
      <c r="BW13">
        <v>2.087609</v>
      </c>
      <c r="BX13">
        <v>0.13070909999999999</v>
      </c>
    </row>
    <row r="14" spans="1:76" x14ac:dyDescent="0.25">
      <c r="A14" t="s">
        <v>297</v>
      </c>
      <c r="B14">
        <v>6780</v>
      </c>
      <c r="C14" s="24">
        <v>0.44115300000000002</v>
      </c>
      <c r="D14" s="24">
        <v>0.2441605</v>
      </c>
      <c r="E14" s="24">
        <v>-0.23538890000000001</v>
      </c>
      <c r="F14" s="24">
        <v>0.84334319999999996</v>
      </c>
      <c r="G14" s="24">
        <v>-0.41893920000000001</v>
      </c>
      <c r="H14" s="24">
        <v>0.31045260000000002</v>
      </c>
      <c r="I14" s="24">
        <v>0.85406110000000002</v>
      </c>
      <c r="J14" s="24">
        <v>1.0578810000000001</v>
      </c>
      <c r="K14" s="59">
        <v>4963.1610000000001</v>
      </c>
      <c r="L14">
        <v>0.49</v>
      </c>
      <c r="M14" s="24">
        <v>-1.153197</v>
      </c>
      <c r="N14" s="24">
        <v>-1.4547600000000001</v>
      </c>
      <c r="O14" s="24">
        <v>8.0676999999999999E-2</v>
      </c>
      <c r="P14" s="24">
        <v>0.16356129999999999</v>
      </c>
      <c r="Q14" s="24">
        <v>2.3478599999999999E-2</v>
      </c>
      <c r="R14" s="24">
        <v>1.8003000000000002E-2</v>
      </c>
      <c r="S14" s="24">
        <v>3.4361899999999999</v>
      </c>
      <c r="T14" s="24">
        <v>9.0852380000000004</v>
      </c>
      <c r="U14" s="24">
        <v>0.1266951</v>
      </c>
      <c r="V14" s="24">
        <v>3.4658899999999999E-2</v>
      </c>
      <c r="W14" s="24">
        <v>0.2095794</v>
      </c>
      <c r="X14" s="24">
        <v>0.1175432</v>
      </c>
      <c r="AC14" t="s">
        <v>296</v>
      </c>
      <c r="AD14">
        <v>5162</v>
      </c>
      <c r="AE14">
        <v>0.26584679999999999</v>
      </c>
      <c r="AF14">
        <v>0.45343159999999999</v>
      </c>
      <c r="AG14">
        <v>-0.46608450000000001</v>
      </c>
      <c r="AH14">
        <v>0.69105539999999999</v>
      </c>
      <c r="AI14">
        <v>-0.2046336</v>
      </c>
      <c r="AJ14">
        <v>0.37599519999999997</v>
      </c>
      <c r="AK14">
        <v>0.46367900000000001</v>
      </c>
      <c r="AL14">
        <v>0.76235330000000001</v>
      </c>
      <c r="AM14">
        <v>8581.9380000000001</v>
      </c>
      <c r="AN14">
        <v>0.43099999999999999</v>
      </c>
      <c r="AO14">
        <v>-1.196949</v>
      </c>
      <c r="AP14">
        <v>-0.46120660000000002</v>
      </c>
      <c r="AQ14">
        <v>0.17037620000000001</v>
      </c>
      <c r="AR14">
        <v>0.1957661</v>
      </c>
      <c r="AS14">
        <v>1.9232900000000001E-2</v>
      </c>
      <c r="AT14">
        <v>1.6735099999999999E-2</v>
      </c>
      <c r="AU14">
        <v>8.858568</v>
      </c>
      <c r="AV14">
        <v>11.69792</v>
      </c>
      <c r="AW14">
        <v>0.2080728</v>
      </c>
      <c r="AX14">
        <v>0.13267970000000001</v>
      </c>
      <c r="AY14">
        <v>0.23346259999999999</v>
      </c>
      <c r="AZ14">
        <v>0.1580695</v>
      </c>
      <c r="BA14" t="s">
        <v>296</v>
      </c>
      <c r="BB14" t="s">
        <v>1111</v>
      </c>
      <c r="BC14">
        <v>14</v>
      </c>
      <c r="BD14">
        <v>9.0574150000000007</v>
      </c>
      <c r="BE14">
        <v>0.3504834</v>
      </c>
      <c r="BF14">
        <v>9.1999999999999993</v>
      </c>
      <c r="BG14">
        <v>54</v>
      </c>
      <c r="BH14">
        <v>47.4</v>
      </c>
      <c r="BI14">
        <v>94</v>
      </c>
      <c r="BJ14">
        <v>27.5</v>
      </c>
      <c r="BK14">
        <v>78.8</v>
      </c>
      <c r="BL14">
        <v>2.6259999999999999</v>
      </c>
      <c r="BM14">
        <v>78.2</v>
      </c>
      <c r="BN14">
        <v>107.7</v>
      </c>
      <c r="BO14">
        <v>6</v>
      </c>
      <c r="BP14">
        <v>65</v>
      </c>
      <c r="BQ14">
        <v>5.6000000000000001E-2</v>
      </c>
      <c r="BR14">
        <v>75.3</v>
      </c>
      <c r="BS14">
        <v>0.86997849999999999</v>
      </c>
      <c r="BT14">
        <v>9.7377000000000002E-3</v>
      </c>
      <c r="BU14">
        <v>2.4433E-2</v>
      </c>
      <c r="BV14">
        <v>1.4083999999999999E-2</v>
      </c>
      <c r="BW14">
        <v>2.1324269999999999</v>
      </c>
      <c r="BX14">
        <v>7.9930799999999996E-2</v>
      </c>
    </row>
    <row r="15" spans="1:76" x14ac:dyDescent="0.25">
      <c r="A15" t="s">
        <v>296</v>
      </c>
      <c r="B15">
        <v>5162</v>
      </c>
      <c r="C15" s="24">
        <v>0.26584679999999999</v>
      </c>
      <c r="D15" s="24">
        <v>0.45343159999999999</v>
      </c>
      <c r="E15" s="24">
        <v>-0.46608450000000001</v>
      </c>
      <c r="F15" s="24">
        <v>0.69105539999999999</v>
      </c>
      <c r="G15" s="24">
        <v>-0.2046336</v>
      </c>
      <c r="H15" s="24">
        <v>0.37599519999999997</v>
      </c>
      <c r="I15" s="24">
        <v>0.46367900000000001</v>
      </c>
      <c r="J15" s="24">
        <v>0.76235330000000001</v>
      </c>
      <c r="K15" s="59">
        <v>8581.9380000000001</v>
      </c>
      <c r="L15">
        <v>0.43099999999999999</v>
      </c>
      <c r="M15" s="24">
        <v>-1.196949</v>
      </c>
      <c r="N15" s="24">
        <v>-0.46120660000000002</v>
      </c>
      <c r="O15" s="24">
        <v>0.17037620000000001</v>
      </c>
      <c r="P15" s="24">
        <v>0.1957661</v>
      </c>
      <c r="Q15" s="24">
        <v>1.9232900000000001E-2</v>
      </c>
      <c r="R15" s="24">
        <v>1.6735099999999999E-2</v>
      </c>
      <c r="S15" s="24">
        <v>8.858568</v>
      </c>
      <c r="T15" s="24">
        <v>11.69792</v>
      </c>
      <c r="U15" s="24">
        <v>0.2080728</v>
      </c>
      <c r="V15" s="24">
        <v>0.13267970000000001</v>
      </c>
      <c r="W15" s="24">
        <v>0.23346259999999999</v>
      </c>
      <c r="X15" s="24">
        <v>0.1580695</v>
      </c>
      <c r="AC15" t="s">
        <v>299</v>
      </c>
      <c r="AD15">
        <v>9870</v>
      </c>
      <c r="AE15">
        <v>0.11865729999999999</v>
      </c>
      <c r="AF15">
        <v>0.11019610000000001</v>
      </c>
      <c r="AG15">
        <v>0.52047960000000004</v>
      </c>
      <c r="AH15">
        <v>-0.20752950000000001</v>
      </c>
      <c r="AI15">
        <v>0.35514839999999998</v>
      </c>
      <c r="AJ15">
        <v>0.46877790000000003</v>
      </c>
      <c r="AK15">
        <v>0.45647979999999999</v>
      </c>
      <c r="AL15">
        <v>0.2147358</v>
      </c>
      <c r="AM15">
        <v>37706.620000000003</v>
      </c>
      <c r="AN15">
        <v>0.57399999999999995</v>
      </c>
      <c r="AO15">
        <v>-0.144869</v>
      </c>
      <c r="AP15">
        <v>1.2082329999999999</v>
      </c>
      <c r="AQ15">
        <v>0.18367149999999999</v>
      </c>
      <c r="AR15">
        <v>0.13452639999999999</v>
      </c>
      <c r="AS15">
        <v>1.1217599999999999E-2</v>
      </c>
      <c r="AT15">
        <v>1.0853700000000001E-2</v>
      </c>
      <c r="AU15">
        <v>16.373570000000001</v>
      </c>
      <c r="AV15">
        <v>12.39452</v>
      </c>
      <c r="AW15">
        <v>0.2056579</v>
      </c>
      <c r="AX15">
        <v>0.1616851</v>
      </c>
      <c r="AY15">
        <v>0.15651290000000001</v>
      </c>
      <c r="AZ15">
        <v>0.11254</v>
      </c>
      <c r="BA15" t="s">
        <v>299</v>
      </c>
      <c r="BB15" t="s">
        <v>1112</v>
      </c>
      <c r="BC15">
        <v>15</v>
      </c>
      <c r="BD15">
        <v>10.53759</v>
      </c>
      <c r="BE15">
        <v>-0.60481640000000003</v>
      </c>
      <c r="BF15">
        <v>13.3</v>
      </c>
      <c r="BG15">
        <v>70.599999999999994</v>
      </c>
      <c r="BH15">
        <v>95.7</v>
      </c>
      <c r="BI15">
        <v>91</v>
      </c>
      <c r="BJ15">
        <v>27.5</v>
      </c>
      <c r="BK15">
        <v>93.8</v>
      </c>
      <c r="BL15">
        <v>2.5819999999999999</v>
      </c>
      <c r="BM15">
        <v>2</v>
      </c>
      <c r="BN15">
        <v>106</v>
      </c>
      <c r="BO15">
        <v>3</v>
      </c>
      <c r="BP15">
        <v>65</v>
      </c>
      <c r="BQ15">
        <v>0</v>
      </c>
      <c r="BR15">
        <v>0</v>
      </c>
      <c r="BS15">
        <v>0.87149750000000004</v>
      </c>
      <c r="BT15">
        <v>3.0419000000000002E-2</v>
      </c>
      <c r="BU15">
        <v>4.2250999999999997E-2</v>
      </c>
      <c r="BV15">
        <v>8.5380000000000005E-3</v>
      </c>
      <c r="BW15">
        <v>2.1718160000000002</v>
      </c>
      <c r="BX15">
        <v>3.1479699999999999E-2</v>
      </c>
    </row>
    <row r="16" spans="1:76" x14ac:dyDescent="0.25">
      <c r="A16" t="s">
        <v>299</v>
      </c>
      <c r="B16">
        <v>9870</v>
      </c>
      <c r="C16" s="24">
        <v>0.11865729999999999</v>
      </c>
      <c r="D16" s="24">
        <v>0.11019610000000001</v>
      </c>
      <c r="E16" s="24">
        <v>0.52047960000000004</v>
      </c>
      <c r="F16" s="24">
        <v>-0.20752950000000001</v>
      </c>
      <c r="G16" s="24">
        <v>0.35514839999999998</v>
      </c>
      <c r="H16" s="24">
        <v>0.46877790000000003</v>
      </c>
      <c r="I16" s="24">
        <v>0.45647979999999999</v>
      </c>
      <c r="J16" s="24">
        <v>0.2147358</v>
      </c>
      <c r="K16" s="59">
        <v>37706.620000000003</v>
      </c>
      <c r="L16">
        <v>0.57399999999999995</v>
      </c>
      <c r="M16" s="24">
        <v>-0.144869</v>
      </c>
      <c r="N16" s="24">
        <v>1.2082329999999999</v>
      </c>
      <c r="O16" s="24">
        <v>0.18367149999999999</v>
      </c>
      <c r="P16" s="24">
        <v>0.13452639999999999</v>
      </c>
      <c r="Q16" s="24">
        <v>1.1217599999999999E-2</v>
      </c>
      <c r="R16" s="24">
        <v>1.0853700000000001E-2</v>
      </c>
      <c r="S16" s="24">
        <v>16.373570000000001</v>
      </c>
      <c r="T16" s="24">
        <v>12.39452</v>
      </c>
      <c r="U16" s="24">
        <v>0.2056579</v>
      </c>
      <c r="V16" s="24">
        <v>0.1616851</v>
      </c>
      <c r="W16" s="24">
        <v>0.15651290000000001</v>
      </c>
      <c r="X16" s="24">
        <v>0.11254</v>
      </c>
      <c r="AC16" t="s">
        <v>307</v>
      </c>
      <c r="AD16">
        <v>2548</v>
      </c>
      <c r="AE16">
        <v>0.2036974</v>
      </c>
      <c r="AF16">
        <v>8.2771800000000006E-2</v>
      </c>
      <c r="AG16">
        <v>7.0893899999999996E-2</v>
      </c>
      <c r="AH16">
        <v>0.76624639999999999</v>
      </c>
      <c r="AI16">
        <v>-0.2632003</v>
      </c>
      <c r="AJ16">
        <v>0.35050799999999999</v>
      </c>
      <c r="AK16">
        <v>0.38058320000000001</v>
      </c>
      <c r="AL16">
        <v>0.60001640000000001</v>
      </c>
      <c r="AM16">
        <v>13478.76</v>
      </c>
      <c r="AN16">
        <v>0.69199999999999995</v>
      </c>
      <c r="AO16">
        <v>2.6715800000000001E-2</v>
      </c>
      <c r="AP16">
        <v>5.2467100000000003E-2</v>
      </c>
      <c r="AQ16">
        <v>3.7047099999999999E-2</v>
      </c>
      <c r="AR16">
        <v>0.18078159999999999</v>
      </c>
      <c r="AS16">
        <v>2.40853E-2</v>
      </c>
      <c r="AT16">
        <v>2.84762E-2</v>
      </c>
      <c r="AU16">
        <v>1.5381659999999999</v>
      </c>
      <c r="AV16">
        <v>6.3485170000000002</v>
      </c>
      <c r="AW16">
        <v>8.4254200000000001E-2</v>
      </c>
      <c r="AX16">
        <v>-1.0160000000000001E-2</v>
      </c>
      <c r="AY16">
        <v>0.22798869999999999</v>
      </c>
      <c r="AZ16">
        <v>0.13357450000000001</v>
      </c>
      <c r="BA16" t="s">
        <v>307</v>
      </c>
      <c r="BB16" t="s">
        <v>1113</v>
      </c>
      <c r="BC16">
        <v>16</v>
      </c>
      <c r="BD16">
        <v>9.5088699999999999</v>
      </c>
      <c r="BE16">
        <v>1.582166</v>
      </c>
      <c r="BF16">
        <v>9.6999999999999993</v>
      </c>
      <c r="BG16">
        <v>46</v>
      </c>
      <c r="BH16">
        <v>86.2</v>
      </c>
      <c r="BI16">
        <v>89</v>
      </c>
      <c r="BJ16">
        <v>46.1</v>
      </c>
      <c r="BK16">
        <v>88.1</v>
      </c>
      <c r="BL16">
        <v>3.2919999999999998</v>
      </c>
      <c r="BM16">
        <v>126.8</v>
      </c>
      <c r="BN16">
        <v>104</v>
      </c>
      <c r="BO16">
        <v>13</v>
      </c>
      <c r="BP16">
        <v>27</v>
      </c>
      <c r="BQ16">
        <v>7.8E-2</v>
      </c>
      <c r="BR16">
        <v>14.8</v>
      </c>
      <c r="BS16">
        <v>0.52202800000000005</v>
      </c>
      <c r="BT16">
        <v>5.5513699999999999E-2</v>
      </c>
      <c r="BU16">
        <v>0.13350600000000001</v>
      </c>
      <c r="BV16">
        <v>3.7664999999999997E-2</v>
      </c>
      <c r="BW16">
        <v>1.9850950000000001</v>
      </c>
      <c r="BX16">
        <v>0.17304949999999999</v>
      </c>
    </row>
    <row r="17" spans="1:76" x14ac:dyDescent="0.25">
      <c r="A17" t="s">
        <v>307</v>
      </c>
      <c r="B17">
        <v>2548</v>
      </c>
      <c r="C17" s="24">
        <v>0.2036974</v>
      </c>
      <c r="D17" s="24">
        <v>8.2771800000000006E-2</v>
      </c>
      <c r="E17" s="24">
        <v>7.0893899999999996E-2</v>
      </c>
      <c r="F17" s="24">
        <v>0.76624639999999999</v>
      </c>
      <c r="G17" s="24">
        <v>-0.2632003</v>
      </c>
      <c r="H17" s="24">
        <v>0.35050799999999999</v>
      </c>
      <c r="I17" s="24">
        <v>0.38058320000000001</v>
      </c>
      <c r="J17" s="24">
        <v>0.60001640000000001</v>
      </c>
      <c r="K17" s="59">
        <v>13478.76</v>
      </c>
      <c r="L17">
        <v>0.69199999999999995</v>
      </c>
      <c r="M17" s="24">
        <v>2.6715800000000001E-2</v>
      </c>
      <c r="N17" s="24">
        <v>5.2467100000000003E-2</v>
      </c>
      <c r="O17" s="24">
        <v>3.7047099999999999E-2</v>
      </c>
      <c r="P17" s="24">
        <v>0.18078159999999999</v>
      </c>
      <c r="Q17" s="24">
        <v>2.40853E-2</v>
      </c>
      <c r="R17" s="24">
        <v>2.84762E-2</v>
      </c>
      <c r="S17" s="24">
        <v>1.5381659999999999</v>
      </c>
      <c r="T17" s="24">
        <v>6.3485170000000002</v>
      </c>
      <c r="U17" s="24">
        <v>8.4254200000000001E-2</v>
      </c>
      <c r="V17" s="24">
        <v>-1.0160000000000001E-2</v>
      </c>
      <c r="W17" s="24">
        <v>0.22798869999999999</v>
      </c>
      <c r="X17" s="24">
        <v>0.13357450000000001</v>
      </c>
      <c r="AC17" t="s">
        <v>303</v>
      </c>
      <c r="AD17">
        <v>6213</v>
      </c>
      <c r="AE17">
        <v>0.16972229999999999</v>
      </c>
      <c r="AF17">
        <v>4.2063400000000001E-2</v>
      </c>
      <c r="AG17">
        <v>-0.12280969999999999</v>
      </c>
      <c r="AH17">
        <v>-0.5191981</v>
      </c>
      <c r="AI17">
        <v>-0.27078340000000001</v>
      </c>
      <c r="AJ17">
        <v>0.43822430000000001</v>
      </c>
      <c r="AK17">
        <v>-1.08816E-2</v>
      </c>
      <c r="AL17">
        <v>-0.38890819999999998</v>
      </c>
      <c r="AM17">
        <v>40223.019999999997</v>
      </c>
      <c r="AN17">
        <v>0.873</v>
      </c>
      <c r="AO17">
        <v>0.94561450000000002</v>
      </c>
      <c r="AP17">
        <v>1.2082329999999999</v>
      </c>
      <c r="AQ17">
        <v>0.22448889999999999</v>
      </c>
      <c r="AR17">
        <v>4.8293299999999997E-2</v>
      </c>
      <c r="AS17">
        <v>1.2281500000000001E-2</v>
      </c>
      <c r="AT17">
        <v>1.3822900000000001E-2</v>
      </c>
      <c r="AU17">
        <v>18.278580000000002</v>
      </c>
      <c r="AV17">
        <v>3.4937079999999998</v>
      </c>
      <c r="AW17">
        <v>0.2485607</v>
      </c>
      <c r="AX17">
        <v>0.20041709999999999</v>
      </c>
      <c r="AY17">
        <v>7.2365100000000002E-2</v>
      </c>
      <c r="AZ17">
        <v>2.42215E-2</v>
      </c>
      <c r="BA17" t="s">
        <v>303</v>
      </c>
      <c r="BB17" t="s">
        <v>1114</v>
      </c>
      <c r="BC17">
        <v>17</v>
      </c>
      <c r="BD17">
        <v>10.60219</v>
      </c>
      <c r="BE17">
        <v>-1.2333879999999999</v>
      </c>
      <c r="BF17">
        <v>10.5</v>
      </c>
      <c r="BG17">
        <v>64.8</v>
      </c>
      <c r="BH17">
        <v>97.5</v>
      </c>
      <c r="BI17">
        <v>96</v>
      </c>
      <c r="BJ17">
        <v>41</v>
      </c>
      <c r="BK17">
        <v>100</v>
      </c>
      <c r="BL17">
        <v>3.7959999999999998</v>
      </c>
      <c r="BM17">
        <v>3.4</v>
      </c>
      <c r="BN17">
        <v>106.3</v>
      </c>
      <c r="BO17">
        <v>3</v>
      </c>
      <c r="BP17">
        <v>78</v>
      </c>
      <c r="BQ17">
        <v>4.0000000000000001E-3</v>
      </c>
      <c r="BR17">
        <v>0</v>
      </c>
      <c r="BS17">
        <v>0.85613570000000005</v>
      </c>
      <c r="BT17">
        <v>2.04709E-2</v>
      </c>
      <c r="BU17">
        <v>5.2393000000000002E-2</v>
      </c>
      <c r="BV17">
        <v>3.3019E-2</v>
      </c>
      <c r="BW17">
        <v>1.893464</v>
      </c>
      <c r="BX17">
        <v>0.1068183</v>
      </c>
    </row>
    <row r="18" spans="1:76" x14ac:dyDescent="0.25">
      <c r="A18" t="s">
        <v>303</v>
      </c>
      <c r="B18">
        <v>6213</v>
      </c>
      <c r="C18" s="24">
        <v>0.16972229999999999</v>
      </c>
      <c r="D18" s="24">
        <v>4.2063400000000001E-2</v>
      </c>
      <c r="E18" s="24">
        <v>-0.12280969999999999</v>
      </c>
      <c r="F18" s="24">
        <v>-0.5191981</v>
      </c>
      <c r="G18" s="24">
        <v>-0.27078340000000001</v>
      </c>
      <c r="H18" s="24">
        <v>0.43822430000000001</v>
      </c>
      <c r="I18" s="24">
        <v>-1.08816E-2</v>
      </c>
      <c r="J18" s="24">
        <v>-0.38890819999999998</v>
      </c>
      <c r="K18" s="59">
        <v>40223.019999999997</v>
      </c>
      <c r="L18">
        <v>0.873</v>
      </c>
      <c r="M18" s="24">
        <v>0.94561450000000002</v>
      </c>
      <c r="N18" s="24">
        <v>1.2082329999999999</v>
      </c>
      <c r="O18" s="24">
        <v>0.22448889999999999</v>
      </c>
      <c r="P18" s="24">
        <v>4.8293299999999997E-2</v>
      </c>
      <c r="Q18" s="24">
        <v>1.2281500000000001E-2</v>
      </c>
      <c r="R18" s="24">
        <v>1.3822900000000001E-2</v>
      </c>
      <c r="S18" s="24">
        <v>18.278580000000002</v>
      </c>
      <c r="T18" s="24">
        <v>3.4937079999999998</v>
      </c>
      <c r="U18" s="24">
        <v>0.2485607</v>
      </c>
      <c r="V18" s="24">
        <v>0.20041709999999999</v>
      </c>
      <c r="W18" s="24">
        <v>7.2365100000000002E-2</v>
      </c>
      <c r="X18" s="24">
        <v>2.42215E-2</v>
      </c>
      <c r="AC18" t="s">
        <v>301</v>
      </c>
      <c r="AD18">
        <v>8886</v>
      </c>
      <c r="AE18">
        <v>0.3923759</v>
      </c>
      <c r="AF18">
        <v>7.6237100000000002E-2</v>
      </c>
      <c r="AG18">
        <v>-0.1028997</v>
      </c>
      <c r="AH18">
        <v>0.91398480000000004</v>
      </c>
      <c r="AI18">
        <v>-0.2341781</v>
      </c>
      <c r="AJ18">
        <v>0.20395840000000001</v>
      </c>
      <c r="AK18">
        <v>0.4928805</v>
      </c>
      <c r="AL18">
        <v>0.90409879999999998</v>
      </c>
      <c r="AM18">
        <v>2623.8609999999999</v>
      </c>
      <c r="AN18">
        <v>0.39800000000000002</v>
      </c>
      <c r="AO18">
        <v>-1.611577</v>
      </c>
      <c r="AP18">
        <v>-0.19085199999999999</v>
      </c>
      <c r="AQ18">
        <v>0.1375258</v>
      </c>
      <c r="AR18">
        <v>5.8721799999999998E-2</v>
      </c>
      <c r="AS18">
        <v>1.7838699999999999E-2</v>
      </c>
      <c r="AT18">
        <v>1.0389499999999999E-2</v>
      </c>
      <c r="AU18">
        <v>7.7094019999999999</v>
      </c>
      <c r="AV18">
        <v>5.6520190000000001</v>
      </c>
      <c r="AW18">
        <v>0.1724897</v>
      </c>
      <c r="AX18">
        <v>0.1025619</v>
      </c>
      <c r="AY18">
        <v>9.3685599999999994E-2</v>
      </c>
      <c r="AZ18">
        <v>2.3757899999999998E-2</v>
      </c>
      <c r="BA18" t="s">
        <v>301</v>
      </c>
      <c r="BB18" t="s">
        <v>1115</v>
      </c>
      <c r="BC18">
        <v>19</v>
      </c>
      <c r="BD18">
        <v>7.8724020000000001</v>
      </c>
      <c r="BE18">
        <v>1.1165579999999999</v>
      </c>
      <c r="BF18">
        <v>5.9</v>
      </c>
      <c r="BG18">
        <v>83.5</v>
      </c>
      <c r="BH18">
        <v>46</v>
      </c>
      <c r="BI18">
        <v>72</v>
      </c>
      <c r="BJ18">
        <v>37.4</v>
      </c>
      <c r="BK18">
        <v>81.3</v>
      </c>
      <c r="BL18">
        <v>2.6789999999999998</v>
      </c>
      <c r="BM18">
        <v>238.3</v>
      </c>
      <c r="BN18">
        <v>103</v>
      </c>
      <c r="BO18">
        <v>24</v>
      </c>
      <c r="BP18">
        <v>57</v>
      </c>
      <c r="BQ18">
        <v>3.0000000000000001E-3</v>
      </c>
      <c r="BR18">
        <v>17.3</v>
      </c>
      <c r="BS18">
        <v>0.79475580000000001</v>
      </c>
      <c r="BT18">
        <v>3.5867099999999999E-2</v>
      </c>
      <c r="BU18">
        <v>6.6189999999999999E-2</v>
      </c>
      <c r="BV18">
        <v>3.5652000000000003E-2</v>
      </c>
      <c r="BW18">
        <v>2.1881979999999999</v>
      </c>
      <c r="BX18">
        <v>7.9154000000000002E-2</v>
      </c>
    </row>
    <row r="19" spans="1:76" x14ac:dyDescent="0.25">
      <c r="A19" t="s">
        <v>301</v>
      </c>
      <c r="B19">
        <v>8886</v>
      </c>
      <c r="C19" s="24">
        <v>0.3923759</v>
      </c>
      <c r="D19" s="24">
        <v>7.6237100000000002E-2</v>
      </c>
      <c r="E19" s="24">
        <v>-0.1028997</v>
      </c>
      <c r="F19" s="24">
        <v>0.91398480000000004</v>
      </c>
      <c r="G19" s="24">
        <v>-0.2341781</v>
      </c>
      <c r="H19" s="24">
        <v>0.20395840000000001</v>
      </c>
      <c r="I19" s="24">
        <v>0.4928805</v>
      </c>
      <c r="J19" s="24">
        <v>0.90409879999999998</v>
      </c>
      <c r="K19" s="59">
        <v>2623.8609999999999</v>
      </c>
      <c r="L19">
        <v>0.39800000000000002</v>
      </c>
      <c r="M19" s="24">
        <v>-1.611577</v>
      </c>
      <c r="N19" s="24">
        <v>-0.19085199999999999</v>
      </c>
      <c r="O19" s="24">
        <v>0.1375258</v>
      </c>
      <c r="P19" s="24">
        <v>5.8721799999999998E-2</v>
      </c>
      <c r="Q19" s="24">
        <v>1.7838699999999999E-2</v>
      </c>
      <c r="R19" s="24">
        <v>1.0389499999999999E-2</v>
      </c>
      <c r="S19" s="24">
        <v>7.7094019999999999</v>
      </c>
      <c r="T19" s="24">
        <v>5.6520190000000001</v>
      </c>
      <c r="U19" s="24">
        <v>0.1724897</v>
      </c>
      <c r="V19" s="24">
        <v>0.1025619</v>
      </c>
      <c r="W19" s="24">
        <v>9.3685599999999994E-2</v>
      </c>
      <c r="X19" s="24">
        <v>2.3757899999999998E-2</v>
      </c>
      <c r="AC19" t="s">
        <v>304</v>
      </c>
      <c r="AD19">
        <v>1430</v>
      </c>
      <c r="AE19">
        <v>2.9795800000000001E-2</v>
      </c>
      <c r="AF19">
        <v>-0.45968959999999998</v>
      </c>
      <c r="AG19">
        <v>-0.42837310000000001</v>
      </c>
      <c r="AH19">
        <v>0.50543210000000005</v>
      </c>
      <c r="AI19">
        <v>-0.37038389999999999</v>
      </c>
      <c r="AJ19">
        <v>0.223166</v>
      </c>
      <c r="AK19">
        <v>0.28587760000000001</v>
      </c>
      <c r="AL19">
        <v>0.54895890000000003</v>
      </c>
      <c r="AM19">
        <v>33149.5</v>
      </c>
      <c r="AN19">
        <v>0.27600000000000002</v>
      </c>
      <c r="AO19">
        <v>-0.17193310000000001</v>
      </c>
      <c r="AP19">
        <v>-0.1029868</v>
      </c>
      <c r="AQ19">
        <v>0.1669562</v>
      </c>
      <c r="AR19">
        <v>0.16030630000000001</v>
      </c>
      <c r="AS19">
        <v>3.3417799999999998E-2</v>
      </c>
      <c r="AT19">
        <v>3.88229E-2</v>
      </c>
      <c r="AU19">
        <v>4.9960199999999997</v>
      </c>
      <c r="AV19">
        <v>4.1291690000000001</v>
      </c>
      <c r="AW19">
        <v>0.2324552</v>
      </c>
      <c r="AX19">
        <v>0.1014573</v>
      </c>
      <c r="AY19">
        <v>0.22580529999999999</v>
      </c>
      <c r="AZ19">
        <v>9.48074E-2</v>
      </c>
      <c r="BA19" t="s">
        <v>304</v>
      </c>
      <c r="BB19" t="s">
        <v>1116</v>
      </c>
      <c r="BC19">
        <v>20</v>
      </c>
      <c r="BD19">
        <v>10.40878</v>
      </c>
      <c r="BE19">
        <v>-0.68050650000000001</v>
      </c>
      <c r="BF19">
        <v>7.9</v>
      </c>
      <c r="BG19">
        <v>34.5</v>
      </c>
      <c r="BH19">
        <v>62.5</v>
      </c>
      <c r="BI19">
        <v>95</v>
      </c>
      <c r="BJ19">
        <v>17.399999999999999</v>
      </c>
      <c r="BK19">
        <v>82.5</v>
      </c>
      <c r="BL19">
        <v>1.867</v>
      </c>
      <c r="BM19">
        <v>17.3</v>
      </c>
      <c r="BN19">
        <v>105.1</v>
      </c>
      <c r="BO19">
        <v>12</v>
      </c>
      <c r="BP19">
        <v>48</v>
      </c>
      <c r="BQ19">
        <v>7.0000000000000001E-3</v>
      </c>
      <c r="BR19">
        <v>34.5</v>
      </c>
      <c r="BS19">
        <v>0.91100190000000003</v>
      </c>
      <c r="BT19">
        <v>4.15885E-2</v>
      </c>
      <c r="BU19">
        <v>4.5275000000000003E-2</v>
      </c>
      <c r="BV19">
        <v>1.8208999999999999E-2</v>
      </c>
      <c r="BW19">
        <v>1.9567429999999999</v>
      </c>
      <c r="BX19">
        <v>0.10935979999999999</v>
      </c>
    </row>
    <row r="20" spans="1:76" x14ac:dyDescent="0.25">
      <c r="A20" t="s">
        <v>304</v>
      </c>
      <c r="B20">
        <v>1430</v>
      </c>
      <c r="C20" s="24">
        <v>2.9795800000000001E-2</v>
      </c>
      <c r="D20" s="24">
        <v>-0.45968959999999998</v>
      </c>
      <c r="E20" s="24">
        <v>-0.42837310000000001</v>
      </c>
      <c r="F20" s="24">
        <v>0.50543210000000005</v>
      </c>
      <c r="G20" s="24">
        <v>-0.37038389999999999</v>
      </c>
      <c r="H20" s="24">
        <v>0.223166</v>
      </c>
      <c r="I20" s="24">
        <v>0.28587760000000001</v>
      </c>
      <c r="J20" s="24">
        <v>0.54895890000000003</v>
      </c>
      <c r="K20" s="59">
        <v>33149.5</v>
      </c>
      <c r="L20">
        <v>0.27600000000000002</v>
      </c>
      <c r="M20" s="24">
        <v>-0.17193310000000001</v>
      </c>
      <c r="N20" s="24">
        <v>-0.1029868</v>
      </c>
      <c r="O20" s="24">
        <v>0.1669562</v>
      </c>
      <c r="P20" s="24">
        <v>0.16030630000000001</v>
      </c>
      <c r="Q20" s="24">
        <v>3.3417799999999998E-2</v>
      </c>
      <c r="R20" s="24">
        <v>3.88229E-2</v>
      </c>
      <c r="S20" s="24">
        <v>4.9960199999999997</v>
      </c>
      <c r="T20" s="24">
        <v>4.1291690000000001</v>
      </c>
      <c r="U20" s="24">
        <v>0.2324552</v>
      </c>
      <c r="V20" s="24">
        <v>0.1014573</v>
      </c>
      <c r="W20" s="24">
        <v>0.22580529999999999</v>
      </c>
      <c r="X20" s="24">
        <v>9.48074E-2</v>
      </c>
      <c r="AC20" t="s">
        <v>306</v>
      </c>
      <c r="AD20">
        <v>5298</v>
      </c>
      <c r="AE20">
        <v>-0.1147027</v>
      </c>
      <c r="AF20">
        <v>-0.2394705</v>
      </c>
      <c r="AG20">
        <v>-9.33866E-2</v>
      </c>
      <c r="AH20">
        <v>-0.53737270000000004</v>
      </c>
      <c r="AI20">
        <v>0.21768129999999999</v>
      </c>
      <c r="AJ20">
        <v>0.41190949999999998</v>
      </c>
      <c r="AK20">
        <v>-0.367925</v>
      </c>
      <c r="AL20">
        <v>-0.53245589999999998</v>
      </c>
      <c r="AM20">
        <v>47587.15</v>
      </c>
      <c r="AN20">
        <v>0.84299999999999997</v>
      </c>
      <c r="AO20">
        <v>1.3653770000000001</v>
      </c>
      <c r="AP20">
        <v>1.2149920000000001</v>
      </c>
      <c r="AQ20">
        <v>0.19470699999999999</v>
      </c>
      <c r="AR20">
        <v>8.37426E-2</v>
      </c>
      <c r="AS20">
        <v>1.2614500000000001E-2</v>
      </c>
      <c r="AT20">
        <v>1.54983E-2</v>
      </c>
      <c r="AU20">
        <v>15.43511</v>
      </c>
      <c r="AV20">
        <v>5.4033309999999997</v>
      </c>
      <c r="AW20">
        <v>0.2194315</v>
      </c>
      <c r="AX20">
        <v>0.16998250000000001</v>
      </c>
      <c r="AY20">
        <v>0.1084672</v>
      </c>
      <c r="AZ20">
        <v>5.9018099999999997E-2</v>
      </c>
      <c r="BA20" t="s">
        <v>306</v>
      </c>
      <c r="BB20" t="s">
        <v>1117</v>
      </c>
      <c r="BC20">
        <v>21</v>
      </c>
      <c r="BD20">
        <v>10.77032</v>
      </c>
      <c r="BE20">
        <v>-1.1084989999999999</v>
      </c>
      <c r="BF20">
        <v>13.4</v>
      </c>
      <c r="BG20">
        <v>75.400000000000006</v>
      </c>
      <c r="BH20">
        <v>99.9</v>
      </c>
      <c r="BI20">
        <v>92</v>
      </c>
      <c r="BJ20">
        <v>31.5</v>
      </c>
      <c r="BK20">
        <v>97.5</v>
      </c>
      <c r="BL20">
        <v>3.2650000000000001</v>
      </c>
      <c r="BM20">
        <v>9.8000000000000007</v>
      </c>
      <c r="BN20">
        <v>105.5</v>
      </c>
      <c r="BO20">
        <v>4</v>
      </c>
      <c r="BP20">
        <v>74</v>
      </c>
      <c r="BQ20">
        <v>6.0000000000000001E-3</v>
      </c>
      <c r="BR20">
        <v>0</v>
      </c>
      <c r="BS20">
        <v>0.81458459999999999</v>
      </c>
      <c r="BT20">
        <v>2.8895199999999999E-2</v>
      </c>
      <c r="BU20">
        <v>6.4284999999999995E-2</v>
      </c>
      <c r="BV20">
        <v>2.6421E-2</v>
      </c>
      <c r="BW20">
        <v>1.7266649999999999</v>
      </c>
      <c r="BX20">
        <v>0.1623781</v>
      </c>
    </row>
    <row r="21" spans="1:76" x14ac:dyDescent="0.25">
      <c r="A21" t="s">
        <v>306</v>
      </c>
      <c r="B21">
        <v>5298</v>
      </c>
      <c r="C21" s="24">
        <v>-0.1147027</v>
      </c>
      <c r="D21" s="24">
        <v>-0.2394705</v>
      </c>
      <c r="E21" s="24">
        <v>-9.33866E-2</v>
      </c>
      <c r="F21" s="24">
        <v>-0.53737270000000004</v>
      </c>
      <c r="G21" s="24">
        <v>0.21768129999999999</v>
      </c>
      <c r="H21" s="24">
        <v>0.41190949999999998</v>
      </c>
      <c r="I21" s="24">
        <v>-0.367925</v>
      </c>
      <c r="J21" s="24">
        <v>-0.53245589999999998</v>
      </c>
      <c r="K21" s="59">
        <v>47587.15</v>
      </c>
      <c r="L21">
        <v>0.84299999999999997</v>
      </c>
      <c r="M21" s="24">
        <v>1.3653770000000001</v>
      </c>
      <c r="N21" s="24">
        <v>1.2149920000000001</v>
      </c>
      <c r="O21" s="24">
        <v>0.19470699999999999</v>
      </c>
      <c r="P21" s="24">
        <v>8.37426E-2</v>
      </c>
      <c r="Q21" s="24">
        <v>1.2614500000000001E-2</v>
      </c>
      <c r="R21" s="24">
        <v>1.54983E-2</v>
      </c>
      <c r="S21" s="24">
        <v>15.43511</v>
      </c>
      <c r="T21" s="24">
        <v>5.4033309999999997</v>
      </c>
      <c r="U21" s="24">
        <v>0.2194315</v>
      </c>
      <c r="V21" s="24">
        <v>0.16998250000000001</v>
      </c>
      <c r="W21" s="24">
        <v>0.1084672</v>
      </c>
      <c r="X21" s="24">
        <v>5.9018099999999997E-2</v>
      </c>
      <c r="AC21" t="s">
        <v>309</v>
      </c>
      <c r="AD21">
        <v>38147</v>
      </c>
      <c r="AE21">
        <v>-0.37588240000000001</v>
      </c>
      <c r="AF21">
        <v>-2.1152500000000001E-2</v>
      </c>
      <c r="AG21">
        <v>7.4223800000000006E-2</v>
      </c>
      <c r="AH21">
        <v>-0.2081162</v>
      </c>
      <c r="AI21">
        <v>0.36689250000000001</v>
      </c>
      <c r="AJ21">
        <v>0.55570790000000003</v>
      </c>
      <c r="AK21">
        <v>6.9311600000000001E-2</v>
      </c>
      <c r="AL21">
        <v>-0.2560134</v>
      </c>
      <c r="AM21">
        <v>64623.11</v>
      </c>
      <c r="AN21">
        <v>0.81899999999999995</v>
      </c>
      <c r="AO21">
        <v>0.47065410000000002</v>
      </c>
      <c r="AP21">
        <v>0.96491380000000004</v>
      </c>
      <c r="AQ21">
        <v>0.22030859999999999</v>
      </c>
      <c r="AR21">
        <v>0.18856700000000001</v>
      </c>
      <c r="AS21">
        <v>3.7301999999999999E-3</v>
      </c>
      <c r="AT21">
        <v>6.7131999999999999E-3</v>
      </c>
      <c r="AU21">
        <v>59.061</v>
      </c>
      <c r="AV21">
        <v>28.089030000000001</v>
      </c>
      <c r="AW21">
        <v>0.22761980000000001</v>
      </c>
      <c r="AX21">
        <v>0.21299750000000001</v>
      </c>
      <c r="AY21">
        <v>0.1958782</v>
      </c>
      <c r="AZ21">
        <v>0.1812559</v>
      </c>
      <c r="BA21" t="s">
        <v>309</v>
      </c>
      <c r="BB21" t="s">
        <v>1118</v>
      </c>
      <c r="BC21">
        <v>22</v>
      </c>
      <c r="BD21">
        <v>11.07633</v>
      </c>
      <c r="BE21">
        <v>-0.56467780000000001</v>
      </c>
      <c r="BF21">
        <v>13.7</v>
      </c>
      <c r="BG21">
        <v>70</v>
      </c>
      <c r="BH21">
        <v>96.8</v>
      </c>
      <c r="BI21">
        <v>98</v>
      </c>
      <c r="BJ21">
        <v>27.9</v>
      </c>
      <c r="BK21">
        <v>91.3</v>
      </c>
      <c r="BL21">
        <v>3.5139999999999998</v>
      </c>
      <c r="BM21">
        <v>21.1</v>
      </c>
      <c r="BN21">
        <v>104.8</v>
      </c>
      <c r="BO21">
        <v>6</v>
      </c>
      <c r="BP21">
        <v>61</v>
      </c>
      <c r="BQ21">
        <v>2.5000000000000001E-2</v>
      </c>
      <c r="BR21">
        <v>0</v>
      </c>
      <c r="BS21">
        <v>0.71651430000000005</v>
      </c>
      <c r="BT21">
        <v>2.6768699999999999E-2</v>
      </c>
      <c r="BU21">
        <v>8.4654999999999994E-2</v>
      </c>
      <c r="BV21">
        <v>2.4348000000000002E-2</v>
      </c>
      <c r="BW21">
        <v>1.862131</v>
      </c>
      <c r="BX21">
        <v>0.26334190000000002</v>
      </c>
    </row>
    <row r="22" spans="1:76" x14ac:dyDescent="0.25">
      <c r="A22" t="s">
        <v>309</v>
      </c>
      <c r="B22">
        <v>38147</v>
      </c>
      <c r="C22" s="24">
        <v>-0.37588240000000001</v>
      </c>
      <c r="D22" s="24">
        <v>-2.1152500000000001E-2</v>
      </c>
      <c r="E22" s="24">
        <v>7.4223800000000006E-2</v>
      </c>
      <c r="F22" s="24">
        <v>-0.2081162</v>
      </c>
      <c r="G22" s="24">
        <v>0.36689250000000001</v>
      </c>
      <c r="H22" s="24">
        <v>0.55570790000000003</v>
      </c>
      <c r="I22" s="24">
        <v>6.9311600000000001E-2</v>
      </c>
      <c r="J22" s="24">
        <v>-0.2560134</v>
      </c>
      <c r="K22" s="59">
        <v>64623.11</v>
      </c>
      <c r="L22">
        <v>0.81899999999999995</v>
      </c>
      <c r="M22" s="24">
        <v>0.47065410000000002</v>
      </c>
      <c r="N22" s="24">
        <v>0.96491380000000004</v>
      </c>
      <c r="O22" s="24">
        <v>0.22030859999999999</v>
      </c>
      <c r="P22" s="24">
        <v>0.18856700000000001</v>
      </c>
      <c r="Q22" s="24">
        <v>3.7301999999999999E-3</v>
      </c>
      <c r="R22" s="24">
        <v>6.7131999999999999E-3</v>
      </c>
      <c r="S22" s="24">
        <v>59.061</v>
      </c>
      <c r="T22" s="24">
        <v>28.089030000000001</v>
      </c>
      <c r="U22" s="24">
        <v>0.22761980000000001</v>
      </c>
      <c r="V22" s="24">
        <v>0.21299750000000001</v>
      </c>
      <c r="W22" s="24">
        <v>0.1958782</v>
      </c>
      <c r="X22" s="24">
        <v>0.1812559</v>
      </c>
      <c r="AC22" t="s">
        <v>305</v>
      </c>
      <c r="AD22">
        <v>14942</v>
      </c>
      <c r="AE22">
        <v>-0.1080149</v>
      </c>
      <c r="AF22">
        <v>-6.5870799999999993E-2</v>
      </c>
      <c r="AG22">
        <v>0.28376689999999999</v>
      </c>
      <c r="AH22">
        <v>-0.83694550000000001</v>
      </c>
      <c r="AI22">
        <v>0.60488509999999995</v>
      </c>
      <c r="AJ22">
        <v>0.55672779999999999</v>
      </c>
      <c r="AK22">
        <v>-0.55773410000000001</v>
      </c>
      <c r="AL22">
        <v>-0.73604309999999995</v>
      </c>
      <c r="AM22">
        <v>55359.32</v>
      </c>
      <c r="AN22">
        <v>0.89900000000000002</v>
      </c>
      <c r="AO22">
        <v>1.5000560000000001</v>
      </c>
      <c r="AP22">
        <v>1.6610769999999999</v>
      </c>
      <c r="AQ22">
        <v>0.21640529999999999</v>
      </c>
      <c r="AR22">
        <v>0.10334939999999999</v>
      </c>
      <c r="AS22">
        <v>6.6483999999999996E-3</v>
      </c>
      <c r="AT22">
        <v>1.0991900000000001E-2</v>
      </c>
      <c r="AU22">
        <v>32.550069999999998</v>
      </c>
      <c r="AV22">
        <v>9.4023649999999996</v>
      </c>
      <c r="AW22">
        <v>0.2294361</v>
      </c>
      <c r="AX22">
        <v>0.20337450000000001</v>
      </c>
      <c r="AY22">
        <v>0.11638030000000001</v>
      </c>
      <c r="AZ22">
        <v>9.0318599999999999E-2</v>
      </c>
      <c r="BA22" t="s">
        <v>305</v>
      </c>
      <c r="BB22" t="s">
        <v>1119</v>
      </c>
      <c r="BC22">
        <v>18</v>
      </c>
      <c r="BD22">
        <v>10.9216</v>
      </c>
      <c r="BE22">
        <v>-1.2719210000000001</v>
      </c>
      <c r="BF22">
        <v>12.8</v>
      </c>
      <c r="BG22">
        <v>80</v>
      </c>
      <c r="BH22">
        <v>100</v>
      </c>
      <c r="BI22">
        <v>100</v>
      </c>
      <c r="BJ22">
        <v>46.4</v>
      </c>
      <c r="BK22">
        <v>100</v>
      </c>
      <c r="BL22">
        <v>3.806</v>
      </c>
      <c r="BM22">
        <v>4.5</v>
      </c>
      <c r="BN22">
        <v>105.7</v>
      </c>
      <c r="BO22">
        <v>6</v>
      </c>
      <c r="BP22">
        <v>74</v>
      </c>
      <c r="BQ22">
        <v>0</v>
      </c>
      <c r="BR22">
        <v>0</v>
      </c>
      <c r="BS22">
        <v>0.7252381</v>
      </c>
      <c r="BT22">
        <v>2.40894E-2</v>
      </c>
      <c r="BU22">
        <v>5.6878999999999999E-2</v>
      </c>
      <c r="BV22">
        <v>1.9081000000000001E-2</v>
      </c>
      <c r="BW22">
        <v>1.705398</v>
      </c>
      <c r="BX22">
        <v>0.1523032</v>
      </c>
    </row>
    <row r="23" spans="1:76" x14ac:dyDescent="0.25">
      <c r="A23" t="s">
        <v>305</v>
      </c>
      <c r="B23">
        <v>14942</v>
      </c>
      <c r="C23" s="24">
        <v>-0.1080149</v>
      </c>
      <c r="D23" s="24">
        <v>-6.5870799999999993E-2</v>
      </c>
      <c r="E23" s="24">
        <v>0.28376689999999999</v>
      </c>
      <c r="F23" s="24">
        <v>-0.83694550000000001</v>
      </c>
      <c r="G23" s="24">
        <v>0.60488509999999995</v>
      </c>
      <c r="H23" s="24">
        <v>0.55672779999999999</v>
      </c>
      <c r="I23" s="24">
        <v>-0.55773410000000001</v>
      </c>
      <c r="J23" s="24">
        <v>-0.73604309999999995</v>
      </c>
      <c r="K23" s="59">
        <v>55359.32</v>
      </c>
      <c r="L23">
        <v>0.89900000000000002</v>
      </c>
      <c r="M23" s="24">
        <v>1.5000560000000001</v>
      </c>
      <c r="N23" s="24">
        <v>1.6610769999999999</v>
      </c>
      <c r="O23" s="24">
        <v>0.21640529999999999</v>
      </c>
      <c r="P23" s="24">
        <v>0.10334939999999999</v>
      </c>
      <c r="Q23" s="24">
        <v>6.6483999999999996E-3</v>
      </c>
      <c r="R23" s="24">
        <v>1.0991900000000001E-2</v>
      </c>
      <c r="S23" s="24">
        <v>32.550069999999998</v>
      </c>
      <c r="T23" s="24">
        <v>9.4023649999999996</v>
      </c>
      <c r="U23" s="24">
        <v>0.2294361</v>
      </c>
      <c r="V23" s="24">
        <v>0.20337450000000001</v>
      </c>
      <c r="W23" s="24">
        <v>0.11638030000000001</v>
      </c>
      <c r="X23" s="24">
        <v>9.0318599999999999E-2</v>
      </c>
      <c r="AC23" t="s">
        <v>311</v>
      </c>
      <c r="AD23">
        <v>2978</v>
      </c>
      <c r="AE23">
        <v>-0.25726979999999999</v>
      </c>
      <c r="AF23">
        <v>-0.22803499999999999</v>
      </c>
      <c r="AG23">
        <v>-0.22421569999999999</v>
      </c>
      <c r="AH23">
        <v>-0.3711583</v>
      </c>
      <c r="AI23">
        <v>0.34945009999999999</v>
      </c>
      <c r="AJ23">
        <v>0.43380200000000002</v>
      </c>
      <c r="AK23">
        <v>-0.83256189999999997</v>
      </c>
      <c r="AL23">
        <v>-0.4468702</v>
      </c>
      <c r="AM23">
        <v>60037.440000000002</v>
      </c>
      <c r="AN23">
        <v>0.154</v>
      </c>
      <c r="AO23">
        <v>1.8768149999999999</v>
      </c>
      <c r="AP23">
        <v>0.89056630000000003</v>
      </c>
      <c r="AQ23">
        <v>0.28433940000000002</v>
      </c>
      <c r="AR23">
        <v>4.2259600000000001E-2</v>
      </c>
      <c r="AS23">
        <v>1.63821E-2</v>
      </c>
      <c r="AT23">
        <v>1.9107200000000001E-2</v>
      </c>
      <c r="AU23">
        <v>17.356760000000001</v>
      </c>
      <c r="AV23">
        <v>2.2117059999999999</v>
      </c>
      <c r="AW23">
        <v>0.31644830000000002</v>
      </c>
      <c r="AX23">
        <v>0.25223060000000003</v>
      </c>
      <c r="AY23">
        <v>7.4368400000000001E-2</v>
      </c>
      <c r="AZ23">
        <v>1.01507E-2</v>
      </c>
      <c r="BA23" t="s">
        <v>311</v>
      </c>
      <c r="BB23" t="s">
        <v>1120</v>
      </c>
      <c r="BC23">
        <v>6</v>
      </c>
      <c r="BD23">
        <v>11.00272</v>
      </c>
      <c r="BF23">
        <v>11.8</v>
      </c>
      <c r="BG23">
        <v>66.900000000000006</v>
      </c>
      <c r="BH23">
        <v>98.2</v>
      </c>
      <c r="BI23">
        <v>97</v>
      </c>
      <c r="BJ23">
        <v>17.100000000000001</v>
      </c>
      <c r="BK23">
        <v>91.9</v>
      </c>
      <c r="BL23">
        <v>1.9670000000000001</v>
      </c>
      <c r="BM23">
        <v>34.799999999999997</v>
      </c>
      <c r="BN23">
        <v>107.7</v>
      </c>
      <c r="BO23">
        <v>3</v>
      </c>
      <c r="BP23">
        <v>86</v>
      </c>
      <c r="BQ23">
        <v>0</v>
      </c>
      <c r="BR23">
        <v>0</v>
      </c>
      <c r="BS23">
        <v>0.91391420000000001</v>
      </c>
      <c r="BT23">
        <v>1.65574E-2</v>
      </c>
      <c r="BU23">
        <v>0.22456000000000001</v>
      </c>
      <c r="BV23">
        <v>0.18515000000000001</v>
      </c>
      <c r="BW23">
        <v>1.9117</v>
      </c>
      <c r="BX23">
        <v>0.1058788</v>
      </c>
    </row>
    <row r="24" spans="1:76" x14ac:dyDescent="0.25">
      <c r="A24" t="s">
        <v>311</v>
      </c>
      <c r="B24">
        <v>2978</v>
      </c>
      <c r="C24" s="24">
        <v>-0.25726979999999999</v>
      </c>
      <c r="D24" s="24">
        <v>-0.22803499999999999</v>
      </c>
      <c r="E24" s="24">
        <v>-0.22421569999999999</v>
      </c>
      <c r="F24" s="24">
        <v>-0.3711583</v>
      </c>
      <c r="G24" s="24">
        <v>0.34945009999999999</v>
      </c>
      <c r="H24" s="24">
        <v>0.43380200000000002</v>
      </c>
      <c r="I24" s="24">
        <v>-0.83256189999999997</v>
      </c>
      <c r="J24" s="24">
        <v>-0.4468702</v>
      </c>
      <c r="K24" s="59">
        <v>60037.440000000002</v>
      </c>
      <c r="L24">
        <v>0.154</v>
      </c>
      <c r="M24" s="24">
        <v>1.8768149999999999</v>
      </c>
      <c r="N24" s="24">
        <v>0.89056630000000003</v>
      </c>
      <c r="O24" s="24">
        <v>0.28433940000000002</v>
      </c>
      <c r="P24" s="24">
        <v>4.2259600000000001E-2</v>
      </c>
      <c r="Q24" s="24">
        <v>1.63821E-2</v>
      </c>
      <c r="R24" s="24">
        <v>1.9107200000000001E-2</v>
      </c>
      <c r="S24" s="24">
        <v>17.356760000000001</v>
      </c>
      <c r="T24" s="24">
        <v>2.2117059999999999</v>
      </c>
      <c r="U24" s="24">
        <v>0.31644830000000002</v>
      </c>
      <c r="V24" s="24">
        <v>0.25223060000000003</v>
      </c>
      <c r="W24" s="24">
        <v>7.4368400000000001E-2</v>
      </c>
      <c r="X24" s="24">
        <v>1.01507E-2</v>
      </c>
    </row>
    <row r="25" spans="1:76" x14ac:dyDescent="0.25">
      <c r="A25" s="26" t="s">
        <v>1134</v>
      </c>
    </row>
    <row r="26" spans="1:76" x14ac:dyDescent="0.25">
      <c r="A26" t="s">
        <v>1121</v>
      </c>
      <c r="B26" s="24">
        <f>CORREL($K$3:$K$24,D3:D24)</f>
        <v>-0.49515894403344185</v>
      </c>
    </row>
    <row r="27" spans="1:76" x14ac:dyDescent="0.25">
      <c r="A27" t="s">
        <v>1122</v>
      </c>
      <c r="B27" s="24">
        <f>CORREL($K$3:$K$24,C3:C24)</f>
        <v>-0.79503829094968315</v>
      </c>
    </row>
    <row r="28" spans="1:76" x14ac:dyDescent="0.25">
      <c r="A28" t="s">
        <v>1123</v>
      </c>
      <c r="B28" s="24">
        <f>CORREL($K$3:$K$24,E3:E24)</f>
        <v>0.42546346656579048</v>
      </c>
    </row>
    <row r="29" spans="1:76" x14ac:dyDescent="0.25">
      <c r="A29" t="s">
        <v>1124</v>
      </c>
      <c r="B29" s="24">
        <f>CORREL($K$3:$K$24,G3:G24)</f>
        <v>0.77829889661699736</v>
      </c>
    </row>
    <row r="30" spans="1:76" x14ac:dyDescent="0.25">
      <c r="A30" t="s">
        <v>1127</v>
      </c>
      <c r="B30" s="24">
        <f>CORREL($K$3:$K$24,H3:H24)</f>
        <v>0.44137669142861524</v>
      </c>
    </row>
    <row r="31" spans="1:76" x14ac:dyDescent="0.25">
      <c r="A31" t="s">
        <v>1128</v>
      </c>
      <c r="B31" s="24">
        <f>CORREL(D3:D24,H3:H24)</f>
        <v>0.46944360305300092</v>
      </c>
    </row>
    <row r="32" spans="1:76" x14ac:dyDescent="0.25">
      <c r="A32" t="s">
        <v>1132</v>
      </c>
      <c r="B32" s="24">
        <f>CORREL(D3:D24,M3:M24)</f>
        <v>-0.67228576899927484</v>
      </c>
    </row>
    <row r="33" spans="1:2" x14ac:dyDescent="0.25">
      <c r="A33" t="s">
        <v>1133</v>
      </c>
      <c r="B33" s="24">
        <f>CORREL(C3:C24,M3:M24)</f>
        <v>-0.77788768628091498</v>
      </c>
    </row>
  </sheetData>
  <sortState xmlns:xlrd2="http://schemas.microsoft.com/office/spreadsheetml/2017/richdata2" ref="A3:W24">
    <sortCondition descending="1" ref="O3:O24"/>
  </sortState>
  <mergeCells count="1">
    <mergeCell ref="A1:X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4EEECE-F066-47D2-BEA9-98BFD2E5B5B7}">
  <dimension ref="A1:L38"/>
  <sheetViews>
    <sheetView workbookViewId="0">
      <pane xSplit="1" ySplit="5" topLeftCell="B9" activePane="bottomRight" state="frozen"/>
      <selection pane="topRight" activeCell="B1" sqref="B1"/>
      <selection pane="bottomLeft" activeCell="A6" sqref="A6"/>
      <selection pane="bottomRight" sqref="A1:L1"/>
    </sheetView>
  </sheetViews>
  <sheetFormatPr defaultColWidth="60" defaultRowHeight="14.25" x14ac:dyDescent="0.2"/>
  <cols>
    <col min="1" max="1" width="28.140625" style="23" bestFit="1" customWidth="1"/>
    <col min="2" max="12" width="60" style="23"/>
    <col min="13" max="16384" width="60" style="1"/>
  </cols>
  <sheetData>
    <row r="1" spans="1:12" ht="15.75" thickBot="1" x14ac:dyDescent="0.3">
      <c r="A1" s="80" t="s">
        <v>1150</v>
      </c>
      <c r="B1" s="90"/>
      <c r="C1" s="90"/>
      <c r="D1" s="90"/>
      <c r="E1" s="90"/>
      <c r="F1" s="90"/>
      <c r="G1" s="90"/>
      <c r="H1" s="90"/>
      <c r="I1" s="90"/>
      <c r="J1" s="90"/>
      <c r="K1" s="90"/>
      <c r="L1" s="90"/>
    </row>
    <row r="2" spans="1:12" s="2" customFormat="1" x14ac:dyDescent="0.2">
      <c r="A2" s="60" t="s">
        <v>0</v>
      </c>
      <c r="B2" s="7"/>
      <c r="C2" s="7"/>
      <c r="D2" s="7"/>
      <c r="E2" s="7"/>
      <c r="F2" s="63" t="s">
        <v>5</v>
      </c>
      <c r="G2" s="64"/>
      <c r="H2" s="7"/>
      <c r="I2" s="69" t="s">
        <v>7</v>
      </c>
      <c r="J2" s="69" t="s">
        <v>8</v>
      </c>
      <c r="K2" s="7"/>
      <c r="L2" s="8"/>
    </row>
    <row r="3" spans="1:12" s="2" customFormat="1" x14ac:dyDescent="0.2">
      <c r="A3" s="61"/>
      <c r="B3" s="9" t="s">
        <v>1</v>
      </c>
      <c r="C3" s="9" t="s">
        <v>2</v>
      </c>
      <c r="D3" s="9" t="s">
        <v>3</v>
      </c>
      <c r="E3" s="9" t="s">
        <v>4</v>
      </c>
      <c r="F3" s="65"/>
      <c r="G3" s="66"/>
      <c r="H3" s="10"/>
      <c r="I3" s="70"/>
      <c r="J3" s="70"/>
      <c r="K3" s="9" t="s">
        <v>9</v>
      </c>
      <c r="L3" s="11" t="s">
        <v>10</v>
      </c>
    </row>
    <row r="4" spans="1:12" s="2" customFormat="1" ht="15" thickBot="1" x14ac:dyDescent="0.25">
      <c r="A4" s="61"/>
      <c r="B4" s="12"/>
      <c r="C4" s="12"/>
      <c r="D4" s="12"/>
      <c r="E4" s="12"/>
      <c r="F4" s="67"/>
      <c r="G4" s="68"/>
      <c r="H4" s="10"/>
      <c r="I4" s="70"/>
      <c r="J4" s="70"/>
      <c r="K4" s="12"/>
      <c r="L4" s="13"/>
    </row>
    <row r="5" spans="1:12" s="2" customFormat="1" ht="15" thickBot="1" x14ac:dyDescent="0.25">
      <c r="A5" s="62"/>
      <c r="B5" s="14"/>
      <c r="C5" s="14"/>
      <c r="D5" s="14"/>
      <c r="E5" s="14"/>
      <c r="F5" s="15" t="s">
        <v>11</v>
      </c>
      <c r="G5" s="15" t="s">
        <v>12</v>
      </c>
      <c r="H5" s="15" t="s">
        <v>6</v>
      </c>
      <c r="I5" s="71"/>
      <c r="J5" s="71"/>
      <c r="K5" s="14"/>
      <c r="L5" s="16"/>
    </row>
    <row r="6" spans="1:12" x14ac:dyDescent="0.2">
      <c r="A6" s="72" t="s">
        <v>13</v>
      </c>
      <c r="B6" s="17"/>
      <c r="C6" s="17"/>
      <c r="D6" s="17"/>
      <c r="E6" s="17"/>
      <c r="F6" s="17"/>
      <c r="G6" s="17"/>
      <c r="H6" s="4" t="s">
        <v>14</v>
      </c>
      <c r="I6" s="17"/>
      <c r="J6" s="17"/>
      <c r="K6" s="17"/>
      <c r="L6" s="17"/>
    </row>
    <row r="7" spans="1:12" x14ac:dyDescent="0.2">
      <c r="A7" s="73"/>
      <c r="B7" s="17"/>
      <c r="C7" s="17"/>
      <c r="D7" s="17"/>
      <c r="E7" s="4" t="s">
        <v>18</v>
      </c>
      <c r="F7" s="17"/>
      <c r="G7" s="17"/>
      <c r="H7" s="4" t="s">
        <v>19</v>
      </c>
      <c r="I7" s="17"/>
      <c r="J7" s="17"/>
      <c r="K7" s="17"/>
      <c r="L7" s="17"/>
    </row>
    <row r="8" spans="1:12" x14ac:dyDescent="0.2">
      <c r="A8" s="73"/>
      <c r="B8" s="4" t="s">
        <v>15</v>
      </c>
      <c r="C8" s="4" t="s">
        <v>16</v>
      </c>
      <c r="D8" s="4" t="s">
        <v>17</v>
      </c>
      <c r="E8" s="18">
        <v>45260</v>
      </c>
      <c r="F8" s="3">
        <v>9398</v>
      </c>
      <c r="G8" s="3">
        <v>3879</v>
      </c>
      <c r="H8" s="4" t="s">
        <v>20</v>
      </c>
      <c r="I8" s="4">
        <v>10.5</v>
      </c>
      <c r="J8" s="4">
        <v>41.3</v>
      </c>
      <c r="K8" s="4" t="s">
        <v>21</v>
      </c>
      <c r="L8" s="4" t="s">
        <v>23</v>
      </c>
    </row>
    <row r="9" spans="1:12" ht="15" thickBot="1" x14ac:dyDescent="0.25">
      <c r="A9" s="73"/>
      <c r="B9" s="19"/>
      <c r="C9" s="20"/>
      <c r="D9" s="20"/>
      <c r="E9" s="20"/>
      <c r="F9" s="20"/>
      <c r="G9" s="20"/>
      <c r="H9" s="20"/>
      <c r="I9" s="20"/>
      <c r="J9" s="20"/>
      <c r="K9" s="4" t="s">
        <v>22</v>
      </c>
      <c r="L9" s="4" t="s">
        <v>24</v>
      </c>
    </row>
    <row r="10" spans="1:12" x14ac:dyDescent="0.2">
      <c r="A10" s="73"/>
      <c r="B10" s="17"/>
      <c r="C10" s="4" t="s">
        <v>25</v>
      </c>
      <c r="D10" s="4" t="s">
        <v>26</v>
      </c>
      <c r="E10" s="4" t="s">
        <v>27</v>
      </c>
      <c r="F10" s="75">
        <v>2905</v>
      </c>
      <c r="G10" s="75">
        <v>2845</v>
      </c>
      <c r="H10" s="77" t="s">
        <v>28</v>
      </c>
      <c r="I10" s="77" t="s">
        <v>28</v>
      </c>
      <c r="J10" s="77">
        <v>97.9</v>
      </c>
      <c r="K10" s="17"/>
      <c r="L10" s="17"/>
    </row>
    <row r="11" spans="1:12" ht="15" thickBot="1" x14ac:dyDescent="0.25">
      <c r="A11" s="74"/>
      <c r="B11" s="21"/>
      <c r="C11" s="6" t="s">
        <v>29</v>
      </c>
      <c r="D11" s="6" t="s">
        <v>30</v>
      </c>
      <c r="E11" s="22">
        <v>45244</v>
      </c>
      <c r="F11" s="76"/>
      <c r="G11" s="76"/>
      <c r="H11" s="78"/>
      <c r="I11" s="78"/>
      <c r="J11" s="78"/>
      <c r="K11" s="21"/>
      <c r="L11" s="21"/>
    </row>
    <row r="12" spans="1:12" x14ac:dyDescent="0.2">
      <c r="A12" s="72" t="s">
        <v>31</v>
      </c>
      <c r="B12" s="17"/>
      <c r="C12" s="77" t="s">
        <v>16</v>
      </c>
      <c r="D12" s="77" t="s">
        <v>33</v>
      </c>
      <c r="E12" s="4" t="s">
        <v>34</v>
      </c>
      <c r="F12" s="75">
        <v>5539</v>
      </c>
      <c r="G12" s="75">
        <v>3377</v>
      </c>
      <c r="H12" s="77" t="s">
        <v>35</v>
      </c>
      <c r="I12" s="77">
        <v>2.4</v>
      </c>
      <c r="J12" s="77">
        <v>61</v>
      </c>
      <c r="K12" s="17"/>
      <c r="L12" s="17"/>
    </row>
    <row r="13" spans="1:12" ht="15" thickBot="1" x14ac:dyDescent="0.25">
      <c r="A13" s="73"/>
      <c r="B13" s="4" t="s">
        <v>32</v>
      </c>
      <c r="C13" s="78"/>
      <c r="D13" s="78"/>
      <c r="E13" s="22">
        <v>45195</v>
      </c>
      <c r="F13" s="76"/>
      <c r="G13" s="76"/>
      <c r="H13" s="78"/>
      <c r="I13" s="78"/>
      <c r="J13" s="78"/>
      <c r="K13" s="4" t="s">
        <v>36</v>
      </c>
      <c r="L13" s="4" t="s">
        <v>38</v>
      </c>
    </row>
    <row r="14" spans="1:12" x14ac:dyDescent="0.2">
      <c r="A14" s="73"/>
      <c r="B14" s="19"/>
      <c r="C14" s="77" t="s">
        <v>39</v>
      </c>
      <c r="D14" s="4" t="s">
        <v>40</v>
      </c>
      <c r="E14" s="4" t="s">
        <v>41</v>
      </c>
      <c r="F14" s="77">
        <v>677</v>
      </c>
      <c r="G14" s="77">
        <v>467</v>
      </c>
      <c r="H14" s="77" t="s">
        <v>28</v>
      </c>
      <c r="I14" s="77" t="s">
        <v>28</v>
      </c>
      <c r="J14" s="77">
        <v>69</v>
      </c>
      <c r="K14" s="4" t="s">
        <v>37</v>
      </c>
      <c r="L14" s="4" t="s">
        <v>22</v>
      </c>
    </row>
    <row r="15" spans="1:12" ht="15" thickBot="1" x14ac:dyDescent="0.25">
      <c r="A15" s="74"/>
      <c r="B15" s="20"/>
      <c r="C15" s="78"/>
      <c r="D15" s="6" t="s">
        <v>30</v>
      </c>
      <c r="E15" s="22">
        <v>45198</v>
      </c>
      <c r="F15" s="78"/>
      <c r="G15" s="78"/>
      <c r="H15" s="78"/>
      <c r="I15" s="78"/>
      <c r="J15" s="78"/>
      <c r="K15" s="20"/>
      <c r="L15" s="20"/>
    </row>
    <row r="16" spans="1:12" x14ac:dyDescent="0.2">
      <c r="A16" s="72" t="s">
        <v>42</v>
      </c>
      <c r="B16" s="17"/>
      <c r="C16" s="17"/>
      <c r="D16" s="17"/>
      <c r="E16" s="17"/>
      <c r="F16" s="17"/>
      <c r="G16" s="17"/>
      <c r="H16" s="4" t="s">
        <v>45</v>
      </c>
      <c r="I16" s="17"/>
      <c r="J16" s="17"/>
      <c r="K16" s="17"/>
      <c r="L16" s="17"/>
    </row>
    <row r="17" spans="1:12" x14ac:dyDescent="0.2">
      <c r="A17" s="73"/>
      <c r="B17" s="17"/>
      <c r="C17" s="4" t="s">
        <v>16</v>
      </c>
      <c r="D17" s="4" t="s">
        <v>17</v>
      </c>
      <c r="E17" s="4" t="s">
        <v>44</v>
      </c>
      <c r="F17" s="3">
        <v>10257</v>
      </c>
      <c r="G17" s="3">
        <v>3793</v>
      </c>
      <c r="H17" s="4" t="s">
        <v>20</v>
      </c>
      <c r="I17" s="4">
        <v>13.3</v>
      </c>
      <c r="J17" s="4">
        <v>37</v>
      </c>
      <c r="K17" s="17"/>
      <c r="L17" s="17"/>
    </row>
    <row r="18" spans="1:12" x14ac:dyDescent="0.2">
      <c r="A18" s="73"/>
      <c r="B18" s="4" t="s">
        <v>43</v>
      </c>
      <c r="C18" s="19"/>
      <c r="D18" s="19"/>
      <c r="E18" s="18">
        <v>45256</v>
      </c>
      <c r="F18" s="19"/>
      <c r="G18" s="19"/>
      <c r="H18" s="19"/>
      <c r="I18" s="19"/>
      <c r="J18" s="19"/>
      <c r="K18" s="4" t="s">
        <v>46</v>
      </c>
      <c r="L18" s="4" t="s">
        <v>48</v>
      </c>
    </row>
    <row r="19" spans="1:12" ht="15" thickBot="1" x14ac:dyDescent="0.25">
      <c r="A19" s="73"/>
      <c r="B19" s="19"/>
      <c r="C19" s="20"/>
      <c r="D19" s="20"/>
      <c r="E19" s="20"/>
      <c r="F19" s="20"/>
      <c r="G19" s="20"/>
      <c r="H19" s="20"/>
      <c r="I19" s="20"/>
      <c r="J19" s="20"/>
      <c r="K19" s="4" t="s">
        <v>47</v>
      </c>
      <c r="L19" s="4" t="s">
        <v>49</v>
      </c>
    </row>
    <row r="20" spans="1:12" x14ac:dyDescent="0.2">
      <c r="A20" s="73"/>
      <c r="B20" s="17"/>
      <c r="C20" s="4" t="s">
        <v>25</v>
      </c>
      <c r="D20" s="4" t="s">
        <v>26</v>
      </c>
      <c r="E20" s="4" t="s">
        <v>27</v>
      </c>
      <c r="F20" s="75">
        <v>9437</v>
      </c>
      <c r="G20" s="75">
        <v>9411</v>
      </c>
      <c r="H20" s="77" t="s">
        <v>28</v>
      </c>
      <c r="I20" s="77" t="s">
        <v>28</v>
      </c>
      <c r="J20" s="77">
        <v>99.7</v>
      </c>
      <c r="K20" s="17"/>
      <c r="L20" s="17"/>
    </row>
    <row r="21" spans="1:12" ht="15" thickBot="1" x14ac:dyDescent="0.25">
      <c r="A21" s="74"/>
      <c r="B21" s="21"/>
      <c r="C21" s="6" t="s">
        <v>29</v>
      </c>
      <c r="D21" s="6" t="s">
        <v>30</v>
      </c>
      <c r="E21" s="22">
        <v>45237</v>
      </c>
      <c r="F21" s="76"/>
      <c r="G21" s="76"/>
      <c r="H21" s="78"/>
      <c r="I21" s="78"/>
      <c r="J21" s="78"/>
      <c r="K21" s="21"/>
      <c r="L21" s="21"/>
    </row>
    <row r="22" spans="1:12" x14ac:dyDescent="0.2">
      <c r="A22" s="72" t="s">
        <v>50</v>
      </c>
      <c r="B22" s="17"/>
      <c r="C22" s="17"/>
      <c r="D22" s="17"/>
      <c r="E22" s="17"/>
      <c r="F22" s="17"/>
      <c r="G22" s="17"/>
      <c r="H22" s="77" t="s">
        <v>54</v>
      </c>
      <c r="I22" s="17"/>
      <c r="J22" s="17"/>
      <c r="K22" s="17"/>
      <c r="L22" s="17"/>
    </row>
    <row r="23" spans="1:12" x14ac:dyDescent="0.2">
      <c r="A23" s="73"/>
      <c r="B23" s="17"/>
      <c r="C23" s="17"/>
      <c r="D23" s="17"/>
      <c r="E23" s="17"/>
      <c r="F23" s="17"/>
      <c r="G23" s="17"/>
      <c r="H23" s="79"/>
      <c r="I23" s="17"/>
      <c r="J23" s="17"/>
      <c r="K23" s="17"/>
      <c r="L23" s="17"/>
    </row>
    <row r="24" spans="1:12" x14ac:dyDescent="0.2">
      <c r="A24" s="73"/>
      <c r="B24" s="4" t="s">
        <v>51</v>
      </c>
      <c r="C24" s="4" t="s">
        <v>16</v>
      </c>
      <c r="D24" s="4" t="s">
        <v>52</v>
      </c>
      <c r="E24" s="4" t="s">
        <v>53</v>
      </c>
      <c r="F24" s="3">
        <v>7500</v>
      </c>
      <c r="G24" s="3">
        <v>4729</v>
      </c>
      <c r="H24" s="79"/>
      <c r="I24" s="4">
        <v>55</v>
      </c>
      <c r="J24" s="4">
        <v>63.1</v>
      </c>
      <c r="K24" s="4">
        <v>1.44</v>
      </c>
      <c r="L24" s="4">
        <v>1.71</v>
      </c>
    </row>
    <row r="25" spans="1:12" ht="15" thickBot="1" x14ac:dyDescent="0.25">
      <c r="A25" s="74"/>
      <c r="B25" s="20"/>
      <c r="C25" s="20"/>
      <c r="D25" s="20"/>
      <c r="E25" s="22">
        <v>45186</v>
      </c>
      <c r="F25" s="20"/>
      <c r="G25" s="20"/>
      <c r="H25" s="78"/>
      <c r="I25" s="20"/>
      <c r="J25" s="20"/>
      <c r="K25" s="20"/>
      <c r="L25" s="20"/>
    </row>
    <row r="26" spans="1:12" x14ac:dyDescent="0.2">
      <c r="A26" s="72" t="s">
        <v>55</v>
      </c>
      <c r="B26" s="17"/>
      <c r="C26" s="77" t="s">
        <v>16</v>
      </c>
      <c r="D26" s="77" t="s">
        <v>33</v>
      </c>
      <c r="E26" s="4" t="s">
        <v>57</v>
      </c>
      <c r="F26" s="75">
        <v>10941</v>
      </c>
      <c r="G26" s="75">
        <v>4480</v>
      </c>
      <c r="H26" s="77" t="s">
        <v>35</v>
      </c>
      <c r="I26" s="77">
        <v>2.5</v>
      </c>
      <c r="J26" s="77">
        <v>41</v>
      </c>
      <c r="K26" s="17"/>
      <c r="L26" s="17"/>
    </row>
    <row r="27" spans="1:12" ht="15" thickBot="1" x14ac:dyDescent="0.25">
      <c r="A27" s="73"/>
      <c r="B27" s="4" t="s">
        <v>56</v>
      </c>
      <c r="C27" s="78"/>
      <c r="D27" s="78"/>
      <c r="E27" s="22">
        <v>45246</v>
      </c>
      <c r="F27" s="76"/>
      <c r="G27" s="76"/>
      <c r="H27" s="78"/>
      <c r="I27" s="78"/>
      <c r="J27" s="78"/>
      <c r="K27" s="4" t="s">
        <v>58</v>
      </c>
      <c r="L27" s="4" t="s">
        <v>60</v>
      </c>
    </row>
    <row r="28" spans="1:12" x14ac:dyDescent="0.2">
      <c r="A28" s="73"/>
      <c r="B28" s="19"/>
      <c r="C28" s="77" t="s">
        <v>39</v>
      </c>
      <c r="D28" s="4" t="s">
        <v>26</v>
      </c>
      <c r="E28" s="4" t="s">
        <v>62</v>
      </c>
      <c r="F28" s="75">
        <v>5141</v>
      </c>
      <c r="G28" s="75">
        <v>5026</v>
      </c>
      <c r="H28" s="77" t="s">
        <v>28</v>
      </c>
      <c r="I28" s="77" t="s">
        <v>28</v>
      </c>
      <c r="J28" s="77">
        <v>97.8</v>
      </c>
      <c r="K28" s="4" t="s">
        <v>59</v>
      </c>
      <c r="L28" s="4" t="s">
        <v>61</v>
      </c>
    </row>
    <row r="29" spans="1:12" ht="15" thickBot="1" x14ac:dyDescent="0.25">
      <c r="A29" s="74"/>
      <c r="B29" s="20"/>
      <c r="C29" s="78"/>
      <c r="D29" s="6" t="s">
        <v>30</v>
      </c>
      <c r="E29" s="22">
        <v>45165</v>
      </c>
      <c r="F29" s="76"/>
      <c r="G29" s="76"/>
      <c r="H29" s="78"/>
      <c r="I29" s="78"/>
      <c r="J29" s="78"/>
      <c r="K29" s="20"/>
      <c r="L29" s="20"/>
    </row>
    <row r="30" spans="1:12" x14ac:dyDescent="0.2">
      <c r="A30" s="72" t="s">
        <v>63</v>
      </c>
      <c r="B30" s="17"/>
      <c r="C30" s="17"/>
      <c r="D30" s="17"/>
      <c r="E30" s="17"/>
      <c r="F30" s="17"/>
      <c r="G30" s="17"/>
      <c r="H30" s="17"/>
      <c r="I30" s="17"/>
      <c r="J30" s="17"/>
      <c r="K30" s="17"/>
      <c r="L30" s="17"/>
    </row>
    <row r="31" spans="1:12" x14ac:dyDescent="0.2">
      <c r="A31" s="73"/>
      <c r="B31" s="17"/>
      <c r="C31" s="17"/>
      <c r="D31" s="17"/>
      <c r="E31" s="17"/>
      <c r="F31" s="17"/>
      <c r="G31" s="17"/>
      <c r="H31" s="17"/>
      <c r="I31" s="17"/>
      <c r="J31" s="17"/>
      <c r="K31" s="17"/>
      <c r="L31" s="17"/>
    </row>
    <row r="32" spans="1:12" x14ac:dyDescent="0.2">
      <c r="A32" s="73"/>
      <c r="B32" s="4" t="s">
        <v>64</v>
      </c>
      <c r="C32" s="4" t="s">
        <v>39</v>
      </c>
      <c r="D32" s="4" t="s">
        <v>65</v>
      </c>
      <c r="E32" s="4" t="s">
        <v>66</v>
      </c>
      <c r="F32" s="3">
        <v>3012</v>
      </c>
      <c r="G32" s="3">
        <v>3012</v>
      </c>
      <c r="H32" s="4" t="s">
        <v>28</v>
      </c>
      <c r="I32" s="4" t="s">
        <v>28</v>
      </c>
      <c r="J32" s="4">
        <v>100</v>
      </c>
      <c r="K32" s="4">
        <v>1.93</v>
      </c>
      <c r="L32" s="4">
        <v>2.48</v>
      </c>
    </row>
    <row r="33" spans="1:12" ht="15" thickBot="1" x14ac:dyDescent="0.25">
      <c r="A33" s="74"/>
      <c r="B33" s="20"/>
      <c r="C33" s="20"/>
      <c r="D33" s="20"/>
      <c r="E33" s="22">
        <v>45254</v>
      </c>
      <c r="F33" s="20"/>
      <c r="G33" s="20"/>
      <c r="H33" s="20"/>
      <c r="I33" s="20"/>
      <c r="J33" s="20"/>
      <c r="K33" s="20"/>
      <c r="L33" s="20"/>
    </row>
    <row r="34" spans="1:12" x14ac:dyDescent="0.2">
      <c r="A34" s="72" t="s">
        <v>71</v>
      </c>
      <c r="B34" s="77" t="s">
        <v>67</v>
      </c>
      <c r="C34" s="17"/>
      <c r="D34" s="17"/>
      <c r="E34" s="17"/>
      <c r="F34" s="17"/>
      <c r="G34" s="17"/>
      <c r="H34" s="17"/>
      <c r="I34" s="17"/>
      <c r="J34" s="17"/>
      <c r="K34" s="17"/>
      <c r="L34" s="17"/>
    </row>
    <row r="35" spans="1:12" x14ac:dyDescent="0.2">
      <c r="A35" s="73"/>
      <c r="B35" s="79"/>
      <c r="C35" s="17"/>
      <c r="D35" s="17"/>
      <c r="E35" s="17"/>
      <c r="F35" s="17"/>
      <c r="G35" s="17"/>
      <c r="H35" s="4" t="s">
        <v>69</v>
      </c>
      <c r="I35" s="17"/>
      <c r="J35" s="17"/>
      <c r="K35" s="17"/>
      <c r="L35" s="17"/>
    </row>
    <row r="36" spans="1:12" ht="28.5" x14ac:dyDescent="0.2">
      <c r="A36" s="73"/>
      <c r="B36" s="79"/>
      <c r="C36" s="17"/>
      <c r="D36" s="17"/>
      <c r="E36" s="17"/>
      <c r="F36" s="17"/>
      <c r="G36" s="17"/>
      <c r="H36" s="4" t="s">
        <v>70</v>
      </c>
      <c r="I36" s="17"/>
      <c r="J36" s="17"/>
      <c r="K36" s="17"/>
      <c r="L36" s="17"/>
    </row>
    <row r="37" spans="1:12" x14ac:dyDescent="0.2">
      <c r="A37" s="73"/>
      <c r="B37" s="79"/>
      <c r="C37" s="17"/>
      <c r="D37" s="17"/>
      <c r="E37" s="4" t="s">
        <v>68</v>
      </c>
      <c r="F37" s="17"/>
      <c r="G37" s="17"/>
      <c r="H37" s="19"/>
      <c r="I37" s="17"/>
      <c r="J37" s="17"/>
      <c r="K37" s="17"/>
      <c r="L37" s="17"/>
    </row>
    <row r="38" spans="1:12" ht="15" thickBot="1" x14ac:dyDescent="0.25">
      <c r="A38" s="74"/>
      <c r="B38" s="78"/>
      <c r="C38" s="6" t="s">
        <v>16</v>
      </c>
      <c r="D38" s="6" t="s">
        <v>52</v>
      </c>
      <c r="E38" s="22">
        <v>45268</v>
      </c>
      <c r="F38" s="5">
        <v>28644</v>
      </c>
      <c r="G38" s="5">
        <v>12765</v>
      </c>
      <c r="H38" s="20"/>
      <c r="I38" s="6">
        <v>68.900000000000006</v>
      </c>
      <c r="J38" s="6">
        <v>44.6</v>
      </c>
      <c r="K38" s="6">
        <v>1.43</v>
      </c>
      <c r="L38" s="6">
        <v>1.04</v>
      </c>
    </row>
  </sheetData>
  <mergeCells count="50">
    <mergeCell ref="A30:A33"/>
    <mergeCell ref="A34:A38"/>
    <mergeCell ref="B34:B38"/>
    <mergeCell ref="A1:L1"/>
    <mergeCell ref="I26:I27"/>
    <mergeCell ref="J26:J27"/>
    <mergeCell ref="C28:C29"/>
    <mergeCell ref="F28:F29"/>
    <mergeCell ref="G28:G29"/>
    <mergeCell ref="H28:H29"/>
    <mergeCell ref="I28:I29"/>
    <mergeCell ref="J28:J29"/>
    <mergeCell ref="A22:A25"/>
    <mergeCell ref="H22:H25"/>
    <mergeCell ref="A26:A29"/>
    <mergeCell ref="C26:C27"/>
    <mergeCell ref="D26:D27"/>
    <mergeCell ref="F26:F27"/>
    <mergeCell ref="G26:G27"/>
    <mergeCell ref="H26:H27"/>
    <mergeCell ref="A16:A21"/>
    <mergeCell ref="F20:F21"/>
    <mergeCell ref="G20:G21"/>
    <mergeCell ref="H20:H21"/>
    <mergeCell ref="I20:I21"/>
    <mergeCell ref="J20:J21"/>
    <mergeCell ref="I12:I13"/>
    <mergeCell ref="J12:J13"/>
    <mergeCell ref="C14:C15"/>
    <mergeCell ref="F14:F15"/>
    <mergeCell ref="G14:G15"/>
    <mergeCell ref="H14:H15"/>
    <mergeCell ref="I14:I15"/>
    <mergeCell ref="J14:J15"/>
    <mergeCell ref="H12:H13"/>
    <mergeCell ref="A12:A15"/>
    <mergeCell ref="C12:C13"/>
    <mergeCell ref="D12:D13"/>
    <mergeCell ref="F12:F13"/>
    <mergeCell ref="G12:G13"/>
    <mergeCell ref="A2:A5"/>
    <mergeCell ref="F2:G4"/>
    <mergeCell ref="I2:I5"/>
    <mergeCell ref="J2:J5"/>
    <mergeCell ref="A6:A11"/>
    <mergeCell ref="F10:F11"/>
    <mergeCell ref="G10:G11"/>
    <mergeCell ref="H10:H11"/>
    <mergeCell ref="I10:I11"/>
    <mergeCell ref="J10:J1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CBAD6E-2149-4588-BBDA-0381006D6280}">
  <dimension ref="A1:B1352"/>
  <sheetViews>
    <sheetView workbookViewId="0">
      <selection sqref="A1:B1"/>
    </sheetView>
  </sheetViews>
  <sheetFormatPr defaultRowHeight="15" x14ac:dyDescent="0.25"/>
  <cols>
    <col min="1" max="1" width="53.85546875" bestFit="1" customWidth="1"/>
    <col min="2" max="2" width="97.85546875" style="50" customWidth="1"/>
  </cols>
  <sheetData>
    <row r="1" spans="1:2" ht="29.25" customHeight="1" x14ac:dyDescent="0.25">
      <c r="A1" s="81" t="s">
        <v>1020</v>
      </c>
      <c r="B1" s="82"/>
    </row>
    <row r="2" spans="1:2" x14ac:dyDescent="0.25">
      <c r="A2" t="s">
        <v>357</v>
      </c>
    </row>
    <row r="3" spans="1:2" x14ac:dyDescent="0.25">
      <c r="A3" t="s">
        <v>358</v>
      </c>
      <c r="B3" s="50" t="s">
        <v>359</v>
      </c>
    </row>
    <row r="4" spans="1:2" x14ac:dyDescent="0.25">
      <c r="A4" t="s">
        <v>360</v>
      </c>
      <c r="B4" s="50" t="s">
        <v>361</v>
      </c>
    </row>
    <row r="5" spans="1:2" x14ac:dyDescent="0.25">
      <c r="A5" t="s">
        <v>362</v>
      </c>
      <c r="B5" s="50" t="s">
        <v>363</v>
      </c>
    </row>
    <row r="6" spans="1:2" x14ac:dyDescent="0.25">
      <c r="B6" s="50" t="s">
        <v>364</v>
      </c>
    </row>
    <row r="7" spans="1:2" x14ac:dyDescent="0.25">
      <c r="B7" s="50" t="s">
        <v>365</v>
      </c>
    </row>
    <row r="8" spans="1:2" x14ac:dyDescent="0.25">
      <c r="B8" s="50" t="s">
        <v>366</v>
      </c>
    </row>
    <row r="9" spans="1:2" x14ac:dyDescent="0.25">
      <c r="B9" s="50" t="s">
        <v>367</v>
      </c>
    </row>
    <row r="10" spans="1:2" x14ac:dyDescent="0.25">
      <c r="A10" t="s">
        <v>368</v>
      </c>
    </row>
    <row r="11" spans="1:2" x14ac:dyDescent="0.25">
      <c r="A11" t="s">
        <v>358</v>
      </c>
      <c r="B11" s="50" t="s">
        <v>369</v>
      </c>
    </row>
    <row r="12" spans="1:2" x14ac:dyDescent="0.25">
      <c r="A12" t="s">
        <v>360</v>
      </c>
      <c r="B12" s="50" t="s">
        <v>370</v>
      </c>
    </row>
    <row r="13" spans="1:2" x14ac:dyDescent="0.25">
      <c r="A13" t="s">
        <v>362</v>
      </c>
      <c r="B13" s="50" t="s">
        <v>363</v>
      </c>
    </row>
    <row r="14" spans="1:2" x14ac:dyDescent="0.25">
      <c r="B14" s="50" t="s">
        <v>364</v>
      </c>
    </row>
    <row r="15" spans="1:2" x14ac:dyDescent="0.25">
      <c r="B15" s="50" t="s">
        <v>365</v>
      </c>
    </row>
    <row r="16" spans="1:2" x14ac:dyDescent="0.25">
      <c r="B16" s="50" t="s">
        <v>371</v>
      </c>
    </row>
    <row r="17" spans="1:2" x14ac:dyDescent="0.25">
      <c r="B17" s="50" t="s">
        <v>367</v>
      </c>
    </row>
    <row r="18" spans="1:2" x14ac:dyDescent="0.25">
      <c r="A18" t="s">
        <v>372</v>
      </c>
    </row>
    <row r="19" spans="1:2" x14ac:dyDescent="0.25">
      <c r="A19" t="s">
        <v>358</v>
      </c>
      <c r="B19" s="50" t="s">
        <v>373</v>
      </c>
    </row>
    <row r="20" spans="1:2" x14ac:dyDescent="0.25">
      <c r="A20" t="s">
        <v>360</v>
      </c>
      <c r="B20" s="50" t="s">
        <v>374</v>
      </c>
    </row>
    <row r="21" spans="1:2" x14ac:dyDescent="0.25">
      <c r="A21" t="s">
        <v>362</v>
      </c>
      <c r="B21" s="50" t="s">
        <v>363</v>
      </c>
    </row>
    <row r="22" spans="1:2" x14ac:dyDescent="0.25">
      <c r="B22" s="50" t="s">
        <v>375</v>
      </c>
    </row>
    <row r="23" spans="1:2" x14ac:dyDescent="0.25">
      <c r="B23" s="50" t="s">
        <v>376</v>
      </c>
    </row>
    <row r="24" spans="1:2" x14ac:dyDescent="0.25">
      <c r="B24" s="50" t="s">
        <v>377</v>
      </c>
    </row>
    <row r="25" spans="1:2" x14ac:dyDescent="0.25">
      <c r="B25" s="50" t="s">
        <v>378</v>
      </c>
    </row>
    <row r="26" spans="1:2" x14ac:dyDescent="0.25">
      <c r="B26" s="50" t="s">
        <v>379</v>
      </c>
    </row>
    <row r="27" spans="1:2" x14ac:dyDescent="0.25">
      <c r="B27" s="50" t="s">
        <v>366</v>
      </c>
    </row>
    <row r="28" spans="1:2" x14ac:dyDescent="0.25">
      <c r="B28" s="50" t="s">
        <v>367</v>
      </c>
    </row>
    <row r="29" spans="1:2" x14ac:dyDescent="0.25">
      <c r="A29" t="s">
        <v>380</v>
      </c>
    </row>
    <row r="30" spans="1:2" x14ac:dyDescent="0.25">
      <c r="A30" t="s">
        <v>358</v>
      </c>
      <c r="B30" s="50" t="s">
        <v>381</v>
      </c>
    </row>
    <row r="31" spans="1:2" x14ac:dyDescent="0.25">
      <c r="A31" t="s">
        <v>360</v>
      </c>
      <c r="B31" s="50" t="s">
        <v>382</v>
      </c>
    </row>
    <row r="32" spans="1:2" x14ac:dyDescent="0.25">
      <c r="A32" t="s">
        <v>362</v>
      </c>
      <c r="B32" s="50" t="s">
        <v>363</v>
      </c>
    </row>
    <row r="33" spans="1:2" x14ac:dyDescent="0.25">
      <c r="B33" s="50" t="s">
        <v>383</v>
      </c>
    </row>
    <row r="34" spans="1:2" x14ac:dyDescent="0.25">
      <c r="B34" s="50" t="s">
        <v>384</v>
      </c>
    </row>
    <row r="35" spans="1:2" x14ac:dyDescent="0.25">
      <c r="B35" s="50" t="s">
        <v>385</v>
      </c>
    </row>
    <row r="36" spans="1:2" x14ac:dyDescent="0.25">
      <c r="B36" s="50" t="s">
        <v>386</v>
      </c>
    </row>
    <row r="37" spans="1:2" x14ac:dyDescent="0.25">
      <c r="B37" s="50" t="s">
        <v>387</v>
      </c>
    </row>
    <row r="38" spans="1:2" x14ac:dyDescent="0.25">
      <c r="B38" s="50" t="s">
        <v>366</v>
      </c>
    </row>
    <row r="39" spans="1:2" x14ac:dyDescent="0.25">
      <c r="B39" s="50" t="s">
        <v>367</v>
      </c>
    </row>
    <row r="41" spans="1:2" x14ac:dyDescent="0.25">
      <c r="A41" t="s">
        <v>388</v>
      </c>
    </row>
    <row r="42" spans="1:2" x14ac:dyDescent="0.25">
      <c r="A42" t="s">
        <v>358</v>
      </c>
      <c r="B42" s="50" t="s">
        <v>389</v>
      </c>
    </row>
    <row r="43" spans="1:2" x14ac:dyDescent="0.25">
      <c r="A43" t="s">
        <v>360</v>
      </c>
      <c r="B43" s="50" t="s">
        <v>390</v>
      </c>
    </row>
    <row r="44" spans="1:2" x14ac:dyDescent="0.25">
      <c r="A44" t="s">
        <v>362</v>
      </c>
      <c r="B44" s="50" t="s">
        <v>363</v>
      </c>
    </row>
    <row r="45" spans="1:2" x14ac:dyDescent="0.25">
      <c r="B45" s="50" t="s">
        <v>391</v>
      </c>
    </row>
    <row r="46" spans="1:2" x14ac:dyDescent="0.25">
      <c r="B46" s="50" t="s">
        <v>392</v>
      </c>
    </row>
    <row r="47" spans="1:2" x14ac:dyDescent="0.25">
      <c r="B47" s="50" t="s">
        <v>393</v>
      </c>
    </row>
    <row r="48" spans="1:2" x14ac:dyDescent="0.25">
      <c r="B48" s="50" t="s">
        <v>394</v>
      </c>
    </row>
    <row r="49" spans="1:2" x14ac:dyDescent="0.25">
      <c r="B49" s="50" t="s">
        <v>395</v>
      </c>
    </row>
    <row r="50" spans="1:2" x14ac:dyDescent="0.25">
      <c r="B50" s="50" t="s">
        <v>367</v>
      </c>
    </row>
    <row r="51" spans="1:2" x14ac:dyDescent="0.25">
      <c r="A51" t="s">
        <v>396</v>
      </c>
    </row>
    <row r="52" spans="1:2" x14ac:dyDescent="0.25">
      <c r="A52" t="s">
        <v>358</v>
      </c>
      <c r="B52" s="50" t="s">
        <v>397</v>
      </c>
    </row>
    <row r="53" spans="1:2" x14ac:dyDescent="0.25">
      <c r="A53" t="s">
        <v>360</v>
      </c>
      <c r="B53" s="50" t="s">
        <v>398</v>
      </c>
    </row>
    <row r="54" spans="1:2" x14ac:dyDescent="0.25">
      <c r="A54" t="s">
        <v>362</v>
      </c>
      <c r="B54" s="50" t="s">
        <v>363</v>
      </c>
    </row>
    <row r="55" spans="1:2" x14ac:dyDescent="0.25">
      <c r="B55" s="50" t="s">
        <v>399</v>
      </c>
    </row>
    <row r="56" spans="1:2" x14ac:dyDescent="0.25">
      <c r="B56" s="50" t="s">
        <v>400</v>
      </c>
    </row>
    <row r="57" spans="1:2" x14ac:dyDescent="0.25">
      <c r="B57" s="50" t="s">
        <v>366</v>
      </c>
    </row>
    <row r="58" spans="1:2" x14ac:dyDescent="0.25">
      <c r="B58" s="50" t="s">
        <v>367</v>
      </c>
    </row>
    <row r="59" spans="1:2" x14ac:dyDescent="0.25">
      <c r="A59" t="s">
        <v>401</v>
      </c>
    </row>
    <row r="60" spans="1:2" x14ac:dyDescent="0.25">
      <c r="A60" t="s">
        <v>358</v>
      </c>
      <c r="B60" s="50" t="s">
        <v>402</v>
      </c>
    </row>
    <row r="61" spans="1:2" x14ac:dyDescent="0.25">
      <c r="A61" t="s">
        <v>360</v>
      </c>
      <c r="B61" s="50" t="s">
        <v>403</v>
      </c>
    </row>
    <row r="62" spans="1:2" x14ac:dyDescent="0.25">
      <c r="A62" t="s">
        <v>362</v>
      </c>
      <c r="B62" s="50" t="s">
        <v>363</v>
      </c>
    </row>
    <row r="63" spans="1:2" x14ac:dyDescent="0.25">
      <c r="B63" s="50" t="s">
        <v>404</v>
      </c>
    </row>
    <row r="64" spans="1:2" x14ac:dyDescent="0.25">
      <c r="B64" s="50" t="s">
        <v>405</v>
      </c>
    </row>
    <row r="65" spans="1:2" x14ac:dyDescent="0.25">
      <c r="B65" s="50" t="s">
        <v>406</v>
      </c>
    </row>
    <row r="66" spans="1:2" x14ac:dyDescent="0.25">
      <c r="B66" s="50" t="s">
        <v>407</v>
      </c>
    </row>
    <row r="67" spans="1:2" x14ac:dyDescent="0.25">
      <c r="B67" s="50" t="s">
        <v>366</v>
      </c>
    </row>
    <row r="68" spans="1:2" x14ac:dyDescent="0.25">
      <c r="B68" s="50" t="s">
        <v>367</v>
      </c>
    </row>
    <row r="69" spans="1:2" x14ac:dyDescent="0.25">
      <c r="A69" t="s">
        <v>408</v>
      </c>
    </row>
    <row r="70" spans="1:2" x14ac:dyDescent="0.25">
      <c r="A70" t="s">
        <v>358</v>
      </c>
      <c r="B70" s="50" t="s">
        <v>409</v>
      </c>
    </row>
    <row r="71" spans="1:2" x14ac:dyDescent="0.25">
      <c r="A71" t="s">
        <v>360</v>
      </c>
      <c r="B71" s="50" t="s">
        <v>410</v>
      </c>
    </row>
    <row r="72" spans="1:2" x14ac:dyDescent="0.25">
      <c r="A72" t="s">
        <v>362</v>
      </c>
      <c r="B72" s="50" t="s">
        <v>363</v>
      </c>
    </row>
    <row r="73" spans="1:2" x14ac:dyDescent="0.25">
      <c r="B73" s="50" t="s">
        <v>411</v>
      </c>
    </row>
    <row r="74" spans="1:2" x14ac:dyDescent="0.25">
      <c r="B74" s="50" t="s">
        <v>412</v>
      </c>
    </row>
    <row r="75" spans="1:2" x14ac:dyDescent="0.25">
      <c r="B75" s="50" t="s">
        <v>413</v>
      </c>
    </row>
    <row r="76" spans="1:2" x14ac:dyDescent="0.25">
      <c r="B76" s="50" t="s">
        <v>414</v>
      </c>
    </row>
    <row r="77" spans="1:2" x14ac:dyDescent="0.25">
      <c r="B77" s="50" t="s">
        <v>366</v>
      </c>
    </row>
    <row r="78" spans="1:2" x14ac:dyDescent="0.25">
      <c r="B78" s="50" t="s">
        <v>367</v>
      </c>
    </row>
    <row r="79" spans="1:2" x14ac:dyDescent="0.25">
      <c r="A79" t="s">
        <v>415</v>
      </c>
    </row>
    <row r="80" spans="1:2" x14ac:dyDescent="0.25">
      <c r="A80" t="s">
        <v>358</v>
      </c>
      <c r="B80" s="50" t="s">
        <v>416</v>
      </c>
    </row>
    <row r="81" spans="1:2" x14ac:dyDescent="0.25">
      <c r="A81" t="s">
        <v>360</v>
      </c>
      <c r="B81" s="50" t="s">
        <v>417</v>
      </c>
    </row>
    <row r="82" spans="1:2" x14ac:dyDescent="0.25">
      <c r="A82" t="s">
        <v>362</v>
      </c>
      <c r="B82" s="50" t="s">
        <v>363</v>
      </c>
    </row>
    <row r="83" spans="1:2" x14ac:dyDescent="0.25">
      <c r="B83" s="50" t="s">
        <v>418</v>
      </c>
    </row>
    <row r="84" spans="1:2" x14ac:dyDescent="0.25">
      <c r="B84" s="50" t="s">
        <v>419</v>
      </c>
    </row>
    <row r="85" spans="1:2" x14ac:dyDescent="0.25">
      <c r="B85" s="50" t="s">
        <v>366</v>
      </c>
    </row>
    <row r="86" spans="1:2" x14ac:dyDescent="0.25">
      <c r="B86" s="50" t="s">
        <v>367</v>
      </c>
    </row>
    <row r="87" spans="1:2" x14ac:dyDescent="0.25">
      <c r="A87" t="s">
        <v>420</v>
      </c>
    </row>
    <row r="88" spans="1:2" x14ac:dyDescent="0.25">
      <c r="A88" t="s">
        <v>358</v>
      </c>
      <c r="B88" s="50" t="s">
        <v>421</v>
      </c>
    </row>
    <row r="89" spans="1:2" x14ac:dyDescent="0.25">
      <c r="A89" t="s">
        <v>360</v>
      </c>
      <c r="B89" s="50" t="s">
        <v>422</v>
      </c>
    </row>
    <row r="90" spans="1:2" x14ac:dyDescent="0.25">
      <c r="A90" t="s">
        <v>362</v>
      </c>
      <c r="B90" s="50" t="s">
        <v>363</v>
      </c>
    </row>
    <row r="91" spans="1:2" x14ac:dyDescent="0.25">
      <c r="B91" s="50" t="s">
        <v>364</v>
      </c>
    </row>
    <row r="92" spans="1:2" x14ac:dyDescent="0.25">
      <c r="B92" s="50" t="s">
        <v>365</v>
      </c>
    </row>
    <row r="93" spans="1:2" x14ac:dyDescent="0.25">
      <c r="B93" s="50" t="s">
        <v>366</v>
      </c>
    </row>
    <row r="94" spans="1:2" x14ac:dyDescent="0.25">
      <c r="B94" s="50" t="s">
        <v>367</v>
      </c>
    </row>
    <row r="95" spans="1:2" x14ac:dyDescent="0.25">
      <c r="A95" t="s">
        <v>423</v>
      </c>
    </row>
    <row r="96" spans="1:2" x14ac:dyDescent="0.25">
      <c r="A96" t="s">
        <v>358</v>
      </c>
      <c r="B96" s="50" t="s">
        <v>424</v>
      </c>
    </row>
    <row r="97" spans="1:2" x14ac:dyDescent="0.25">
      <c r="A97" t="s">
        <v>360</v>
      </c>
      <c r="B97" s="50" t="s">
        <v>425</v>
      </c>
    </row>
    <row r="98" spans="1:2" x14ac:dyDescent="0.25">
      <c r="A98" t="s">
        <v>362</v>
      </c>
      <c r="B98" s="50" t="s">
        <v>363</v>
      </c>
    </row>
    <row r="99" spans="1:2" x14ac:dyDescent="0.25">
      <c r="B99" s="50" t="s">
        <v>426</v>
      </c>
    </row>
    <row r="100" spans="1:2" x14ac:dyDescent="0.25">
      <c r="B100" s="50" t="s">
        <v>427</v>
      </c>
    </row>
    <row r="101" spans="1:2" x14ac:dyDescent="0.25">
      <c r="B101" s="50" t="s">
        <v>366</v>
      </c>
    </row>
    <row r="102" spans="1:2" x14ac:dyDescent="0.25">
      <c r="B102" s="50" t="s">
        <v>367</v>
      </c>
    </row>
    <row r="103" spans="1:2" x14ac:dyDescent="0.25">
      <c r="A103" t="s">
        <v>428</v>
      </c>
    </row>
    <row r="104" spans="1:2" x14ac:dyDescent="0.25">
      <c r="A104" t="s">
        <v>358</v>
      </c>
      <c r="B104" s="50" t="s">
        <v>429</v>
      </c>
    </row>
    <row r="105" spans="1:2" x14ac:dyDescent="0.25">
      <c r="A105" t="s">
        <v>360</v>
      </c>
      <c r="B105" s="50" t="s">
        <v>430</v>
      </c>
    </row>
    <row r="106" spans="1:2" x14ac:dyDescent="0.25">
      <c r="A106" t="s">
        <v>362</v>
      </c>
      <c r="B106" s="50" t="s">
        <v>363</v>
      </c>
    </row>
    <row r="107" spans="1:2" x14ac:dyDescent="0.25">
      <c r="B107" s="50" t="s">
        <v>426</v>
      </c>
    </row>
    <row r="108" spans="1:2" x14ac:dyDescent="0.25">
      <c r="B108" s="50" t="s">
        <v>427</v>
      </c>
    </row>
    <row r="109" spans="1:2" x14ac:dyDescent="0.25">
      <c r="B109" s="50" t="s">
        <v>366</v>
      </c>
    </row>
    <row r="110" spans="1:2" x14ac:dyDescent="0.25">
      <c r="B110" s="50" t="s">
        <v>367</v>
      </c>
    </row>
    <row r="111" spans="1:2" x14ac:dyDescent="0.25">
      <c r="A111" t="s">
        <v>431</v>
      </c>
    </row>
    <row r="112" spans="1:2" x14ac:dyDescent="0.25">
      <c r="A112" t="s">
        <v>358</v>
      </c>
      <c r="B112" s="50" t="s">
        <v>432</v>
      </c>
    </row>
    <row r="113" spans="1:2" x14ac:dyDescent="0.25">
      <c r="A113" t="s">
        <v>360</v>
      </c>
      <c r="B113" s="50" t="s">
        <v>433</v>
      </c>
    </row>
    <row r="114" spans="1:2" x14ac:dyDescent="0.25">
      <c r="A114" t="s">
        <v>362</v>
      </c>
      <c r="B114" s="50" t="s">
        <v>363</v>
      </c>
    </row>
    <row r="115" spans="1:2" x14ac:dyDescent="0.25">
      <c r="B115" s="50" t="s">
        <v>426</v>
      </c>
    </row>
    <row r="116" spans="1:2" x14ac:dyDescent="0.25">
      <c r="B116" s="50" t="s">
        <v>427</v>
      </c>
    </row>
    <row r="117" spans="1:2" x14ac:dyDescent="0.25">
      <c r="B117" s="50" t="s">
        <v>366</v>
      </c>
    </row>
    <row r="118" spans="1:2" x14ac:dyDescent="0.25">
      <c r="B118" s="50" t="s">
        <v>367</v>
      </c>
    </row>
    <row r="119" spans="1:2" x14ac:dyDescent="0.25">
      <c r="A119" t="s">
        <v>434</v>
      </c>
    </row>
    <row r="120" spans="1:2" x14ac:dyDescent="0.25">
      <c r="A120" t="s">
        <v>358</v>
      </c>
      <c r="B120" s="50" t="s">
        <v>435</v>
      </c>
    </row>
    <row r="121" spans="1:2" x14ac:dyDescent="0.25">
      <c r="A121" t="s">
        <v>360</v>
      </c>
      <c r="B121" s="50" t="s">
        <v>436</v>
      </c>
    </row>
    <row r="122" spans="1:2" x14ac:dyDescent="0.25">
      <c r="A122" t="s">
        <v>362</v>
      </c>
      <c r="B122" s="50" t="s">
        <v>363</v>
      </c>
    </row>
    <row r="123" spans="1:2" x14ac:dyDescent="0.25">
      <c r="B123" s="50" t="s">
        <v>426</v>
      </c>
    </row>
    <row r="124" spans="1:2" x14ac:dyDescent="0.25">
      <c r="B124" s="50" t="s">
        <v>427</v>
      </c>
    </row>
    <row r="125" spans="1:2" x14ac:dyDescent="0.25">
      <c r="B125" s="50" t="s">
        <v>366</v>
      </c>
    </row>
    <row r="126" spans="1:2" x14ac:dyDescent="0.25">
      <c r="B126" s="50" t="s">
        <v>367</v>
      </c>
    </row>
    <row r="127" spans="1:2" x14ac:dyDescent="0.25">
      <c r="A127" t="s">
        <v>437</v>
      </c>
    </row>
    <row r="128" spans="1:2" x14ac:dyDescent="0.25">
      <c r="A128" t="s">
        <v>358</v>
      </c>
      <c r="B128" s="50" t="s">
        <v>438</v>
      </c>
    </row>
    <row r="129" spans="1:2" x14ac:dyDescent="0.25">
      <c r="A129" t="s">
        <v>360</v>
      </c>
      <c r="B129" s="50" t="s">
        <v>439</v>
      </c>
    </row>
    <row r="130" spans="1:2" x14ac:dyDescent="0.25">
      <c r="A130" t="s">
        <v>362</v>
      </c>
      <c r="B130" s="50" t="s">
        <v>363</v>
      </c>
    </row>
    <row r="131" spans="1:2" x14ac:dyDescent="0.25">
      <c r="B131" s="50" t="s">
        <v>426</v>
      </c>
    </row>
    <row r="132" spans="1:2" x14ac:dyDescent="0.25">
      <c r="B132" s="50" t="s">
        <v>427</v>
      </c>
    </row>
    <row r="133" spans="1:2" x14ac:dyDescent="0.25">
      <c r="B133" s="50" t="s">
        <v>366</v>
      </c>
    </row>
    <row r="134" spans="1:2" x14ac:dyDescent="0.25">
      <c r="B134" s="50" t="s">
        <v>367</v>
      </c>
    </row>
    <row r="135" spans="1:2" x14ac:dyDescent="0.25">
      <c r="A135" t="s">
        <v>440</v>
      </c>
    </row>
    <row r="136" spans="1:2" x14ac:dyDescent="0.25">
      <c r="A136" t="s">
        <v>358</v>
      </c>
      <c r="B136" s="50" t="s">
        <v>441</v>
      </c>
    </row>
    <row r="137" spans="1:2" x14ac:dyDescent="0.25">
      <c r="A137" t="s">
        <v>360</v>
      </c>
      <c r="B137" s="50" t="s">
        <v>442</v>
      </c>
    </row>
    <row r="138" spans="1:2" x14ac:dyDescent="0.25">
      <c r="A138" t="s">
        <v>443</v>
      </c>
    </row>
    <row r="139" spans="1:2" x14ac:dyDescent="0.25">
      <c r="A139" t="s">
        <v>362</v>
      </c>
      <c r="B139" s="50" t="s">
        <v>363</v>
      </c>
    </row>
    <row r="140" spans="1:2" x14ac:dyDescent="0.25">
      <c r="B140" s="50" t="s">
        <v>426</v>
      </c>
    </row>
    <row r="141" spans="1:2" x14ac:dyDescent="0.25">
      <c r="B141" s="50" t="s">
        <v>427</v>
      </c>
    </row>
    <row r="142" spans="1:2" x14ac:dyDescent="0.25">
      <c r="B142" s="50" t="s">
        <v>366</v>
      </c>
    </row>
    <row r="143" spans="1:2" x14ac:dyDescent="0.25">
      <c r="B143" s="50" t="s">
        <v>367</v>
      </c>
    </row>
    <row r="144" spans="1:2" x14ac:dyDescent="0.25">
      <c r="A144" t="s">
        <v>444</v>
      </c>
    </row>
    <row r="145" spans="1:2" x14ac:dyDescent="0.25">
      <c r="A145" t="s">
        <v>358</v>
      </c>
      <c r="B145" s="50" t="s">
        <v>445</v>
      </c>
    </row>
    <row r="146" spans="1:2" x14ac:dyDescent="0.25">
      <c r="A146" t="s">
        <v>360</v>
      </c>
      <c r="B146" s="50" t="s">
        <v>446</v>
      </c>
    </row>
    <row r="147" spans="1:2" x14ac:dyDescent="0.25">
      <c r="A147" t="s">
        <v>362</v>
      </c>
      <c r="B147" s="50" t="s">
        <v>363</v>
      </c>
    </row>
    <row r="148" spans="1:2" x14ac:dyDescent="0.25">
      <c r="B148" s="50" t="s">
        <v>426</v>
      </c>
    </row>
    <row r="149" spans="1:2" x14ac:dyDescent="0.25">
      <c r="B149" s="50" t="s">
        <v>427</v>
      </c>
    </row>
    <row r="150" spans="1:2" x14ac:dyDescent="0.25">
      <c r="B150" s="50" t="s">
        <v>366</v>
      </c>
    </row>
    <row r="151" spans="1:2" x14ac:dyDescent="0.25">
      <c r="B151" s="50" t="s">
        <v>367</v>
      </c>
    </row>
    <row r="152" spans="1:2" x14ac:dyDescent="0.25">
      <c r="A152" t="s">
        <v>447</v>
      </c>
    </row>
    <row r="153" spans="1:2" x14ac:dyDescent="0.25">
      <c r="A153" t="s">
        <v>358</v>
      </c>
      <c r="B153" s="50" t="s">
        <v>448</v>
      </c>
    </row>
    <row r="154" spans="1:2" x14ac:dyDescent="0.25">
      <c r="A154" t="s">
        <v>360</v>
      </c>
      <c r="B154" s="50" t="s">
        <v>449</v>
      </c>
    </row>
    <row r="155" spans="1:2" x14ac:dyDescent="0.25">
      <c r="A155" t="s">
        <v>362</v>
      </c>
      <c r="B155" s="50" t="s">
        <v>363</v>
      </c>
    </row>
    <row r="156" spans="1:2" x14ac:dyDescent="0.25">
      <c r="B156" s="50" t="s">
        <v>450</v>
      </c>
    </row>
    <row r="157" spans="1:2" x14ac:dyDescent="0.25">
      <c r="B157" s="50" t="s">
        <v>451</v>
      </c>
    </row>
    <row r="158" spans="1:2" x14ac:dyDescent="0.25">
      <c r="B158" s="50" t="s">
        <v>452</v>
      </c>
    </row>
    <row r="159" spans="1:2" x14ac:dyDescent="0.25">
      <c r="B159" s="50" t="s">
        <v>453</v>
      </c>
    </row>
    <row r="160" spans="1:2" x14ac:dyDescent="0.25">
      <c r="B160" s="50" t="s">
        <v>367</v>
      </c>
    </row>
    <row r="161" spans="1:2" x14ac:dyDescent="0.25">
      <c r="A161" t="s">
        <v>454</v>
      </c>
    </row>
    <row r="162" spans="1:2" x14ac:dyDescent="0.25">
      <c r="A162" t="s">
        <v>358</v>
      </c>
      <c r="B162" s="50" t="s">
        <v>455</v>
      </c>
    </row>
    <row r="163" spans="1:2" x14ac:dyDescent="0.25">
      <c r="A163" t="s">
        <v>360</v>
      </c>
      <c r="B163" s="50" t="s">
        <v>456</v>
      </c>
    </row>
    <row r="164" spans="1:2" x14ac:dyDescent="0.25">
      <c r="A164" t="s">
        <v>362</v>
      </c>
      <c r="B164" s="50" t="s">
        <v>363</v>
      </c>
    </row>
    <row r="165" spans="1:2" x14ac:dyDescent="0.25">
      <c r="B165" s="50" t="s">
        <v>411</v>
      </c>
    </row>
    <row r="166" spans="1:2" x14ac:dyDescent="0.25">
      <c r="B166" s="50" t="s">
        <v>412</v>
      </c>
    </row>
    <row r="167" spans="1:2" x14ac:dyDescent="0.25">
      <c r="B167" s="50" t="s">
        <v>413</v>
      </c>
    </row>
    <row r="168" spans="1:2" x14ac:dyDescent="0.25">
      <c r="B168" s="50" t="s">
        <v>414</v>
      </c>
    </row>
    <row r="169" spans="1:2" x14ac:dyDescent="0.25">
      <c r="B169" s="50" t="s">
        <v>366</v>
      </c>
    </row>
    <row r="170" spans="1:2" x14ac:dyDescent="0.25">
      <c r="B170" s="50" t="s">
        <v>367</v>
      </c>
    </row>
    <row r="171" spans="1:2" x14ac:dyDescent="0.25">
      <c r="A171" t="s">
        <v>457</v>
      </c>
    </row>
    <row r="172" spans="1:2" x14ac:dyDescent="0.25">
      <c r="A172" t="s">
        <v>358</v>
      </c>
      <c r="B172" s="50" t="s">
        <v>458</v>
      </c>
    </row>
    <row r="173" spans="1:2" x14ac:dyDescent="0.25">
      <c r="A173" t="s">
        <v>360</v>
      </c>
      <c r="B173" s="50" t="s">
        <v>459</v>
      </c>
    </row>
    <row r="174" spans="1:2" x14ac:dyDescent="0.25">
      <c r="A174" t="s">
        <v>443</v>
      </c>
    </row>
    <row r="175" spans="1:2" x14ac:dyDescent="0.25">
      <c r="A175" t="s">
        <v>362</v>
      </c>
      <c r="B175" s="50" t="s">
        <v>363</v>
      </c>
    </row>
    <row r="176" spans="1:2" x14ac:dyDescent="0.25">
      <c r="B176" s="50" t="s">
        <v>426</v>
      </c>
    </row>
    <row r="177" spans="1:2" x14ac:dyDescent="0.25">
      <c r="B177" s="50" t="s">
        <v>427</v>
      </c>
    </row>
    <row r="178" spans="1:2" x14ac:dyDescent="0.25">
      <c r="B178" s="50" t="s">
        <v>366</v>
      </c>
    </row>
    <row r="179" spans="1:2" x14ac:dyDescent="0.25">
      <c r="B179" s="50" t="s">
        <v>367</v>
      </c>
    </row>
    <row r="180" spans="1:2" x14ac:dyDescent="0.25">
      <c r="A180" t="s">
        <v>460</v>
      </c>
    </row>
    <row r="181" spans="1:2" x14ac:dyDescent="0.25">
      <c r="A181" t="s">
        <v>358</v>
      </c>
      <c r="B181" s="50" t="s">
        <v>461</v>
      </c>
    </row>
    <row r="182" spans="1:2" x14ac:dyDescent="0.25">
      <c r="A182" t="s">
        <v>360</v>
      </c>
      <c r="B182" s="50" t="s">
        <v>462</v>
      </c>
    </row>
    <row r="183" spans="1:2" x14ac:dyDescent="0.25">
      <c r="A183" t="s">
        <v>362</v>
      </c>
      <c r="B183" s="50" t="s">
        <v>363</v>
      </c>
    </row>
    <row r="184" spans="1:2" x14ac:dyDescent="0.25">
      <c r="B184" s="50" t="s">
        <v>463</v>
      </c>
    </row>
    <row r="185" spans="1:2" x14ac:dyDescent="0.25">
      <c r="B185" s="50" t="s">
        <v>464</v>
      </c>
    </row>
    <row r="186" spans="1:2" x14ac:dyDescent="0.25">
      <c r="B186" s="50" t="s">
        <v>465</v>
      </c>
    </row>
    <row r="187" spans="1:2" x14ac:dyDescent="0.25">
      <c r="B187" s="50" t="s">
        <v>466</v>
      </c>
    </row>
    <row r="188" spans="1:2" x14ac:dyDescent="0.25">
      <c r="B188" s="50" t="s">
        <v>366</v>
      </c>
    </row>
    <row r="189" spans="1:2" x14ac:dyDescent="0.25">
      <c r="B189" s="50" t="s">
        <v>367</v>
      </c>
    </row>
    <row r="190" spans="1:2" x14ac:dyDescent="0.25">
      <c r="A190" t="s">
        <v>467</v>
      </c>
    </row>
    <row r="191" spans="1:2" x14ac:dyDescent="0.25">
      <c r="A191" t="s">
        <v>358</v>
      </c>
      <c r="B191" s="50" t="s">
        <v>468</v>
      </c>
    </row>
    <row r="192" spans="1:2" x14ac:dyDescent="0.25">
      <c r="A192" t="s">
        <v>360</v>
      </c>
      <c r="B192" s="50" t="s">
        <v>469</v>
      </c>
    </row>
    <row r="193" spans="1:2" x14ac:dyDescent="0.25">
      <c r="A193" t="s">
        <v>362</v>
      </c>
      <c r="B193" s="50" t="s">
        <v>363</v>
      </c>
    </row>
    <row r="194" spans="1:2" x14ac:dyDescent="0.25">
      <c r="B194" s="50" t="s">
        <v>364</v>
      </c>
    </row>
    <row r="195" spans="1:2" x14ac:dyDescent="0.25">
      <c r="B195" s="50" t="s">
        <v>365</v>
      </c>
    </row>
    <row r="196" spans="1:2" x14ac:dyDescent="0.25">
      <c r="B196" s="50" t="s">
        <v>366</v>
      </c>
    </row>
    <row r="197" spans="1:2" x14ac:dyDescent="0.25">
      <c r="B197" s="50" t="s">
        <v>367</v>
      </c>
    </row>
    <row r="198" spans="1:2" x14ac:dyDescent="0.25">
      <c r="A198" t="s">
        <v>470</v>
      </c>
    </row>
    <row r="199" spans="1:2" x14ac:dyDescent="0.25">
      <c r="A199" t="s">
        <v>358</v>
      </c>
      <c r="B199" s="50" t="s">
        <v>471</v>
      </c>
    </row>
    <row r="200" spans="1:2" x14ac:dyDescent="0.25">
      <c r="A200" t="s">
        <v>360</v>
      </c>
      <c r="B200" s="50" t="s">
        <v>472</v>
      </c>
    </row>
    <row r="201" spans="1:2" x14ac:dyDescent="0.25">
      <c r="A201" t="s">
        <v>362</v>
      </c>
      <c r="B201" s="50" t="s">
        <v>363</v>
      </c>
    </row>
    <row r="202" spans="1:2" x14ac:dyDescent="0.25">
      <c r="B202" s="50" t="s">
        <v>450</v>
      </c>
    </row>
    <row r="203" spans="1:2" x14ac:dyDescent="0.25">
      <c r="B203" s="50" t="s">
        <v>451</v>
      </c>
    </row>
    <row r="204" spans="1:2" x14ac:dyDescent="0.25">
      <c r="B204" s="50" t="s">
        <v>452</v>
      </c>
    </row>
    <row r="205" spans="1:2" x14ac:dyDescent="0.25">
      <c r="B205" s="50" t="s">
        <v>453</v>
      </c>
    </row>
    <row r="206" spans="1:2" x14ac:dyDescent="0.25">
      <c r="B206" s="50" t="s">
        <v>367</v>
      </c>
    </row>
    <row r="207" spans="1:2" x14ac:dyDescent="0.25">
      <c r="A207" t="s">
        <v>473</v>
      </c>
    </row>
    <row r="208" spans="1:2" x14ac:dyDescent="0.25">
      <c r="A208" t="s">
        <v>358</v>
      </c>
      <c r="B208" s="50" t="s">
        <v>474</v>
      </c>
    </row>
    <row r="209" spans="1:2" x14ac:dyDescent="0.25">
      <c r="A209" t="s">
        <v>360</v>
      </c>
      <c r="B209" s="50" t="s">
        <v>475</v>
      </c>
    </row>
    <row r="210" spans="1:2" x14ac:dyDescent="0.25">
      <c r="A210" t="s">
        <v>443</v>
      </c>
    </row>
    <row r="211" spans="1:2" x14ac:dyDescent="0.25">
      <c r="A211" t="s">
        <v>362</v>
      </c>
      <c r="B211" s="50" t="s">
        <v>363</v>
      </c>
    </row>
    <row r="212" spans="1:2" x14ac:dyDescent="0.25">
      <c r="B212" s="50" t="s">
        <v>476</v>
      </c>
    </row>
    <row r="213" spans="1:2" x14ac:dyDescent="0.25">
      <c r="B213" s="50" t="s">
        <v>477</v>
      </c>
    </row>
    <row r="214" spans="1:2" x14ac:dyDescent="0.25">
      <c r="B214" s="50" t="s">
        <v>478</v>
      </c>
    </row>
    <row r="215" spans="1:2" x14ac:dyDescent="0.25">
      <c r="B215" s="50" t="s">
        <v>479</v>
      </c>
    </row>
    <row r="216" spans="1:2" x14ac:dyDescent="0.25">
      <c r="B216" s="50" t="s">
        <v>480</v>
      </c>
    </row>
    <row r="217" spans="1:2" x14ac:dyDescent="0.25">
      <c r="B217" s="50" t="s">
        <v>481</v>
      </c>
    </row>
    <row r="218" spans="1:2" x14ac:dyDescent="0.25">
      <c r="B218" s="50" t="s">
        <v>482</v>
      </c>
    </row>
    <row r="219" spans="1:2" x14ac:dyDescent="0.25">
      <c r="B219" s="50" t="s">
        <v>483</v>
      </c>
    </row>
    <row r="220" spans="1:2" x14ac:dyDescent="0.25">
      <c r="B220" s="50" t="s">
        <v>366</v>
      </c>
    </row>
    <row r="221" spans="1:2" x14ac:dyDescent="0.25">
      <c r="B221" s="50" t="s">
        <v>367</v>
      </c>
    </row>
    <row r="222" spans="1:2" x14ac:dyDescent="0.25">
      <c r="A222" t="s">
        <v>484</v>
      </c>
    </row>
    <row r="223" spans="1:2" x14ac:dyDescent="0.25">
      <c r="A223" t="s">
        <v>358</v>
      </c>
      <c r="B223" s="50" t="s">
        <v>485</v>
      </c>
    </row>
    <row r="224" spans="1:2" x14ac:dyDescent="0.25">
      <c r="A224" t="s">
        <v>360</v>
      </c>
      <c r="B224" s="50" t="s">
        <v>486</v>
      </c>
    </row>
    <row r="225" spans="1:2" x14ac:dyDescent="0.25">
      <c r="A225" t="s">
        <v>362</v>
      </c>
      <c r="B225" s="50" t="s">
        <v>363</v>
      </c>
    </row>
    <row r="226" spans="1:2" x14ac:dyDescent="0.25">
      <c r="B226" s="50" t="s">
        <v>463</v>
      </c>
    </row>
    <row r="227" spans="1:2" x14ac:dyDescent="0.25">
      <c r="B227" s="50" t="s">
        <v>464</v>
      </c>
    </row>
    <row r="228" spans="1:2" x14ac:dyDescent="0.25">
      <c r="B228" s="50" t="s">
        <v>465</v>
      </c>
    </row>
    <row r="229" spans="1:2" x14ac:dyDescent="0.25">
      <c r="B229" s="50" t="s">
        <v>466</v>
      </c>
    </row>
    <row r="230" spans="1:2" x14ac:dyDescent="0.25">
      <c r="B230" s="50" t="s">
        <v>366</v>
      </c>
    </row>
    <row r="231" spans="1:2" x14ac:dyDescent="0.25">
      <c r="B231" s="50" t="s">
        <v>367</v>
      </c>
    </row>
    <row r="232" spans="1:2" x14ac:dyDescent="0.25">
      <c r="A232" t="s">
        <v>487</v>
      </c>
    </row>
    <row r="233" spans="1:2" x14ac:dyDescent="0.25">
      <c r="A233" t="s">
        <v>358</v>
      </c>
      <c r="B233" s="50" t="s">
        <v>488</v>
      </c>
    </row>
    <row r="234" spans="1:2" x14ac:dyDescent="0.25">
      <c r="A234" t="s">
        <v>360</v>
      </c>
      <c r="B234" s="50" t="s">
        <v>489</v>
      </c>
    </row>
    <row r="235" spans="1:2" x14ac:dyDescent="0.25">
      <c r="A235" t="s">
        <v>362</v>
      </c>
      <c r="B235" s="50" t="s">
        <v>363</v>
      </c>
    </row>
    <row r="236" spans="1:2" x14ac:dyDescent="0.25">
      <c r="B236" s="50" t="s">
        <v>411</v>
      </c>
    </row>
    <row r="237" spans="1:2" x14ac:dyDescent="0.25">
      <c r="B237" s="50" t="s">
        <v>412</v>
      </c>
    </row>
    <row r="238" spans="1:2" x14ac:dyDescent="0.25">
      <c r="B238" s="50" t="s">
        <v>413</v>
      </c>
    </row>
    <row r="239" spans="1:2" x14ac:dyDescent="0.25">
      <c r="B239" s="50" t="s">
        <v>414</v>
      </c>
    </row>
    <row r="240" spans="1:2" x14ac:dyDescent="0.25">
      <c r="B240" s="50" t="s">
        <v>366</v>
      </c>
    </row>
    <row r="241" spans="1:2" x14ac:dyDescent="0.25">
      <c r="B241" s="50" t="s">
        <v>367</v>
      </c>
    </row>
    <row r="242" spans="1:2" x14ac:dyDescent="0.25">
      <c r="A242" t="s">
        <v>490</v>
      </c>
    </row>
    <row r="243" spans="1:2" x14ac:dyDescent="0.25">
      <c r="A243" t="s">
        <v>358</v>
      </c>
      <c r="B243" s="50" t="s">
        <v>491</v>
      </c>
    </row>
    <row r="244" spans="1:2" x14ac:dyDescent="0.25">
      <c r="A244" t="s">
        <v>360</v>
      </c>
      <c r="B244" s="50" t="s">
        <v>492</v>
      </c>
    </row>
    <row r="245" spans="1:2" x14ac:dyDescent="0.25">
      <c r="A245" t="s">
        <v>362</v>
      </c>
      <c r="B245" s="50" t="s">
        <v>363</v>
      </c>
    </row>
    <row r="246" spans="1:2" x14ac:dyDescent="0.25">
      <c r="B246" s="50" t="s">
        <v>364</v>
      </c>
    </row>
    <row r="247" spans="1:2" x14ac:dyDescent="0.25">
      <c r="B247" s="50" t="s">
        <v>365</v>
      </c>
    </row>
    <row r="248" spans="1:2" x14ac:dyDescent="0.25">
      <c r="B248" s="50" t="s">
        <v>366</v>
      </c>
    </row>
    <row r="249" spans="1:2" x14ac:dyDescent="0.25">
      <c r="B249" s="50" t="s">
        <v>367</v>
      </c>
    </row>
    <row r="250" spans="1:2" x14ac:dyDescent="0.25">
      <c r="A250" t="s">
        <v>493</v>
      </c>
    </row>
    <row r="251" spans="1:2" x14ac:dyDescent="0.25">
      <c r="A251" t="s">
        <v>358</v>
      </c>
      <c r="B251" s="50" t="s">
        <v>494</v>
      </c>
    </row>
    <row r="252" spans="1:2" x14ac:dyDescent="0.25">
      <c r="A252" t="s">
        <v>360</v>
      </c>
      <c r="B252" s="50" t="s">
        <v>495</v>
      </c>
    </row>
    <row r="253" spans="1:2" x14ac:dyDescent="0.25">
      <c r="A253" t="s">
        <v>362</v>
      </c>
      <c r="B253" s="50" t="s">
        <v>363</v>
      </c>
    </row>
    <row r="254" spans="1:2" x14ac:dyDescent="0.25">
      <c r="B254" s="50" t="s">
        <v>496</v>
      </c>
    </row>
    <row r="255" spans="1:2" x14ac:dyDescent="0.25">
      <c r="B255" s="50" t="s">
        <v>419</v>
      </c>
    </row>
    <row r="256" spans="1:2" x14ac:dyDescent="0.25">
      <c r="B256" s="50" t="s">
        <v>366</v>
      </c>
    </row>
    <row r="257" spans="1:2" x14ac:dyDescent="0.25">
      <c r="B257" s="50" t="s">
        <v>367</v>
      </c>
    </row>
    <row r="258" spans="1:2" x14ac:dyDescent="0.25">
      <c r="A258" t="s">
        <v>497</v>
      </c>
    </row>
    <row r="259" spans="1:2" x14ac:dyDescent="0.25">
      <c r="A259" t="s">
        <v>358</v>
      </c>
      <c r="B259" s="50" t="s">
        <v>498</v>
      </c>
    </row>
    <row r="260" spans="1:2" x14ac:dyDescent="0.25">
      <c r="A260" t="s">
        <v>360</v>
      </c>
      <c r="B260" s="50" t="s">
        <v>499</v>
      </c>
    </row>
    <row r="261" spans="1:2" x14ac:dyDescent="0.25">
      <c r="A261" t="s">
        <v>362</v>
      </c>
      <c r="B261" s="50" t="s">
        <v>363</v>
      </c>
    </row>
    <row r="262" spans="1:2" x14ac:dyDescent="0.25">
      <c r="B262" s="50" t="s">
        <v>426</v>
      </c>
    </row>
    <row r="263" spans="1:2" x14ac:dyDescent="0.25">
      <c r="B263" s="50" t="s">
        <v>427</v>
      </c>
    </row>
    <row r="264" spans="1:2" x14ac:dyDescent="0.25">
      <c r="B264" s="50" t="s">
        <v>366</v>
      </c>
    </row>
    <row r="265" spans="1:2" x14ac:dyDescent="0.25">
      <c r="B265" s="50" t="s">
        <v>367</v>
      </c>
    </row>
    <row r="266" spans="1:2" x14ac:dyDescent="0.25">
      <c r="A266" t="s">
        <v>500</v>
      </c>
    </row>
    <row r="267" spans="1:2" x14ac:dyDescent="0.25">
      <c r="A267" t="s">
        <v>358</v>
      </c>
      <c r="B267" s="50" t="s">
        <v>501</v>
      </c>
    </row>
    <row r="268" spans="1:2" x14ac:dyDescent="0.25">
      <c r="A268" t="s">
        <v>360</v>
      </c>
      <c r="B268" s="50" t="s">
        <v>502</v>
      </c>
    </row>
    <row r="269" spans="1:2" x14ac:dyDescent="0.25">
      <c r="A269" t="s">
        <v>362</v>
      </c>
      <c r="B269" s="50" t="s">
        <v>363</v>
      </c>
    </row>
    <row r="270" spans="1:2" x14ac:dyDescent="0.25">
      <c r="B270" s="50" t="s">
        <v>503</v>
      </c>
    </row>
    <row r="271" spans="1:2" x14ac:dyDescent="0.25">
      <c r="B271" s="50" t="s">
        <v>504</v>
      </c>
    </row>
    <row r="272" spans="1:2" x14ac:dyDescent="0.25">
      <c r="B272" s="50" t="s">
        <v>366</v>
      </c>
    </row>
    <row r="273" spans="1:2" x14ac:dyDescent="0.25">
      <c r="B273" s="50" t="s">
        <v>367</v>
      </c>
    </row>
    <row r="274" spans="1:2" x14ac:dyDescent="0.25">
      <c r="A274" t="s">
        <v>505</v>
      </c>
    </row>
    <row r="275" spans="1:2" x14ac:dyDescent="0.25">
      <c r="A275" t="s">
        <v>358</v>
      </c>
      <c r="B275" s="50" t="s">
        <v>506</v>
      </c>
    </row>
    <row r="276" spans="1:2" x14ac:dyDescent="0.25">
      <c r="A276" t="s">
        <v>360</v>
      </c>
      <c r="B276" s="50" t="s">
        <v>507</v>
      </c>
    </row>
    <row r="277" spans="1:2" x14ac:dyDescent="0.25">
      <c r="A277" t="s">
        <v>362</v>
      </c>
      <c r="B277" s="50" t="s">
        <v>363</v>
      </c>
    </row>
    <row r="278" spans="1:2" x14ac:dyDescent="0.25">
      <c r="B278" s="50" t="s">
        <v>364</v>
      </c>
    </row>
    <row r="279" spans="1:2" x14ac:dyDescent="0.25">
      <c r="B279" s="50" t="s">
        <v>365</v>
      </c>
    </row>
    <row r="280" spans="1:2" x14ac:dyDescent="0.25">
      <c r="B280" s="50" t="s">
        <v>508</v>
      </c>
    </row>
    <row r="281" spans="1:2" x14ac:dyDescent="0.25">
      <c r="B281" s="50" t="s">
        <v>366</v>
      </c>
    </row>
    <row r="282" spans="1:2" x14ac:dyDescent="0.25">
      <c r="B282" s="50" t="s">
        <v>367</v>
      </c>
    </row>
    <row r="283" spans="1:2" x14ac:dyDescent="0.25">
      <c r="A283" t="s">
        <v>443</v>
      </c>
    </row>
    <row r="284" spans="1:2" x14ac:dyDescent="0.25">
      <c r="A284" t="s">
        <v>509</v>
      </c>
    </row>
    <row r="285" spans="1:2" x14ac:dyDescent="0.25">
      <c r="A285" t="s">
        <v>358</v>
      </c>
      <c r="B285" s="50" t="s">
        <v>510</v>
      </c>
    </row>
    <row r="286" spans="1:2" x14ac:dyDescent="0.25">
      <c r="A286" t="s">
        <v>360</v>
      </c>
      <c r="B286" s="50" t="s">
        <v>511</v>
      </c>
    </row>
    <row r="287" spans="1:2" x14ac:dyDescent="0.25">
      <c r="A287" t="s">
        <v>362</v>
      </c>
      <c r="B287" s="50" t="s">
        <v>363</v>
      </c>
    </row>
    <row r="288" spans="1:2" x14ac:dyDescent="0.25">
      <c r="B288" s="50" t="s">
        <v>512</v>
      </c>
    </row>
    <row r="289" spans="1:2" x14ac:dyDescent="0.25">
      <c r="B289" s="50" t="s">
        <v>513</v>
      </c>
    </row>
    <row r="290" spans="1:2" x14ac:dyDescent="0.25">
      <c r="B290" s="50" t="s">
        <v>514</v>
      </c>
    </row>
    <row r="291" spans="1:2" x14ac:dyDescent="0.25">
      <c r="B291" s="50" t="s">
        <v>515</v>
      </c>
    </row>
    <row r="292" spans="1:2" x14ac:dyDescent="0.25">
      <c r="B292" s="50" t="s">
        <v>508</v>
      </c>
    </row>
    <row r="293" spans="1:2" x14ac:dyDescent="0.25">
      <c r="B293" s="50" t="s">
        <v>366</v>
      </c>
    </row>
    <row r="294" spans="1:2" x14ac:dyDescent="0.25">
      <c r="B294" s="50" t="s">
        <v>367</v>
      </c>
    </row>
    <row r="295" spans="1:2" x14ac:dyDescent="0.25">
      <c r="A295" t="s">
        <v>516</v>
      </c>
    </row>
    <row r="296" spans="1:2" x14ac:dyDescent="0.25">
      <c r="A296" t="s">
        <v>358</v>
      </c>
      <c r="B296" s="50" t="s">
        <v>517</v>
      </c>
    </row>
    <row r="297" spans="1:2" x14ac:dyDescent="0.25">
      <c r="A297" t="s">
        <v>360</v>
      </c>
      <c r="B297" s="50" t="s">
        <v>518</v>
      </c>
    </row>
    <row r="298" spans="1:2" x14ac:dyDescent="0.25">
      <c r="A298" t="s">
        <v>362</v>
      </c>
      <c r="B298" s="50" t="s">
        <v>363</v>
      </c>
    </row>
    <row r="299" spans="1:2" x14ac:dyDescent="0.25">
      <c r="B299" s="50" t="s">
        <v>463</v>
      </c>
    </row>
    <row r="300" spans="1:2" x14ac:dyDescent="0.25">
      <c r="B300" s="50" t="s">
        <v>464</v>
      </c>
    </row>
    <row r="301" spans="1:2" x14ac:dyDescent="0.25">
      <c r="B301" s="50" t="s">
        <v>465</v>
      </c>
    </row>
    <row r="302" spans="1:2" x14ac:dyDescent="0.25">
      <c r="B302" s="50" t="s">
        <v>466</v>
      </c>
    </row>
    <row r="303" spans="1:2" x14ac:dyDescent="0.25">
      <c r="B303" s="50" t="s">
        <v>366</v>
      </c>
    </row>
    <row r="304" spans="1:2" x14ac:dyDescent="0.25">
      <c r="B304" s="50" t="s">
        <v>367</v>
      </c>
    </row>
    <row r="305" spans="1:2" x14ac:dyDescent="0.25">
      <c r="A305" t="s">
        <v>519</v>
      </c>
    </row>
    <row r="306" spans="1:2" x14ac:dyDescent="0.25">
      <c r="A306" t="s">
        <v>358</v>
      </c>
      <c r="B306" s="50" t="s">
        <v>520</v>
      </c>
    </row>
    <row r="307" spans="1:2" x14ac:dyDescent="0.25">
      <c r="A307" t="s">
        <v>360</v>
      </c>
      <c r="B307" s="50" t="s">
        <v>521</v>
      </c>
    </row>
    <row r="308" spans="1:2" x14ac:dyDescent="0.25">
      <c r="A308" t="s">
        <v>362</v>
      </c>
      <c r="B308" s="50" t="s">
        <v>363</v>
      </c>
    </row>
    <row r="309" spans="1:2" x14ac:dyDescent="0.25">
      <c r="B309" s="50" t="s">
        <v>411</v>
      </c>
    </row>
    <row r="310" spans="1:2" x14ac:dyDescent="0.25">
      <c r="B310" s="50" t="s">
        <v>412</v>
      </c>
    </row>
    <row r="311" spans="1:2" x14ac:dyDescent="0.25">
      <c r="B311" s="50" t="s">
        <v>413</v>
      </c>
    </row>
    <row r="312" spans="1:2" x14ac:dyDescent="0.25">
      <c r="B312" s="50" t="s">
        <v>414</v>
      </c>
    </row>
    <row r="313" spans="1:2" x14ac:dyDescent="0.25">
      <c r="B313" s="50" t="s">
        <v>366</v>
      </c>
    </row>
    <row r="314" spans="1:2" x14ac:dyDescent="0.25">
      <c r="B314" s="50" t="s">
        <v>367</v>
      </c>
    </row>
    <row r="315" spans="1:2" x14ac:dyDescent="0.25">
      <c r="A315" t="s">
        <v>522</v>
      </c>
    </row>
    <row r="316" spans="1:2" x14ac:dyDescent="0.25">
      <c r="A316" t="s">
        <v>358</v>
      </c>
      <c r="B316" s="50" t="s">
        <v>523</v>
      </c>
    </row>
    <row r="317" spans="1:2" x14ac:dyDescent="0.25">
      <c r="A317" t="s">
        <v>360</v>
      </c>
      <c r="B317" s="50" t="s">
        <v>524</v>
      </c>
    </row>
    <row r="318" spans="1:2" x14ac:dyDescent="0.25">
      <c r="A318" t="s">
        <v>443</v>
      </c>
    </row>
    <row r="319" spans="1:2" x14ac:dyDescent="0.25">
      <c r="A319" t="s">
        <v>362</v>
      </c>
      <c r="B319" s="50" t="s">
        <v>363</v>
      </c>
    </row>
    <row r="320" spans="1:2" x14ac:dyDescent="0.25">
      <c r="B320" s="50" t="s">
        <v>426</v>
      </c>
    </row>
    <row r="321" spans="1:2" x14ac:dyDescent="0.25">
      <c r="B321" s="50" t="s">
        <v>427</v>
      </c>
    </row>
    <row r="322" spans="1:2" x14ac:dyDescent="0.25">
      <c r="B322" s="50" t="s">
        <v>366</v>
      </c>
    </row>
    <row r="323" spans="1:2" x14ac:dyDescent="0.25">
      <c r="B323" s="50" t="s">
        <v>367</v>
      </c>
    </row>
    <row r="324" spans="1:2" x14ac:dyDescent="0.25">
      <c r="A324" t="s">
        <v>525</v>
      </c>
    </row>
    <row r="325" spans="1:2" x14ac:dyDescent="0.25">
      <c r="A325" t="s">
        <v>358</v>
      </c>
      <c r="B325" s="50" t="s">
        <v>526</v>
      </c>
    </row>
    <row r="326" spans="1:2" x14ac:dyDescent="0.25">
      <c r="A326" t="s">
        <v>360</v>
      </c>
      <c r="B326" s="50" t="s">
        <v>527</v>
      </c>
    </row>
    <row r="327" spans="1:2" x14ac:dyDescent="0.25">
      <c r="A327" t="s">
        <v>362</v>
      </c>
      <c r="B327" s="50" t="s">
        <v>363</v>
      </c>
    </row>
    <row r="328" spans="1:2" x14ac:dyDescent="0.25">
      <c r="B328" s="50" t="s">
        <v>528</v>
      </c>
    </row>
    <row r="329" spans="1:2" x14ac:dyDescent="0.25">
      <c r="B329" s="50" t="s">
        <v>529</v>
      </c>
    </row>
    <row r="330" spans="1:2" x14ac:dyDescent="0.25">
      <c r="B330" s="50" t="s">
        <v>366</v>
      </c>
    </row>
    <row r="331" spans="1:2" x14ac:dyDescent="0.25">
      <c r="B331" s="50" t="s">
        <v>367</v>
      </c>
    </row>
    <row r="332" spans="1:2" x14ac:dyDescent="0.25">
      <c r="A332" t="s">
        <v>530</v>
      </c>
    </row>
    <row r="333" spans="1:2" x14ac:dyDescent="0.25">
      <c r="A333" t="s">
        <v>358</v>
      </c>
      <c r="B333" s="50" t="s">
        <v>531</v>
      </c>
    </row>
    <row r="334" spans="1:2" x14ac:dyDescent="0.25">
      <c r="A334" t="s">
        <v>360</v>
      </c>
      <c r="B334" s="50" t="s">
        <v>532</v>
      </c>
    </row>
    <row r="335" spans="1:2" x14ac:dyDescent="0.25">
      <c r="A335" t="s">
        <v>362</v>
      </c>
      <c r="B335" s="50" t="s">
        <v>363</v>
      </c>
    </row>
    <row r="336" spans="1:2" x14ac:dyDescent="0.25">
      <c r="B336" s="50" t="s">
        <v>450</v>
      </c>
    </row>
    <row r="337" spans="1:2" x14ac:dyDescent="0.25">
      <c r="B337" s="50" t="s">
        <v>451</v>
      </c>
    </row>
    <row r="338" spans="1:2" x14ac:dyDescent="0.25">
      <c r="B338" s="50" t="s">
        <v>452</v>
      </c>
    </row>
    <row r="339" spans="1:2" x14ac:dyDescent="0.25">
      <c r="B339" s="50" t="s">
        <v>453</v>
      </c>
    </row>
    <row r="340" spans="1:2" x14ac:dyDescent="0.25">
      <c r="B340" s="50" t="s">
        <v>367</v>
      </c>
    </row>
    <row r="341" spans="1:2" x14ac:dyDescent="0.25">
      <c r="A341" t="s">
        <v>533</v>
      </c>
    </row>
    <row r="342" spans="1:2" x14ac:dyDescent="0.25">
      <c r="A342" t="s">
        <v>358</v>
      </c>
      <c r="B342" s="50" t="s">
        <v>534</v>
      </c>
    </row>
    <row r="343" spans="1:2" x14ac:dyDescent="0.25">
      <c r="A343" t="s">
        <v>360</v>
      </c>
      <c r="B343" s="50" t="s">
        <v>535</v>
      </c>
    </row>
    <row r="344" spans="1:2" x14ac:dyDescent="0.25">
      <c r="A344" t="s">
        <v>362</v>
      </c>
      <c r="B344" s="50" t="s">
        <v>363</v>
      </c>
    </row>
    <row r="345" spans="1:2" x14ac:dyDescent="0.25">
      <c r="B345" s="50" t="s">
        <v>426</v>
      </c>
    </row>
    <row r="346" spans="1:2" x14ac:dyDescent="0.25">
      <c r="B346" s="50" t="s">
        <v>427</v>
      </c>
    </row>
    <row r="347" spans="1:2" x14ac:dyDescent="0.25">
      <c r="B347" s="50" t="s">
        <v>366</v>
      </c>
    </row>
    <row r="348" spans="1:2" x14ac:dyDescent="0.25">
      <c r="B348" s="50" t="s">
        <v>367</v>
      </c>
    </row>
    <row r="349" spans="1:2" x14ac:dyDescent="0.25">
      <c r="A349" t="s">
        <v>536</v>
      </c>
    </row>
    <row r="350" spans="1:2" x14ac:dyDescent="0.25">
      <c r="A350" t="s">
        <v>358</v>
      </c>
      <c r="B350" s="50" t="s">
        <v>537</v>
      </c>
    </row>
    <row r="351" spans="1:2" x14ac:dyDescent="0.25">
      <c r="A351" t="s">
        <v>360</v>
      </c>
      <c r="B351" s="50" t="s">
        <v>538</v>
      </c>
    </row>
    <row r="352" spans="1:2" x14ac:dyDescent="0.25">
      <c r="A352" t="s">
        <v>443</v>
      </c>
    </row>
    <row r="353" spans="1:2" x14ac:dyDescent="0.25">
      <c r="A353" t="s">
        <v>362</v>
      </c>
      <c r="B353" s="50" t="s">
        <v>363</v>
      </c>
    </row>
    <row r="354" spans="1:2" x14ac:dyDescent="0.25">
      <c r="B354" s="50" t="s">
        <v>383</v>
      </c>
    </row>
    <row r="355" spans="1:2" x14ac:dyDescent="0.25">
      <c r="B355" s="50" t="s">
        <v>384</v>
      </c>
    </row>
    <row r="356" spans="1:2" x14ac:dyDescent="0.25">
      <c r="B356" s="50" t="s">
        <v>385</v>
      </c>
    </row>
    <row r="357" spans="1:2" x14ac:dyDescent="0.25">
      <c r="B357" s="50" t="s">
        <v>386</v>
      </c>
    </row>
    <row r="358" spans="1:2" x14ac:dyDescent="0.25">
      <c r="B358" s="50" t="s">
        <v>387</v>
      </c>
    </row>
    <row r="359" spans="1:2" x14ac:dyDescent="0.25">
      <c r="B359" s="50" t="s">
        <v>366</v>
      </c>
    </row>
    <row r="360" spans="1:2" x14ac:dyDescent="0.25">
      <c r="B360" s="50" t="s">
        <v>367</v>
      </c>
    </row>
    <row r="361" spans="1:2" x14ac:dyDescent="0.25">
      <c r="A361" t="s">
        <v>539</v>
      </c>
    </row>
    <row r="362" spans="1:2" x14ac:dyDescent="0.25">
      <c r="A362" t="s">
        <v>358</v>
      </c>
      <c r="B362" s="50" t="s">
        <v>540</v>
      </c>
    </row>
    <row r="363" spans="1:2" x14ac:dyDescent="0.25">
      <c r="A363" t="s">
        <v>360</v>
      </c>
      <c r="B363" s="50" t="s">
        <v>541</v>
      </c>
    </row>
    <row r="364" spans="1:2" x14ac:dyDescent="0.25">
      <c r="A364" t="s">
        <v>362</v>
      </c>
      <c r="B364" s="50" t="s">
        <v>363</v>
      </c>
    </row>
    <row r="365" spans="1:2" x14ac:dyDescent="0.25">
      <c r="B365" s="50" t="s">
        <v>542</v>
      </c>
    </row>
    <row r="366" spans="1:2" x14ac:dyDescent="0.25">
      <c r="B366" s="50" t="s">
        <v>543</v>
      </c>
    </row>
    <row r="367" spans="1:2" x14ac:dyDescent="0.25">
      <c r="B367" s="50" t="s">
        <v>366</v>
      </c>
    </row>
    <row r="368" spans="1:2" x14ac:dyDescent="0.25">
      <c r="B368" s="50" t="s">
        <v>367</v>
      </c>
    </row>
    <row r="369" spans="1:2" x14ac:dyDescent="0.25">
      <c r="A369" t="s">
        <v>544</v>
      </c>
    </row>
    <row r="370" spans="1:2" x14ac:dyDescent="0.25">
      <c r="A370" t="s">
        <v>358</v>
      </c>
      <c r="B370" s="50" t="s">
        <v>545</v>
      </c>
    </row>
    <row r="371" spans="1:2" x14ac:dyDescent="0.25">
      <c r="A371" t="s">
        <v>360</v>
      </c>
      <c r="B371" s="50" t="s">
        <v>546</v>
      </c>
    </row>
    <row r="372" spans="1:2" x14ac:dyDescent="0.25">
      <c r="A372" t="s">
        <v>362</v>
      </c>
      <c r="B372" s="50" t="s">
        <v>363</v>
      </c>
    </row>
    <row r="373" spans="1:2" x14ac:dyDescent="0.25">
      <c r="B373" s="50" t="s">
        <v>547</v>
      </c>
    </row>
    <row r="374" spans="1:2" x14ac:dyDescent="0.25">
      <c r="B374" s="50" t="s">
        <v>548</v>
      </c>
    </row>
    <row r="375" spans="1:2" x14ac:dyDescent="0.25">
      <c r="B375" s="50" t="s">
        <v>549</v>
      </c>
    </row>
    <row r="376" spans="1:2" x14ac:dyDescent="0.25">
      <c r="B376" s="50" t="s">
        <v>550</v>
      </c>
    </row>
    <row r="377" spans="1:2" x14ac:dyDescent="0.25">
      <c r="B377" s="50" t="s">
        <v>551</v>
      </c>
    </row>
    <row r="378" spans="1:2" x14ac:dyDescent="0.25">
      <c r="B378" s="50" t="s">
        <v>366</v>
      </c>
    </row>
    <row r="379" spans="1:2" x14ac:dyDescent="0.25">
      <c r="B379" s="50" t="s">
        <v>367</v>
      </c>
    </row>
    <row r="380" spans="1:2" x14ac:dyDescent="0.25">
      <c r="A380" t="s">
        <v>552</v>
      </c>
    </row>
    <row r="381" spans="1:2" x14ac:dyDescent="0.25">
      <c r="A381" t="s">
        <v>358</v>
      </c>
      <c r="B381" s="50" t="s">
        <v>553</v>
      </c>
    </row>
    <row r="382" spans="1:2" x14ac:dyDescent="0.25">
      <c r="A382" t="s">
        <v>360</v>
      </c>
      <c r="B382" s="50" t="s">
        <v>554</v>
      </c>
    </row>
    <row r="383" spans="1:2" x14ac:dyDescent="0.25">
      <c r="A383" t="s">
        <v>362</v>
      </c>
      <c r="B383" s="50" t="s">
        <v>363</v>
      </c>
    </row>
    <row r="384" spans="1:2" x14ac:dyDescent="0.25">
      <c r="B384" s="50" t="s">
        <v>364</v>
      </c>
    </row>
    <row r="385" spans="1:2" x14ac:dyDescent="0.25">
      <c r="B385" s="50" t="s">
        <v>365</v>
      </c>
    </row>
    <row r="386" spans="1:2" x14ac:dyDescent="0.25">
      <c r="B386" s="50" t="s">
        <v>366</v>
      </c>
    </row>
    <row r="387" spans="1:2" x14ac:dyDescent="0.25">
      <c r="B387" s="50" t="s">
        <v>367</v>
      </c>
    </row>
    <row r="388" spans="1:2" x14ac:dyDescent="0.25">
      <c r="A388" t="s">
        <v>555</v>
      </c>
    </row>
    <row r="389" spans="1:2" x14ac:dyDescent="0.25">
      <c r="A389" t="s">
        <v>358</v>
      </c>
      <c r="B389" s="50" t="s">
        <v>556</v>
      </c>
    </row>
    <row r="390" spans="1:2" x14ac:dyDescent="0.25">
      <c r="A390" t="s">
        <v>360</v>
      </c>
      <c r="B390" s="50" t="s">
        <v>557</v>
      </c>
    </row>
    <row r="391" spans="1:2" x14ac:dyDescent="0.25">
      <c r="A391" t="s">
        <v>362</v>
      </c>
      <c r="B391" s="50" t="s">
        <v>363</v>
      </c>
    </row>
    <row r="392" spans="1:2" x14ac:dyDescent="0.25">
      <c r="B392" s="50" t="s">
        <v>364</v>
      </c>
    </row>
    <row r="393" spans="1:2" x14ac:dyDescent="0.25">
      <c r="B393" s="50" t="s">
        <v>365</v>
      </c>
    </row>
    <row r="394" spans="1:2" x14ac:dyDescent="0.25">
      <c r="B394" s="50" t="s">
        <v>366</v>
      </c>
    </row>
    <row r="395" spans="1:2" x14ac:dyDescent="0.25">
      <c r="B395" s="50" t="s">
        <v>367</v>
      </c>
    </row>
    <row r="396" spans="1:2" x14ac:dyDescent="0.25">
      <c r="A396" t="s">
        <v>558</v>
      </c>
    </row>
    <row r="397" spans="1:2" x14ac:dyDescent="0.25">
      <c r="A397" t="s">
        <v>358</v>
      </c>
      <c r="B397" s="50" t="s">
        <v>559</v>
      </c>
    </row>
    <row r="398" spans="1:2" x14ac:dyDescent="0.25">
      <c r="A398" t="s">
        <v>360</v>
      </c>
      <c r="B398" s="50" t="s">
        <v>560</v>
      </c>
    </row>
    <row r="399" spans="1:2" x14ac:dyDescent="0.25">
      <c r="A399" t="s">
        <v>362</v>
      </c>
      <c r="B399" s="50" t="s">
        <v>363</v>
      </c>
    </row>
    <row r="400" spans="1:2" x14ac:dyDescent="0.25">
      <c r="B400" s="50" t="s">
        <v>426</v>
      </c>
    </row>
    <row r="401" spans="1:2" x14ac:dyDescent="0.25">
      <c r="B401" s="50" t="s">
        <v>427</v>
      </c>
    </row>
    <row r="402" spans="1:2" x14ac:dyDescent="0.25">
      <c r="B402" s="50" t="s">
        <v>366</v>
      </c>
    </row>
    <row r="403" spans="1:2" x14ac:dyDescent="0.25">
      <c r="B403" s="50" t="s">
        <v>367</v>
      </c>
    </row>
    <row r="404" spans="1:2" x14ac:dyDescent="0.25">
      <c r="A404" t="s">
        <v>561</v>
      </c>
    </row>
    <row r="405" spans="1:2" x14ac:dyDescent="0.25">
      <c r="A405" t="s">
        <v>358</v>
      </c>
      <c r="B405" s="50" t="s">
        <v>562</v>
      </c>
    </row>
    <row r="406" spans="1:2" x14ac:dyDescent="0.25">
      <c r="A406" t="s">
        <v>360</v>
      </c>
      <c r="B406" s="50" t="s">
        <v>563</v>
      </c>
    </row>
    <row r="407" spans="1:2" x14ac:dyDescent="0.25">
      <c r="A407" t="s">
        <v>362</v>
      </c>
      <c r="B407" s="50" t="s">
        <v>363</v>
      </c>
    </row>
    <row r="408" spans="1:2" x14ac:dyDescent="0.25">
      <c r="B408" s="50" t="s">
        <v>564</v>
      </c>
    </row>
    <row r="409" spans="1:2" x14ac:dyDescent="0.25">
      <c r="B409" s="50" t="s">
        <v>565</v>
      </c>
    </row>
    <row r="410" spans="1:2" x14ac:dyDescent="0.25">
      <c r="B410" s="50" t="s">
        <v>566</v>
      </c>
    </row>
    <row r="411" spans="1:2" x14ac:dyDescent="0.25">
      <c r="B411" s="50" t="s">
        <v>567</v>
      </c>
    </row>
    <row r="412" spans="1:2" x14ac:dyDescent="0.25">
      <c r="B412" s="50" t="s">
        <v>366</v>
      </c>
    </row>
    <row r="413" spans="1:2" x14ac:dyDescent="0.25">
      <c r="B413" s="50" t="s">
        <v>367</v>
      </c>
    </row>
    <row r="414" spans="1:2" x14ac:dyDescent="0.25">
      <c r="A414" t="s">
        <v>568</v>
      </c>
    </row>
    <row r="415" spans="1:2" x14ac:dyDescent="0.25">
      <c r="A415" t="s">
        <v>358</v>
      </c>
      <c r="B415" s="50" t="s">
        <v>569</v>
      </c>
    </row>
    <row r="416" spans="1:2" x14ac:dyDescent="0.25">
      <c r="A416" t="s">
        <v>360</v>
      </c>
      <c r="B416" s="50" t="s">
        <v>570</v>
      </c>
    </row>
    <row r="417" spans="1:2" x14ac:dyDescent="0.25">
      <c r="A417" t="s">
        <v>362</v>
      </c>
      <c r="B417" s="50" t="s">
        <v>363</v>
      </c>
    </row>
    <row r="418" spans="1:2" x14ac:dyDescent="0.25">
      <c r="B418" s="50" t="s">
        <v>571</v>
      </c>
    </row>
    <row r="419" spans="1:2" x14ac:dyDescent="0.25">
      <c r="B419" s="50" t="s">
        <v>572</v>
      </c>
    </row>
    <row r="420" spans="1:2" x14ac:dyDescent="0.25">
      <c r="B420" s="50" t="s">
        <v>573</v>
      </c>
    </row>
    <row r="421" spans="1:2" x14ac:dyDescent="0.25">
      <c r="B421" s="50" t="s">
        <v>574</v>
      </c>
    </row>
    <row r="422" spans="1:2" x14ac:dyDescent="0.25">
      <c r="B422" s="50" t="s">
        <v>575</v>
      </c>
    </row>
    <row r="423" spans="1:2" x14ac:dyDescent="0.25">
      <c r="B423" s="50" t="s">
        <v>366</v>
      </c>
    </row>
    <row r="424" spans="1:2" x14ac:dyDescent="0.25">
      <c r="B424" s="50" t="s">
        <v>367</v>
      </c>
    </row>
    <row r="425" spans="1:2" x14ac:dyDescent="0.25">
      <c r="A425" t="s">
        <v>576</v>
      </c>
    </row>
    <row r="426" spans="1:2" x14ac:dyDescent="0.25">
      <c r="A426" t="s">
        <v>358</v>
      </c>
      <c r="B426" s="50" t="s">
        <v>577</v>
      </c>
    </row>
    <row r="427" spans="1:2" x14ac:dyDescent="0.25">
      <c r="A427" t="s">
        <v>360</v>
      </c>
      <c r="B427" s="50" t="s">
        <v>578</v>
      </c>
    </row>
    <row r="428" spans="1:2" x14ac:dyDescent="0.25">
      <c r="A428" t="s">
        <v>443</v>
      </c>
    </row>
    <row r="429" spans="1:2" x14ac:dyDescent="0.25">
      <c r="A429" t="s">
        <v>362</v>
      </c>
      <c r="B429" s="50" t="s">
        <v>363</v>
      </c>
    </row>
    <row r="430" spans="1:2" x14ac:dyDescent="0.25">
      <c r="B430" s="50" t="s">
        <v>463</v>
      </c>
    </row>
    <row r="431" spans="1:2" x14ac:dyDescent="0.25">
      <c r="B431" s="50" t="s">
        <v>464</v>
      </c>
    </row>
    <row r="432" spans="1:2" x14ac:dyDescent="0.25">
      <c r="B432" s="50" t="s">
        <v>465</v>
      </c>
    </row>
    <row r="433" spans="1:2" x14ac:dyDescent="0.25">
      <c r="B433" s="50" t="s">
        <v>466</v>
      </c>
    </row>
    <row r="434" spans="1:2" x14ac:dyDescent="0.25">
      <c r="B434" s="50" t="s">
        <v>366</v>
      </c>
    </row>
    <row r="435" spans="1:2" x14ac:dyDescent="0.25">
      <c r="B435" s="50" t="s">
        <v>367</v>
      </c>
    </row>
    <row r="436" spans="1:2" x14ac:dyDescent="0.25">
      <c r="A436" t="s">
        <v>579</v>
      </c>
    </row>
    <row r="437" spans="1:2" x14ac:dyDescent="0.25">
      <c r="A437" t="s">
        <v>358</v>
      </c>
      <c r="B437" s="50" t="s">
        <v>580</v>
      </c>
    </row>
    <row r="438" spans="1:2" x14ac:dyDescent="0.25">
      <c r="A438" t="s">
        <v>360</v>
      </c>
      <c r="B438" s="50" t="s">
        <v>581</v>
      </c>
    </row>
    <row r="439" spans="1:2" x14ac:dyDescent="0.25">
      <c r="A439" t="s">
        <v>362</v>
      </c>
      <c r="B439" s="50" t="s">
        <v>363</v>
      </c>
    </row>
    <row r="440" spans="1:2" x14ac:dyDescent="0.25">
      <c r="B440" s="50" t="s">
        <v>450</v>
      </c>
    </row>
    <row r="441" spans="1:2" x14ac:dyDescent="0.25">
      <c r="B441" s="50" t="s">
        <v>451</v>
      </c>
    </row>
    <row r="442" spans="1:2" x14ac:dyDescent="0.25">
      <c r="B442" s="50" t="s">
        <v>452</v>
      </c>
    </row>
    <row r="443" spans="1:2" x14ac:dyDescent="0.25">
      <c r="B443" s="50" t="s">
        <v>453</v>
      </c>
    </row>
    <row r="444" spans="1:2" x14ac:dyDescent="0.25">
      <c r="B444" s="50" t="s">
        <v>367</v>
      </c>
    </row>
    <row r="445" spans="1:2" x14ac:dyDescent="0.25">
      <c r="A445" t="s">
        <v>582</v>
      </c>
    </row>
    <row r="446" spans="1:2" x14ac:dyDescent="0.25">
      <c r="A446" t="s">
        <v>358</v>
      </c>
      <c r="B446" s="50" t="s">
        <v>583</v>
      </c>
    </row>
    <row r="447" spans="1:2" x14ac:dyDescent="0.25">
      <c r="A447" t="s">
        <v>360</v>
      </c>
      <c r="B447" s="50" t="s">
        <v>584</v>
      </c>
    </row>
    <row r="448" spans="1:2" x14ac:dyDescent="0.25">
      <c r="A448" t="s">
        <v>362</v>
      </c>
      <c r="B448" s="50" t="s">
        <v>363</v>
      </c>
    </row>
    <row r="449" spans="1:2" x14ac:dyDescent="0.25">
      <c r="B449" s="50" t="s">
        <v>411</v>
      </c>
    </row>
    <row r="450" spans="1:2" x14ac:dyDescent="0.25">
      <c r="B450" s="50" t="s">
        <v>412</v>
      </c>
    </row>
    <row r="451" spans="1:2" x14ac:dyDescent="0.25">
      <c r="B451" s="50" t="s">
        <v>413</v>
      </c>
    </row>
    <row r="452" spans="1:2" x14ac:dyDescent="0.25">
      <c r="B452" s="50" t="s">
        <v>414</v>
      </c>
    </row>
    <row r="453" spans="1:2" x14ac:dyDescent="0.25">
      <c r="B453" s="50" t="s">
        <v>366</v>
      </c>
    </row>
    <row r="454" spans="1:2" x14ac:dyDescent="0.25">
      <c r="B454" s="50" t="s">
        <v>367</v>
      </c>
    </row>
    <row r="455" spans="1:2" x14ac:dyDescent="0.25">
      <c r="A455" t="s">
        <v>585</v>
      </c>
    </row>
    <row r="456" spans="1:2" x14ac:dyDescent="0.25">
      <c r="A456" t="s">
        <v>358</v>
      </c>
      <c r="B456" s="50" t="s">
        <v>586</v>
      </c>
    </row>
    <row r="457" spans="1:2" x14ac:dyDescent="0.25">
      <c r="A457" t="s">
        <v>360</v>
      </c>
      <c r="B457" s="50" t="s">
        <v>587</v>
      </c>
    </row>
    <row r="458" spans="1:2" x14ac:dyDescent="0.25">
      <c r="A458" t="s">
        <v>362</v>
      </c>
      <c r="B458" s="50" t="s">
        <v>363</v>
      </c>
    </row>
    <row r="459" spans="1:2" x14ac:dyDescent="0.25">
      <c r="B459" s="50" t="s">
        <v>426</v>
      </c>
    </row>
    <row r="460" spans="1:2" x14ac:dyDescent="0.25">
      <c r="B460" s="50" t="s">
        <v>427</v>
      </c>
    </row>
    <row r="461" spans="1:2" x14ac:dyDescent="0.25">
      <c r="B461" s="50" t="s">
        <v>366</v>
      </c>
    </row>
    <row r="462" spans="1:2" x14ac:dyDescent="0.25">
      <c r="B462" s="50" t="s">
        <v>367</v>
      </c>
    </row>
    <row r="463" spans="1:2" x14ac:dyDescent="0.25">
      <c r="A463" t="s">
        <v>588</v>
      </c>
    </row>
    <row r="464" spans="1:2" x14ac:dyDescent="0.25">
      <c r="A464" t="s">
        <v>358</v>
      </c>
      <c r="B464" s="50" t="s">
        <v>589</v>
      </c>
    </row>
    <row r="465" spans="1:2" x14ac:dyDescent="0.25">
      <c r="A465" t="s">
        <v>360</v>
      </c>
      <c r="B465" s="50" t="s">
        <v>590</v>
      </c>
    </row>
    <row r="466" spans="1:2" x14ac:dyDescent="0.25">
      <c r="A466" t="s">
        <v>443</v>
      </c>
    </row>
    <row r="467" spans="1:2" x14ac:dyDescent="0.25">
      <c r="A467" t="s">
        <v>362</v>
      </c>
      <c r="B467" s="50" t="s">
        <v>363</v>
      </c>
    </row>
    <row r="468" spans="1:2" x14ac:dyDescent="0.25">
      <c r="B468" s="50" t="s">
        <v>591</v>
      </c>
    </row>
    <row r="469" spans="1:2" x14ac:dyDescent="0.25">
      <c r="B469" s="50" t="s">
        <v>592</v>
      </c>
    </row>
    <row r="470" spans="1:2" x14ac:dyDescent="0.25">
      <c r="B470" s="50" t="s">
        <v>366</v>
      </c>
    </row>
    <row r="471" spans="1:2" x14ac:dyDescent="0.25">
      <c r="B471" s="50" t="s">
        <v>367</v>
      </c>
    </row>
    <row r="472" spans="1:2" x14ac:dyDescent="0.25">
      <c r="A472" t="s">
        <v>593</v>
      </c>
    </row>
    <row r="473" spans="1:2" x14ac:dyDescent="0.25">
      <c r="A473" t="s">
        <v>358</v>
      </c>
      <c r="B473" s="50" t="s">
        <v>594</v>
      </c>
    </row>
    <row r="474" spans="1:2" x14ac:dyDescent="0.25">
      <c r="A474" t="s">
        <v>360</v>
      </c>
      <c r="B474" s="50" t="s">
        <v>595</v>
      </c>
    </row>
    <row r="475" spans="1:2" x14ac:dyDescent="0.25">
      <c r="A475" t="s">
        <v>362</v>
      </c>
      <c r="B475" s="50" t="s">
        <v>363</v>
      </c>
    </row>
    <row r="476" spans="1:2" x14ac:dyDescent="0.25">
      <c r="B476" s="50" t="s">
        <v>596</v>
      </c>
    </row>
    <row r="477" spans="1:2" x14ac:dyDescent="0.25">
      <c r="B477" s="50" t="s">
        <v>597</v>
      </c>
    </row>
    <row r="478" spans="1:2" x14ac:dyDescent="0.25">
      <c r="B478" s="50" t="s">
        <v>366</v>
      </c>
    </row>
    <row r="479" spans="1:2" x14ac:dyDescent="0.25">
      <c r="B479" s="50" t="s">
        <v>367</v>
      </c>
    </row>
    <row r="480" spans="1:2" x14ac:dyDescent="0.25">
      <c r="A480" t="s">
        <v>598</v>
      </c>
    </row>
    <row r="481" spans="1:2" x14ac:dyDescent="0.25">
      <c r="A481" t="s">
        <v>358</v>
      </c>
      <c r="B481" s="50" t="s">
        <v>599</v>
      </c>
    </row>
    <row r="482" spans="1:2" x14ac:dyDescent="0.25">
      <c r="A482" t="s">
        <v>360</v>
      </c>
      <c r="B482" s="50" t="s">
        <v>600</v>
      </c>
    </row>
    <row r="483" spans="1:2" x14ac:dyDescent="0.25">
      <c r="A483" t="s">
        <v>362</v>
      </c>
      <c r="B483" s="50" t="s">
        <v>363</v>
      </c>
    </row>
    <row r="484" spans="1:2" x14ac:dyDescent="0.25">
      <c r="B484" s="50" t="s">
        <v>450</v>
      </c>
    </row>
    <row r="485" spans="1:2" x14ac:dyDescent="0.25">
      <c r="B485" s="50" t="s">
        <v>451</v>
      </c>
    </row>
    <row r="486" spans="1:2" x14ac:dyDescent="0.25">
      <c r="B486" s="50" t="s">
        <v>452</v>
      </c>
    </row>
    <row r="487" spans="1:2" x14ac:dyDescent="0.25">
      <c r="B487" s="50" t="s">
        <v>453</v>
      </c>
    </row>
    <row r="488" spans="1:2" x14ac:dyDescent="0.25">
      <c r="B488" s="50" t="s">
        <v>367</v>
      </c>
    </row>
    <row r="489" spans="1:2" x14ac:dyDescent="0.25">
      <c r="A489" t="s">
        <v>601</v>
      </c>
    </row>
    <row r="490" spans="1:2" x14ac:dyDescent="0.25">
      <c r="A490" t="s">
        <v>358</v>
      </c>
      <c r="B490" s="50" t="s">
        <v>602</v>
      </c>
    </row>
    <row r="491" spans="1:2" x14ac:dyDescent="0.25">
      <c r="A491" t="s">
        <v>360</v>
      </c>
      <c r="B491" s="50" t="s">
        <v>603</v>
      </c>
    </row>
    <row r="492" spans="1:2" x14ac:dyDescent="0.25">
      <c r="A492" t="s">
        <v>362</v>
      </c>
      <c r="B492" s="50" t="s">
        <v>363</v>
      </c>
    </row>
    <row r="493" spans="1:2" x14ac:dyDescent="0.25">
      <c r="B493" s="50" t="s">
        <v>604</v>
      </c>
    </row>
    <row r="494" spans="1:2" x14ac:dyDescent="0.25">
      <c r="B494" s="50" t="s">
        <v>605</v>
      </c>
    </row>
    <row r="495" spans="1:2" x14ac:dyDescent="0.25">
      <c r="B495" s="50" t="s">
        <v>366</v>
      </c>
    </row>
    <row r="496" spans="1:2" x14ac:dyDescent="0.25">
      <c r="B496" s="50" t="s">
        <v>367</v>
      </c>
    </row>
    <row r="497" spans="1:2" x14ac:dyDescent="0.25">
      <c r="A497" t="s">
        <v>606</v>
      </c>
    </row>
    <row r="498" spans="1:2" x14ac:dyDescent="0.25">
      <c r="A498" t="s">
        <v>358</v>
      </c>
      <c r="B498" s="50" t="s">
        <v>607</v>
      </c>
    </row>
    <row r="499" spans="1:2" x14ac:dyDescent="0.25">
      <c r="A499" t="s">
        <v>360</v>
      </c>
      <c r="B499" s="50" t="s">
        <v>608</v>
      </c>
    </row>
    <row r="500" spans="1:2" x14ac:dyDescent="0.25">
      <c r="A500" t="s">
        <v>443</v>
      </c>
    </row>
    <row r="501" spans="1:2" x14ac:dyDescent="0.25">
      <c r="A501" t="s">
        <v>362</v>
      </c>
      <c r="B501" s="50" t="s">
        <v>363</v>
      </c>
    </row>
    <row r="502" spans="1:2" x14ac:dyDescent="0.25">
      <c r="B502" s="50" t="s">
        <v>364</v>
      </c>
    </row>
    <row r="503" spans="1:2" x14ac:dyDescent="0.25">
      <c r="B503" s="50" t="s">
        <v>365</v>
      </c>
    </row>
    <row r="504" spans="1:2" x14ac:dyDescent="0.25">
      <c r="B504" s="50" t="s">
        <v>508</v>
      </c>
    </row>
    <row r="505" spans="1:2" x14ac:dyDescent="0.25">
      <c r="B505" s="50" t="s">
        <v>366</v>
      </c>
    </row>
    <row r="506" spans="1:2" x14ac:dyDescent="0.25">
      <c r="B506" s="50" t="s">
        <v>367</v>
      </c>
    </row>
    <row r="507" spans="1:2" x14ac:dyDescent="0.25">
      <c r="A507" t="s">
        <v>609</v>
      </c>
    </row>
    <row r="508" spans="1:2" x14ac:dyDescent="0.25">
      <c r="A508" t="s">
        <v>358</v>
      </c>
      <c r="B508" s="50" t="s">
        <v>610</v>
      </c>
    </row>
    <row r="509" spans="1:2" x14ac:dyDescent="0.25">
      <c r="A509" t="s">
        <v>360</v>
      </c>
      <c r="B509" s="50" t="s">
        <v>611</v>
      </c>
    </row>
    <row r="510" spans="1:2" x14ac:dyDescent="0.25">
      <c r="A510" t="s">
        <v>362</v>
      </c>
      <c r="B510" s="50" t="s">
        <v>363</v>
      </c>
    </row>
    <row r="511" spans="1:2" x14ac:dyDescent="0.25">
      <c r="B511" s="50" t="s">
        <v>512</v>
      </c>
    </row>
    <row r="512" spans="1:2" x14ac:dyDescent="0.25">
      <c r="B512" s="50" t="s">
        <v>513</v>
      </c>
    </row>
    <row r="513" spans="1:2" x14ac:dyDescent="0.25">
      <c r="B513" s="50" t="s">
        <v>514</v>
      </c>
    </row>
    <row r="514" spans="1:2" x14ac:dyDescent="0.25">
      <c r="B514" s="50" t="s">
        <v>515</v>
      </c>
    </row>
    <row r="515" spans="1:2" x14ac:dyDescent="0.25">
      <c r="B515" s="50" t="s">
        <v>508</v>
      </c>
    </row>
    <row r="516" spans="1:2" x14ac:dyDescent="0.25">
      <c r="B516" s="50" t="s">
        <v>366</v>
      </c>
    </row>
    <row r="517" spans="1:2" x14ac:dyDescent="0.25">
      <c r="B517" s="50" t="s">
        <v>367</v>
      </c>
    </row>
    <row r="518" spans="1:2" x14ac:dyDescent="0.25">
      <c r="A518" t="s">
        <v>612</v>
      </c>
    </row>
    <row r="519" spans="1:2" x14ac:dyDescent="0.25">
      <c r="A519" t="s">
        <v>358</v>
      </c>
      <c r="B519" s="50" t="s">
        <v>613</v>
      </c>
    </row>
    <row r="520" spans="1:2" x14ac:dyDescent="0.25">
      <c r="A520" t="s">
        <v>360</v>
      </c>
      <c r="B520" s="50" t="s">
        <v>614</v>
      </c>
    </row>
    <row r="521" spans="1:2" x14ac:dyDescent="0.25">
      <c r="A521" t="s">
        <v>362</v>
      </c>
      <c r="B521" s="50" t="s">
        <v>363</v>
      </c>
    </row>
    <row r="522" spans="1:2" x14ac:dyDescent="0.25">
      <c r="B522" s="50" t="s">
        <v>571</v>
      </c>
    </row>
    <row r="523" spans="1:2" x14ac:dyDescent="0.25">
      <c r="B523" s="50" t="s">
        <v>572</v>
      </c>
    </row>
    <row r="524" spans="1:2" x14ac:dyDescent="0.25">
      <c r="B524" s="50" t="s">
        <v>573</v>
      </c>
    </row>
    <row r="525" spans="1:2" x14ac:dyDescent="0.25">
      <c r="B525" s="50" t="s">
        <v>574</v>
      </c>
    </row>
    <row r="526" spans="1:2" x14ac:dyDescent="0.25">
      <c r="B526" s="50" t="s">
        <v>575</v>
      </c>
    </row>
    <row r="527" spans="1:2" x14ac:dyDescent="0.25">
      <c r="B527" s="50" t="s">
        <v>366</v>
      </c>
    </row>
    <row r="528" spans="1:2" x14ac:dyDescent="0.25">
      <c r="B528" s="50" t="s">
        <v>367</v>
      </c>
    </row>
    <row r="529" spans="1:2" x14ac:dyDescent="0.25">
      <c r="A529" t="s">
        <v>615</v>
      </c>
    </row>
    <row r="530" spans="1:2" x14ac:dyDescent="0.25">
      <c r="A530" t="s">
        <v>358</v>
      </c>
      <c r="B530" s="50" t="s">
        <v>616</v>
      </c>
    </row>
    <row r="531" spans="1:2" x14ac:dyDescent="0.25">
      <c r="A531" t="s">
        <v>360</v>
      </c>
      <c r="B531" s="50" t="s">
        <v>617</v>
      </c>
    </row>
    <row r="532" spans="1:2" x14ac:dyDescent="0.25">
      <c r="A532" t="s">
        <v>362</v>
      </c>
      <c r="B532" s="50" t="s">
        <v>363</v>
      </c>
    </row>
    <row r="533" spans="1:2" x14ac:dyDescent="0.25">
      <c r="B533" s="50" t="s">
        <v>364</v>
      </c>
    </row>
    <row r="534" spans="1:2" x14ac:dyDescent="0.25">
      <c r="B534" s="50" t="s">
        <v>365</v>
      </c>
    </row>
    <row r="535" spans="1:2" x14ac:dyDescent="0.25">
      <c r="B535" s="50" t="s">
        <v>508</v>
      </c>
    </row>
    <row r="536" spans="1:2" x14ac:dyDescent="0.25">
      <c r="B536" s="50" t="s">
        <v>366</v>
      </c>
    </row>
    <row r="537" spans="1:2" x14ac:dyDescent="0.25">
      <c r="B537" s="50" t="s">
        <v>367</v>
      </c>
    </row>
    <row r="538" spans="1:2" x14ac:dyDescent="0.25">
      <c r="A538" t="s">
        <v>443</v>
      </c>
    </row>
    <row r="539" spans="1:2" x14ac:dyDescent="0.25">
      <c r="A539" t="s">
        <v>618</v>
      </c>
    </row>
    <row r="540" spans="1:2" x14ac:dyDescent="0.25">
      <c r="A540" t="s">
        <v>358</v>
      </c>
      <c r="B540" s="50" t="s">
        <v>619</v>
      </c>
    </row>
    <row r="541" spans="1:2" x14ac:dyDescent="0.25">
      <c r="A541" t="s">
        <v>360</v>
      </c>
      <c r="B541" s="50" t="s">
        <v>620</v>
      </c>
    </row>
    <row r="542" spans="1:2" x14ac:dyDescent="0.25">
      <c r="A542" t="s">
        <v>362</v>
      </c>
      <c r="B542" s="50" t="s">
        <v>363</v>
      </c>
    </row>
    <row r="543" spans="1:2" x14ac:dyDescent="0.25">
      <c r="B543" s="50" t="s">
        <v>621</v>
      </c>
    </row>
    <row r="544" spans="1:2" x14ac:dyDescent="0.25">
      <c r="B544" s="50" t="s">
        <v>622</v>
      </c>
    </row>
    <row r="545" spans="1:2" x14ac:dyDescent="0.25">
      <c r="B545" s="50" t="s">
        <v>623</v>
      </c>
    </row>
    <row r="546" spans="1:2" x14ac:dyDescent="0.25">
      <c r="B546" s="50" t="s">
        <v>624</v>
      </c>
    </row>
    <row r="547" spans="1:2" x14ac:dyDescent="0.25">
      <c r="B547" s="50" t="s">
        <v>395</v>
      </c>
    </row>
    <row r="548" spans="1:2" x14ac:dyDescent="0.25">
      <c r="B548" s="50" t="s">
        <v>366</v>
      </c>
    </row>
    <row r="549" spans="1:2" x14ac:dyDescent="0.25">
      <c r="B549" s="50" t="s">
        <v>367</v>
      </c>
    </row>
    <row r="550" spans="1:2" x14ac:dyDescent="0.25">
      <c r="A550" t="s">
        <v>625</v>
      </c>
    </row>
    <row r="551" spans="1:2" x14ac:dyDescent="0.25">
      <c r="A551" t="s">
        <v>358</v>
      </c>
      <c r="B551" s="50" t="s">
        <v>626</v>
      </c>
    </row>
    <row r="552" spans="1:2" x14ac:dyDescent="0.25">
      <c r="A552" t="s">
        <v>360</v>
      </c>
      <c r="B552" s="50" t="s">
        <v>627</v>
      </c>
    </row>
    <row r="553" spans="1:2" x14ac:dyDescent="0.25">
      <c r="A553" t="s">
        <v>362</v>
      </c>
      <c r="B553" s="50" t="s">
        <v>363</v>
      </c>
    </row>
    <row r="554" spans="1:2" x14ac:dyDescent="0.25">
      <c r="B554" s="50" t="s">
        <v>411</v>
      </c>
    </row>
    <row r="555" spans="1:2" x14ac:dyDescent="0.25">
      <c r="B555" s="50" t="s">
        <v>412</v>
      </c>
    </row>
    <row r="556" spans="1:2" x14ac:dyDescent="0.25">
      <c r="B556" s="50" t="s">
        <v>413</v>
      </c>
    </row>
    <row r="557" spans="1:2" x14ac:dyDescent="0.25">
      <c r="B557" s="50" t="s">
        <v>414</v>
      </c>
    </row>
    <row r="558" spans="1:2" x14ac:dyDescent="0.25">
      <c r="B558" s="50" t="s">
        <v>366</v>
      </c>
    </row>
    <row r="559" spans="1:2" x14ac:dyDescent="0.25">
      <c r="B559" s="50" t="s">
        <v>367</v>
      </c>
    </row>
    <row r="560" spans="1:2" x14ac:dyDescent="0.25">
      <c r="A560" t="s">
        <v>628</v>
      </c>
    </row>
    <row r="561" spans="1:2" x14ac:dyDescent="0.25">
      <c r="A561" t="s">
        <v>358</v>
      </c>
      <c r="B561" s="50" t="s">
        <v>629</v>
      </c>
    </row>
    <row r="562" spans="1:2" x14ac:dyDescent="0.25">
      <c r="A562" t="s">
        <v>360</v>
      </c>
      <c r="B562" s="50" t="s">
        <v>630</v>
      </c>
    </row>
    <row r="563" spans="1:2" x14ac:dyDescent="0.25">
      <c r="A563" t="s">
        <v>362</v>
      </c>
      <c r="B563" s="50" t="s">
        <v>363</v>
      </c>
    </row>
    <row r="564" spans="1:2" x14ac:dyDescent="0.25">
      <c r="B564" s="50" t="s">
        <v>631</v>
      </c>
    </row>
    <row r="565" spans="1:2" x14ac:dyDescent="0.25">
      <c r="B565" s="50" t="s">
        <v>632</v>
      </c>
    </row>
    <row r="566" spans="1:2" x14ac:dyDescent="0.25">
      <c r="B566" s="50" t="s">
        <v>366</v>
      </c>
    </row>
    <row r="567" spans="1:2" x14ac:dyDescent="0.25">
      <c r="B567" s="50" t="s">
        <v>367</v>
      </c>
    </row>
    <row r="568" spans="1:2" x14ac:dyDescent="0.25">
      <c r="A568" t="s">
        <v>633</v>
      </c>
    </row>
    <row r="569" spans="1:2" x14ac:dyDescent="0.25">
      <c r="A569" t="s">
        <v>358</v>
      </c>
      <c r="B569" s="50" t="s">
        <v>634</v>
      </c>
    </row>
    <row r="570" spans="1:2" x14ac:dyDescent="0.25">
      <c r="A570" t="s">
        <v>360</v>
      </c>
      <c r="B570" s="50" t="s">
        <v>635</v>
      </c>
    </row>
    <row r="571" spans="1:2" x14ac:dyDescent="0.25">
      <c r="A571" t="s">
        <v>362</v>
      </c>
      <c r="B571" s="50" t="s">
        <v>363</v>
      </c>
    </row>
    <row r="572" spans="1:2" x14ac:dyDescent="0.25">
      <c r="B572" s="50" t="s">
        <v>636</v>
      </c>
    </row>
    <row r="573" spans="1:2" x14ac:dyDescent="0.25">
      <c r="B573" s="50" t="s">
        <v>637</v>
      </c>
    </row>
    <row r="574" spans="1:2" x14ac:dyDescent="0.25">
      <c r="B574" s="50" t="s">
        <v>366</v>
      </c>
    </row>
    <row r="575" spans="1:2" x14ac:dyDescent="0.25">
      <c r="B575" s="50" t="s">
        <v>367</v>
      </c>
    </row>
    <row r="576" spans="1:2" x14ac:dyDescent="0.25">
      <c r="A576" t="s">
        <v>443</v>
      </c>
    </row>
    <row r="577" spans="1:2" x14ac:dyDescent="0.25">
      <c r="A577" t="s">
        <v>638</v>
      </c>
    </row>
    <row r="578" spans="1:2" x14ac:dyDescent="0.25">
      <c r="A578" t="s">
        <v>358</v>
      </c>
      <c r="B578" s="50" t="s">
        <v>639</v>
      </c>
    </row>
    <row r="579" spans="1:2" x14ac:dyDescent="0.25">
      <c r="A579" t="s">
        <v>360</v>
      </c>
      <c r="B579" s="50" t="s">
        <v>640</v>
      </c>
    </row>
    <row r="580" spans="1:2" x14ac:dyDescent="0.25">
      <c r="A580" t="s">
        <v>362</v>
      </c>
      <c r="B580" s="50" t="s">
        <v>363</v>
      </c>
    </row>
    <row r="581" spans="1:2" x14ac:dyDescent="0.25">
      <c r="B581" s="50" t="s">
        <v>641</v>
      </c>
    </row>
    <row r="582" spans="1:2" x14ac:dyDescent="0.25">
      <c r="B582" s="50" t="s">
        <v>642</v>
      </c>
    </row>
    <row r="583" spans="1:2" x14ac:dyDescent="0.25">
      <c r="B583" s="50" t="s">
        <v>643</v>
      </c>
    </row>
    <row r="584" spans="1:2" x14ac:dyDescent="0.25">
      <c r="B584" s="50" t="s">
        <v>414</v>
      </c>
    </row>
    <row r="585" spans="1:2" x14ac:dyDescent="0.25">
      <c r="B585" s="50" t="s">
        <v>366</v>
      </c>
    </row>
    <row r="586" spans="1:2" x14ac:dyDescent="0.25">
      <c r="B586" s="50" t="s">
        <v>367</v>
      </c>
    </row>
    <row r="587" spans="1:2" x14ac:dyDescent="0.25">
      <c r="A587" t="s">
        <v>644</v>
      </c>
    </row>
    <row r="588" spans="1:2" x14ac:dyDescent="0.25">
      <c r="A588" t="s">
        <v>358</v>
      </c>
      <c r="B588" s="50" t="s">
        <v>645</v>
      </c>
    </row>
    <row r="589" spans="1:2" x14ac:dyDescent="0.25">
      <c r="A589" t="s">
        <v>360</v>
      </c>
      <c r="B589" s="50" t="s">
        <v>646</v>
      </c>
    </row>
    <row r="590" spans="1:2" x14ac:dyDescent="0.25">
      <c r="A590" t="s">
        <v>362</v>
      </c>
      <c r="B590" s="50" t="s">
        <v>363</v>
      </c>
    </row>
    <row r="591" spans="1:2" x14ac:dyDescent="0.25">
      <c r="B591" s="50" t="s">
        <v>528</v>
      </c>
    </row>
    <row r="592" spans="1:2" x14ac:dyDescent="0.25">
      <c r="B592" s="50" t="s">
        <v>529</v>
      </c>
    </row>
    <row r="593" spans="1:2" x14ac:dyDescent="0.25">
      <c r="B593" s="50" t="s">
        <v>366</v>
      </c>
    </row>
    <row r="594" spans="1:2" x14ac:dyDescent="0.25">
      <c r="B594" s="50" t="s">
        <v>367</v>
      </c>
    </row>
    <row r="595" spans="1:2" x14ac:dyDescent="0.25">
      <c r="A595" t="s">
        <v>647</v>
      </c>
    </row>
    <row r="596" spans="1:2" x14ac:dyDescent="0.25">
      <c r="A596" t="s">
        <v>358</v>
      </c>
      <c r="B596" s="50" t="s">
        <v>648</v>
      </c>
    </row>
    <row r="597" spans="1:2" x14ac:dyDescent="0.25">
      <c r="A597" t="s">
        <v>360</v>
      </c>
      <c r="B597" s="50" t="s">
        <v>649</v>
      </c>
    </row>
    <row r="598" spans="1:2" x14ac:dyDescent="0.25">
      <c r="A598" t="s">
        <v>362</v>
      </c>
      <c r="B598" s="50" t="s">
        <v>363</v>
      </c>
    </row>
    <row r="599" spans="1:2" x14ac:dyDescent="0.25">
      <c r="B599" s="50" t="s">
        <v>650</v>
      </c>
    </row>
    <row r="600" spans="1:2" x14ac:dyDescent="0.25">
      <c r="B600" s="50" t="s">
        <v>651</v>
      </c>
    </row>
    <row r="601" spans="1:2" x14ac:dyDescent="0.25">
      <c r="B601" s="50" t="s">
        <v>652</v>
      </c>
    </row>
    <row r="602" spans="1:2" x14ac:dyDescent="0.25">
      <c r="B602" s="50" t="s">
        <v>653</v>
      </c>
    </row>
    <row r="603" spans="1:2" x14ac:dyDescent="0.25">
      <c r="B603" s="50" t="s">
        <v>654</v>
      </c>
    </row>
    <row r="604" spans="1:2" x14ac:dyDescent="0.25">
      <c r="B604" s="50" t="s">
        <v>655</v>
      </c>
    </row>
    <row r="605" spans="1:2" x14ac:dyDescent="0.25">
      <c r="B605" s="50" t="s">
        <v>656</v>
      </c>
    </row>
    <row r="606" spans="1:2" x14ac:dyDescent="0.25">
      <c r="B606" s="50" t="s">
        <v>657</v>
      </c>
    </row>
    <row r="607" spans="1:2" x14ac:dyDescent="0.25">
      <c r="B607" s="50" t="s">
        <v>658</v>
      </c>
    </row>
    <row r="608" spans="1:2" x14ac:dyDescent="0.25">
      <c r="B608" s="50" t="s">
        <v>659</v>
      </c>
    </row>
    <row r="609" spans="1:2" x14ac:dyDescent="0.25">
      <c r="B609" s="50" t="s">
        <v>660</v>
      </c>
    </row>
    <row r="610" spans="1:2" x14ac:dyDescent="0.25">
      <c r="B610" s="50" t="s">
        <v>661</v>
      </c>
    </row>
    <row r="611" spans="1:2" x14ac:dyDescent="0.25">
      <c r="B611" s="50" t="s">
        <v>662</v>
      </c>
    </row>
    <row r="612" spans="1:2" x14ac:dyDescent="0.25">
      <c r="B612" s="50" t="s">
        <v>663</v>
      </c>
    </row>
    <row r="613" spans="1:2" x14ac:dyDescent="0.25">
      <c r="B613" s="50" t="s">
        <v>664</v>
      </c>
    </row>
    <row r="614" spans="1:2" x14ac:dyDescent="0.25">
      <c r="B614" s="50" t="s">
        <v>665</v>
      </c>
    </row>
    <row r="615" spans="1:2" x14ac:dyDescent="0.25">
      <c r="B615" s="50" t="s">
        <v>666</v>
      </c>
    </row>
    <row r="616" spans="1:2" x14ac:dyDescent="0.25">
      <c r="B616" s="50" t="s">
        <v>366</v>
      </c>
    </row>
    <row r="617" spans="1:2" x14ac:dyDescent="0.25">
      <c r="B617" s="50" t="s">
        <v>367</v>
      </c>
    </row>
    <row r="618" spans="1:2" x14ac:dyDescent="0.25">
      <c r="A618" t="s">
        <v>443</v>
      </c>
    </row>
    <row r="619" spans="1:2" x14ac:dyDescent="0.25">
      <c r="A619" t="s">
        <v>667</v>
      </c>
    </row>
    <row r="620" spans="1:2" x14ac:dyDescent="0.25">
      <c r="A620" t="s">
        <v>358</v>
      </c>
      <c r="B620" s="50" t="s">
        <v>668</v>
      </c>
    </row>
    <row r="621" spans="1:2" x14ac:dyDescent="0.25">
      <c r="A621" t="s">
        <v>360</v>
      </c>
      <c r="B621" s="50" t="s">
        <v>669</v>
      </c>
    </row>
    <row r="622" spans="1:2" x14ac:dyDescent="0.25">
      <c r="A622" t="s">
        <v>362</v>
      </c>
      <c r="B622" s="50" t="s">
        <v>363</v>
      </c>
    </row>
    <row r="623" spans="1:2" x14ac:dyDescent="0.25">
      <c r="B623" s="50" t="s">
        <v>650</v>
      </c>
    </row>
    <row r="624" spans="1:2" x14ac:dyDescent="0.25">
      <c r="B624" s="50" t="s">
        <v>651</v>
      </c>
    </row>
    <row r="625" spans="2:2" x14ac:dyDescent="0.25">
      <c r="B625" s="50" t="s">
        <v>652</v>
      </c>
    </row>
    <row r="626" spans="2:2" x14ac:dyDescent="0.25">
      <c r="B626" s="50" t="s">
        <v>653</v>
      </c>
    </row>
    <row r="627" spans="2:2" x14ac:dyDescent="0.25">
      <c r="B627" s="50" t="s">
        <v>654</v>
      </c>
    </row>
    <row r="628" spans="2:2" x14ac:dyDescent="0.25">
      <c r="B628" s="50" t="s">
        <v>655</v>
      </c>
    </row>
    <row r="629" spans="2:2" x14ac:dyDescent="0.25">
      <c r="B629" s="50" t="s">
        <v>656</v>
      </c>
    </row>
    <row r="630" spans="2:2" x14ac:dyDescent="0.25">
      <c r="B630" s="50" t="s">
        <v>657</v>
      </c>
    </row>
    <row r="631" spans="2:2" x14ac:dyDescent="0.25">
      <c r="B631" s="50" t="s">
        <v>658</v>
      </c>
    </row>
    <row r="632" spans="2:2" x14ac:dyDescent="0.25">
      <c r="B632" s="50" t="s">
        <v>659</v>
      </c>
    </row>
    <row r="633" spans="2:2" x14ac:dyDescent="0.25">
      <c r="B633" s="50" t="s">
        <v>660</v>
      </c>
    </row>
    <row r="634" spans="2:2" x14ac:dyDescent="0.25">
      <c r="B634" s="50" t="s">
        <v>661</v>
      </c>
    </row>
    <row r="635" spans="2:2" x14ac:dyDescent="0.25">
      <c r="B635" s="50" t="s">
        <v>662</v>
      </c>
    </row>
    <row r="636" spans="2:2" x14ac:dyDescent="0.25">
      <c r="B636" s="50" t="s">
        <v>663</v>
      </c>
    </row>
    <row r="637" spans="2:2" x14ac:dyDescent="0.25">
      <c r="B637" s="50" t="s">
        <v>664</v>
      </c>
    </row>
    <row r="638" spans="2:2" x14ac:dyDescent="0.25">
      <c r="B638" s="50" t="s">
        <v>665</v>
      </c>
    </row>
    <row r="639" spans="2:2" x14ac:dyDescent="0.25">
      <c r="B639" s="50" t="s">
        <v>666</v>
      </c>
    </row>
    <row r="640" spans="2:2" x14ac:dyDescent="0.25">
      <c r="B640" s="50" t="s">
        <v>366</v>
      </c>
    </row>
    <row r="641" spans="1:2" x14ac:dyDescent="0.25">
      <c r="B641" s="50" t="s">
        <v>367</v>
      </c>
    </row>
    <row r="642" spans="1:2" x14ac:dyDescent="0.25">
      <c r="A642" t="s">
        <v>670</v>
      </c>
    </row>
    <row r="643" spans="1:2" x14ac:dyDescent="0.25">
      <c r="A643" t="s">
        <v>358</v>
      </c>
      <c r="B643" s="50" t="s">
        <v>671</v>
      </c>
    </row>
    <row r="644" spans="1:2" x14ac:dyDescent="0.25">
      <c r="A644" t="s">
        <v>360</v>
      </c>
      <c r="B644" s="50" t="s">
        <v>672</v>
      </c>
    </row>
    <row r="645" spans="1:2" x14ac:dyDescent="0.25">
      <c r="A645" t="s">
        <v>362</v>
      </c>
      <c r="B645" s="50" t="s">
        <v>363</v>
      </c>
    </row>
    <row r="646" spans="1:2" x14ac:dyDescent="0.25">
      <c r="B646" s="50" t="s">
        <v>673</v>
      </c>
    </row>
    <row r="647" spans="1:2" x14ac:dyDescent="0.25">
      <c r="B647" s="50" t="s">
        <v>674</v>
      </c>
    </row>
    <row r="648" spans="1:2" x14ac:dyDescent="0.25">
      <c r="B648" s="50" t="s">
        <v>675</v>
      </c>
    </row>
    <row r="649" spans="1:2" x14ac:dyDescent="0.25">
      <c r="B649" s="50" t="s">
        <v>676</v>
      </c>
    </row>
    <row r="650" spans="1:2" x14ac:dyDescent="0.25">
      <c r="B650" s="50" t="s">
        <v>677</v>
      </c>
    </row>
    <row r="651" spans="1:2" x14ac:dyDescent="0.25">
      <c r="B651" s="50" t="s">
        <v>678</v>
      </c>
    </row>
    <row r="652" spans="1:2" x14ac:dyDescent="0.25">
      <c r="B652" s="50" t="s">
        <v>679</v>
      </c>
    </row>
    <row r="653" spans="1:2" x14ac:dyDescent="0.25">
      <c r="B653" s="50" t="s">
        <v>680</v>
      </c>
    </row>
    <row r="654" spans="1:2" x14ac:dyDescent="0.25">
      <c r="B654" s="50" t="s">
        <v>681</v>
      </c>
    </row>
    <row r="655" spans="1:2" x14ac:dyDescent="0.25">
      <c r="B655" s="50" t="s">
        <v>682</v>
      </c>
    </row>
    <row r="656" spans="1:2" x14ac:dyDescent="0.25">
      <c r="B656" s="50" t="s">
        <v>683</v>
      </c>
    </row>
    <row r="657" spans="1:2" x14ac:dyDescent="0.25">
      <c r="B657" s="50" t="s">
        <v>684</v>
      </c>
    </row>
    <row r="658" spans="1:2" x14ac:dyDescent="0.25">
      <c r="B658" s="50" t="s">
        <v>685</v>
      </c>
    </row>
    <row r="659" spans="1:2" x14ac:dyDescent="0.25">
      <c r="B659" s="50" t="s">
        <v>686</v>
      </c>
    </row>
    <row r="660" spans="1:2" x14ac:dyDescent="0.25">
      <c r="B660" s="50" t="s">
        <v>687</v>
      </c>
    </row>
    <row r="661" spans="1:2" x14ac:dyDescent="0.25">
      <c r="B661" s="50" t="s">
        <v>366</v>
      </c>
    </row>
    <row r="662" spans="1:2" x14ac:dyDescent="0.25">
      <c r="B662" s="50" t="s">
        <v>367</v>
      </c>
    </row>
    <row r="663" spans="1:2" x14ac:dyDescent="0.25">
      <c r="A663" t="s">
        <v>443</v>
      </c>
    </row>
    <row r="664" spans="1:2" x14ac:dyDescent="0.25">
      <c r="A664" t="s">
        <v>688</v>
      </c>
    </row>
    <row r="665" spans="1:2" x14ac:dyDescent="0.25">
      <c r="A665" t="s">
        <v>358</v>
      </c>
      <c r="B665" s="50" t="s">
        <v>689</v>
      </c>
    </row>
    <row r="666" spans="1:2" x14ac:dyDescent="0.25">
      <c r="A666" t="s">
        <v>360</v>
      </c>
      <c r="B666" s="50" t="s">
        <v>690</v>
      </c>
    </row>
    <row r="667" spans="1:2" x14ac:dyDescent="0.25">
      <c r="A667" t="s">
        <v>362</v>
      </c>
      <c r="B667" s="50" t="s">
        <v>363</v>
      </c>
    </row>
    <row r="668" spans="1:2" x14ac:dyDescent="0.25">
      <c r="B668" s="50" t="s">
        <v>691</v>
      </c>
    </row>
    <row r="669" spans="1:2" x14ac:dyDescent="0.25">
      <c r="B669" s="50" t="s">
        <v>692</v>
      </c>
    </row>
    <row r="670" spans="1:2" x14ac:dyDescent="0.25">
      <c r="B670" s="50" t="s">
        <v>693</v>
      </c>
    </row>
    <row r="671" spans="1:2" x14ac:dyDescent="0.25">
      <c r="B671" s="50" t="s">
        <v>694</v>
      </c>
    </row>
    <row r="672" spans="1:2" x14ac:dyDescent="0.25">
      <c r="B672" s="50" t="s">
        <v>695</v>
      </c>
    </row>
    <row r="673" spans="1:2" x14ac:dyDescent="0.25">
      <c r="B673" s="50" t="s">
        <v>696</v>
      </c>
    </row>
    <row r="674" spans="1:2" x14ac:dyDescent="0.25">
      <c r="B674" s="50" t="s">
        <v>697</v>
      </c>
    </row>
    <row r="675" spans="1:2" x14ac:dyDescent="0.25">
      <c r="B675" s="50" t="s">
        <v>698</v>
      </c>
    </row>
    <row r="676" spans="1:2" x14ac:dyDescent="0.25">
      <c r="B676" s="50" t="s">
        <v>699</v>
      </c>
    </row>
    <row r="677" spans="1:2" x14ac:dyDescent="0.25">
      <c r="B677" s="50" t="s">
        <v>700</v>
      </c>
    </row>
    <row r="678" spans="1:2" x14ac:dyDescent="0.25">
      <c r="B678" s="50" t="s">
        <v>366</v>
      </c>
    </row>
    <row r="679" spans="1:2" x14ac:dyDescent="0.25">
      <c r="B679" s="50" t="s">
        <v>367</v>
      </c>
    </row>
    <row r="680" spans="1:2" x14ac:dyDescent="0.25">
      <c r="A680" t="s">
        <v>701</v>
      </c>
    </row>
    <row r="681" spans="1:2" x14ac:dyDescent="0.25">
      <c r="A681" t="s">
        <v>358</v>
      </c>
      <c r="B681" s="50" t="s">
        <v>702</v>
      </c>
    </row>
    <row r="682" spans="1:2" x14ac:dyDescent="0.25">
      <c r="A682" t="s">
        <v>360</v>
      </c>
      <c r="B682" s="50" t="s">
        <v>703</v>
      </c>
    </row>
    <row r="683" spans="1:2" x14ac:dyDescent="0.25">
      <c r="A683" t="s">
        <v>362</v>
      </c>
      <c r="B683" s="50" t="s">
        <v>363</v>
      </c>
    </row>
    <row r="684" spans="1:2" x14ac:dyDescent="0.25">
      <c r="B684" s="50" t="s">
        <v>704</v>
      </c>
    </row>
    <row r="685" spans="1:2" x14ac:dyDescent="0.25">
      <c r="B685" s="50" t="s">
        <v>705</v>
      </c>
    </row>
    <row r="686" spans="1:2" x14ac:dyDescent="0.25">
      <c r="B686" s="50" t="s">
        <v>706</v>
      </c>
    </row>
    <row r="687" spans="1:2" x14ac:dyDescent="0.25">
      <c r="B687" s="50" t="s">
        <v>707</v>
      </c>
    </row>
    <row r="688" spans="1:2" x14ac:dyDescent="0.25">
      <c r="B688" s="50" t="s">
        <v>708</v>
      </c>
    </row>
    <row r="689" spans="1:2" x14ac:dyDescent="0.25">
      <c r="B689" s="50" t="s">
        <v>709</v>
      </c>
    </row>
    <row r="690" spans="1:2" x14ac:dyDescent="0.25">
      <c r="B690" s="50" t="s">
        <v>366</v>
      </c>
    </row>
    <row r="691" spans="1:2" x14ac:dyDescent="0.25">
      <c r="B691" s="50" t="s">
        <v>367</v>
      </c>
    </row>
    <row r="692" spans="1:2" x14ac:dyDescent="0.25">
      <c r="A692" t="s">
        <v>710</v>
      </c>
    </row>
    <row r="693" spans="1:2" x14ac:dyDescent="0.25">
      <c r="A693" t="s">
        <v>358</v>
      </c>
      <c r="B693" s="50" t="s">
        <v>711</v>
      </c>
    </row>
    <row r="694" spans="1:2" x14ac:dyDescent="0.25">
      <c r="A694" t="s">
        <v>360</v>
      </c>
      <c r="B694" s="50" t="s">
        <v>712</v>
      </c>
    </row>
    <row r="695" spans="1:2" x14ac:dyDescent="0.25">
      <c r="A695" t="s">
        <v>362</v>
      </c>
      <c r="B695" s="50" t="s">
        <v>363</v>
      </c>
    </row>
    <row r="696" spans="1:2" x14ac:dyDescent="0.25">
      <c r="B696" s="50" t="s">
        <v>713</v>
      </c>
    </row>
    <row r="697" spans="1:2" x14ac:dyDescent="0.25">
      <c r="B697" s="50" t="s">
        <v>714</v>
      </c>
    </row>
    <row r="698" spans="1:2" x14ac:dyDescent="0.25">
      <c r="B698" s="50" t="s">
        <v>715</v>
      </c>
    </row>
    <row r="699" spans="1:2" x14ac:dyDescent="0.25">
      <c r="B699" s="50" t="s">
        <v>716</v>
      </c>
    </row>
    <row r="700" spans="1:2" x14ac:dyDescent="0.25">
      <c r="B700" s="50" t="s">
        <v>717</v>
      </c>
    </row>
    <row r="701" spans="1:2" x14ac:dyDescent="0.25">
      <c r="B701" s="50" t="s">
        <v>718</v>
      </c>
    </row>
    <row r="702" spans="1:2" x14ac:dyDescent="0.25">
      <c r="B702" s="50" t="s">
        <v>719</v>
      </c>
    </row>
    <row r="703" spans="1:2" x14ac:dyDescent="0.25">
      <c r="B703" s="50" t="s">
        <v>720</v>
      </c>
    </row>
    <row r="704" spans="1:2" x14ac:dyDescent="0.25">
      <c r="B704" s="50" t="s">
        <v>721</v>
      </c>
    </row>
    <row r="705" spans="1:2" x14ac:dyDescent="0.25">
      <c r="B705" s="50" t="s">
        <v>722</v>
      </c>
    </row>
    <row r="706" spans="1:2" x14ac:dyDescent="0.25">
      <c r="B706" s="50" t="s">
        <v>723</v>
      </c>
    </row>
    <row r="707" spans="1:2" x14ac:dyDescent="0.25">
      <c r="B707" s="50" t="s">
        <v>724</v>
      </c>
    </row>
    <row r="708" spans="1:2" x14ac:dyDescent="0.25">
      <c r="B708" s="50" t="s">
        <v>366</v>
      </c>
    </row>
    <row r="709" spans="1:2" x14ac:dyDescent="0.25">
      <c r="B709" s="50" t="s">
        <v>367</v>
      </c>
    </row>
    <row r="710" spans="1:2" x14ac:dyDescent="0.25">
      <c r="A710" t="s">
        <v>725</v>
      </c>
    </row>
    <row r="711" spans="1:2" x14ac:dyDescent="0.25">
      <c r="A711" t="s">
        <v>358</v>
      </c>
      <c r="B711" s="50" t="s">
        <v>726</v>
      </c>
    </row>
    <row r="712" spans="1:2" x14ac:dyDescent="0.25">
      <c r="A712" t="s">
        <v>360</v>
      </c>
      <c r="B712" s="50" t="s">
        <v>727</v>
      </c>
    </row>
    <row r="713" spans="1:2" x14ac:dyDescent="0.25">
      <c r="A713" t="s">
        <v>362</v>
      </c>
      <c r="B713" s="50" t="s">
        <v>363</v>
      </c>
    </row>
    <row r="714" spans="1:2" x14ac:dyDescent="0.25">
      <c r="B714" s="50" t="s">
        <v>728</v>
      </c>
    </row>
    <row r="715" spans="1:2" x14ac:dyDescent="0.25">
      <c r="B715" s="50" t="s">
        <v>729</v>
      </c>
    </row>
    <row r="716" spans="1:2" x14ac:dyDescent="0.25">
      <c r="B716" s="50" t="s">
        <v>730</v>
      </c>
    </row>
    <row r="717" spans="1:2" x14ac:dyDescent="0.25">
      <c r="B717" s="50" t="s">
        <v>366</v>
      </c>
    </row>
    <row r="718" spans="1:2" x14ac:dyDescent="0.25">
      <c r="B718" s="50" t="s">
        <v>367</v>
      </c>
    </row>
    <row r="719" spans="1:2" x14ac:dyDescent="0.25">
      <c r="A719" t="s">
        <v>731</v>
      </c>
    </row>
    <row r="720" spans="1:2" x14ac:dyDescent="0.25">
      <c r="A720" t="s">
        <v>358</v>
      </c>
      <c r="B720" s="50" t="s">
        <v>732</v>
      </c>
    </row>
    <row r="721" spans="1:2" x14ac:dyDescent="0.25">
      <c r="A721" t="s">
        <v>360</v>
      </c>
      <c r="B721" s="50" t="s">
        <v>733</v>
      </c>
    </row>
    <row r="722" spans="1:2" x14ac:dyDescent="0.25">
      <c r="A722" t="s">
        <v>362</v>
      </c>
      <c r="B722" s="50" t="s">
        <v>363</v>
      </c>
    </row>
    <row r="723" spans="1:2" x14ac:dyDescent="0.25">
      <c r="B723" s="50" t="s">
        <v>734</v>
      </c>
    </row>
    <row r="724" spans="1:2" x14ac:dyDescent="0.25">
      <c r="B724" s="50" t="s">
        <v>735</v>
      </c>
    </row>
    <row r="725" spans="1:2" x14ac:dyDescent="0.25">
      <c r="B725" s="50" t="s">
        <v>736</v>
      </c>
    </row>
    <row r="726" spans="1:2" x14ac:dyDescent="0.25">
      <c r="B726" s="50" t="s">
        <v>737</v>
      </c>
    </row>
    <row r="727" spans="1:2" x14ac:dyDescent="0.25">
      <c r="B727" s="50" t="s">
        <v>366</v>
      </c>
    </row>
    <row r="728" spans="1:2" x14ac:dyDescent="0.25">
      <c r="B728" s="50" t="s">
        <v>367</v>
      </c>
    </row>
    <row r="729" spans="1:2" x14ac:dyDescent="0.25">
      <c r="A729" t="s">
        <v>738</v>
      </c>
    </row>
    <row r="730" spans="1:2" x14ac:dyDescent="0.25">
      <c r="A730" t="s">
        <v>358</v>
      </c>
      <c r="B730" s="50" t="s">
        <v>739</v>
      </c>
    </row>
    <row r="731" spans="1:2" x14ac:dyDescent="0.25">
      <c r="A731" t="s">
        <v>360</v>
      </c>
      <c r="B731" s="50" t="s">
        <v>740</v>
      </c>
    </row>
    <row r="732" spans="1:2" x14ac:dyDescent="0.25">
      <c r="A732" t="s">
        <v>362</v>
      </c>
      <c r="B732" s="50" t="s">
        <v>363</v>
      </c>
    </row>
    <row r="733" spans="1:2" x14ac:dyDescent="0.25">
      <c r="B733" s="50" t="s">
        <v>741</v>
      </c>
    </row>
    <row r="734" spans="1:2" x14ac:dyDescent="0.25">
      <c r="B734" s="50" t="s">
        <v>742</v>
      </c>
    </row>
    <row r="735" spans="1:2" x14ac:dyDescent="0.25">
      <c r="B735" s="50" t="s">
        <v>743</v>
      </c>
    </row>
    <row r="736" spans="1:2" x14ac:dyDescent="0.25">
      <c r="B736" s="50" t="s">
        <v>744</v>
      </c>
    </row>
    <row r="737" spans="1:2" x14ac:dyDescent="0.25">
      <c r="B737" s="50" t="s">
        <v>745</v>
      </c>
    </row>
    <row r="738" spans="1:2" x14ac:dyDescent="0.25">
      <c r="B738" s="50" t="s">
        <v>746</v>
      </c>
    </row>
    <row r="739" spans="1:2" x14ac:dyDescent="0.25">
      <c r="B739" s="50" t="s">
        <v>699</v>
      </c>
    </row>
    <row r="740" spans="1:2" x14ac:dyDescent="0.25">
      <c r="B740" s="50" t="s">
        <v>747</v>
      </c>
    </row>
    <row r="741" spans="1:2" x14ac:dyDescent="0.25">
      <c r="B741" s="50" t="s">
        <v>366</v>
      </c>
    </row>
    <row r="742" spans="1:2" x14ac:dyDescent="0.25">
      <c r="B742" s="50" t="s">
        <v>367</v>
      </c>
    </row>
    <row r="743" spans="1:2" x14ac:dyDescent="0.25">
      <c r="A743" t="s">
        <v>748</v>
      </c>
    </row>
    <row r="744" spans="1:2" x14ac:dyDescent="0.25">
      <c r="A744" t="s">
        <v>358</v>
      </c>
      <c r="B744" s="50" t="s">
        <v>749</v>
      </c>
    </row>
    <row r="745" spans="1:2" x14ac:dyDescent="0.25">
      <c r="A745" t="s">
        <v>360</v>
      </c>
      <c r="B745" s="50" t="s">
        <v>750</v>
      </c>
    </row>
    <row r="746" spans="1:2" x14ac:dyDescent="0.25">
      <c r="A746" t="s">
        <v>362</v>
      </c>
      <c r="B746" s="50" t="s">
        <v>363</v>
      </c>
    </row>
    <row r="747" spans="1:2" x14ac:dyDescent="0.25">
      <c r="B747" s="50" t="s">
        <v>364</v>
      </c>
    </row>
    <row r="748" spans="1:2" x14ac:dyDescent="0.25">
      <c r="B748" s="50" t="s">
        <v>365</v>
      </c>
    </row>
    <row r="749" spans="1:2" x14ac:dyDescent="0.25">
      <c r="B749" s="50" t="s">
        <v>366</v>
      </c>
    </row>
    <row r="750" spans="1:2" x14ac:dyDescent="0.25">
      <c r="B750" s="50" t="s">
        <v>367</v>
      </c>
    </row>
    <row r="751" spans="1:2" x14ac:dyDescent="0.25">
      <c r="A751" t="s">
        <v>751</v>
      </c>
    </row>
    <row r="752" spans="1:2" x14ac:dyDescent="0.25">
      <c r="A752" t="s">
        <v>358</v>
      </c>
      <c r="B752" s="50" t="s">
        <v>752</v>
      </c>
    </row>
    <row r="753" spans="1:2" x14ac:dyDescent="0.25">
      <c r="A753" t="s">
        <v>360</v>
      </c>
      <c r="B753" s="50" t="s">
        <v>753</v>
      </c>
    </row>
    <row r="754" spans="1:2" x14ac:dyDescent="0.25">
      <c r="A754" t="s">
        <v>362</v>
      </c>
      <c r="B754" s="50" t="s">
        <v>363</v>
      </c>
    </row>
    <row r="755" spans="1:2" x14ac:dyDescent="0.25">
      <c r="B755" s="50" t="s">
        <v>364</v>
      </c>
    </row>
    <row r="756" spans="1:2" x14ac:dyDescent="0.25">
      <c r="B756" s="50" t="s">
        <v>365</v>
      </c>
    </row>
    <row r="757" spans="1:2" x14ac:dyDescent="0.25">
      <c r="B757" s="50" t="s">
        <v>366</v>
      </c>
    </row>
    <row r="758" spans="1:2" x14ac:dyDescent="0.25">
      <c r="B758" s="50" t="s">
        <v>367</v>
      </c>
    </row>
    <row r="759" spans="1:2" x14ac:dyDescent="0.25">
      <c r="A759" t="s">
        <v>754</v>
      </c>
    </row>
    <row r="760" spans="1:2" x14ac:dyDescent="0.25">
      <c r="A760" t="s">
        <v>358</v>
      </c>
      <c r="B760" s="50" t="s">
        <v>755</v>
      </c>
    </row>
    <row r="761" spans="1:2" x14ac:dyDescent="0.25">
      <c r="A761" t="s">
        <v>360</v>
      </c>
      <c r="B761" s="50" t="s">
        <v>756</v>
      </c>
    </row>
    <row r="762" spans="1:2" x14ac:dyDescent="0.25">
      <c r="A762" t="s">
        <v>362</v>
      </c>
      <c r="B762" s="50" t="s">
        <v>363</v>
      </c>
    </row>
    <row r="763" spans="1:2" x14ac:dyDescent="0.25">
      <c r="B763" s="50" t="s">
        <v>641</v>
      </c>
    </row>
    <row r="764" spans="1:2" x14ac:dyDescent="0.25">
      <c r="B764" s="50" t="s">
        <v>642</v>
      </c>
    </row>
    <row r="765" spans="1:2" x14ac:dyDescent="0.25">
      <c r="B765" s="50" t="s">
        <v>643</v>
      </c>
    </row>
    <row r="766" spans="1:2" x14ac:dyDescent="0.25">
      <c r="B766" s="50" t="s">
        <v>414</v>
      </c>
    </row>
    <row r="767" spans="1:2" x14ac:dyDescent="0.25">
      <c r="B767" s="50" t="s">
        <v>366</v>
      </c>
    </row>
    <row r="768" spans="1:2" x14ac:dyDescent="0.25">
      <c r="B768" s="50" t="s">
        <v>367</v>
      </c>
    </row>
    <row r="769" spans="1:2" x14ac:dyDescent="0.25">
      <c r="A769" t="s">
        <v>757</v>
      </c>
    </row>
    <row r="770" spans="1:2" x14ac:dyDescent="0.25">
      <c r="A770" t="s">
        <v>358</v>
      </c>
      <c r="B770" s="50" t="s">
        <v>758</v>
      </c>
    </row>
    <row r="771" spans="1:2" x14ac:dyDescent="0.25">
      <c r="A771" t="s">
        <v>360</v>
      </c>
      <c r="B771" s="50" t="s">
        <v>759</v>
      </c>
    </row>
    <row r="772" spans="1:2" x14ac:dyDescent="0.25">
      <c r="A772" t="s">
        <v>362</v>
      </c>
      <c r="B772" s="50" t="s">
        <v>363</v>
      </c>
    </row>
    <row r="773" spans="1:2" x14ac:dyDescent="0.25">
      <c r="B773" s="50" t="s">
        <v>760</v>
      </c>
    </row>
    <row r="774" spans="1:2" x14ac:dyDescent="0.25">
      <c r="B774" s="50" t="s">
        <v>761</v>
      </c>
    </row>
    <row r="775" spans="1:2" x14ac:dyDescent="0.25">
      <c r="B775" s="50" t="s">
        <v>371</v>
      </c>
    </row>
    <row r="776" spans="1:2" x14ac:dyDescent="0.25">
      <c r="B776" s="50" t="s">
        <v>367</v>
      </c>
    </row>
    <row r="777" spans="1:2" x14ac:dyDescent="0.25">
      <c r="A777" t="s">
        <v>762</v>
      </c>
    </row>
    <row r="778" spans="1:2" x14ac:dyDescent="0.25">
      <c r="A778" t="s">
        <v>358</v>
      </c>
      <c r="B778" s="50" t="s">
        <v>763</v>
      </c>
    </row>
    <row r="779" spans="1:2" x14ac:dyDescent="0.25">
      <c r="A779" t="s">
        <v>360</v>
      </c>
      <c r="B779" s="50" t="s">
        <v>764</v>
      </c>
    </row>
    <row r="780" spans="1:2" x14ac:dyDescent="0.25">
      <c r="A780" t="s">
        <v>362</v>
      </c>
      <c r="B780" s="50" t="s">
        <v>363</v>
      </c>
    </row>
    <row r="781" spans="1:2" x14ac:dyDescent="0.25">
      <c r="B781" s="50" t="s">
        <v>426</v>
      </c>
    </row>
    <row r="782" spans="1:2" x14ac:dyDescent="0.25">
      <c r="B782" s="50" t="s">
        <v>427</v>
      </c>
    </row>
    <row r="783" spans="1:2" x14ac:dyDescent="0.25">
      <c r="B783" s="50" t="s">
        <v>366</v>
      </c>
    </row>
    <row r="784" spans="1:2" x14ac:dyDescent="0.25">
      <c r="B784" s="50" t="s">
        <v>367</v>
      </c>
    </row>
    <row r="785" spans="1:2" x14ac:dyDescent="0.25">
      <c r="A785" t="s">
        <v>765</v>
      </c>
    </row>
    <row r="786" spans="1:2" x14ac:dyDescent="0.25">
      <c r="A786" t="s">
        <v>358</v>
      </c>
      <c r="B786" s="50" t="s">
        <v>766</v>
      </c>
    </row>
    <row r="787" spans="1:2" x14ac:dyDescent="0.25">
      <c r="A787" t="s">
        <v>360</v>
      </c>
      <c r="B787" s="50" t="s">
        <v>767</v>
      </c>
    </row>
    <row r="788" spans="1:2" x14ac:dyDescent="0.25">
      <c r="A788" t="s">
        <v>362</v>
      </c>
      <c r="B788" s="50" t="s">
        <v>363</v>
      </c>
    </row>
    <row r="789" spans="1:2" x14ac:dyDescent="0.25">
      <c r="B789" s="50" t="s">
        <v>450</v>
      </c>
    </row>
    <row r="790" spans="1:2" x14ac:dyDescent="0.25">
      <c r="B790" s="50" t="s">
        <v>451</v>
      </c>
    </row>
    <row r="791" spans="1:2" x14ac:dyDescent="0.25">
      <c r="B791" s="50" t="s">
        <v>371</v>
      </c>
    </row>
    <row r="792" spans="1:2" x14ac:dyDescent="0.25">
      <c r="B792" s="50" t="s">
        <v>367</v>
      </c>
    </row>
    <row r="793" spans="1:2" x14ac:dyDescent="0.25">
      <c r="A793" t="s">
        <v>768</v>
      </c>
    </row>
    <row r="794" spans="1:2" x14ac:dyDescent="0.25">
      <c r="A794" t="s">
        <v>358</v>
      </c>
      <c r="B794" s="50" t="s">
        <v>769</v>
      </c>
    </row>
    <row r="795" spans="1:2" x14ac:dyDescent="0.25">
      <c r="A795" t="s">
        <v>360</v>
      </c>
      <c r="B795" s="50" t="s">
        <v>770</v>
      </c>
    </row>
    <row r="796" spans="1:2" x14ac:dyDescent="0.25">
      <c r="A796" t="s">
        <v>362</v>
      </c>
      <c r="B796" s="50" t="s">
        <v>363</v>
      </c>
    </row>
    <row r="797" spans="1:2" x14ac:dyDescent="0.25">
      <c r="B797" s="50" t="s">
        <v>631</v>
      </c>
    </row>
    <row r="798" spans="1:2" x14ac:dyDescent="0.25">
      <c r="B798" s="50" t="s">
        <v>632</v>
      </c>
    </row>
    <row r="799" spans="1:2" x14ac:dyDescent="0.25">
      <c r="B799" s="50" t="s">
        <v>366</v>
      </c>
    </row>
    <row r="800" spans="1:2" x14ac:dyDescent="0.25">
      <c r="B800" s="50" t="s">
        <v>367</v>
      </c>
    </row>
    <row r="801" spans="1:2" x14ac:dyDescent="0.25">
      <c r="A801" t="s">
        <v>771</v>
      </c>
    </row>
    <row r="802" spans="1:2" x14ac:dyDescent="0.25">
      <c r="A802" t="s">
        <v>358</v>
      </c>
      <c r="B802" s="50" t="s">
        <v>772</v>
      </c>
    </row>
    <row r="803" spans="1:2" x14ac:dyDescent="0.25">
      <c r="A803" t="s">
        <v>360</v>
      </c>
      <c r="B803" s="50" t="s">
        <v>773</v>
      </c>
    </row>
    <row r="804" spans="1:2" x14ac:dyDescent="0.25">
      <c r="A804" t="s">
        <v>362</v>
      </c>
      <c r="B804" s="50" t="s">
        <v>363</v>
      </c>
    </row>
    <row r="805" spans="1:2" x14ac:dyDescent="0.25">
      <c r="B805" s="50" t="s">
        <v>404</v>
      </c>
    </row>
    <row r="806" spans="1:2" x14ac:dyDescent="0.25">
      <c r="B806" s="50" t="s">
        <v>405</v>
      </c>
    </row>
    <row r="807" spans="1:2" x14ac:dyDescent="0.25">
      <c r="B807" s="50" t="s">
        <v>406</v>
      </c>
    </row>
    <row r="808" spans="1:2" x14ac:dyDescent="0.25">
      <c r="B808" s="50" t="s">
        <v>466</v>
      </c>
    </row>
    <row r="809" spans="1:2" x14ac:dyDescent="0.25">
      <c r="B809" s="50" t="s">
        <v>366</v>
      </c>
    </row>
    <row r="810" spans="1:2" x14ac:dyDescent="0.25">
      <c r="B810" s="50" t="s">
        <v>367</v>
      </c>
    </row>
    <row r="811" spans="1:2" x14ac:dyDescent="0.25">
      <c r="A811" t="s">
        <v>774</v>
      </c>
    </row>
    <row r="812" spans="1:2" x14ac:dyDescent="0.25">
      <c r="A812" t="s">
        <v>358</v>
      </c>
      <c r="B812" s="50" t="s">
        <v>775</v>
      </c>
    </row>
    <row r="813" spans="1:2" x14ac:dyDescent="0.25">
      <c r="A813" t="s">
        <v>360</v>
      </c>
      <c r="B813" s="50" t="s">
        <v>776</v>
      </c>
    </row>
    <row r="814" spans="1:2" x14ac:dyDescent="0.25">
      <c r="A814" t="s">
        <v>362</v>
      </c>
      <c r="B814" s="50" t="s">
        <v>363</v>
      </c>
    </row>
    <row r="815" spans="1:2" x14ac:dyDescent="0.25">
      <c r="B815" s="50" t="s">
        <v>777</v>
      </c>
    </row>
    <row r="816" spans="1:2" x14ac:dyDescent="0.25">
      <c r="B816" s="50" t="s">
        <v>778</v>
      </c>
    </row>
    <row r="817" spans="1:2" x14ac:dyDescent="0.25">
      <c r="B817" s="50" t="s">
        <v>779</v>
      </c>
    </row>
    <row r="818" spans="1:2" x14ac:dyDescent="0.25">
      <c r="B818" s="50" t="s">
        <v>414</v>
      </c>
    </row>
    <row r="819" spans="1:2" x14ac:dyDescent="0.25">
      <c r="B819" s="50" t="s">
        <v>366</v>
      </c>
    </row>
    <row r="820" spans="1:2" x14ac:dyDescent="0.25">
      <c r="B820" s="50" t="s">
        <v>367</v>
      </c>
    </row>
    <row r="821" spans="1:2" x14ac:dyDescent="0.25">
      <c r="A821" t="s">
        <v>780</v>
      </c>
    </row>
    <row r="822" spans="1:2" x14ac:dyDescent="0.25">
      <c r="A822" t="s">
        <v>358</v>
      </c>
      <c r="B822" s="50" t="s">
        <v>781</v>
      </c>
    </row>
    <row r="823" spans="1:2" x14ac:dyDescent="0.25">
      <c r="A823" t="s">
        <v>360</v>
      </c>
      <c r="B823" s="50" t="s">
        <v>782</v>
      </c>
    </row>
    <row r="824" spans="1:2" x14ac:dyDescent="0.25">
      <c r="A824" t="s">
        <v>362</v>
      </c>
      <c r="B824" s="50" t="s">
        <v>363</v>
      </c>
    </row>
    <row r="825" spans="1:2" x14ac:dyDescent="0.25">
      <c r="B825" s="50" t="s">
        <v>777</v>
      </c>
    </row>
    <row r="826" spans="1:2" x14ac:dyDescent="0.25">
      <c r="B826" s="50" t="s">
        <v>778</v>
      </c>
    </row>
    <row r="827" spans="1:2" x14ac:dyDescent="0.25">
      <c r="B827" s="50" t="s">
        <v>779</v>
      </c>
    </row>
    <row r="828" spans="1:2" x14ac:dyDescent="0.25">
      <c r="B828" s="50" t="s">
        <v>414</v>
      </c>
    </row>
    <row r="829" spans="1:2" x14ac:dyDescent="0.25">
      <c r="B829" s="50" t="s">
        <v>508</v>
      </c>
    </row>
    <row r="830" spans="1:2" x14ac:dyDescent="0.25">
      <c r="B830" s="50" t="s">
        <v>366</v>
      </c>
    </row>
    <row r="831" spans="1:2" x14ac:dyDescent="0.25">
      <c r="B831" s="50" t="s">
        <v>367</v>
      </c>
    </row>
    <row r="832" spans="1:2" x14ac:dyDescent="0.25">
      <c r="A832" t="s">
        <v>783</v>
      </c>
    </row>
    <row r="833" spans="1:2" x14ac:dyDescent="0.25">
      <c r="A833" t="s">
        <v>358</v>
      </c>
      <c r="B833" s="50" t="s">
        <v>784</v>
      </c>
    </row>
    <row r="834" spans="1:2" x14ac:dyDescent="0.25">
      <c r="A834" t="s">
        <v>360</v>
      </c>
      <c r="B834" s="50" t="s">
        <v>785</v>
      </c>
    </row>
    <row r="835" spans="1:2" x14ac:dyDescent="0.25">
      <c r="A835" t="s">
        <v>362</v>
      </c>
      <c r="B835" s="50" t="s">
        <v>363</v>
      </c>
    </row>
    <row r="836" spans="1:2" x14ac:dyDescent="0.25">
      <c r="B836" s="50" t="s">
        <v>777</v>
      </c>
    </row>
    <row r="837" spans="1:2" x14ac:dyDescent="0.25">
      <c r="B837" s="50" t="s">
        <v>778</v>
      </c>
    </row>
    <row r="838" spans="1:2" x14ac:dyDescent="0.25">
      <c r="B838" s="50" t="s">
        <v>779</v>
      </c>
    </row>
    <row r="839" spans="1:2" x14ac:dyDescent="0.25">
      <c r="B839" s="50" t="s">
        <v>414</v>
      </c>
    </row>
    <row r="840" spans="1:2" x14ac:dyDescent="0.25">
      <c r="B840" s="50" t="s">
        <v>508</v>
      </c>
    </row>
    <row r="841" spans="1:2" x14ac:dyDescent="0.25">
      <c r="B841" s="50" t="s">
        <v>366</v>
      </c>
    </row>
    <row r="842" spans="1:2" x14ac:dyDescent="0.25">
      <c r="B842" s="50" t="s">
        <v>367</v>
      </c>
    </row>
    <row r="843" spans="1:2" x14ac:dyDescent="0.25">
      <c r="A843" t="s">
        <v>786</v>
      </c>
    </row>
    <row r="844" spans="1:2" x14ac:dyDescent="0.25">
      <c r="A844" t="s">
        <v>358</v>
      </c>
      <c r="B844" s="50" t="s">
        <v>787</v>
      </c>
    </row>
    <row r="845" spans="1:2" x14ac:dyDescent="0.25">
      <c r="A845" t="s">
        <v>360</v>
      </c>
      <c r="B845" s="50" t="s">
        <v>788</v>
      </c>
    </row>
    <row r="846" spans="1:2" x14ac:dyDescent="0.25">
      <c r="A846" t="s">
        <v>362</v>
      </c>
      <c r="B846" s="50" t="s">
        <v>363</v>
      </c>
    </row>
    <row r="847" spans="1:2" x14ac:dyDescent="0.25">
      <c r="B847" s="50" t="s">
        <v>426</v>
      </c>
    </row>
    <row r="848" spans="1:2" x14ac:dyDescent="0.25">
      <c r="B848" s="50" t="s">
        <v>427</v>
      </c>
    </row>
    <row r="849" spans="1:2" x14ac:dyDescent="0.25">
      <c r="B849" s="50" t="s">
        <v>366</v>
      </c>
    </row>
    <row r="850" spans="1:2" x14ac:dyDescent="0.25">
      <c r="B850" s="50" t="s">
        <v>367</v>
      </c>
    </row>
    <row r="851" spans="1:2" x14ac:dyDescent="0.25">
      <c r="A851" t="s">
        <v>789</v>
      </c>
    </row>
    <row r="852" spans="1:2" x14ac:dyDescent="0.25">
      <c r="A852" t="s">
        <v>358</v>
      </c>
      <c r="B852" s="50" t="s">
        <v>790</v>
      </c>
    </row>
    <row r="853" spans="1:2" x14ac:dyDescent="0.25">
      <c r="A853" t="s">
        <v>360</v>
      </c>
      <c r="B853" s="50" t="s">
        <v>791</v>
      </c>
    </row>
    <row r="854" spans="1:2" x14ac:dyDescent="0.25">
      <c r="A854" t="s">
        <v>362</v>
      </c>
      <c r="B854" s="50" t="s">
        <v>363</v>
      </c>
    </row>
    <row r="855" spans="1:2" x14ac:dyDescent="0.25">
      <c r="B855" s="50" t="s">
        <v>426</v>
      </c>
    </row>
    <row r="856" spans="1:2" x14ac:dyDescent="0.25">
      <c r="B856" s="50" t="s">
        <v>427</v>
      </c>
    </row>
    <row r="857" spans="1:2" x14ac:dyDescent="0.25">
      <c r="B857" s="50" t="s">
        <v>366</v>
      </c>
    </row>
    <row r="858" spans="1:2" x14ac:dyDescent="0.25">
      <c r="B858" s="50" t="s">
        <v>367</v>
      </c>
    </row>
    <row r="859" spans="1:2" x14ac:dyDescent="0.25">
      <c r="A859" t="s">
        <v>443</v>
      </c>
    </row>
    <row r="860" spans="1:2" x14ac:dyDescent="0.25">
      <c r="A860" t="s">
        <v>792</v>
      </c>
    </row>
    <row r="861" spans="1:2" x14ac:dyDescent="0.25">
      <c r="A861" t="s">
        <v>358</v>
      </c>
      <c r="B861" s="50" t="s">
        <v>793</v>
      </c>
    </row>
    <row r="862" spans="1:2" x14ac:dyDescent="0.25">
      <c r="A862" t="s">
        <v>360</v>
      </c>
      <c r="B862" s="50" t="s">
        <v>794</v>
      </c>
    </row>
    <row r="863" spans="1:2" x14ac:dyDescent="0.25">
      <c r="A863" t="s">
        <v>362</v>
      </c>
      <c r="B863" s="50" t="s">
        <v>363</v>
      </c>
    </row>
    <row r="864" spans="1:2" x14ac:dyDescent="0.25">
      <c r="B864" s="50" t="s">
        <v>426</v>
      </c>
    </row>
    <row r="865" spans="1:2" x14ac:dyDescent="0.25">
      <c r="B865" s="50" t="s">
        <v>427</v>
      </c>
    </row>
    <row r="866" spans="1:2" x14ac:dyDescent="0.25">
      <c r="B866" s="50" t="s">
        <v>366</v>
      </c>
    </row>
    <row r="867" spans="1:2" x14ac:dyDescent="0.25">
      <c r="B867" s="50" t="s">
        <v>367</v>
      </c>
    </row>
    <row r="868" spans="1:2" x14ac:dyDescent="0.25">
      <c r="A868" t="s">
        <v>795</v>
      </c>
    </row>
    <row r="869" spans="1:2" x14ac:dyDescent="0.25">
      <c r="A869" t="s">
        <v>358</v>
      </c>
      <c r="B869" s="50" t="s">
        <v>796</v>
      </c>
    </row>
    <row r="870" spans="1:2" x14ac:dyDescent="0.25">
      <c r="A870" t="s">
        <v>360</v>
      </c>
      <c r="B870" s="50" t="s">
        <v>797</v>
      </c>
    </row>
    <row r="871" spans="1:2" x14ac:dyDescent="0.25">
      <c r="A871" t="s">
        <v>362</v>
      </c>
      <c r="B871" s="50" t="s">
        <v>363</v>
      </c>
    </row>
    <row r="872" spans="1:2" x14ac:dyDescent="0.25">
      <c r="B872" s="50" t="s">
        <v>426</v>
      </c>
    </row>
    <row r="873" spans="1:2" x14ac:dyDescent="0.25">
      <c r="B873" s="50" t="s">
        <v>427</v>
      </c>
    </row>
    <row r="874" spans="1:2" x14ac:dyDescent="0.25">
      <c r="B874" s="50" t="s">
        <v>366</v>
      </c>
    </row>
    <row r="875" spans="1:2" x14ac:dyDescent="0.25">
      <c r="B875" s="50" t="s">
        <v>367</v>
      </c>
    </row>
    <row r="876" spans="1:2" x14ac:dyDescent="0.25">
      <c r="A876" t="s">
        <v>798</v>
      </c>
    </row>
    <row r="877" spans="1:2" x14ac:dyDescent="0.25">
      <c r="A877" t="s">
        <v>358</v>
      </c>
      <c r="B877" s="50" t="s">
        <v>799</v>
      </c>
    </row>
    <row r="878" spans="1:2" x14ac:dyDescent="0.25">
      <c r="A878" t="s">
        <v>360</v>
      </c>
      <c r="B878" s="50" t="s">
        <v>800</v>
      </c>
    </row>
    <row r="879" spans="1:2" x14ac:dyDescent="0.25">
      <c r="A879" t="s">
        <v>362</v>
      </c>
      <c r="B879" s="50" t="s">
        <v>363</v>
      </c>
    </row>
    <row r="880" spans="1:2" x14ac:dyDescent="0.25">
      <c r="B880" s="50" t="s">
        <v>426</v>
      </c>
    </row>
    <row r="881" spans="1:2" x14ac:dyDescent="0.25">
      <c r="B881" s="50" t="s">
        <v>427</v>
      </c>
    </row>
    <row r="882" spans="1:2" x14ac:dyDescent="0.25">
      <c r="B882" s="50" t="s">
        <v>366</v>
      </c>
    </row>
    <row r="883" spans="1:2" x14ac:dyDescent="0.25">
      <c r="B883" s="50" t="s">
        <v>367</v>
      </c>
    </row>
    <row r="884" spans="1:2" x14ac:dyDescent="0.25">
      <c r="A884" t="s">
        <v>801</v>
      </c>
    </row>
    <row r="885" spans="1:2" x14ac:dyDescent="0.25">
      <c r="A885" t="s">
        <v>358</v>
      </c>
      <c r="B885" s="50" t="s">
        <v>802</v>
      </c>
    </row>
    <row r="886" spans="1:2" x14ac:dyDescent="0.25">
      <c r="A886" t="s">
        <v>360</v>
      </c>
      <c r="B886" s="50" t="s">
        <v>803</v>
      </c>
    </row>
    <row r="887" spans="1:2" x14ac:dyDescent="0.25">
      <c r="A887" t="s">
        <v>362</v>
      </c>
      <c r="B887" s="50" t="s">
        <v>363</v>
      </c>
    </row>
    <row r="888" spans="1:2" x14ac:dyDescent="0.25">
      <c r="B888" s="50" t="s">
        <v>426</v>
      </c>
    </row>
    <row r="889" spans="1:2" x14ac:dyDescent="0.25">
      <c r="B889" s="50" t="s">
        <v>427</v>
      </c>
    </row>
    <row r="890" spans="1:2" x14ac:dyDescent="0.25">
      <c r="B890" s="50" t="s">
        <v>366</v>
      </c>
    </row>
    <row r="891" spans="1:2" x14ac:dyDescent="0.25">
      <c r="B891" s="50" t="s">
        <v>367</v>
      </c>
    </row>
    <row r="892" spans="1:2" x14ac:dyDescent="0.25">
      <c r="A892" t="s">
        <v>443</v>
      </c>
    </row>
    <row r="893" spans="1:2" x14ac:dyDescent="0.25">
      <c r="A893" t="s">
        <v>804</v>
      </c>
    </row>
    <row r="894" spans="1:2" x14ac:dyDescent="0.25">
      <c r="A894" t="s">
        <v>358</v>
      </c>
      <c r="B894" s="50" t="s">
        <v>805</v>
      </c>
    </row>
    <row r="895" spans="1:2" x14ac:dyDescent="0.25">
      <c r="A895" t="s">
        <v>360</v>
      </c>
      <c r="B895" s="50" t="s">
        <v>806</v>
      </c>
    </row>
    <row r="896" spans="1:2" x14ac:dyDescent="0.25">
      <c r="A896" t="s">
        <v>362</v>
      </c>
      <c r="B896" s="50" t="s">
        <v>363</v>
      </c>
    </row>
    <row r="897" spans="1:2" x14ac:dyDescent="0.25">
      <c r="B897" s="50" t="s">
        <v>426</v>
      </c>
    </row>
    <row r="898" spans="1:2" x14ac:dyDescent="0.25">
      <c r="B898" s="50" t="s">
        <v>427</v>
      </c>
    </row>
    <row r="899" spans="1:2" x14ac:dyDescent="0.25">
      <c r="B899" s="50" t="s">
        <v>366</v>
      </c>
    </row>
    <row r="900" spans="1:2" x14ac:dyDescent="0.25">
      <c r="B900" s="50" t="s">
        <v>367</v>
      </c>
    </row>
    <row r="901" spans="1:2" x14ac:dyDescent="0.25">
      <c r="A901" t="s">
        <v>807</v>
      </c>
    </row>
    <row r="902" spans="1:2" x14ac:dyDescent="0.25">
      <c r="A902" t="s">
        <v>358</v>
      </c>
      <c r="B902" s="50" t="s">
        <v>808</v>
      </c>
    </row>
    <row r="903" spans="1:2" x14ac:dyDescent="0.25">
      <c r="A903" t="s">
        <v>360</v>
      </c>
      <c r="B903" s="50" t="s">
        <v>809</v>
      </c>
    </row>
    <row r="904" spans="1:2" x14ac:dyDescent="0.25">
      <c r="A904" t="s">
        <v>362</v>
      </c>
      <c r="B904" s="50" t="s">
        <v>363</v>
      </c>
    </row>
    <row r="905" spans="1:2" x14ac:dyDescent="0.25">
      <c r="B905" s="50" t="s">
        <v>426</v>
      </c>
    </row>
    <row r="906" spans="1:2" x14ac:dyDescent="0.25">
      <c r="B906" s="50" t="s">
        <v>427</v>
      </c>
    </row>
    <row r="907" spans="1:2" x14ac:dyDescent="0.25">
      <c r="B907" s="50" t="s">
        <v>366</v>
      </c>
    </row>
    <row r="908" spans="1:2" x14ac:dyDescent="0.25">
      <c r="B908" s="50" t="s">
        <v>367</v>
      </c>
    </row>
    <row r="909" spans="1:2" x14ac:dyDescent="0.25">
      <c r="A909" t="s">
        <v>810</v>
      </c>
    </row>
    <row r="910" spans="1:2" x14ac:dyDescent="0.25">
      <c r="A910" t="s">
        <v>358</v>
      </c>
      <c r="B910" s="50" t="s">
        <v>811</v>
      </c>
    </row>
    <row r="911" spans="1:2" x14ac:dyDescent="0.25">
      <c r="A911" t="s">
        <v>360</v>
      </c>
      <c r="B911" s="50" t="s">
        <v>812</v>
      </c>
    </row>
    <row r="912" spans="1:2" x14ac:dyDescent="0.25">
      <c r="A912" t="s">
        <v>362</v>
      </c>
      <c r="B912" s="50" t="s">
        <v>363</v>
      </c>
    </row>
    <row r="913" spans="1:2" x14ac:dyDescent="0.25">
      <c r="B913" s="50" t="s">
        <v>426</v>
      </c>
    </row>
    <row r="914" spans="1:2" x14ac:dyDescent="0.25">
      <c r="B914" s="50" t="s">
        <v>427</v>
      </c>
    </row>
    <row r="915" spans="1:2" x14ac:dyDescent="0.25">
      <c r="B915" s="50" t="s">
        <v>366</v>
      </c>
    </row>
    <row r="916" spans="1:2" x14ac:dyDescent="0.25">
      <c r="B916" s="50" t="s">
        <v>367</v>
      </c>
    </row>
    <row r="917" spans="1:2" x14ac:dyDescent="0.25">
      <c r="A917" t="s">
        <v>813</v>
      </c>
    </row>
    <row r="918" spans="1:2" x14ac:dyDescent="0.25">
      <c r="A918" t="s">
        <v>358</v>
      </c>
      <c r="B918" s="50" t="s">
        <v>814</v>
      </c>
    </row>
    <row r="919" spans="1:2" x14ac:dyDescent="0.25">
      <c r="A919" t="s">
        <v>360</v>
      </c>
      <c r="B919" s="50" t="s">
        <v>815</v>
      </c>
    </row>
    <row r="920" spans="1:2" x14ac:dyDescent="0.25">
      <c r="A920" t="s">
        <v>362</v>
      </c>
      <c r="B920" s="50" t="s">
        <v>363</v>
      </c>
    </row>
    <row r="921" spans="1:2" x14ac:dyDescent="0.25">
      <c r="B921" s="50" t="s">
        <v>426</v>
      </c>
    </row>
    <row r="922" spans="1:2" x14ac:dyDescent="0.25">
      <c r="B922" s="50" t="s">
        <v>427</v>
      </c>
    </row>
    <row r="923" spans="1:2" x14ac:dyDescent="0.25">
      <c r="B923" s="50" t="s">
        <v>366</v>
      </c>
    </row>
    <row r="924" spans="1:2" x14ac:dyDescent="0.25">
      <c r="B924" s="50" t="s">
        <v>367</v>
      </c>
    </row>
    <row r="925" spans="1:2" x14ac:dyDescent="0.25">
      <c r="A925" t="s">
        <v>443</v>
      </c>
    </row>
    <row r="926" spans="1:2" x14ac:dyDescent="0.25">
      <c r="A926" t="s">
        <v>816</v>
      </c>
    </row>
    <row r="927" spans="1:2" x14ac:dyDescent="0.25">
      <c r="A927" t="s">
        <v>358</v>
      </c>
      <c r="B927" s="50" t="s">
        <v>817</v>
      </c>
    </row>
    <row r="928" spans="1:2" x14ac:dyDescent="0.25">
      <c r="A928" t="s">
        <v>360</v>
      </c>
      <c r="B928" s="50" t="s">
        <v>818</v>
      </c>
    </row>
    <row r="929" spans="1:2" x14ac:dyDescent="0.25">
      <c r="A929" t="s">
        <v>362</v>
      </c>
      <c r="B929" s="50" t="s">
        <v>363</v>
      </c>
    </row>
    <row r="930" spans="1:2" x14ac:dyDescent="0.25">
      <c r="B930" s="50" t="s">
        <v>426</v>
      </c>
    </row>
    <row r="931" spans="1:2" x14ac:dyDescent="0.25">
      <c r="B931" s="50" t="s">
        <v>427</v>
      </c>
    </row>
    <row r="932" spans="1:2" x14ac:dyDescent="0.25">
      <c r="B932" s="50" t="s">
        <v>366</v>
      </c>
    </row>
    <row r="933" spans="1:2" x14ac:dyDescent="0.25">
      <c r="B933" s="50" t="s">
        <v>367</v>
      </c>
    </row>
    <row r="934" spans="1:2" x14ac:dyDescent="0.25">
      <c r="A934" t="s">
        <v>819</v>
      </c>
    </row>
    <row r="935" spans="1:2" x14ac:dyDescent="0.25">
      <c r="A935" t="s">
        <v>358</v>
      </c>
      <c r="B935" s="50" t="s">
        <v>820</v>
      </c>
    </row>
    <row r="936" spans="1:2" x14ac:dyDescent="0.25">
      <c r="A936" t="s">
        <v>360</v>
      </c>
      <c r="B936" s="50" t="s">
        <v>821</v>
      </c>
    </row>
    <row r="937" spans="1:2" x14ac:dyDescent="0.25">
      <c r="A937" t="s">
        <v>362</v>
      </c>
      <c r="B937" s="50" t="s">
        <v>363</v>
      </c>
    </row>
    <row r="938" spans="1:2" x14ac:dyDescent="0.25">
      <c r="B938" s="50" t="s">
        <v>426</v>
      </c>
    </row>
    <row r="939" spans="1:2" x14ac:dyDescent="0.25">
      <c r="B939" s="50" t="s">
        <v>427</v>
      </c>
    </row>
    <row r="940" spans="1:2" x14ac:dyDescent="0.25">
      <c r="B940" s="50" t="s">
        <v>366</v>
      </c>
    </row>
    <row r="941" spans="1:2" x14ac:dyDescent="0.25">
      <c r="B941" s="50" t="s">
        <v>367</v>
      </c>
    </row>
    <row r="942" spans="1:2" x14ac:dyDescent="0.25">
      <c r="A942" t="s">
        <v>822</v>
      </c>
    </row>
    <row r="943" spans="1:2" x14ac:dyDescent="0.25">
      <c r="A943" t="s">
        <v>358</v>
      </c>
      <c r="B943" s="50" t="s">
        <v>823</v>
      </c>
    </row>
    <row r="944" spans="1:2" x14ac:dyDescent="0.25">
      <c r="A944" t="s">
        <v>360</v>
      </c>
      <c r="B944" s="50" t="s">
        <v>824</v>
      </c>
    </row>
    <row r="945" spans="1:2" x14ac:dyDescent="0.25">
      <c r="A945" t="s">
        <v>362</v>
      </c>
      <c r="B945" s="50" t="s">
        <v>363</v>
      </c>
    </row>
    <row r="946" spans="1:2" x14ac:dyDescent="0.25">
      <c r="B946" s="50" t="s">
        <v>426</v>
      </c>
    </row>
    <row r="947" spans="1:2" x14ac:dyDescent="0.25">
      <c r="B947" s="50" t="s">
        <v>427</v>
      </c>
    </row>
    <row r="948" spans="1:2" x14ac:dyDescent="0.25">
      <c r="B948" s="50" t="s">
        <v>366</v>
      </c>
    </row>
    <row r="949" spans="1:2" x14ac:dyDescent="0.25">
      <c r="B949" s="50" t="s">
        <v>367</v>
      </c>
    </row>
    <row r="950" spans="1:2" x14ac:dyDescent="0.25">
      <c r="A950" t="s">
        <v>825</v>
      </c>
    </row>
    <row r="951" spans="1:2" x14ac:dyDescent="0.25">
      <c r="A951" t="s">
        <v>358</v>
      </c>
      <c r="B951" s="50" t="s">
        <v>826</v>
      </c>
    </row>
    <row r="952" spans="1:2" x14ac:dyDescent="0.25">
      <c r="A952" t="s">
        <v>360</v>
      </c>
      <c r="B952" s="50" t="s">
        <v>827</v>
      </c>
    </row>
    <row r="953" spans="1:2" x14ac:dyDescent="0.25">
      <c r="A953" t="s">
        <v>362</v>
      </c>
      <c r="B953" s="50" t="s">
        <v>363</v>
      </c>
    </row>
    <row r="954" spans="1:2" x14ac:dyDescent="0.25">
      <c r="B954" s="50" t="s">
        <v>426</v>
      </c>
    </row>
    <row r="955" spans="1:2" x14ac:dyDescent="0.25">
      <c r="B955" s="50" t="s">
        <v>427</v>
      </c>
    </row>
    <row r="956" spans="1:2" x14ac:dyDescent="0.25">
      <c r="B956" s="50" t="s">
        <v>366</v>
      </c>
    </row>
    <row r="957" spans="1:2" x14ac:dyDescent="0.25">
      <c r="B957" s="50" t="s">
        <v>367</v>
      </c>
    </row>
    <row r="958" spans="1:2" x14ac:dyDescent="0.25">
      <c r="A958" t="s">
        <v>443</v>
      </c>
    </row>
    <row r="959" spans="1:2" x14ac:dyDescent="0.25">
      <c r="A959" t="s">
        <v>828</v>
      </c>
    </row>
    <row r="960" spans="1:2" x14ac:dyDescent="0.25">
      <c r="A960" t="s">
        <v>358</v>
      </c>
      <c r="B960" s="50" t="s">
        <v>829</v>
      </c>
    </row>
    <row r="961" spans="1:2" x14ac:dyDescent="0.25">
      <c r="A961" t="s">
        <v>360</v>
      </c>
      <c r="B961" s="50" t="s">
        <v>830</v>
      </c>
    </row>
    <row r="962" spans="1:2" x14ac:dyDescent="0.25">
      <c r="A962" t="s">
        <v>362</v>
      </c>
      <c r="B962" s="50" t="s">
        <v>363</v>
      </c>
    </row>
    <row r="963" spans="1:2" x14ac:dyDescent="0.25">
      <c r="B963" s="50" t="s">
        <v>426</v>
      </c>
    </row>
    <row r="964" spans="1:2" x14ac:dyDescent="0.25">
      <c r="B964" s="50" t="s">
        <v>427</v>
      </c>
    </row>
    <row r="965" spans="1:2" x14ac:dyDescent="0.25">
      <c r="B965" s="50" t="s">
        <v>366</v>
      </c>
    </row>
    <row r="966" spans="1:2" x14ac:dyDescent="0.25">
      <c r="B966" s="50" t="s">
        <v>367</v>
      </c>
    </row>
    <row r="967" spans="1:2" x14ac:dyDescent="0.25">
      <c r="A967" t="s">
        <v>831</v>
      </c>
    </row>
    <row r="968" spans="1:2" x14ac:dyDescent="0.25">
      <c r="A968" t="s">
        <v>358</v>
      </c>
      <c r="B968" s="50" t="s">
        <v>832</v>
      </c>
    </row>
    <row r="969" spans="1:2" x14ac:dyDescent="0.25">
      <c r="A969" t="s">
        <v>360</v>
      </c>
      <c r="B969" s="50" t="s">
        <v>833</v>
      </c>
    </row>
    <row r="970" spans="1:2" x14ac:dyDescent="0.25">
      <c r="A970" t="s">
        <v>362</v>
      </c>
      <c r="B970" s="50" t="s">
        <v>363</v>
      </c>
    </row>
    <row r="971" spans="1:2" x14ac:dyDescent="0.25">
      <c r="B971" s="50" t="s">
        <v>450</v>
      </c>
    </row>
    <row r="972" spans="1:2" x14ac:dyDescent="0.25">
      <c r="B972" s="50" t="s">
        <v>451</v>
      </c>
    </row>
    <row r="973" spans="1:2" x14ac:dyDescent="0.25">
      <c r="B973" s="50" t="s">
        <v>452</v>
      </c>
    </row>
    <row r="974" spans="1:2" x14ac:dyDescent="0.25">
      <c r="B974" s="50" t="s">
        <v>453</v>
      </c>
    </row>
    <row r="975" spans="1:2" x14ac:dyDescent="0.25">
      <c r="B975" s="50" t="s">
        <v>366</v>
      </c>
    </row>
    <row r="976" spans="1:2" x14ac:dyDescent="0.25">
      <c r="B976" s="50" t="s">
        <v>367</v>
      </c>
    </row>
    <row r="977" spans="1:2" x14ac:dyDescent="0.25">
      <c r="A977" t="s">
        <v>834</v>
      </c>
    </row>
    <row r="978" spans="1:2" x14ac:dyDescent="0.25">
      <c r="A978" t="s">
        <v>358</v>
      </c>
      <c r="B978" s="50" t="s">
        <v>835</v>
      </c>
    </row>
    <row r="979" spans="1:2" x14ac:dyDescent="0.25">
      <c r="A979" t="s">
        <v>360</v>
      </c>
      <c r="B979" s="50" t="s">
        <v>836</v>
      </c>
    </row>
    <row r="980" spans="1:2" x14ac:dyDescent="0.25">
      <c r="A980" t="s">
        <v>362</v>
      </c>
      <c r="B980" s="50" t="s">
        <v>363</v>
      </c>
    </row>
    <row r="981" spans="1:2" x14ac:dyDescent="0.25">
      <c r="B981" s="50" t="s">
        <v>404</v>
      </c>
    </row>
    <row r="982" spans="1:2" x14ac:dyDescent="0.25">
      <c r="B982" s="50" t="s">
        <v>405</v>
      </c>
    </row>
    <row r="983" spans="1:2" x14ac:dyDescent="0.25">
      <c r="B983" s="50" t="s">
        <v>406</v>
      </c>
    </row>
    <row r="984" spans="1:2" x14ac:dyDescent="0.25">
      <c r="B984" s="50" t="s">
        <v>466</v>
      </c>
    </row>
    <row r="985" spans="1:2" x14ac:dyDescent="0.25">
      <c r="B985" s="50" t="s">
        <v>366</v>
      </c>
    </row>
    <row r="986" spans="1:2" x14ac:dyDescent="0.25">
      <c r="B986" s="50" t="s">
        <v>367</v>
      </c>
    </row>
    <row r="987" spans="1:2" x14ac:dyDescent="0.25">
      <c r="A987" t="s">
        <v>443</v>
      </c>
    </row>
    <row r="988" spans="1:2" x14ac:dyDescent="0.25">
      <c r="A988" t="s">
        <v>837</v>
      </c>
    </row>
    <row r="989" spans="1:2" x14ac:dyDescent="0.25">
      <c r="A989" t="s">
        <v>358</v>
      </c>
      <c r="B989" s="50" t="s">
        <v>838</v>
      </c>
    </row>
    <row r="990" spans="1:2" x14ac:dyDescent="0.25">
      <c r="A990" t="s">
        <v>360</v>
      </c>
      <c r="B990" s="50" t="s">
        <v>839</v>
      </c>
    </row>
    <row r="991" spans="1:2" x14ac:dyDescent="0.25">
      <c r="A991" t="s">
        <v>362</v>
      </c>
      <c r="B991" s="50" t="s">
        <v>363</v>
      </c>
    </row>
    <row r="992" spans="1:2" x14ac:dyDescent="0.25">
      <c r="B992" s="50" t="s">
        <v>840</v>
      </c>
    </row>
    <row r="993" spans="1:2" x14ac:dyDescent="0.25">
      <c r="B993" s="50" t="s">
        <v>841</v>
      </c>
    </row>
    <row r="994" spans="1:2" x14ac:dyDescent="0.25">
      <c r="B994" s="50" t="s">
        <v>842</v>
      </c>
    </row>
    <row r="995" spans="1:2" x14ac:dyDescent="0.25">
      <c r="B995" s="50" t="s">
        <v>843</v>
      </c>
    </row>
    <row r="996" spans="1:2" x14ac:dyDescent="0.25">
      <c r="B996" s="50" t="s">
        <v>844</v>
      </c>
    </row>
    <row r="997" spans="1:2" x14ac:dyDescent="0.25">
      <c r="B997" s="50" t="s">
        <v>845</v>
      </c>
    </row>
    <row r="998" spans="1:2" x14ac:dyDescent="0.25">
      <c r="B998" s="50" t="s">
        <v>846</v>
      </c>
    </row>
    <row r="999" spans="1:2" x14ac:dyDescent="0.25">
      <c r="B999" s="50" t="s">
        <v>366</v>
      </c>
    </row>
    <row r="1000" spans="1:2" x14ac:dyDescent="0.25">
      <c r="B1000" s="50" t="s">
        <v>367</v>
      </c>
    </row>
    <row r="1001" spans="1:2" x14ac:dyDescent="0.25">
      <c r="A1001" t="s">
        <v>847</v>
      </c>
    </row>
    <row r="1002" spans="1:2" x14ac:dyDescent="0.25">
      <c r="A1002" t="s">
        <v>358</v>
      </c>
      <c r="B1002" s="50" t="s">
        <v>848</v>
      </c>
    </row>
    <row r="1003" spans="1:2" x14ac:dyDescent="0.25">
      <c r="A1003" t="s">
        <v>360</v>
      </c>
      <c r="B1003" s="50" t="s">
        <v>849</v>
      </c>
    </row>
    <row r="1004" spans="1:2" x14ac:dyDescent="0.25">
      <c r="A1004" t="s">
        <v>362</v>
      </c>
      <c r="B1004" s="50" t="s">
        <v>363</v>
      </c>
    </row>
    <row r="1005" spans="1:2" x14ac:dyDescent="0.25">
      <c r="B1005" s="50" t="s">
        <v>840</v>
      </c>
    </row>
    <row r="1006" spans="1:2" x14ac:dyDescent="0.25">
      <c r="B1006" s="50" t="s">
        <v>841</v>
      </c>
    </row>
    <row r="1007" spans="1:2" x14ac:dyDescent="0.25">
      <c r="B1007" s="50" t="s">
        <v>842</v>
      </c>
    </row>
    <row r="1008" spans="1:2" x14ac:dyDescent="0.25">
      <c r="B1008" s="50" t="s">
        <v>843</v>
      </c>
    </row>
    <row r="1009" spans="1:2" x14ac:dyDescent="0.25">
      <c r="B1009" s="50" t="s">
        <v>844</v>
      </c>
    </row>
    <row r="1010" spans="1:2" x14ac:dyDescent="0.25">
      <c r="B1010" s="50" t="s">
        <v>845</v>
      </c>
    </row>
    <row r="1011" spans="1:2" x14ac:dyDescent="0.25">
      <c r="B1011" s="50" t="s">
        <v>846</v>
      </c>
    </row>
    <row r="1012" spans="1:2" x14ac:dyDescent="0.25">
      <c r="B1012" s="50" t="s">
        <v>366</v>
      </c>
    </row>
    <row r="1013" spans="1:2" x14ac:dyDescent="0.25">
      <c r="B1013" s="50" t="s">
        <v>367</v>
      </c>
    </row>
    <row r="1014" spans="1:2" x14ac:dyDescent="0.25">
      <c r="A1014" t="s">
        <v>850</v>
      </c>
    </row>
    <row r="1015" spans="1:2" x14ac:dyDescent="0.25">
      <c r="A1015" t="s">
        <v>358</v>
      </c>
      <c r="B1015" s="50" t="s">
        <v>851</v>
      </c>
    </row>
    <row r="1016" spans="1:2" x14ac:dyDescent="0.25">
      <c r="A1016" t="s">
        <v>360</v>
      </c>
      <c r="B1016" s="50" t="s">
        <v>852</v>
      </c>
    </row>
    <row r="1017" spans="1:2" x14ac:dyDescent="0.25">
      <c r="A1017" t="s">
        <v>362</v>
      </c>
      <c r="B1017" s="50" t="s">
        <v>363</v>
      </c>
    </row>
    <row r="1018" spans="1:2" x14ac:dyDescent="0.25">
      <c r="B1018" s="50" t="s">
        <v>840</v>
      </c>
    </row>
    <row r="1019" spans="1:2" x14ac:dyDescent="0.25">
      <c r="B1019" s="50" t="s">
        <v>841</v>
      </c>
    </row>
    <row r="1020" spans="1:2" x14ac:dyDescent="0.25">
      <c r="B1020" s="50" t="s">
        <v>842</v>
      </c>
    </row>
    <row r="1021" spans="1:2" x14ac:dyDescent="0.25">
      <c r="B1021" s="50" t="s">
        <v>843</v>
      </c>
    </row>
    <row r="1022" spans="1:2" x14ac:dyDescent="0.25">
      <c r="B1022" s="50" t="s">
        <v>844</v>
      </c>
    </row>
    <row r="1023" spans="1:2" x14ac:dyDescent="0.25">
      <c r="B1023" s="50" t="s">
        <v>845</v>
      </c>
    </row>
    <row r="1024" spans="1:2" x14ac:dyDescent="0.25">
      <c r="B1024" s="50" t="s">
        <v>846</v>
      </c>
    </row>
    <row r="1025" spans="1:2" x14ac:dyDescent="0.25">
      <c r="B1025" s="50" t="s">
        <v>366</v>
      </c>
    </row>
    <row r="1026" spans="1:2" x14ac:dyDescent="0.25">
      <c r="B1026" s="50" t="s">
        <v>367</v>
      </c>
    </row>
    <row r="1027" spans="1:2" x14ac:dyDescent="0.25">
      <c r="A1027" t="s">
        <v>443</v>
      </c>
    </row>
    <row r="1028" spans="1:2" x14ac:dyDescent="0.25">
      <c r="A1028" t="s">
        <v>853</v>
      </c>
    </row>
    <row r="1029" spans="1:2" x14ac:dyDescent="0.25">
      <c r="A1029" t="s">
        <v>358</v>
      </c>
      <c r="B1029" s="50" t="s">
        <v>854</v>
      </c>
    </row>
    <row r="1030" spans="1:2" x14ac:dyDescent="0.25">
      <c r="A1030" t="s">
        <v>360</v>
      </c>
      <c r="B1030" s="50" t="s">
        <v>855</v>
      </c>
    </row>
    <row r="1031" spans="1:2" x14ac:dyDescent="0.25">
      <c r="A1031" t="s">
        <v>362</v>
      </c>
      <c r="B1031" s="50" t="s">
        <v>363</v>
      </c>
    </row>
    <row r="1032" spans="1:2" x14ac:dyDescent="0.25">
      <c r="B1032" s="50" t="s">
        <v>840</v>
      </c>
    </row>
    <row r="1033" spans="1:2" x14ac:dyDescent="0.25">
      <c r="B1033" s="50" t="s">
        <v>841</v>
      </c>
    </row>
    <row r="1034" spans="1:2" x14ac:dyDescent="0.25">
      <c r="B1034" s="50" t="s">
        <v>842</v>
      </c>
    </row>
    <row r="1035" spans="1:2" x14ac:dyDescent="0.25">
      <c r="B1035" s="50" t="s">
        <v>843</v>
      </c>
    </row>
    <row r="1036" spans="1:2" x14ac:dyDescent="0.25">
      <c r="B1036" s="50" t="s">
        <v>844</v>
      </c>
    </row>
    <row r="1037" spans="1:2" x14ac:dyDescent="0.25">
      <c r="B1037" s="50" t="s">
        <v>845</v>
      </c>
    </row>
    <row r="1038" spans="1:2" x14ac:dyDescent="0.25">
      <c r="B1038" s="50" t="s">
        <v>846</v>
      </c>
    </row>
    <row r="1039" spans="1:2" x14ac:dyDescent="0.25">
      <c r="B1039" s="50" t="s">
        <v>366</v>
      </c>
    </row>
    <row r="1040" spans="1:2" x14ac:dyDescent="0.25">
      <c r="B1040" s="50" t="s">
        <v>367</v>
      </c>
    </row>
    <row r="1041" spans="1:2" x14ac:dyDescent="0.25">
      <c r="A1041" t="s">
        <v>856</v>
      </c>
    </row>
    <row r="1042" spans="1:2" x14ac:dyDescent="0.25">
      <c r="A1042" t="s">
        <v>358</v>
      </c>
      <c r="B1042" s="50" t="s">
        <v>857</v>
      </c>
    </row>
    <row r="1043" spans="1:2" x14ac:dyDescent="0.25">
      <c r="A1043" t="s">
        <v>360</v>
      </c>
      <c r="B1043" s="50" t="s">
        <v>858</v>
      </c>
    </row>
    <row r="1044" spans="1:2" x14ac:dyDescent="0.25">
      <c r="A1044" t="s">
        <v>362</v>
      </c>
      <c r="B1044" s="50" t="s">
        <v>363</v>
      </c>
    </row>
    <row r="1045" spans="1:2" x14ac:dyDescent="0.25">
      <c r="B1045" s="50" t="s">
        <v>840</v>
      </c>
    </row>
    <row r="1046" spans="1:2" x14ac:dyDescent="0.25">
      <c r="B1046" s="50" t="s">
        <v>841</v>
      </c>
    </row>
    <row r="1047" spans="1:2" x14ac:dyDescent="0.25">
      <c r="B1047" s="50" t="s">
        <v>842</v>
      </c>
    </row>
    <row r="1048" spans="1:2" x14ac:dyDescent="0.25">
      <c r="B1048" s="50" t="s">
        <v>843</v>
      </c>
    </row>
    <row r="1049" spans="1:2" x14ac:dyDescent="0.25">
      <c r="B1049" s="50" t="s">
        <v>844</v>
      </c>
    </row>
    <row r="1050" spans="1:2" x14ac:dyDescent="0.25">
      <c r="B1050" s="50" t="s">
        <v>845</v>
      </c>
    </row>
    <row r="1051" spans="1:2" x14ac:dyDescent="0.25">
      <c r="B1051" s="50" t="s">
        <v>846</v>
      </c>
    </row>
    <row r="1052" spans="1:2" x14ac:dyDescent="0.25">
      <c r="B1052" s="50" t="s">
        <v>366</v>
      </c>
    </row>
    <row r="1053" spans="1:2" x14ac:dyDescent="0.25">
      <c r="B1053" s="50" t="s">
        <v>367</v>
      </c>
    </row>
    <row r="1054" spans="1:2" x14ac:dyDescent="0.25">
      <c r="A1054" t="s">
        <v>859</v>
      </c>
    </row>
    <row r="1055" spans="1:2" x14ac:dyDescent="0.25">
      <c r="A1055" t="s">
        <v>358</v>
      </c>
      <c r="B1055" s="50" t="s">
        <v>860</v>
      </c>
    </row>
    <row r="1056" spans="1:2" x14ac:dyDescent="0.25">
      <c r="A1056" t="s">
        <v>360</v>
      </c>
      <c r="B1056" s="50" t="s">
        <v>861</v>
      </c>
    </row>
    <row r="1057" spans="1:2" x14ac:dyDescent="0.25">
      <c r="A1057" t="s">
        <v>362</v>
      </c>
      <c r="B1057" s="50" t="s">
        <v>363</v>
      </c>
    </row>
    <row r="1058" spans="1:2" x14ac:dyDescent="0.25">
      <c r="B1058" s="50" t="s">
        <v>840</v>
      </c>
    </row>
    <row r="1059" spans="1:2" x14ac:dyDescent="0.25">
      <c r="B1059" s="50" t="s">
        <v>841</v>
      </c>
    </row>
    <row r="1060" spans="1:2" x14ac:dyDescent="0.25">
      <c r="B1060" s="50" t="s">
        <v>842</v>
      </c>
    </row>
    <row r="1061" spans="1:2" x14ac:dyDescent="0.25">
      <c r="B1061" s="50" t="s">
        <v>843</v>
      </c>
    </row>
    <row r="1062" spans="1:2" x14ac:dyDescent="0.25">
      <c r="B1062" s="50" t="s">
        <v>844</v>
      </c>
    </row>
    <row r="1063" spans="1:2" x14ac:dyDescent="0.25">
      <c r="B1063" s="50" t="s">
        <v>845</v>
      </c>
    </row>
    <row r="1064" spans="1:2" x14ac:dyDescent="0.25">
      <c r="B1064" s="50" t="s">
        <v>846</v>
      </c>
    </row>
    <row r="1065" spans="1:2" x14ac:dyDescent="0.25">
      <c r="B1065" s="50" t="s">
        <v>366</v>
      </c>
    </row>
    <row r="1066" spans="1:2" x14ac:dyDescent="0.25">
      <c r="B1066" s="50" t="s">
        <v>367</v>
      </c>
    </row>
    <row r="1067" spans="1:2" x14ac:dyDescent="0.25">
      <c r="A1067" t="s">
        <v>443</v>
      </c>
    </row>
    <row r="1068" spans="1:2" x14ac:dyDescent="0.25">
      <c r="A1068" t="s">
        <v>862</v>
      </c>
    </row>
    <row r="1069" spans="1:2" x14ac:dyDescent="0.25">
      <c r="A1069" t="s">
        <v>358</v>
      </c>
      <c r="B1069" s="50" t="s">
        <v>863</v>
      </c>
    </row>
    <row r="1070" spans="1:2" x14ac:dyDescent="0.25">
      <c r="A1070" t="s">
        <v>360</v>
      </c>
      <c r="B1070" s="50" t="s">
        <v>864</v>
      </c>
    </row>
    <row r="1071" spans="1:2" x14ac:dyDescent="0.25">
      <c r="A1071" t="s">
        <v>362</v>
      </c>
      <c r="B1071" s="50" t="s">
        <v>363</v>
      </c>
    </row>
    <row r="1072" spans="1:2" x14ac:dyDescent="0.25">
      <c r="B1072" s="50" t="s">
        <v>840</v>
      </c>
    </row>
    <row r="1073" spans="1:2" x14ac:dyDescent="0.25">
      <c r="B1073" s="50" t="s">
        <v>841</v>
      </c>
    </row>
    <row r="1074" spans="1:2" x14ac:dyDescent="0.25">
      <c r="B1074" s="50" t="s">
        <v>842</v>
      </c>
    </row>
    <row r="1075" spans="1:2" x14ac:dyDescent="0.25">
      <c r="B1075" s="50" t="s">
        <v>843</v>
      </c>
    </row>
    <row r="1076" spans="1:2" x14ac:dyDescent="0.25">
      <c r="B1076" s="50" t="s">
        <v>844</v>
      </c>
    </row>
    <row r="1077" spans="1:2" x14ac:dyDescent="0.25">
      <c r="B1077" s="50" t="s">
        <v>845</v>
      </c>
    </row>
    <row r="1078" spans="1:2" x14ac:dyDescent="0.25">
      <c r="B1078" s="50" t="s">
        <v>846</v>
      </c>
    </row>
    <row r="1079" spans="1:2" x14ac:dyDescent="0.25">
      <c r="B1079" s="50" t="s">
        <v>366</v>
      </c>
    </row>
    <row r="1080" spans="1:2" x14ac:dyDescent="0.25">
      <c r="B1080" s="50" t="s">
        <v>367</v>
      </c>
    </row>
    <row r="1081" spans="1:2" x14ac:dyDescent="0.25">
      <c r="A1081" t="s">
        <v>865</v>
      </c>
    </row>
    <row r="1082" spans="1:2" x14ac:dyDescent="0.25">
      <c r="A1082" t="s">
        <v>358</v>
      </c>
      <c r="B1082" s="50" t="s">
        <v>866</v>
      </c>
    </row>
    <row r="1083" spans="1:2" x14ac:dyDescent="0.25">
      <c r="A1083" t="s">
        <v>360</v>
      </c>
      <c r="B1083" s="50" t="s">
        <v>867</v>
      </c>
    </row>
    <row r="1084" spans="1:2" x14ac:dyDescent="0.25">
      <c r="A1084" t="s">
        <v>362</v>
      </c>
      <c r="B1084" s="50" t="s">
        <v>363</v>
      </c>
    </row>
    <row r="1085" spans="1:2" x14ac:dyDescent="0.25">
      <c r="B1085" s="50" t="s">
        <v>840</v>
      </c>
    </row>
    <row r="1086" spans="1:2" x14ac:dyDescent="0.25">
      <c r="B1086" s="50" t="s">
        <v>841</v>
      </c>
    </row>
    <row r="1087" spans="1:2" x14ac:dyDescent="0.25">
      <c r="B1087" s="50" t="s">
        <v>842</v>
      </c>
    </row>
    <row r="1088" spans="1:2" x14ac:dyDescent="0.25">
      <c r="B1088" s="50" t="s">
        <v>843</v>
      </c>
    </row>
    <row r="1089" spans="1:2" x14ac:dyDescent="0.25">
      <c r="B1089" s="50" t="s">
        <v>844</v>
      </c>
    </row>
    <row r="1090" spans="1:2" x14ac:dyDescent="0.25">
      <c r="B1090" s="50" t="s">
        <v>845</v>
      </c>
    </row>
    <row r="1091" spans="1:2" x14ac:dyDescent="0.25">
      <c r="B1091" s="50" t="s">
        <v>846</v>
      </c>
    </row>
    <row r="1092" spans="1:2" x14ac:dyDescent="0.25">
      <c r="B1092" s="50" t="s">
        <v>366</v>
      </c>
    </row>
    <row r="1093" spans="1:2" x14ac:dyDescent="0.25">
      <c r="B1093" s="50" t="s">
        <v>367</v>
      </c>
    </row>
    <row r="1094" spans="1:2" x14ac:dyDescent="0.25">
      <c r="A1094" t="s">
        <v>868</v>
      </c>
    </row>
    <row r="1095" spans="1:2" x14ac:dyDescent="0.25">
      <c r="A1095" t="s">
        <v>358</v>
      </c>
      <c r="B1095" s="50" t="s">
        <v>869</v>
      </c>
    </row>
    <row r="1096" spans="1:2" x14ac:dyDescent="0.25">
      <c r="A1096" t="s">
        <v>360</v>
      </c>
      <c r="B1096" s="50" t="s">
        <v>870</v>
      </c>
    </row>
    <row r="1097" spans="1:2" x14ac:dyDescent="0.25">
      <c r="A1097" t="s">
        <v>362</v>
      </c>
      <c r="B1097" s="50" t="s">
        <v>363</v>
      </c>
    </row>
    <row r="1098" spans="1:2" x14ac:dyDescent="0.25">
      <c r="B1098" s="50" t="s">
        <v>840</v>
      </c>
    </row>
    <row r="1099" spans="1:2" x14ac:dyDescent="0.25">
      <c r="B1099" s="50" t="s">
        <v>841</v>
      </c>
    </row>
    <row r="1100" spans="1:2" x14ac:dyDescent="0.25">
      <c r="B1100" s="50" t="s">
        <v>842</v>
      </c>
    </row>
    <row r="1101" spans="1:2" x14ac:dyDescent="0.25">
      <c r="B1101" s="50" t="s">
        <v>843</v>
      </c>
    </row>
    <row r="1102" spans="1:2" x14ac:dyDescent="0.25">
      <c r="B1102" s="50" t="s">
        <v>844</v>
      </c>
    </row>
    <row r="1103" spans="1:2" x14ac:dyDescent="0.25">
      <c r="B1103" s="50" t="s">
        <v>845</v>
      </c>
    </row>
    <row r="1104" spans="1:2" x14ac:dyDescent="0.25">
      <c r="B1104" s="50" t="s">
        <v>846</v>
      </c>
    </row>
    <row r="1105" spans="1:2" x14ac:dyDescent="0.25">
      <c r="B1105" s="50" t="s">
        <v>366</v>
      </c>
    </row>
    <row r="1106" spans="1:2" x14ac:dyDescent="0.25">
      <c r="B1106" s="50" t="s">
        <v>367</v>
      </c>
    </row>
    <row r="1107" spans="1:2" x14ac:dyDescent="0.25">
      <c r="A1107" t="s">
        <v>443</v>
      </c>
    </row>
    <row r="1108" spans="1:2" x14ac:dyDescent="0.25">
      <c r="A1108" t="s">
        <v>871</v>
      </c>
    </row>
    <row r="1109" spans="1:2" x14ac:dyDescent="0.25">
      <c r="A1109" t="s">
        <v>358</v>
      </c>
      <c r="B1109" s="50" t="s">
        <v>872</v>
      </c>
    </row>
    <row r="1110" spans="1:2" x14ac:dyDescent="0.25">
      <c r="A1110" t="s">
        <v>360</v>
      </c>
      <c r="B1110" s="50" t="s">
        <v>873</v>
      </c>
    </row>
    <row r="1111" spans="1:2" x14ac:dyDescent="0.25">
      <c r="A1111" t="s">
        <v>362</v>
      </c>
      <c r="B1111" s="50" t="s">
        <v>363</v>
      </c>
    </row>
    <row r="1112" spans="1:2" x14ac:dyDescent="0.25">
      <c r="B1112" s="50" t="s">
        <v>840</v>
      </c>
    </row>
    <row r="1113" spans="1:2" x14ac:dyDescent="0.25">
      <c r="B1113" s="50" t="s">
        <v>841</v>
      </c>
    </row>
    <row r="1114" spans="1:2" x14ac:dyDescent="0.25">
      <c r="B1114" s="50" t="s">
        <v>842</v>
      </c>
    </row>
    <row r="1115" spans="1:2" x14ac:dyDescent="0.25">
      <c r="B1115" s="50" t="s">
        <v>843</v>
      </c>
    </row>
    <row r="1116" spans="1:2" x14ac:dyDescent="0.25">
      <c r="B1116" s="50" t="s">
        <v>844</v>
      </c>
    </row>
    <row r="1117" spans="1:2" x14ac:dyDescent="0.25">
      <c r="B1117" s="50" t="s">
        <v>845</v>
      </c>
    </row>
    <row r="1118" spans="1:2" x14ac:dyDescent="0.25">
      <c r="B1118" s="50" t="s">
        <v>846</v>
      </c>
    </row>
    <row r="1119" spans="1:2" x14ac:dyDescent="0.25">
      <c r="B1119" s="50" t="s">
        <v>366</v>
      </c>
    </row>
    <row r="1120" spans="1:2" x14ac:dyDescent="0.25">
      <c r="B1120" s="50" t="s">
        <v>367</v>
      </c>
    </row>
    <row r="1121" spans="1:2" x14ac:dyDescent="0.25">
      <c r="A1121" t="s">
        <v>874</v>
      </c>
    </row>
    <row r="1122" spans="1:2" x14ac:dyDescent="0.25">
      <c r="A1122" t="s">
        <v>358</v>
      </c>
      <c r="B1122" s="50" t="s">
        <v>875</v>
      </c>
    </row>
    <row r="1123" spans="1:2" x14ac:dyDescent="0.25">
      <c r="A1123" t="s">
        <v>360</v>
      </c>
      <c r="B1123" s="50" t="s">
        <v>876</v>
      </c>
    </row>
    <row r="1124" spans="1:2" x14ac:dyDescent="0.25">
      <c r="A1124" t="s">
        <v>362</v>
      </c>
      <c r="B1124" s="50" t="s">
        <v>363</v>
      </c>
    </row>
    <row r="1125" spans="1:2" x14ac:dyDescent="0.25">
      <c r="B1125" s="50" t="s">
        <v>877</v>
      </c>
    </row>
    <row r="1126" spans="1:2" x14ac:dyDescent="0.25">
      <c r="B1126" s="50" t="s">
        <v>878</v>
      </c>
    </row>
    <row r="1127" spans="1:2" x14ac:dyDescent="0.25">
      <c r="B1127" s="50" t="s">
        <v>879</v>
      </c>
    </row>
    <row r="1128" spans="1:2" x14ac:dyDescent="0.25">
      <c r="B1128" s="50" t="s">
        <v>880</v>
      </c>
    </row>
    <row r="1129" spans="1:2" x14ac:dyDescent="0.25">
      <c r="B1129" s="50" t="s">
        <v>881</v>
      </c>
    </row>
    <row r="1130" spans="1:2" x14ac:dyDescent="0.25">
      <c r="B1130" s="50" t="s">
        <v>366</v>
      </c>
    </row>
    <row r="1131" spans="1:2" x14ac:dyDescent="0.25">
      <c r="B1131" s="50" t="s">
        <v>367</v>
      </c>
    </row>
    <row r="1132" spans="1:2" x14ac:dyDescent="0.25">
      <c r="A1132" t="s">
        <v>882</v>
      </c>
    </row>
    <row r="1133" spans="1:2" x14ac:dyDescent="0.25">
      <c r="A1133" t="s">
        <v>358</v>
      </c>
      <c r="B1133" s="50" t="s">
        <v>883</v>
      </c>
    </row>
    <row r="1134" spans="1:2" x14ac:dyDescent="0.25">
      <c r="A1134" t="s">
        <v>360</v>
      </c>
      <c r="B1134" s="50" t="s">
        <v>884</v>
      </c>
    </row>
    <row r="1135" spans="1:2" x14ac:dyDescent="0.25">
      <c r="A1135" t="s">
        <v>362</v>
      </c>
      <c r="B1135" s="50" t="s">
        <v>363</v>
      </c>
    </row>
    <row r="1136" spans="1:2" x14ac:dyDescent="0.25">
      <c r="B1136" s="50" t="s">
        <v>364</v>
      </c>
    </row>
    <row r="1137" spans="1:2" x14ac:dyDescent="0.25">
      <c r="B1137" s="50" t="s">
        <v>365</v>
      </c>
    </row>
    <row r="1138" spans="1:2" x14ac:dyDescent="0.25">
      <c r="B1138" s="50" t="s">
        <v>366</v>
      </c>
    </row>
    <row r="1139" spans="1:2" x14ac:dyDescent="0.25">
      <c r="B1139" s="50" t="s">
        <v>367</v>
      </c>
    </row>
    <row r="1140" spans="1:2" x14ac:dyDescent="0.25">
      <c r="A1140" t="s">
        <v>885</v>
      </c>
    </row>
    <row r="1141" spans="1:2" x14ac:dyDescent="0.25">
      <c r="A1141" t="s">
        <v>358</v>
      </c>
      <c r="B1141" s="50" t="s">
        <v>886</v>
      </c>
    </row>
    <row r="1142" spans="1:2" x14ac:dyDescent="0.25">
      <c r="A1142" t="s">
        <v>360</v>
      </c>
      <c r="B1142" s="50" t="s">
        <v>887</v>
      </c>
    </row>
    <row r="1143" spans="1:2" x14ac:dyDescent="0.25">
      <c r="A1143" t="s">
        <v>362</v>
      </c>
      <c r="B1143" s="50" t="s">
        <v>363</v>
      </c>
    </row>
    <row r="1144" spans="1:2" x14ac:dyDescent="0.25">
      <c r="B1144" s="50" t="s">
        <v>888</v>
      </c>
    </row>
    <row r="1145" spans="1:2" x14ac:dyDescent="0.25">
      <c r="B1145" s="50" t="s">
        <v>889</v>
      </c>
    </row>
    <row r="1146" spans="1:2" x14ac:dyDescent="0.25">
      <c r="B1146" s="50" t="s">
        <v>366</v>
      </c>
    </row>
    <row r="1147" spans="1:2" x14ac:dyDescent="0.25">
      <c r="B1147" s="50" t="s">
        <v>367</v>
      </c>
    </row>
    <row r="1148" spans="1:2" x14ac:dyDescent="0.25">
      <c r="A1148" t="s">
        <v>890</v>
      </c>
    </row>
    <row r="1149" spans="1:2" x14ac:dyDescent="0.25">
      <c r="A1149" t="s">
        <v>358</v>
      </c>
      <c r="B1149" s="50" t="s">
        <v>891</v>
      </c>
    </row>
    <row r="1150" spans="1:2" x14ac:dyDescent="0.25">
      <c r="A1150" t="s">
        <v>360</v>
      </c>
      <c r="B1150" s="50" t="s">
        <v>892</v>
      </c>
    </row>
    <row r="1151" spans="1:2" x14ac:dyDescent="0.25">
      <c r="A1151" t="s">
        <v>362</v>
      </c>
      <c r="B1151" s="50" t="s">
        <v>363</v>
      </c>
    </row>
    <row r="1152" spans="1:2" x14ac:dyDescent="0.25">
      <c r="B1152" s="50" t="s">
        <v>888</v>
      </c>
    </row>
    <row r="1153" spans="1:2" x14ac:dyDescent="0.25">
      <c r="B1153" s="50" t="s">
        <v>889</v>
      </c>
    </row>
    <row r="1154" spans="1:2" x14ac:dyDescent="0.25">
      <c r="B1154" s="50" t="s">
        <v>366</v>
      </c>
    </row>
    <row r="1155" spans="1:2" x14ac:dyDescent="0.25">
      <c r="B1155" s="50" t="s">
        <v>367</v>
      </c>
    </row>
    <row r="1156" spans="1:2" x14ac:dyDescent="0.25">
      <c r="A1156" t="s">
        <v>893</v>
      </c>
    </row>
    <row r="1157" spans="1:2" x14ac:dyDescent="0.25">
      <c r="A1157" t="s">
        <v>358</v>
      </c>
      <c r="B1157" s="50" t="s">
        <v>894</v>
      </c>
    </row>
    <row r="1158" spans="1:2" x14ac:dyDescent="0.25">
      <c r="A1158" t="s">
        <v>360</v>
      </c>
      <c r="B1158" s="50" t="s">
        <v>895</v>
      </c>
    </row>
    <row r="1159" spans="1:2" x14ac:dyDescent="0.25">
      <c r="A1159" t="s">
        <v>362</v>
      </c>
      <c r="B1159" s="50" t="s">
        <v>363</v>
      </c>
    </row>
    <row r="1160" spans="1:2" x14ac:dyDescent="0.25">
      <c r="B1160" s="50" t="s">
        <v>503</v>
      </c>
    </row>
    <row r="1161" spans="1:2" x14ac:dyDescent="0.25">
      <c r="B1161" s="50" t="s">
        <v>504</v>
      </c>
    </row>
    <row r="1162" spans="1:2" x14ac:dyDescent="0.25">
      <c r="B1162" s="50" t="s">
        <v>366</v>
      </c>
    </row>
    <row r="1163" spans="1:2" x14ac:dyDescent="0.25">
      <c r="B1163" s="50" t="s">
        <v>367</v>
      </c>
    </row>
    <row r="1164" spans="1:2" x14ac:dyDescent="0.25">
      <c r="A1164" t="s">
        <v>896</v>
      </c>
    </row>
    <row r="1165" spans="1:2" x14ac:dyDescent="0.25">
      <c r="A1165" t="s">
        <v>358</v>
      </c>
      <c r="B1165" s="50" t="s">
        <v>897</v>
      </c>
    </row>
    <row r="1166" spans="1:2" x14ac:dyDescent="0.25">
      <c r="A1166" t="s">
        <v>360</v>
      </c>
      <c r="B1166" s="50" t="s">
        <v>898</v>
      </c>
    </row>
    <row r="1167" spans="1:2" x14ac:dyDescent="0.25">
      <c r="A1167" t="s">
        <v>362</v>
      </c>
      <c r="B1167" s="50" t="s">
        <v>363</v>
      </c>
    </row>
    <row r="1168" spans="1:2" x14ac:dyDescent="0.25">
      <c r="B1168" s="50" t="s">
        <v>899</v>
      </c>
    </row>
    <row r="1169" spans="1:2" x14ac:dyDescent="0.25">
      <c r="B1169" s="50" t="s">
        <v>900</v>
      </c>
    </row>
    <row r="1170" spans="1:2" x14ac:dyDescent="0.25">
      <c r="B1170" s="50" t="s">
        <v>366</v>
      </c>
    </row>
    <row r="1171" spans="1:2" x14ac:dyDescent="0.25">
      <c r="B1171" s="50" t="s">
        <v>367</v>
      </c>
    </row>
    <row r="1173" spans="1:2" x14ac:dyDescent="0.25">
      <c r="A1173" t="s">
        <v>443</v>
      </c>
    </row>
    <row r="1175" spans="1:2" x14ac:dyDescent="0.25">
      <c r="A1175" t="s">
        <v>901</v>
      </c>
    </row>
    <row r="1176" spans="1:2" x14ac:dyDescent="0.25">
      <c r="A1176" t="s">
        <v>443</v>
      </c>
    </row>
    <row r="1177" spans="1:2" x14ac:dyDescent="0.25">
      <c r="A1177" t="s">
        <v>902</v>
      </c>
    </row>
    <row r="1178" spans="1:2" x14ac:dyDescent="0.25">
      <c r="A1178" t="s">
        <v>358</v>
      </c>
      <c r="B1178" s="50" t="s">
        <v>903</v>
      </c>
    </row>
    <row r="1179" spans="1:2" x14ac:dyDescent="0.25">
      <c r="A1179" t="s">
        <v>360</v>
      </c>
    </row>
    <row r="1180" spans="1:2" x14ac:dyDescent="0.25">
      <c r="A1180" t="s">
        <v>362</v>
      </c>
    </row>
    <row r="1181" spans="1:2" x14ac:dyDescent="0.25">
      <c r="A1181" t="s">
        <v>904</v>
      </c>
    </row>
    <row r="1182" spans="1:2" x14ac:dyDescent="0.25">
      <c r="A1182" t="s">
        <v>358</v>
      </c>
      <c r="B1182" s="50" t="s">
        <v>905</v>
      </c>
    </row>
    <row r="1183" spans="1:2" x14ac:dyDescent="0.25">
      <c r="A1183" t="s">
        <v>360</v>
      </c>
    </row>
    <row r="1184" spans="1:2" x14ac:dyDescent="0.25">
      <c r="A1184" t="s">
        <v>362</v>
      </c>
      <c r="B1184" s="50" t="s">
        <v>906</v>
      </c>
    </row>
    <row r="1185" spans="2:2" x14ac:dyDescent="0.25">
      <c r="B1185" s="50" t="s">
        <v>907</v>
      </c>
    </row>
    <row r="1186" spans="2:2" x14ac:dyDescent="0.25">
      <c r="B1186" s="50" t="s">
        <v>908</v>
      </c>
    </row>
    <row r="1187" spans="2:2" x14ac:dyDescent="0.25">
      <c r="B1187" s="50" t="s">
        <v>909</v>
      </c>
    </row>
    <row r="1188" spans="2:2" x14ac:dyDescent="0.25">
      <c r="B1188" s="50" t="s">
        <v>910</v>
      </c>
    </row>
    <row r="1189" spans="2:2" x14ac:dyDescent="0.25">
      <c r="B1189" s="50" t="s">
        <v>911</v>
      </c>
    </row>
    <row r="1190" spans="2:2" x14ac:dyDescent="0.25">
      <c r="B1190" s="50" t="s">
        <v>912</v>
      </c>
    </row>
    <row r="1191" spans="2:2" x14ac:dyDescent="0.25">
      <c r="B1191" s="50" t="s">
        <v>913</v>
      </c>
    </row>
    <row r="1192" spans="2:2" x14ac:dyDescent="0.25">
      <c r="B1192" s="50" t="s">
        <v>914</v>
      </c>
    </row>
    <row r="1193" spans="2:2" x14ac:dyDescent="0.25">
      <c r="B1193" s="50" t="s">
        <v>915</v>
      </c>
    </row>
    <row r="1194" spans="2:2" x14ac:dyDescent="0.25">
      <c r="B1194" s="50" t="s">
        <v>916</v>
      </c>
    </row>
    <row r="1195" spans="2:2" x14ac:dyDescent="0.25">
      <c r="B1195" s="50" t="s">
        <v>917</v>
      </c>
    </row>
    <row r="1196" spans="2:2" x14ac:dyDescent="0.25">
      <c r="B1196" s="50" t="s">
        <v>918</v>
      </c>
    </row>
    <row r="1197" spans="2:2" x14ac:dyDescent="0.25">
      <c r="B1197" s="50" t="s">
        <v>919</v>
      </c>
    </row>
    <row r="1198" spans="2:2" x14ac:dyDescent="0.25">
      <c r="B1198" s="50" t="s">
        <v>920</v>
      </c>
    </row>
    <row r="1199" spans="2:2" x14ac:dyDescent="0.25">
      <c r="B1199" s="50" t="s">
        <v>921</v>
      </c>
    </row>
    <row r="1200" spans="2:2" x14ac:dyDescent="0.25">
      <c r="B1200" s="50" t="s">
        <v>922</v>
      </c>
    </row>
    <row r="1201" spans="1:2" x14ac:dyDescent="0.25">
      <c r="B1201" s="50" t="s">
        <v>923</v>
      </c>
    </row>
    <row r="1202" spans="1:2" x14ac:dyDescent="0.25">
      <c r="B1202" s="50" t="s">
        <v>924</v>
      </c>
    </row>
    <row r="1203" spans="1:2" x14ac:dyDescent="0.25">
      <c r="B1203" s="50" t="s">
        <v>925</v>
      </c>
    </row>
    <row r="1204" spans="1:2" x14ac:dyDescent="0.25">
      <c r="B1204" s="50" t="s">
        <v>926</v>
      </c>
    </row>
    <row r="1205" spans="1:2" x14ac:dyDescent="0.25">
      <c r="B1205" s="50" t="s">
        <v>927</v>
      </c>
    </row>
    <row r="1206" spans="1:2" x14ac:dyDescent="0.25">
      <c r="A1206" t="s">
        <v>928</v>
      </c>
    </row>
    <row r="1207" spans="1:2" x14ac:dyDescent="0.25">
      <c r="A1207" t="s">
        <v>358</v>
      </c>
      <c r="B1207" s="50" t="s">
        <v>929</v>
      </c>
    </row>
    <row r="1208" spans="1:2" x14ac:dyDescent="0.25">
      <c r="A1208" t="s">
        <v>360</v>
      </c>
    </row>
    <row r="1209" spans="1:2" x14ac:dyDescent="0.25">
      <c r="A1209" t="s">
        <v>362</v>
      </c>
    </row>
    <row r="1210" spans="1:2" x14ac:dyDescent="0.25">
      <c r="A1210" t="s">
        <v>930</v>
      </c>
    </row>
    <row r="1211" spans="1:2" x14ac:dyDescent="0.25">
      <c r="A1211" t="s">
        <v>358</v>
      </c>
      <c r="B1211" s="50" t="s">
        <v>931</v>
      </c>
    </row>
    <row r="1212" spans="1:2" x14ac:dyDescent="0.25">
      <c r="A1212" t="s">
        <v>360</v>
      </c>
    </row>
    <row r="1213" spans="1:2" x14ac:dyDescent="0.25">
      <c r="A1213" t="s">
        <v>362</v>
      </c>
    </row>
    <row r="1214" spans="1:2" x14ac:dyDescent="0.25">
      <c r="A1214" t="s">
        <v>443</v>
      </c>
    </row>
    <row r="1215" spans="1:2" x14ac:dyDescent="0.25">
      <c r="A1215" t="s">
        <v>932</v>
      </c>
    </row>
    <row r="1216" spans="1:2" x14ac:dyDescent="0.25">
      <c r="A1216" t="s">
        <v>358</v>
      </c>
      <c r="B1216" s="50" t="s">
        <v>933</v>
      </c>
    </row>
    <row r="1217" spans="1:2" x14ac:dyDescent="0.25">
      <c r="A1217" t="s">
        <v>360</v>
      </c>
    </row>
    <row r="1218" spans="1:2" x14ac:dyDescent="0.25">
      <c r="A1218" t="s">
        <v>362</v>
      </c>
      <c r="B1218" s="50" t="s">
        <v>934</v>
      </c>
    </row>
    <row r="1219" spans="1:2" x14ac:dyDescent="0.25">
      <c r="B1219" s="50" t="s">
        <v>935</v>
      </c>
    </row>
    <row r="1220" spans="1:2" x14ac:dyDescent="0.25">
      <c r="A1220" t="s">
        <v>936</v>
      </c>
    </row>
    <row r="1221" spans="1:2" x14ac:dyDescent="0.25">
      <c r="A1221" t="s">
        <v>358</v>
      </c>
    </row>
    <row r="1222" spans="1:2" x14ac:dyDescent="0.25">
      <c r="A1222" t="s">
        <v>360</v>
      </c>
    </row>
    <row r="1223" spans="1:2" x14ac:dyDescent="0.25">
      <c r="A1223" t="s">
        <v>362</v>
      </c>
    </row>
    <row r="1224" spans="1:2" x14ac:dyDescent="0.25">
      <c r="A1224" t="s">
        <v>937</v>
      </c>
    </row>
    <row r="1225" spans="1:2" x14ac:dyDescent="0.25">
      <c r="A1225" t="s">
        <v>358</v>
      </c>
      <c r="B1225" s="50" t="s">
        <v>937</v>
      </c>
    </row>
    <row r="1226" spans="1:2" x14ac:dyDescent="0.25">
      <c r="A1226" t="s">
        <v>360</v>
      </c>
    </row>
    <row r="1227" spans="1:2" x14ac:dyDescent="0.25">
      <c r="A1227" t="s">
        <v>362</v>
      </c>
    </row>
    <row r="1228" spans="1:2" x14ac:dyDescent="0.25">
      <c r="A1228" t="s">
        <v>938</v>
      </c>
    </row>
    <row r="1229" spans="1:2" x14ac:dyDescent="0.25">
      <c r="A1229" t="s">
        <v>358</v>
      </c>
      <c r="B1229" s="50" t="s">
        <v>939</v>
      </c>
    </row>
    <row r="1230" spans="1:2" x14ac:dyDescent="0.25">
      <c r="A1230" t="s">
        <v>360</v>
      </c>
    </row>
    <row r="1231" spans="1:2" x14ac:dyDescent="0.25">
      <c r="A1231" t="s">
        <v>362</v>
      </c>
      <c r="B1231" s="50" t="s">
        <v>940</v>
      </c>
    </row>
    <row r="1232" spans="1:2" x14ac:dyDescent="0.25">
      <c r="B1232" s="50" t="s">
        <v>941</v>
      </c>
    </row>
    <row r="1233" spans="1:2" x14ac:dyDescent="0.25">
      <c r="A1233" t="s">
        <v>942</v>
      </c>
    </row>
    <row r="1234" spans="1:2" x14ac:dyDescent="0.25">
      <c r="A1234" t="s">
        <v>358</v>
      </c>
      <c r="B1234" s="50" t="s">
        <v>943</v>
      </c>
    </row>
    <row r="1235" spans="1:2" x14ac:dyDescent="0.25">
      <c r="A1235" t="s">
        <v>360</v>
      </c>
    </row>
    <row r="1236" spans="1:2" x14ac:dyDescent="0.25">
      <c r="A1236" t="s">
        <v>362</v>
      </c>
    </row>
    <row r="1237" spans="1:2" x14ac:dyDescent="0.25">
      <c r="A1237" t="s">
        <v>944</v>
      </c>
    </row>
    <row r="1238" spans="1:2" x14ac:dyDescent="0.25">
      <c r="A1238" t="s">
        <v>358</v>
      </c>
      <c r="B1238" s="50" t="s">
        <v>944</v>
      </c>
    </row>
    <row r="1239" spans="1:2" x14ac:dyDescent="0.25">
      <c r="A1239" t="s">
        <v>360</v>
      </c>
    </row>
    <row r="1240" spans="1:2" x14ac:dyDescent="0.25">
      <c r="A1240" t="s">
        <v>362</v>
      </c>
      <c r="B1240" s="50" t="s">
        <v>945</v>
      </c>
    </row>
    <row r="1242" spans="1:2" x14ac:dyDescent="0.25">
      <c r="A1242" t="s">
        <v>443</v>
      </c>
    </row>
    <row r="1244" spans="1:2" x14ac:dyDescent="0.25">
      <c r="A1244" t="s">
        <v>946</v>
      </c>
    </row>
    <row r="1245" spans="1:2" x14ac:dyDescent="0.25">
      <c r="A1245" t="s">
        <v>443</v>
      </c>
    </row>
    <row r="1246" spans="1:2" x14ac:dyDescent="0.25">
      <c r="A1246" t="s">
        <v>947</v>
      </c>
    </row>
    <row r="1247" spans="1:2" x14ac:dyDescent="0.25">
      <c r="A1247" t="s">
        <v>358</v>
      </c>
      <c r="B1247" s="50" t="s">
        <v>948</v>
      </c>
    </row>
    <row r="1248" spans="1:2" x14ac:dyDescent="0.25">
      <c r="A1248" t="s">
        <v>360</v>
      </c>
      <c r="B1248" s="50" t="s">
        <v>949</v>
      </c>
    </row>
    <row r="1249" spans="1:2" x14ac:dyDescent="0.25">
      <c r="A1249" t="s">
        <v>362</v>
      </c>
      <c r="B1249" s="50" t="e">
        <f>-998 = (Saw, skipped)</f>
        <v>#NAME?</v>
      </c>
    </row>
    <row r="1250" spans="1:2" x14ac:dyDescent="0.25">
      <c r="B1250" s="50" t="s">
        <v>950</v>
      </c>
    </row>
    <row r="1251" spans="1:2" x14ac:dyDescent="0.25">
      <c r="B1251" s="50" t="s">
        <v>951</v>
      </c>
    </row>
    <row r="1252" spans="1:2" x14ac:dyDescent="0.25">
      <c r="B1252" s="50" t="s">
        <v>952</v>
      </c>
    </row>
    <row r="1253" spans="1:2" x14ac:dyDescent="0.25">
      <c r="A1253" t="s">
        <v>953</v>
      </c>
    </row>
    <row r="1254" spans="1:2" x14ac:dyDescent="0.25">
      <c r="A1254" t="s">
        <v>358</v>
      </c>
      <c r="B1254" s="50" t="s">
        <v>954</v>
      </c>
    </row>
    <row r="1255" spans="1:2" x14ac:dyDescent="0.25">
      <c r="A1255" t="s">
        <v>360</v>
      </c>
      <c r="B1255" s="50" t="s">
        <v>955</v>
      </c>
    </row>
    <row r="1256" spans="1:2" x14ac:dyDescent="0.25">
      <c r="A1256" t="s">
        <v>362</v>
      </c>
      <c r="B1256" s="50" t="s">
        <v>363</v>
      </c>
    </row>
    <row r="1257" spans="1:2" x14ac:dyDescent="0.25">
      <c r="B1257" s="50" t="s">
        <v>956</v>
      </c>
    </row>
    <row r="1258" spans="1:2" x14ac:dyDescent="0.25">
      <c r="B1258" s="50" t="s">
        <v>957</v>
      </c>
    </row>
    <row r="1259" spans="1:2" x14ac:dyDescent="0.25">
      <c r="B1259" s="50" t="s">
        <v>366</v>
      </c>
    </row>
    <row r="1260" spans="1:2" x14ac:dyDescent="0.25">
      <c r="B1260" s="50" t="s">
        <v>367</v>
      </c>
    </row>
    <row r="1261" spans="1:2" x14ac:dyDescent="0.25">
      <c r="A1261" t="s">
        <v>958</v>
      </c>
    </row>
    <row r="1262" spans="1:2" x14ac:dyDescent="0.25">
      <c r="A1262" t="s">
        <v>358</v>
      </c>
      <c r="B1262" s="50" t="s">
        <v>959</v>
      </c>
    </row>
    <row r="1263" spans="1:2" x14ac:dyDescent="0.25">
      <c r="A1263" t="s">
        <v>360</v>
      </c>
    </row>
    <row r="1264" spans="1:2" x14ac:dyDescent="0.25">
      <c r="A1264" t="s">
        <v>362</v>
      </c>
      <c r="B1264" s="50" t="s">
        <v>363</v>
      </c>
    </row>
    <row r="1265" spans="1:2" x14ac:dyDescent="0.25">
      <c r="B1265" s="50" t="s">
        <v>960</v>
      </c>
    </row>
    <row r="1266" spans="1:2" x14ac:dyDescent="0.25">
      <c r="B1266" s="50" t="s">
        <v>961</v>
      </c>
    </row>
    <row r="1267" spans="1:2" x14ac:dyDescent="0.25">
      <c r="B1267" s="50" t="s">
        <v>962</v>
      </c>
    </row>
    <row r="1268" spans="1:2" x14ac:dyDescent="0.25">
      <c r="B1268" s="50" t="s">
        <v>366</v>
      </c>
    </row>
    <row r="1269" spans="1:2" x14ac:dyDescent="0.25">
      <c r="B1269" s="50" t="s">
        <v>963</v>
      </c>
    </row>
    <row r="1270" spans="1:2" x14ac:dyDescent="0.25">
      <c r="A1270" t="s">
        <v>964</v>
      </c>
    </row>
    <row r="1271" spans="1:2" x14ac:dyDescent="0.25">
      <c r="A1271" t="s">
        <v>358</v>
      </c>
      <c r="B1271" s="50" t="s">
        <v>965</v>
      </c>
    </row>
    <row r="1272" spans="1:2" x14ac:dyDescent="0.25">
      <c r="A1272" t="s">
        <v>360</v>
      </c>
      <c r="B1272" s="50" t="s">
        <v>966</v>
      </c>
    </row>
    <row r="1273" spans="1:2" x14ac:dyDescent="0.25">
      <c r="A1273" t="s">
        <v>362</v>
      </c>
      <c r="B1273" s="50" t="s">
        <v>363</v>
      </c>
    </row>
    <row r="1274" spans="1:2" x14ac:dyDescent="0.25">
      <c r="B1274" s="50" t="s">
        <v>967</v>
      </c>
    </row>
    <row r="1275" spans="1:2" x14ac:dyDescent="0.25">
      <c r="B1275" s="50" t="s">
        <v>968</v>
      </c>
    </row>
    <row r="1276" spans="1:2" x14ac:dyDescent="0.25">
      <c r="B1276" s="50" t="s">
        <v>969</v>
      </c>
    </row>
    <row r="1277" spans="1:2" x14ac:dyDescent="0.25">
      <c r="B1277" s="50" t="s">
        <v>970</v>
      </c>
    </row>
    <row r="1278" spans="1:2" x14ac:dyDescent="0.25">
      <c r="B1278" s="50" t="s">
        <v>971</v>
      </c>
    </row>
    <row r="1279" spans="1:2" x14ac:dyDescent="0.25">
      <c r="B1279" s="50" t="s">
        <v>972</v>
      </c>
    </row>
    <row r="1280" spans="1:2" x14ac:dyDescent="0.25">
      <c r="B1280" s="50" t="s">
        <v>973</v>
      </c>
    </row>
    <row r="1281" spans="1:2" x14ac:dyDescent="0.25">
      <c r="B1281" s="50" t="s">
        <v>366</v>
      </c>
    </row>
    <row r="1282" spans="1:2" x14ac:dyDescent="0.25">
      <c r="B1282" s="50" t="s">
        <v>367</v>
      </c>
    </row>
    <row r="1283" spans="1:2" x14ac:dyDescent="0.25">
      <c r="A1283" t="s">
        <v>974</v>
      </c>
    </row>
    <row r="1284" spans="1:2" x14ac:dyDescent="0.25">
      <c r="A1284" t="s">
        <v>358</v>
      </c>
      <c r="B1284" s="50" t="s">
        <v>975</v>
      </c>
    </row>
    <row r="1285" spans="1:2" x14ac:dyDescent="0.25">
      <c r="A1285" t="s">
        <v>360</v>
      </c>
      <c r="B1285" s="50" t="s">
        <v>976</v>
      </c>
    </row>
    <row r="1286" spans="1:2" x14ac:dyDescent="0.25">
      <c r="A1286" t="s">
        <v>362</v>
      </c>
      <c r="B1286" s="50" t="s">
        <v>363</v>
      </c>
    </row>
    <row r="1287" spans="1:2" x14ac:dyDescent="0.25">
      <c r="B1287" s="50" t="s">
        <v>977</v>
      </c>
    </row>
    <row r="1288" spans="1:2" x14ac:dyDescent="0.25">
      <c r="B1288" s="50" t="s">
        <v>978</v>
      </c>
    </row>
    <row r="1289" spans="1:2" x14ac:dyDescent="0.25">
      <c r="B1289" s="50" t="s">
        <v>979</v>
      </c>
    </row>
    <row r="1290" spans="1:2" x14ac:dyDescent="0.25">
      <c r="B1290" s="50" t="s">
        <v>980</v>
      </c>
    </row>
    <row r="1291" spans="1:2" x14ac:dyDescent="0.25">
      <c r="B1291" s="50" t="s">
        <v>366</v>
      </c>
    </row>
    <row r="1292" spans="1:2" x14ac:dyDescent="0.25">
      <c r="B1292" s="50" t="s">
        <v>367</v>
      </c>
    </row>
    <row r="1293" spans="1:2" x14ac:dyDescent="0.25">
      <c r="A1293" t="s">
        <v>981</v>
      </c>
    </row>
    <row r="1294" spans="1:2" x14ac:dyDescent="0.25">
      <c r="A1294" t="s">
        <v>358</v>
      </c>
      <c r="B1294" s="50" t="s">
        <v>982</v>
      </c>
    </row>
    <row r="1295" spans="1:2" x14ac:dyDescent="0.25">
      <c r="A1295" t="s">
        <v>360</v>
      </c>
      <c r="B1295" s="50" t="s">
        <v>983</v>
      </c>
    </row>
    <row r="1296" spans="1:2" x14ac:dyDescent="0.25">
      <c r="A1296" t="s">
        <v>362</v>
      </c>
      <c r="B1296" s="50" t="s">
        <v>363</v>
      </c>
    </row>
    <row r="1297" spans="1:2" x14ac:dyDescent="0.25">
      <c r="B1297" s="50" t="s">
        <v>984</v>
      </c>
    </row>
    <row r="1298" spans="1:2" x14ac:dyDescent="0.25">
      <c r="B1298" s="50" t="s">
        <v>985</v>
      </c>
    </row>
    <row r="1299" spans="1:2" x14ac:dyDescent="0.25">
      <c r="B1299" s="50" t="s">
        <v>986</v>
      </c>
    </row>
    <row r="1300" spans="1:2" x14ac:dyDescent="0.25">
      <c r="B1300" s="50" t="s">
        <v>987</v>
      </c>
    </row>
    <row r="1301" spans="1:2" x14ac:dyDescent="0.25">
      <c r="B1301" s="50" t="s">
        <v>366</v>
      </c>
    </row>
    <row r="1302" spans="1:2" x14ac:dyDescent="0.25">
      <c r="B1302" s="50" t="s">
        <v>367</v>
      </c>
    </row>
    <row r="1303" spans="1:2" x14ac:dyDescent="0.25">
      <c r="A1303" t="s">
        <v>988</v>
      </c>
    </row>
    <row r="1304" spans="1:2" x14ac:dyDescent="0.25">
      <c r="A1304" t="s">
        <v>358</v>
      </c>
      <c r="B1304" s="50" t="s">
        <v>989</v>
      </c>
    </row>
    <row r="1305" spans="1:2" x14ac:dyDescent="0.25">
      <c r="A1305" t="s">
        <v>360</v>
      </c>
      <c r="B1305" s="50" t="s">
        <v>990</v>
      </c>
    </row>
    <row r="1306" spans="1:2" x14ac:dyDescent="0.25">
      <c r="A1306" t="s">
        <v>362</v>
      </c>
      <c r="B1306" s="50" t="s">
        <v>363</v>
      </c>
    </row>
    <row r="1307" spans="1:2" x14ac:dyDescent="0.25">
      <c r="B1307" s="50" t="s">
        <v>991</v>
      </c>
    </row>
    <row r="1308" spans="1:2" x14ac:dyDescent="0.25">
      <c r="B1308" s="50" t="s">
        <v>992</v>
      </c>
    </row>
    <row r="1309" spans="1:2" x14ac:dyDescent="0.25">
      <c r="B1309" s="50" t="s">
        <v>993</v>
      </c>
    </row>
    <row r="1310" spans="1:2" x14ac:dyDescent="0.25">
      <c r="B1310" s="50" t="s">
        <v>994</v>
      </c>
    </row>
    <row r="1311" spans="1:2" x14ac:dyDescent="0.25">
      <c r="B1311" s="50" t="s">
        <v>995</v>
      </c>
    </row>
    <row r="1312" spans="1:2" x14ac:dyDescent="0.25">
      <c r="B1312" s="50" t="s">
        <v>996</v>
      </c>
    </row>
    <row r="1313" spans="1:2" x14ac:dyDescent="0.25">
      <c r="B1313" s="50" t="s">
        <v>366</v>
      </c>
    </row>
    <row r="1314" spans="1:2" x14ac:dyDescent="0.25">
      <c r="B1314" s="50" t="s">
        <v>367</v>
      </c>
    </row>
    <row r="1315" spans="1:2" x14ac:dyDescent="0.25">
      <c r="A1315" t="s">
        <v>997</v>
      </c>
    </row>
    <row r="1316" spans="1:2" x14ac:dyDescent="0.25">
      <c r="A1316" t="s">
        <v>358</v>
      </c>
      <c r="B1316" s="50" t="s">
        <v>998</v>
      </c>
    </row>
    <row r="1317" spans="1:2" x14ac:dyDescent="0.25">
      <c r="A1317" t="s">
        <v>360</v>
      </c>
      <c r="B1317" s="50" t="s">
        <v>999</v>
      </c>
    </row>
    <row r="1318" spans="1:2" x14ac:dyDescent="0.25">
      <c r="A1318" t="s">
        <v>362</v>
      </c>
      <c r="B1318" s="50" t="s">
        <v>363</v>
      </c>
    </row>
    <row r="1319" spans="1:2" x14ac:dyDescent="0.25">
      <c r="B1319" s="50" t="s">
        <v>1000</v>
      </c>
    </row>
    <row r="1320" spans="1:2" x14ac:dyDescent="0.25">
      <c r="B1320" s="50" t="s">
        <v>419</v>
      </c>
    </row>
    <row r="1321" spans="1:2" x14ac:dyDescent="0.25">
      <c r="B1321" s="50" t="s">
        <v>366</v>
      </c>
    </row>
    <row r="1322" spans="1:2" x14ac:dyDescent="0.25">
      <c r="B1322" s="50" t="s">
        <v>367</v>
      </c>
    </row>
    <row r="1323" spans="1:2" x14ac:dyDescent="0.25">
      <c r="A1323" t="s">
        <v>1001</v>
      </c>
    </row>
    <row r="1324" spans="1:2" x14ac:dyDescent="0.25">
      <c r="A1324" t="s">
        <v>358</v>
      </c>
      <c r="B1324" s="50" t="s">
        <v>1002</v>
      </c>
    </row>
    <row r="1325" spans="1:2" x14ac:dyDescent="0.25">
      <c r="A1325" t="s">
        <v>360</v>
      </c>
      <c r="B1325" s="50" t="s">
        <v>1003</v>
      </c>
    </row>
    <row r="1326" spans="1:2" x14ac:dyDescent="0.25">
      <c r="A1326" t="s">
        <v>362</v>
      </c>
      <c r="B1326" s="50" t="s">
        <v>363</v>
      </c>
    </row>
    <row r="1327" spans="1:2" x14ac:dyDescent="0.25">
      <c r="B1327" s="50" t="s">
        <v>1004</v>
      </c>
    </row>
    <row r="1328" spans="1:2" x14ac:dyDescent="0.25">
      <c r="B1328" s="50" t="s">
        <v>366</v>
      </c>
    </row>
    <row r="1329" spans="1:2" x14ac:dyDescent="0.25">
      <c r="B1329" s="50" t="s">
        <v>367</v>
      </c>
    </row>
    <row r="1330" spans="1:2" x14ac:dyDescent="0.25">
      <c r="A1330" t="s">
        <v>1005</v>
      </c>
    </row>
    <row r="1331" spans="1:2" x14ac:dyDescent="0.25">
      <c r="A1331" t="s">
        <v>358</v>
      </c>
      <c r="B1331" s="50" t="s">
        <v>1006</v>
      </c>
    </row>
    <row r="1332" spans="1:2" x14ac:dyDescent="0.25">
      <c r="A1332" t="s">
        <v>360</v>
      </c>
      <c r="B1332" s="50" t="s">
        <v>1007</v>
      </c>
    </row>
    <row r="1333" spans="1:2" x14ac:dyDescent="0.25">
      <c r="A1333" t="s">
        <v>362</v>
      </c>
      <c r="B1333" s="50" t="s">
        <v>363</v>
      </c>
    </row>
    <row r="1334" spans="1:2" x14ac:dyDescent="0.25">
      <c r="B1334" s="50" t="s">
        <v>1008</v>
      </c>
    </row>
    <row r="1335" spans="1:2" x14ac:dyDescent="0.25">
      <c r="B1335" s="50" t="s">
        <v>1009</v>
      </c>
    </row>
    <row r="1336" spans="1:2" x14ac:dyDescent="0.25">
      <c r="B1336" s="50" t="s">
        <v>736</v>
      </c>
    </row>
    <row r="1337" spans="1:2" x14ac:dyDescent="0.25">
      <c r="B1337" s="50" t="s">
        <v>737</v>
      </c>
    </row>
    <row r="1338" spans="1:2" x14ac:dyDescent="0.25">
      <c r="B1338" s="50" t="s">
        <v>1010</v>
      </c>
    </row>
    <row r="1339" spans="1:2" x14ac:dyDescent="0.25">
      <c r="B1339" s="50" t="s">
        <v>1011</v>
      </c>
    </row>
    <row r="1340" spans="1:2" x14ac:dyDescent="0.25">
      <c r="B1340" s="50" t="s">
        <v>1012</v>
      </c>
    </row>
    <row r="1341" spans="1:2" x14ac:dyDescent="0.25">
      <c r="B1341" s="50" t="s">
        <v>366</v>
      </c>
    </row>
    <row r="1342" spans="1:2" x14ac:dyDescent="0.25">
      <c r="B1342" s="50" t="s">
        <v>367</v>
      </c>
    </row>
    <row r="1343" spans="1:2" x14ac:dyDescent="0.25">
      <c r="A1343" t="s">
        <v>1013</v>
      </c>
    </row>
    <row r="1344" spans="1:2" x14ac:dyDescent="0.25">
      <c r="A1344" t="s">
        <v>358</v>
      </c>
      <c r="B1344" s="50" t="s">
        <v>1014</v>
      </c>
    </row>
    <row r="1345" spans="1:2" x14ac:dyDescent="0.25">
      <c r="A1345" t="s">
        <v>360</v>
      </c>
      <c r="B1345" s="50" t="s">
        <v>1015</v>
      </c>
    </row>
    <row r="1346" spans="1:2" x14ac:dyDescent="0.25">
      <c r="A1346" t="s">
        <v>362</v>
      </c>
      <c r="B1346" s="50" t="s">
        <v>363</v>
      </c>
    </row>
    <row r="1347" spans="1:2" x14ac:dyDescent="0.25">
      <c r="B1347" s="50" t="s">
        <v>1016</v>
      </c>
    </row>
    <row r="1348" spans="1:2" x14ac:dyDescent="0.25">
      <c r="B1348" s="50" t="s">
        <v>1017</v>
      </c>
    </row>
    <row r="1349" spans="1:2" x14ac:dyDescent="0.25">
      <c r="B1349" s="50" t="s">
        <v>1018</v>
      </c>
    </row>
    <row r="1350" spans="1:2" x14ac:dyDescent="0.25">
      <c r="B1350" s="50" t="s">
        <v>1019</v>
      </c>
    </row>
    <row r="1351" spans="1:2" x14ac:dyDescent="0.25">
      <c r="B1351" s="50" t="s">
        <v>366</v>
      </c>
    </row>
    <row r="1352" spans="1:2" x14ac:dyDescent="0.25">
      <c r="B1352" s="50" t="s">
        <v>367</v>
      </c>
    </row>
  </sheetData>
  <mergeCells count="1">
    <mergeCell ref="A1:B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20C01-28C4-4A28-8C23-21FD4C14D7CC}">
  <dimension ref="A1:F56"/>
  <sheetViews>
    <sheetView workbookViewId="0">
      <selection sqref="A1:F1"/>
    </sheetView>
  </sheetViews>
  <sheetFormatPr defaultRowHeight="15" x14ac:dyDescent="0.25"/>
  <cols>
    <col min="2" max="2" width="68.7109375" customWidth="1"/>
  </cols>
  <sheetData>
    <row r="1" spans="1:6" x14ac:dyDescent="0.25">
      <c r="A1" s="81" t="s">
        <v>1034</v>
      </c>
      <c r="B1" s="82"/>
      <c r="C1" s="82"/>
      <c r="D1" s="82"/>
      <c r="E1" s="82"/>
      <c r="F1" s="82"/>
    </row>
    <row r="2" spans="1:6" s="26" customFormat="1" x14ac:dyDescent="0.25">
      <c r="A2" s="26" t="s">
        <v>72</v>
      </c>
      <c r="B2" s="26" t="s">
        <v>73</v>
      </c>
      <c r="C2" s="39" t="s">
        <v>74</v>
      </c>
      <c r="D2" s="39" t="s">
        <v>75</v>
      </c>
      <c r="E2" s="39" t="s">
        <v>76</v>
      </c>
      <c r="F2" s="39" t="s">
        <v>77</v>
      </c>
    </row>
    <row r="3" spans="1:6" x14ac:dyDescent="0.25">
      <c r="A3" t="s">
        <v>78</v>
      </c>
      <c r="B3" t="s">
        <v>79</v>
      </c>
      <c r="C3">
        <v>7.7999999999999996E-3</v>
      </c>
      <c r="D3">
        <v>-1.0500000000000001E-2</v>
      </c>
      <c r="E3">
        <v>-0.32179999999999997</v>
      </c>
      <c r="F3">
        <v>-0.13370000000000001</v>
      </c>
    </row>
    <row r="4" spans="1:6" x14ac:dyDescent="0.25">
      <c r="A4" t="s">
        <v>80</v>
      </c>
      <c r="B4" t="s">
        <v>81</v>
      </c>
      <c r="C4">
        <v>0.42230000000000001</v>
      </c>
      <c r="D4">
        <v>2.53E-2</v>
      </c>
      <c r="E4">
        <v>0.1192</v>
      </c>
      <c r="F4">
        <v>9.9299999999999999E-2</v>
      </c>
    </row>
    <row r="5" spans="1:6" x14ac:dyDescent="0.25">
      <c r="A5" t="s">
        <v>82</v>
      </c>
      <c r="B5" t="s">
        <v>83</v>
      </c>
      <c r="C5">
        <v>-2.3400000000000001E-2</v>
      </c>
      <c r="D5">
        <v>0.5645</v>
      </c>
      <c r="E5">
        <v>6.9999999999999999E-4</v>
      </c>
      <c r="F5">
        <v>-8.6699999999999999E-2</v>
      </c>
    </row>
    <row r="6" spans="1:6" x14ac:dyDescent="0.25">
      <c r="A6" t="s">
        <v>84</v>
      </c>
      <c r="B6" t="s">
        <v>85</v>
      </c>
      <c r="C6">
        <v>-0.3871</v>
      </c>
      <c r="D6">
        <v>-3.9899999999999998E-2</v>
      </c>
      <c r="E6">
        <v>-0.14230000000000001</v>
      </c>
      <c r="F6">
        <v>-7.9699999999999993E-2</v>
      </c>
    </row>
    <row r="7" spans="1:6" x14ac:dyDescent="0.25">
      <c r="A7" t="s">
        <v>86</v>
      </c>
      <c r="B7" t="s">
        <v>87</v>
      </c>
      <c r="C7">
        <v>0.2843</v>
      </c>
      <c r="D7">
        <v>-7.6300000000000007E-2</v>
      </c>
      <c r="E7">
        <v>-2.1899999999999999E-2</v>
      </c>
      <c r="F7">
        <v>9.4500000000000001E-2</v>
      </c>
    </row>
    <row r="8" spans="1:6" x14ac:dyDescent="0.25">
      <c r="A8" t="s">
        <v>88</v>
      </c>
      <c r="B8" t="s">
        <v>89</v>
      </c>
      <c r="C8">
        <v>8.3000000000000001E-3</v>
      </c>
      <c r="D8">
        <v>2.9999999999999997E-4</v>
      </c>
      <c r="E8">
        <v>0.81510000000000005</v>
      </c>
      <c r="F8">
        <v>8.3000000000000001E-3</v>
      </c>
    </row>
    <row r="9" spans="1:6" x14ac:dyDescent="0.25">
      <c r="A9" t="s">
        <v>90</v>
      </c>
      <c r="B9" t="s">
        <v>91</v>
      </c>
      <c r="C9">
        <v>-9.1899999999999996E-2</v>
      </c>
      <c r="D9">
        <v>1.03E-2</v>
      </c>
      <c r="E9">
        <v>-0.68500000000000005</v>
      </c>
      <c r="F9">
        <v>-4.19E-2</v>
      </c>
    </row>
    <row r="10" spans="1:6" x14ac:dyDescent="0.25">
      <c r="A10" t="s">
        <v>92</v>
      </c>
      <c r="B10" t="s">
        <v>93</v>
      </c>
      <c r="C10">
        <v>0.71289999999999998</v>
      </c>
      <c r="D10">
        <v>5.0099999999999999E-2</v>
      </c>
      <c r="E10">
        <v>-1.7999999999999999E-2</v>
      </c>
      <c r="F10">
        <v>-1.5699999999999999E-2</v>
      </c>
    </row>
    <row r="11" spans="1:6" x14ac:dyDescent="0.25">
      <c r="A11" t="s">
        <v>94</v>
      </c>
      <c r="B11" t="s">
        <v>95</v>
      </c>
      <c r="C11">
        <v>-5.3999999999999999E-2</v>
      </c>
      <c r="D11">
        <v>0.70009999999999994</v>
      </c>
      <c r="E11">
        <v>-5.3E-3</v>
      </c>
      <c r="F11">
        <v>8.3299999999999999E-2</v>
      </c>
    </row>
    <row r="12" spans="1:6" x14ac:dyDescent="0.25">
      <c r="A12" t="s">
        <v>96</v>
      </c>
      <c r="B12" t="s">
        <v>97</v>
      </c>
      <c r="C12">
        <v>0.13270000000000001</v>
      </c>
      <c r="D12">
        <v>-0.13320000000000001</v>
      </c>
      <c r="E12">
        <v>2.52E-2</v>
      </c>
      <c r="F12">
        <v>-3.2099999999999997E-2</v>
      </c>
    </row>
    <row r="13" spans="1:6" x14ac:dyDescent="0.25">
      <c r="A13" t="s">
        <v>98</v>
      </c>
      <c r="B13" t="s">
        <v>99</v>
      </c>
      <c r="C13">
        <v>-6.0900000000000003E-2</v>
      </c>
      <c r="D13">
        <v>-0.1169</v>
      </c>
      <c r="E13">
        <v>0.45479999999999998</v>
      </c>
      <c r="F13">
        <v>1.0699999999999999E-2</v>
      </c>
    </row>
    <row r="14" spans="1:6" x14ac:dyDescent="0.25">
      <c r="A14" t="s">
        <v>100</v>
      </c>
      <c r="B14" t="s">
        <v>101</v>
      </c>
      <c r="C14">
        <v>8.1900000000000001E-2</v>
      </c>
      <c r="D14">
        <v>-1.6299999999999999E-2</v>
      </c>
      <c r="E14">
        <v>0.10580000000000001</v>
      </c>
      <c r="F14">
        <v>8.7599999999999997E-2</v>
      </c>
    </row>
    <row r="15" spans="1:6" x14ac:dyDescent="0.25">
      <c r="A15" t="s">
        <v>102</v>
      </c>
      <c r="B15" t="s">
        <v>103</v>
      </c>
      <c r="C15">
        <v>7.4200000000000002E-2</v>
      </c>
      <c r="D15">
        <v>0.69389999999999996</v>
      </c>
      <c r="E15">
        <v>-3.56E-2</v>
      </c>
      <c r="F15">
        <v>5.3900000000000003E-2</v>
      </c>
    </row>
    <row r="16" spans="1:6" x14ac:dyDescent="0.25">
      <c r="A16" t="s">
        <v>104</v>
      </c>
      <c r="B16" t="s">
        <v>105</v>
      </c>
      <c r="C16">
        <v>2.63E-2</v>
      </c>
      <c r="D16">
        <v>0.3538</v>
      </c>
      <c r="E16">
        <v>-0.13719999999999999</v>
      </c>
      <c r="F16">
        <v>-7.9200000000000007E-2</v>
      </c>
    </row>
    <row r="17" spans="1:6" x14ac:dyDescent="0.25">
      <c r="A17" t="s">
        <v>106</v>
      </c>
      <c r="B17" t="s">
        <v>107</v>
      </c>
      <c r="C17">
        <v>6.8000000000000005E-2</v>
      </c>
      <c r="D17">
        <v>-0.14019999999999999</v>
      </c>
      <c r="E17">
        <v>0.15559999999999999</v>
      </c>
      <c r="F17">
        <v>0.29039999999999999</v>
      </c>
    </row>
    <row r="18" spans="1:6" x14ac:dyDescent="0.25">
      <c r="A18" t="s">
        <v>108</v>
      </c>
      <c r="B18" t="s">
        <v>109</v>
      </c>
      <c r="C18">
        <v>-1E-3</v>
      </c>
      <c r="D18">
        <v>-2.6200000000000001E-2</v>
      </c>
      <c r="E18">
        <v>-0.18099999999999999</v>
      </c>
      <c r="F18">
        <v>6.2399999999999997E-2</v>
      </c>
    </row>
    <row r="19" spans="1:6" x14ac:dyDescent="0.25">
      <c r="A19" t="s">
        <v>110</v>
      </c>
      <c r="B19" t="s">
        <v>111</v>
      </c>
      <c r="C19">
        <v>0.65629999999999999</v>
      </c>
      <c r="D19">
        <v>3.9899999999999998E-2</v>
      </c>
      <c r="E19">
        <v>8.8200000000000001E-2</v>
      </c>
      <c r="F19">
        <v>-0.12640000000000001</v>
      </c>
    </row>
    <row r="20" spans="1:6" x14ac:dyDescent="0.25">
      <c r="A20" t="s">
        <v>112</v>
      </c>
      <c r="B20" t="s">
        <v>113</v>
      </c>
      <c r="C20">
        <v>-1.2E-2</v>
      </c>
      <c r="D20">
        <v>6.8500000000000005E-2</v>
      </c>
      <c r="E20">
        <v>5.3699999999999998E-2</v>
      </c>
      <c r="F20">
        <v>0.73340000000000005</v>
      </c>
    </row>
    <row r="21" spans="1:6" x14ac:dyDescent="0.25">
      <c r="A21" t="s">
        <v>114</v>
      </c>
      <c r="B21" t="s">
        <v>115</v>
      </c>
      <c r="C21">
        <v>-3.5400000000000001E-2</v>
      </c>
      <c r="D21">
        <v>0.71899999999999997</v>
      </c>
      <c r="E21">
        <v>7.1300000000000002E-2</v>
      </c>
      <c r="F21">
        <v>7.6100000000000001E-2</v>
      </c>
    </row>
    <row r="22" spans="1:6" x14ac:dyDescent="0.25">
      <c r="A22" t="s">
        <v>116</v>
      </c>
      <c r="B22" t="s">
        <v>117</v>
      </c>
      <c r="C22">
        <v>-0.18990000000000001</v>
      </c>
      <c r="D22">
        <v>3.9E-2</v>
      </c>
      <c r="E22">
        <v>-0.29070000000000001</v>
      </c>
      <c r="F22">
        <v>-3.1E-2</v>
      </c>
    </row>
    <row r="23" spans="1:6" x14ac:dyDescent="0.25">
      <c r="A23" t="s">
        <v>118</v>
      </c>
      <c r="B23" t="s">
        <v>119</v>
      </c>
      <c r="C23">
        <v>0.61229999999999996</v>
      </c>
      <c r="D23">
        <v>8.9099999999999999E-2</v>
      </c>
      <c r="E23">
        <v>7.4200000000000002E-2</v>
      </c>
      <c r="F23">
        <v>-4.3E-3</v>
      </c>
    </row>
    <row r="24" spans="1:6" x14ac:dyDescent="0.25">
      <c r="A24" t="s">
        <v>120</v>
      </c>
      <c r="B24" t="s">
        <v>121</v>
      </c>
      <c r="C24">
        <v>0.57779999999999998</v>
      </c>
      <c r="D24">
        <v>-0.12590000000000001</v>
      </c>
      <c r="E24">
        <v>6.4699999999999994E-2</v>
      </c>
      <c r="F24">
        <v>-6.13E-2</v>
      </c>
    </row>
    <row r="25" spans="1:6" x14ac:dyDescent="0.25">
      <c r="A25" t="s">
        <v>122</v>
      </c>
      <c r="B25" t="s">
        <v>123</v>
      </c>
      <c r="C25">
        <v>-8.9099999999999999E-2</v>
      </c>
      <c r="D25">
        <v>-0.1208</v>
      </c>
      <c r="E25">
        <v>0.44940000000000002</v>
      </c>
      <c r="F25">
        <v>4.1200000000000001E-2</v>
      </c>
    </row>
    <row r="26" spans="1:6" x14ac:dyDescent="0.25">
      <c r="A26" t="s">
        <v>124</v>
      </c>
      <c r="B26" t="s">
        <v>125</v>
      </c>
      <c r="C26">
        <v>0.68520000000000003</v>
      </c>
      <c r="D26">
        <v>-7.0699999999999999E-2</v>
      </c>
      <c r="E26">
        <v>6.6699999999999995E-2</v>
      </c>
      <c r="F26">
        <v>-1.4E-3</v>
      </c>
    </row>
    <row r="27" spans="1:6" x14ac:dyDescent="0.25">
      <c r="A27" t="s">
        <v>126</v>
      </c>
      <c r="B27" t="s">
        <v>127</v>
      </c>
      <c r="C27">
        <v>-8.7800000000000003E-2</v>
      </c>
      <c r="D27">
        <v>0.16009999999999999</v>
      </c>
      <c r="E27">
        <v>-0.18099999999999999</v>
      </c>
      <c r="F27">
        <v>-0.23899999999999999</v>
      </c>
    </row>
    <row r="28" spans="1:6" x14ac:dyDescent="0.25">
      <c r="A28" t="s">
        <v>128</v>
      </c>
      <c r="B28" t="s">
        <v>129</v>
      </c>
      <c r="C28">
        <v>0.61909999999999998</v>
      </c>
      <c r="D28">
        <v>0.11459999999999999</v>
      </c>
      <c r="E28">
        <v>-5.6599999999999998E-2</v>
      </c>
      <c r="F28">
        <v>0.1575</v>
      </c>
    </row>
    <row r="29" spans="1:6" x14ac:dyDescent="0.25">
      <c r="A29" t="s">
        <v>130</v>
      </c>
      <c r="B29" t="s">
        <v>131</v>
      </c>
      <c r="C29">
        <v>-6.4299999999999996E-2</v>
      </c>
      <c r="D29">
        <v>-0.3458</v>
      </c>
      <c r="E29">
        <v>1.0699999999999999E-2</v>
      </c>
      <c r="F29">
        <v>9.4100000000000003E-2</v>
      </c>
    </row>
    <row r="30" spans="1:6" x14ac:dyDescent="0.25">
      <c r="A30" t="s">
        <v>132</v>
      </c>
      <c r="B30" t="s">
        <v>133</v>
      </c>
      <c r="C30">
        <v>0.20580000000000001</v>
      </c>
      <c r="D30">
        <v>-0.27050000000000002</v>
      </c>
      <c r="E30">
        <v>0.12759999999999999</v>
      </c>
      <c r="F30">
        <v>5.0099999999999999E-2</v>
      </c>
    </row>
    <row r="31" spans="1:6" x14ac:dyDescent="0.25">
      <c r="A31" t="s">
        <v>134</v>
      </c>
      <c r="B31" t="s">
        <v>135</v>
      </c>
      <c r="C31">
        <v>0.75229999999999997</v>
      </c>
      <c r="D31">
        <v>5.3E-3</v>
      </c>
      <c r="E31">
        <v>8.4900000000000003E-2</v>
      </c>
      <c r="F31">
        <v>-0.1333</v>
      </c>
    </row>
    <row r="32" spans="1:6" x14ac:dyDescent="0.25">
      <c r="A32" t="s">
        <v>136</v>
      </c>
      <c r="B32" t="s">
        <v>137</v>
      </c>
      <c r="C32">
        <v>-7.85E-2</v>
      </c>
      <c r="D32">
        <v>-8.9399999999999993E-2</v>
      </c>
      <c r="E32">
        <v>0.16309999999999999</v>
      </c>
      <c r="F32">
        <v>-0.48659999999999998</v>
      </c>
    </row>
    <row r="33" spans="1:6" x14ac:dyDescent="0.25">
      <c r="A33" t="s">
        <v>138</v>
      </c>
      <c r="B33" t="s">
        <v>139</v>
      </c>
      <c r="C33">
        <v>4.5100000000000001E-2</v>
      </c>
      <c r="D33">
        <v>0.5756</v>
      </c>
      <c r="E33">
        <v>-0.10050000000000001</v>
      </c>
      <c r="F33">
        <v>4.7899999999999998E-2</v>
      </c>
    </row>
    <row r="34" spans="1:6" x14ac:dyDescent="0.25">
      <c r="A34" t="s">
        <v>140</v>
      </c>
      <c r="B34" t="s">
        <v>141</v>
      </c>
      <c r="C34">
        <v>-1.09E-2</v>
      </c>
      <c r="D34">
        <v>1.4E-2</v>
      </c>
      <c r="E34">
        <v>0.78269999999999995</v>
      </c>
      <c r="F34">
        <v>2.5399999999999999E-2</v>
      </c>
    </row>
    <row r="35" spans="1:6" x14ac:dyDescent="0.25">
      <c r="A35" t="s">
        <v>142</v>
      </c>
      <c r="B35" t="s">
        <v>143</v>
      </c>
      <c r="C35">
        <v>-0.26450000000000001</v>
      </c>
      <c r="D35">
        <v>-0.1696</v>
      </c>
      <c r="E35">
        <v>-5.3800000000000001E-2</v>
      </c>
      <c r="F35">
        <v>-0.2137</v>
      </c>
    </row>
    <row r="36" spans="1:6" x14ac:dyDescent="0.25">
      <c r="A36" t="s">
        <v>144</v>
      </c>
      <c r="B36" t="s">
        <v>145</v>
      </c>
      <c r="C36">
        <v>0.62909999999999999</v>
      </c>
      <c r="D36">
        <v>6.9599999999999995E-2</v>
      </c>
      <c r="E36">
        <v>0.16919999999999999</v>
      </c>
      <c r="F36">
        <v>-4.5999999999999999E-2</v>
      </c>
    </row>
    <row r="37" spans="1:6" x14ac:dyDescent="0.25">
      <c r="A37" t="s">
        <v>146</v>
      </c>
      <c r="B37" t="s">
        <v>147</v>
      </c>
      <c r="C37">
        <v>0.57420000000000004</v>
      </c>
      <c r="D37">
        <v>9.5000000000000001E-2</v>
      </c>
      <c r="E37">
        <v>-0.09</v>
      </c>
      <c r="F37">
        <v>0.24260000000000001</v>
      </c>
    </row>
    <row r="38" spans="1:6" x14ac:dyDescent="0.25">
      <c r="A38" t="s">
        <v>148</v>
      </c>
      <c r="B38" t="s">
        <v>149</v>
      </c>
      <c r="C38">
        <v>0.3407</v>
      </c>
      <c r="D38">
        <v>0.23330000000000001</v>
      </c>
      <c r="E38">
        <v>-3.8E-3</v>
      </c>
      <c r="F38">
        <v>0.1991</v>
      </c>
    </row>
    <row r="39" spans="1:6" x14ac:dyDescent="0.25">
      <c r="A39" t="s">
        <v>150</v>
      </c>
      <c r="B39" t="s">
        <v>151</v>
      </c>
      <c r="C39">
        <v>5.74E-2</v>
      </c>
      <c r="D39">
        <v>7.3000000000000001E-3</v>
      </c>
      <c r="E39">
        <v>0.77810000000000001</v>
      </c>
      <c r="F39">
        <v>-4.6399999999999997E-2</v>
      </c>
    </row>
    <row r="40" spans="1:6" x14ac:dyDescent="0.25">
      <c r="A40" t="s">
        <v>152</v>
      </c>
      <c r="B40" t="s">
        <v>153</v>
      </c>
      <c r="C40">
        <v>0.51270000000000004</v>
      </c>
      <c r="D40">
        <v>0.33200000000000002</v>
      </c>
      <c r="E40">
        <v>0.14649999999999999</v>
      </c>
      <c r="F40">
        <v>-4.4999999999999998E-2</v>
      </c>
    </row>
    <row r="41" spans="1:6" x14ac:dyDescent="0.25">
      <c r="A41" t="s">
        <v>154</v>
      </c>
      <c r="B41" t="s">
        <v>155</v>
      </c>
      <c r="C41">
        <v>-0.23130000000000001</v>
      </c>
      <c r="D41">
        <v>-0.17730000000000001</v>
      </c>
      <c r="E41">
        <v>-0.13109999999999999</v>
      </c>
      <c r="F41">
        <v>-0.19189999999999999</v>
      </c>
    </row>
    <row r="42" spans="1:6" x14ac:dyDescent="0.25">
      <c r="A42" t="s">
        <v>156</v>
      </c>
      <c r="B42" t="s">
        <v>157</v>
      </c>
      <c r="C42">
        <v>0.52059999999999995</v>
      </c>
      <c r="D42">
        <v>-4.1300000000000003E-2</v>
      </c>
      <c r="E42">
        <v>-0.1012</v>
      </c>
      <c r="F42">
        <v>0.15429999999999999</v>
      </c>
    </row>
    <row r="43" spans="1:6" x14ac:dyDescent="0.25">
      <c r="A43" t="s">
        <v>158</v>
      </c>
      <c r="B43" t="s">
        <v>159</v>
      </c>
      <c r="C43">
        <v>0.44429999999999997</v>
      </c>
      <c r="D43">
        <v>0.2407</v>
      </c>
      <c r="E43">
        <v>0.10249999999999999</v>
      </c>
      <c r="F43">
        <v>-3.8100000000000002E-2</v>
      </c>
    </row>
    <row r="44" spans="1:6" x14ac:dyDescent="0.25">
      <c r="A44" t="s">
        <v>160</v>
      </c>
      <c r="B44" t="s">
        <v>161</v>
      </c>
      <c r="C44">
        <v>0.67900000000000005</v>
      </c>
      <c r="D44">
        <v>-6.8199999999999997E-2</v>
      </c>
      <c r="E44">
        <v>4.0599999999999997E-2</v>
      </c>
      <c r="F44">
        <v>-7.8200000000000006E-2</v>
      </c>
    </row>
    <row r="45" spans="1:6" x14ac:dyDescent="0.25">
      <c r="A45" t="s">
        <v>162</v>
      </c>
      <c r="B45" t="s">
        <v>163</v>
      </c>
      <c r="C45">
        <v>-4.5499999999999999E-2</v>
      </c>
      <c r="D45">
        <v>7.8200000000000006E-2</v>
      </c>
      <c r="E45">
        <v>-5.7299999999999997E-2</v>
      </c>
      <c r="F45">
        <v>-2.5999999999999999E-3</v>
      </c>
    </row>
    <row r="46" spans="1:6" x14ac:dyDescent="0.25">
      <c r="A46" t="s">
        <v>164</v>
      </c>
      <c r="B46" t="s">
        <v>165</v>
      </c>
      <c r="C46">
        <v>0.6694</v>
      </c>
      <c r="D46">
        <v>7.6799999999999993E-2</v>
      </c>
      <c r="E46">
        <v>-1.03E-2</v>
      </c>
      <c r="F46">
        <v>8.9999999999999993E-3</v>
      </c>
    </row>
    <row r="47" spans="1:6" x14ac:dyDescent="0.25">
      <c r="A47" t="s">
        <v>166</v>
      </c>
      <c r="B47" t="s">
        <v>167</v>
      </c>
      <c r="C47">
        <v>1.9599999999999999E-2</v>
      </c>
      <c r="D47">
        <v>-3.1E-2</v>
      </c>
      <c r="E47">
        <v>0.29349999999999998</v>
      </c>
      <c r="F47">
        <v>0.1774</v>
      </c>
    </row>
    <row r="48" spans="1:6" x14ac:dyDescent="0.25">
      <c r="A48" t="s">
        <v>168</v>
      </c>
      <c r="B48" t="s">
        <v>169</v>
      </c>
      <c r="C48">
        <v>0.6341</v>
      </c>
      <c r="D48">
        <v>-0.13669999999999999</v>
      </c>
      <c r="E48">
        <v>2.9499999999999998E-2</v>
      </c>
      <c r="F48">
        <v>-1.9300000000000001E-2</v>
      </c>
    </row>
    <row r="49" spans="1:6" x14ac:dyDescent="0.25">
      <c r="A49" t="s">
        <v>170</v>
      </c>
      <c r="B49" t="s">
        <v>171</v>
      </c>
      <c r="C49">
        <v>0.10009999999999999</v>
      </c>
      <c r="D49">
        <v>0.62350000000000005</v>
      </c>
      <c r="E49">
        <v>-1.6000000000000001E-3</v>
      </c>
      <c r="F49">
        <v>-1.1900000000000001E-2</v>
      </c>
    </row>
    <row r="50" spans="1:6" x14ac:dyDescent="0.25">
      <c r="A50" t="s">
        <v>172</v>
      </c>
      <c r="B50" t="s">
        <v>173</v>
      </c>
      <c r="C50">
        <v>-1.67E-2</v>
      </c>
      <c r="D50">
        <v>0.50970000000000004</v>
      </c>
      <c r="E50">
        <v>-7.3499999999999996E-2</v>
      </c>
      <c r="F50">
        <v>1.21E-2</v>
      </c>
    </row>
    <row r="51" spans="1:6" x14ac:dyDescent="0.25">
      <c r="A51" t="s">
        <v>174</v>
      </c>
      <c r="B51" t="s">
        <v>175</v>
      </c>
      <c r="C51">
        <v>-2.2200000000000001E-2</v>
      </c>
      <c r="D51">
        <v>-0.02</v>
      </c>
      <c r="E51">
        <v>-0.1076</v>
      </c>
      <c r="F51">
        <v>-0.29160000000000003</v>
      </c>
    </row>
    <row r="52" spans="1:6" x14ac:dyDescent="0.25">
      <c r="A52" t="s">
        <v>176</v>
      </c>
      <c r="B52" t="s">
        <v>177</v>
      </c>
      <c r="C52">
        <v>4.6300000000000001E-2</v>
      </c>
      <c r="D52">
        <v>-0.14660000000000001</v>
      </c>
      <c r="E52">
        <v>0.24809999999999999</v>
      </c>
      <c r="F52">
        <v>0.18909999999999999</v>
      </c>
    </row>
    <row r="53" spans="1:6" x14ac:dyDescent="0.25">
      <c r="A53" t="s">
        <v>178</v>
      </c>
      <c r="B53" t="s">
        <v>179</v>
      </c>
      <c r="C53">
        <v>0.63790000000000002</v>
      </c>
      <c r="D53">
        <v>-9.3700000000000006E-2</v>
      </c>
      <c r="E53">
        <v>-9.2899999999999996E-2</v>
      </c>
      <c r="F53">
        <v>0.1043</v>
      </c>
    </row>
    <row r="54" spans="1:6" x14ac:dyDescent="0.25">
      <c r="A54" t="s">
        <v>180</v>
      </c>
      <c r="B54" t="s">
        <v>181</v>
      </c>
      <c r="C54">
        <v>0.51459999999999995</v>
      </c>
      <c r="D54">
        <v>-2.2100000000000002E-2</v>
      </c>
      <c r="E54">
        <v>-0.20349999999999999</v>
      </c>
      <c r="F54">
        <v>0.32290000000000002</v>
      </c>
    </row>
    <row r="55" spans="1:6" x14ac:dyDescent="0.25">
      <c r="A55" t="s">
        <v>182</v>
      </c>
      <c r="B55" t="s">
        <v>183</v>
      </c>
      <c r="C55">
        <v>-1.9199999999999998E-2</v>
      </c>
      <c r="D55">
        <v>7.5300000000000006E-2</v>
      </c>
      <c r="E55">
        <v>2.3800000000000002E-2</v>
      </c>
      <c r="F55">
        <v>0.71509999999999996</v>
      </c>
    </row>
    <row r="56" spans="1:6" x14ac:dyDescent="0.25">
      <c r="A56" s="25" t="s">
        <v>184</v>
      </c>
      <c r="B56" s="25" t="s">
        <v>185</v>
      </c>
      <c r="C56" s="25">
        <v>0.67569999999999997</v>
      </c>
      <c r="D56" s="25">
        <v>6.3299999999999995E-2</v>
      </c>
      <c r="E56" s="25">
        <v>-1.7999999999999999E-2</v>
      </c>
      <c r="F56" s="25">
        <v>8.8400000000000006E-2</v>
      </c>
    </row>
  </sheetData>
  <mergeCells count="1">
    <mergeCell ref="A1:F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1FECB0-CD0E-4567-9DC1-2EC83BC63D32}">
  <dimension ref="A1:D22"/>
  <sheetViews>
    <sheetView workbookViewId="0">
      <selection sqref="A1:D1"/>
    </sheetView>
  </sheetViews>
  <sheetFormatPr defaultRowHeight="15" x14ac:dyDescent="0.25"/>
  <cols>
    <col min="1" max="1" width="14.140625" bestFit="1" customWidth="1"/>
    <col min="2" max="2" width="140.140625" customWidth="1"/>
    <col min="3" max="3" width="7.5703125" style="41" bestFit="1" customWidth="1"/>
    <col min="4" max="4" width="7.7109375" style="40" bestFit="1" customWidth="1"/>
  </cols>
  <sheetData>
    <row r="1" spans="1:4" x14ac:dyDescent="0.25">
      <c r="A1" s="83" t="s">
        <v>1035</v>
      </c>
      <c r="B1" s="83"/>
      <c r="C1" s="83"/>
      <c r="D1" s="83"/>
    </row>
    <row r="2" spans="1:4" s="26" customFormat="1" x14ac:dyDescent="0.25">
      <c r="A2" s="26" t="s">
        <v>186</v>
      </c>
      <c r="B2" s="27" t="s">
        <v>73</v>
      </c>
      <c r="C2" s="42" t="s">
        <v>74</v>
      </c>
      <c r="D2" s="47" t="s">
        <v>75</v>
      </c>
    </row>
    <row r="3" spans="1:4" x14ac:dyDescent="0.25">
      <c r="A3" t="s">
        <v>134</v>
      </c>
      <c r="B3" t="s">
        <v>135</v>
      </c>
      <c r="C3" s="41">
        <v>0.75229999999999997</v>
      </c>
      <c r="D3" s="40">
        <v>5.3E-3</v>
      </c>
    </row>
    <row r="4" spans="1:4" x14ac:dyDescent="0.25">
      <c r="A4" t="s">
        <v>92</v>
      </c>
      <c r="B4" t="s">
        <v>93</v>
      </c>
      <c r="C4" s="41">
        <v>0.71289999999999998</v>
      </c>
      <c r="D4" s="40">
        <v>5.0099999999999999E-2</v>
      </c>
    </row>
    <row r="5" spans="1:4" x14ac:dyDescent="0.25">
      <c r="A5" t="s">
        <v>124</v>
      </c>
      <c r="B5" t="s">
        <v>125</v>
      </c>
      <c r="C5" s="41">
        <v>0.68520000000000003</v>
      </c>
      <c r="D5" s="40">
        <v>-7.0699999999999999E-2</v>
      </c>
    </row>
    <row r="6" spans="1:4" x14ac:dyDescent="0.25">
      <c r="A6" t="s">
        <v>160</v>
      </c>
      <c r="B6" t="s">
        <v>161</v>
      </c>
      <c r="C6" s="41">
        <v>0.67900000000000005</v>
      </c>
      <c r="D6" s="40">
        <v>-6.8199999999999997E-2</v>
      </c>
    </row>
    <row r="7" spans="1:4" x14ac:dyDescent="0.25">
      <c r="A7" t="s">
        <v>184</v>
      </c>
      <c r="B7" t="s">
        <v>185</v>
      </c>
      <c r="C7" s="41">
        <v>0.67569999999999997</v>
      </c>
      <c r="D7" s="40">
        <v>6.3299999999999995E-2</v>
      </c>
    </row>
    <row r="8" spans="1:4" x14ac:dyDescent="0.25">
      <c r="A8" t="s">
        <v>164</v>
      </c>
      <c r="B8" t="s">
        <v>165</v>
      </c>
      <c r="C8" s="41">
        <v>0.6694</v>
      </c>
      <c r="D8" s="40">
        <v>7.6799999999999993E-2</v>
      </c>
    </row>
    <row r="9" spans="1:4" x14ac:dyDescent="0.25">
      <c r="A9" t="s">
        <v>110</v>
      </c>
      <c r="B9" t="s">
        <v>111</v>
      </c>
      <c r="C9" s="41">
        <v>0.65629999999999999</v>
      </c>
      <c r="D9" s="40">
        <v>3.9899999999999998E-2</v>
      </c>
    </row>
    <row r="10" spans="1:4" x14ac:dyDescent="0.25">
      <c r="A10" t="s">
        <v>178</v>
      </c>
      <c r="B10" t="s">
        <v>179</v>
      </c>
      <c r="C10" s="41">
        <v>0.63790000000000002</v>
      </c>
      <c r="D10" s="40">
        <v>-9.3700000000000006E-2</v>
      </c>
    </row>
    <row r="11" spans="1:4" x14ac:dyDescent="0.25">
      <c r="A11" t="s">
        <v>168</v>
      </c>
      <c r="B11" t="s">
        <v>169</v>
      </c>
      <c r="C11" s="41">
        <v>0.6341</v>
      </c>
      <c r="D11" s="40">
        <v>-0.13669999999999999</v>
      </c>
    </row>
    <row r="12" spans="1:4" x14ac:dyDescent="0.25">
      <c r="A12" t="s">
        <v>144</v>
      </c>
      <c r="B12" t="s">
        <v>145</v>
      </c>
      <c r="C12" s="41">
        <v>0.62909999999999999</v>
      </c>
      <c r="D12" s="40">
        <v>6.9599999999999995E-2</v>
      </c>
    </row>
    <row r="13" spans="1:4" x14ac:dyDescent="0.25">
      <c r="A13" t="s">
        <v>128</v>
      </c>
      <c r="B13" t="s">
        <v>129</v>
      </c>
      <c r="C13" s="41">
        <v>0.61909999999999998</v>
      </c>
      <c r="D13" s="40">
        <v>0.11459999999999999</v>
      </c>
    </row>
    <row r="14" spans="1:4" x14ac:dyDescent="0.25">
      <c r="A14" t="s">
        <v>118</v>
      </c>
      <c r="B14" t="s">
        <v>119</v>
      </c>
      <c r="C14" s="41">
        <v>0.61229999999999996</v>
      </c>
      <c r="D14" s="40">
        <v>8.9099999999999999E-2</v>
      </c>
    </row>
    <row r="15" spans="1:4" x14ac:dyDescent="0.25">
      <c r="A15" t="s">
        <v>120</v>
      </c>
      <c r="B15" t="s">
        <v>121</v>
      </c>
      <c r="C15" s="41">
        <v>0.57779999999999998</v>
      </c>
      <c r="D15" s="40">
        <v>-0.12590000000000001</v>
      </c>
    </row>
    <row r="16" spans="1:4" x14ac:dyDescent="0.25">
      <c r="A16" t="s">
        <v>146</v>
      </c>
      <c r="B16" t="s">
        <v>147</v>
      </c>
      <c r="C16" s="41">
        <v>0.57420000000000004</v>
      </c>
      <c r="D16" s="40">
        <v>9.5000000000000001E-2</v>
      </c>
    </row>
    <row r="17" spans="1:4" x14ac:dyDescent="0.25">
      <c r="A17" t="s">
        <v>156</v>
      </c>
      <c r="B17" t="s">
        <v>157</v>
      </c>
      <c r="C17" s="41">
        <v>0.52059999999999995</v>
      </c>
      <c r="D17" s="40">
        <v>-4.1300000000000003E-2</v>
      </c>
    </row>
    <row r="18" spans="1:4" x14ac:dyDescent="0.25">
      <c r="A18" t="s">
        <v>180</v>
      </c>
      <c r="B18" t="s">
        <v>181</v>
      </c>
      <c r="C18" s="41">
        <v>0.51459999999999995</v>
      </c>
      <c r="D18" s="40">
        <v>-2.2100000000000002E-2</v>
      </c>
    </row>
    <row r="19" spans="1:4" x14ac:dyDescent="0.25">
      <c r="A19" t="s">
        <v>152</v>
      </c>
      <c r="B19" t="s">
        <v>153</v>
      </c>
      <c r="C19" s="41">
        <v>0.51270000000000004</v>
      </c>
      <c r="D19" s="40">
        <v>0.33200000000000002</v>
      </c>
    </row>
    <row r="20" spans="1:4" x14ac:dyDescent="0.25">
      <c r="A20" t="s">
        <v>158</v>
      </c>
      <c r="B20" t="s">
        <v>159</v>
      </c>
      <c r="C20" s="41">
        <v>0.44429999999999997</v>
      </c>
      <c r="D20" s="40">
        <v>0.2407</v>
      </c>
    </row>
    <row r="21" spans="1:4" s="25" customFormat="1" x14ac:dyDescent="0.25">
      <c r="A21" s="25" t="s">
        <v>80</v>
      </c>
      <c r="B21" s="25" t="s">
        <v>81</v>
      </c>
      <c r="C21" s="44">
        <v>0.42230000000000001</v>
      </c>
      <c r="D21" s="45">
        <v>2.53E-2</v>
      </c>
    </row>
    <row r="22" spans="1:4" x14ac:dyDescent="0.25">
      <c r="B22" s="46" t="s">
        <v>1037</v>
      </c>
    </row>
  </sheetData>
  <mergeCells count="1">
    <mergeCell ref="A1:D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CF58A-B73D-4D57-89D4-9D6A52CA109F}">
  <dimension ref="A1:D10"/>
  <sheetViews>
    <sheetView workbookViewId="0">
      <selection activeCell="A2" sqref="A2"/>
    </sheetView>
  </sheetViews>
  <sheetFormatPr defaultRowHeight="15" x14ac:dyDescent="0.25"/>
  <cols>
    <col min="1" max="1" width="14.140625" bestFit="1" customWidth="1"/>
    <col min="2" max="2" width="175.85546875" customWidth="1"/>
    <col min="3" max="3" width="7.7109375" style="43" bestFit="1" customWidth="1"/>
    <col min="4" max="4" width="7.5703125" style="41" bestFit="1" customWidth="1"/>
  </cols>
  <sheetData>
    <row r="1" spans="1:4" x14ac:dyDescent="0.25">
      <c r="A1" s="81" t="s">
        <v>1036</v>
      </c>
      <c r="B1" s="81"/>
      <c r="C1" s="81"/>
      <c r="D1" s="81"/>
    </row>
    <row r="2" spans="1:4" s="26" customFormat="1" x14ac:dyDescent="0.25">
      <c r="A2" s="26" t="s">
        <v>186</v>
      </c>
      <c r="B2" s="27" t="s">
        <v>73</v>
      </c>
      <c r="C2" s="48" t="s">
        <v>74</v>
      </c>
      <c r="D2" s="41" t="s">
        <v>75</v>
      </c>
    </row>
    <row r="3" spans="1:4" x14ac:dyDescent="0.25">
      <c r="A3" t="s">
        <v>114</v>
      </c>
      <c r="B3" t="s">
        <v>115</v>
      </c>
      <c r="C3" s="43">
        <v>-3.5400000000000001E-2</v>
      </c>
      <c r="D3" s="41">
        <v>0.71899999999999997</v>
      </c>
    </row>
    <row r="4" spans="1:4" x14ac:dyDescent="0.25">
      <c r="A4" t="s">
        <v>94</v>
      </c>
      <c r="B4" t="s">
        <v>95</v>
      </c>
      <c r="C4" s="43">
        <v>-5.3999999999999999E-2</v>
      </c>
      <c r="D4" s="41">
        <v>0.70009999999999994</v>
      </c>
    </row>
    <row r="5" spans="1:4" x14ac:dyDescent="0.25">
      <c r="A5" t="s">
        <v>102</v>
      </c>
      <c r="B5" t="s">
        <v>103</v>
      </c>
      <c r="C5" s="43">
        <v>7.4200000000000002E-2</v>
      </c>
      <c r="D5" s="41">
        <v>0.69389999999999996</v>
      </c>
    </row>
    <row r="6" spans="1:4" x14ac:dyDescent="0.25">
      <c r="A6" t="s">
        <v>170</v>
      </c>
      <c r="B6" t="s">
        <v>171</v>
      </c>
      <c r="C6" s="43">
        <v>0.10009999999999999</v>
      </c>
      <c r="D6" s="41">
        <v>0.62350000000000005</v>
      </c>
    </row>
    <row r="7" spans="1:4" x14ac:dyDescent="0.25">
      <c r="A7" t="s">
        <v>138</v>
      </c>
      <c r="B7" t="s">
        <v>139</v>
      </c>
      <c r="C7" s="43">
        <v>4.5100000000000001E-2</v>
      </c>
      <c r="D7" s="41">
        <v>0.5756</v>
      </c>
    </row>
    <row r="8" spans="1:4" x14ac:dyDescent="0.25">
      <c r="A8" t="s">
        <v>82</v>
      </c>
      <c r="B8" t="s">
        <v>83</v>
      </c>
      <c r="C8" s="43">
        <v>-2.3400000000000001E-2</v>
      </c>
      <c r="D8" s="41">
        <v>0.5645</v>
      </c>
    </row>
    <row r="9" spans="1:4" x14ac:dyDescent="0.25">
      <c r="A9" s="25" t="s">
        <v>172</v>
      </c>
      <c r="B9" s="25" t="s">
        <v>173</v>
      </c>
      <c r="C9" s="49">
        <v>-1.67E-2</v>
      </c>
      <c r="D9" s="44">
        <v>0.50970000000000004</v>
      </c>
    </row>
    <row r="10" spans="1:4" x14ac:dyDescent="0.25">
      <c r="B10" s="46" t="s">
        <v>1037</v>
      </c>
    </row>
  </sheetData>
  <mergeCells count="1">
    <mergeCell ref="A1:D1"/>
  </mergeCells>
  <pageMargins left="0.7" right="0.7" top="0.75" bottom="0.75" header="0.3" footer="0.3"/>
  <pageSetup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F0D6B-E7E3-4181-8CF5-36E5B1C84A8A}">
  <dimension ref="A1:C10"/>
  <sheetViews>
    <sheetView workbookViewId="0">
      <selection sqref="A1:C1"/>
    </sheetView>
  </sheetViews>
  <sheetFormatPr defaultRowHeight="15" x14ac:dyDescent="0.25"/>
  <cols>
    <col min="1" max="1" width="33.140625" customWidth="1"/>
    <col min="2" max="2" width="58" bestFit="1" customWidth="1"/>
  </cols>
  <sheetData>
    <row r="1" spans="1:3" x14ac:dyDescent="0.25">
      <c r="A1" s="81" t="s">
        <v>1038</v>
      </c>
      <c r="B1" s="81"/>
      <c r="C1" s="81"/>
    </row>
    <row r="2" spans="1:3" x14ac:dyDescent="0.25">
      <c r="A2" s="34" t="s">
        <v>186</v>
      </c>
      <c r="B2" s="35" t="s">
        <v>73</v>
      </c>
      <c r="C2" s="36" t="s">
        <v>74</v>
      </c>
    </row>
    <row r="3" spans="1:3" x14ac:dyDescent="0.25">
      <c r="A3" t="s">
        <v>317</v>
      </c>
      <c r="B3" t="s">
        <v>319</v>
      </c>
      <c r="C3">
        <v>0.71819999999999995</v>
      </c>
    </row>
    <row r="4" spans="1:3" x14ac:dyDescent="0.25">
      <c r="A4" t="s">
        <v>202</v>
      </c>
      <c r="B4" t="s">
        <v>203</v>
      </c>
      <c r="C4">
        <v>0.6724</v>
      </c>
    </row>
    <row r="5" spans="1:3" x14ac:dyDescent="0.25">
      <c r="A5" t="s">
        <v>320</v>
      </c>
      <c r="B5" t="s">
        <v>322</v>
      </c>
      <c r="C5">
        <v>0.66320000000000001</v>
      </c>
    </row>
    <row r="6" spans="1:3" x14ac:dyDescent="0.25">
      <c r="A6" t="s">
        <v>206</v>
      </c>
      <c r="B6" t="s">
        <v>203</v>
      </c>
      <c r="C6">
        <v>0.61719999999999997</v>
      </c>
    </row>
    <row r="7" spans="1:3" x14ac:dyDescent="0.25">
      <c r="A7" t="s">
        <v>323</v>
      </c>
      <c r="B7" t="s">
        <v>318</v>
      </c>
      <c r="C7">
        <v>0.45889999999999997</v>
      </c>
    </row>
    <row r="8" spans="1:3" x14ac:dyDescent="0.25">
      <c r="A8" t="s">
        <v>324</v>
      </c>
      <c r="B8" t="s">
        <v>321</v>
      </c>
      <c r="C8">
        <v>0.315</v>
      </c>
    </row>
    <row r="9" spans="1:3" ht="30" customHeight="1" x14ac:dyDescent="0.25">
      <c r="A9" s="37" t="s">
        <v>313</v>
      </c>
      <c r="B9" s="25" t="s">
        <v>325</v>
      </c>
      <c r="C9" s="25">
        <v>0.22869999999999999</v>
      </c>
    </row>
    <row r="10" spans="1:3" x14ac:dyDescent="0.25">
      <c r="B10" s="46" t="s">
        <v>1037</v>
      </c>
    </row>
  </sheetData>
  <sortState xmlns:xlrd2="http://schemas.microsoft.com/office/spreadsheetml/2017/richdata2" ref="A3:C9">
    <sortCondition descending="1" ref="C3:C9"/>
  </sortState>
  <mergeCells count="1">
    <mergeCell ref="A1:C1"/>
  </mergeCells>
  <pageMargins left="0.7" right="0.7" top="0.75" bottom="0.75" header="0.3" footer="0.3"/>
  <pageSetup orientation="portrait"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93F74-A345-4DD1-9BC8-151DB72280D0}">
  <dimension ref="A1:C6"/>
  <sheetViews>
    <sheetView workbookViewId="0">
      <selection sqref="A1:C1"/>
    </sheetView>
  </sheetViews>
  <sheetFormatPr defaultRowHeight="15" x14ac:dyDescent="0.25"/>
  <cols>
    <col min="1" max="1" width="14.140625" bestFit="1" customWidth="1"/>
    <col min="2" max="2" width="81" bestFit="1" customWidth="1"/>
  </cols>
  <sheetData>
    <row r="1" spans="1:3" x14ac:dyDescent="0.25">
      <c r="A1" s="81" t="s">
        <v>1039</v>
      </c>
      <c r="B1" s="81"/>
      <c r="C1" s="81"/>
    </row>
    <row r="2" spans="1:3" x14ac:dyDescent="0.25">
      <c r="A2" s="34" t="s">
        <v>186</v>
      </c>
      <c r="B2" s="35" t="s">
        <v>73</v>
      </c>
      <c r="C2" s="36" t="s">
        <v>74</v>
      </c>
    </row>
    <row r="3" spans="1:3" ht="15" customHeight="1" x14ac:dyDescent="0.25">
      <c r="A3" t="s">
        <v>329</v>
      </c>
      <c r="B3" t="s">
        <v>326</v>
      </c>
      <c r="C3">
        <v>0.48480000000000001</v>
      </c>
    </row>
    <row r="4" spans="1:3" x14ac:dyDescent="0.25">
      <c r="A4" t="s">
        <v>1023</v>
      </c>
      <c r="B4" t="s">
        <v>327</v>
      </c>
      <c r="C4">
        <v>0.71130000000000004</v>
      </c>
    </row>
    <row r="5" spans="1:3" x14ac:dyDescent="0.25">
      <c r="A5" s="25" t="s">
        <v>1024</v>
      </c>
      <c r="B5" s="25" t="s">
        <v>328</v>
      </c>
      <c r="C5" s="25">
        <v>0.73480000000000001</v>
      </c>
    </row>
    <row r="6" spans="1:3" x14ac:dyDescent="0.25">
      <c r="B6" s="46" t="s">
        <v>1037</v>
      </c>
    </row>
  </sheetData>
  <mergeCells count="1">
    <mergeCell ref="A1:C1"/>
  </mergeCells>
  <pageMargins left="0.7" right="0.7" top="0.75" bottom="0.75" header="0.3" footer="0.3"/>
  <pageSetup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F71EEF-23E6-4F35-8646-88968595F348}">
  <dimension ref="A1:C5"/>
  <sheetViews>
    <sheetView workbookViewId="0">
      <selection sqref="A1:C1"/>
    </sheetView>
  </sheetViews>
  <sheetFormatPr defaultRowHeight="15" x14ac:dyDescent="0.25"/>
  <cols>
    <col min="1" max="1" width="14.140625" bestFit="1" customWidth="1"/>
    <col min="2" max="2" width="41.28515625" bestFit="1" customWidth="1"/>
  </cols>
  <sheetData>
    <row r="1" spans="1:3" x14ac:dyDescent="0.25">
      <c r="A1" s="81" t="s">
        <v>1040</v>
      </c>
      <c r="B1" s="81"/>
      <c r="C1" s="81"/>
    </row>
    <row r="2" spans="1:3" x14ac:dyDescent="0.25">
      <c r="A2" s="34" t="s">
        <v>186</v>
      </c>
      <c r="B2" s="35" t="s">
        <v>73</v>
      </c>
      <c r="C2" s="36" t="s">
        <v>74</v>
      </c>
    </row>
    <row r="3" spans="1:3" x14ac:dyDescent="0.25">
      <c r="A3" t="s">
        <v>330</v>
      </c>
      <c r="B3" t="s">
        <v>333</v>
      </c>
      <c r="C3">
        <v>0.78010000000000002</v>
      </c>
    </row>
    <row r="4" spans="1:3" x14ac:dyDescent="0.25">
      <c r="A4" t="s">
        <v>331</v>
      </c>
      <c r="B4" t="s">
        <v>334</v>
      </c>
      <c r="C4">
        <v>0.71340000000000003</v>
      </c>
    </row>
    <row r="5" spans="1:3" x14ac:dyDescent="0.25">
      <c r="A5" t="s">
        <v>332</v>
      </c>
      <c r="B5" t="s">
        <v>335</v>
      </c>
      <c r="C5">
        <v>0.66169999999999995</v>
      </c>
    </row>
  </sheetData>
  <mergeCells count="1">
    <mergeCell ref="A1:C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Contents</vt:lpstr>
      <vt:lpstr>ST1</vt:lpstr>
      <vt:lpstr>ST2</vt:lpstr>
      <vt:lpstr>ST3</vt:lpstr>
      <vt:lpstr>ST4</vt:lpstr>
      <vt:lpstr>ST5</vt:lpstr>
      <vt:lpstr>ST6</vt:lpstr>
      <vt:lpstr>ST7</vt:lpstr>
      <vt:lpstr>ST8</vt:lpstr>
      <vt:lpstr>ST9</vt:lpstr>
      <vt:lpstr>ST10</vt:lpstr>
      <vt:lpstr>ST11</vt:lpstr>
      <vt:lpstr>ST12</vt:lpstr>
      <vt:lpstr>ST13</vt:lpstr>
      <vt:lpstr>ST14</vt:lpstr>
      <vt:lpstr>ST15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2024-05-13T19:18:43Z</dcterms:created>
  <dcterms:modified xsi:type="dcterms:W3CDTF">2024-05-13T19:24:02Z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b20742-429b-42b9-accf-7e4dee8e6e11_Enabled">
    <vt:lpwstr>true</vt:lpwstr>
  </property>
  <property fmtid="{D5CDD505-2E9C-101B-9397-08002B2CF9AE}" pid="3" name="MSIP_Label_d8b20742-429b-42b9-accf-7e4dee8e6e11_SetDate">
    <vt:lpwstr>2024-05-13T19:19:53Z</vt:lpwstr>
  </property>
  <property fmtid="{D5CDD505-2E9C-101B-9397-08002B2CF9AE}" pid="4" name="MSIP_Label_d8b20742-429b-42b9-accf-7e4dee8e6e11_Method">
    <vt:lpwstr>Standard</vt:lpwstr>
  </property>
  <property fmtid="{D5CDD505-2E9C-101B-9397-08002B2CF9AE}" pid="5" name="MSIP_Label_d8b20742-429b-42b9-accf-7e4dee8e6e11_Name">
    <vt:lpwstr>General</vt:lpwstr>
  </property>
  <property fmtid="{D5CDD505-2E9C-101B-9397-08002B2CF9AE}" pid="6" name="MSIP_Label_d8b20742-429b-42b9-accf-7e4dee8e6e11_SiteId">
    <vt:lpwstr>b14f2065-f065-4a73-8348-7550feb841c5</vt:lpwstr>
  </property>
  <property fmtid="{D5CDD505-2E9C-101B-9397-08002B2CF9AE}" pid="7" name="MSIP_Label_d8b20742-429b-42b9-accf-7e4dee8e6e11_ActionId">
    <vt:lpwstr>c3941d40-c7aa-4af8-b20b-82d57a8cfcb2</vt:lpwstr>
  </property>
  <property fmtid="{D5CDD505-2E9C-101B-9397-08002B2CF9AE}" pid="8" name="MSIP_Label_d8b20742-429b-42b9-accf-7e4dee8e6e11_ContentBits">
    <vt:lpwstr>0</vt:lpwstr>
  </property>
</Properties>
</file>