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978"/>
  </bookViews>
  <sheets>
    <sheet name="Figure 3D" sheetId="19" r:id="rId1"/>
    <sheet name="Figure 3E" sheetId="18" r:id="rId2"/>
    <sheet name="Figure 3F" sheetId="20" r:id="rId3"/>
    <sheet name="Figure3G" sheetId="21" r:id="rId4"/>
    <sheet name="Figure 3H" sheetId="22" r:id="rId5"/>
    <sheet name="Figure 3I" sheetId="23" r:id="rId6"/>
    <sheet name="Figure4B" sheetId="14" r:id="rId7"/>
    <sheet name="Figure4D-1" sheetId="15" r:id="rId8"/>
    <sheet name="Figure4D-2" sheetId="16" r:id="rId9"/>
    <sheet name="Figure4D-3" sheetId="17" r:id="rId10"/>
    <sheet name="Figure5D" sheetId="12" r:id="rId11"/>
    <sheet name="Sheet5E" sheetId="11" r:id="rId12"/>
    <sheet name="Figure5F" sheetId="13" r:id="rId13"/>
    <sheet name="Figure5H" sheetId="9" r:id="rId14"/>
    <sheet name="Figure5I" sheetId="10" r:id="rId15"/>
    <sheet name="Figure5J" sheetId="25" r:id="rId16"/>
    <sheet name="Figure S3C,S3D,S3E" sheetId="4" r:id="rId17"/>
    <sheet name="Figure S4" sheetId="24" r:id="rId18"/>
    <sheet name="Figure S5C" sheetId="26" r:id="rId19"/>
    <sheet name="Figure S6B" sheetId="5" r:id="rId20"/>
    <sheet name="Figure S6C" sheetId="7" r:id="rId21"/>
    <sheet name="Figure S7a" sheetId="8" r:id="rId22"/>
    <sheet name="Figure S7b" sheetId="6" r:id="rId23"/>
  </sheets>
  <calcPr calcId="124519"/>
</workbook>
</file>

<file path=xl/calcChain.xml><?xml version="1.0" encoding="utf-8"?>
<calcChain xmlns="http://schemas.openxmlformats.org/spreadsheetml/2006/main">
  <c r="I17" i="24"/>
  <c r="I18"/>
  <c r="I19"/>
  <c r="I15"/>
  <c r="F16"/>
  <c r="F17"/>
  <c r="F18"/>
  <c r="F19"/>
  <c r="F15"/>
  <c r="Q23" i="8"/>
  <c r="Q22"/>
  <c r="M6" i="6"/>
  <c r="M7"/>
  <c r="M5"/>
  <c r="G6"/>
  <c r="G7"/>
  <c r="G5"/>
  <c r="G5" i="5"/>
  <c r="G6"/>
  <c r="G7"/>
  <c r="G8"/>
  <c r="G15"/>
  <c r="G16"/>
  <c r="G17"/>
  <c r="G18"/>
  <c r="G11"/>
  <c r="G12"/>
  <c r="G13"/>
  <c r="G10"/>
  <c r="L6" i="26"/>
  <c r="L7"/>
  <c r="L8"/>
  <c r="L5"/>
  <c r="F6"/>
  <c r="F7"/>
  <c r="F8"/>
  <c r="F5"/>
  <c r="X7" i="4"/>
  <c r="W7"/>
  <c r="W8"/>
  <c r="W9"/>
  <c r="W11"/>
  <c r="W12"/>
  <c r="W13"/>
  <c r="W14"/>
  <c r="Q12"/>
  <c r="Q11"/>
  <c r="P11"/>
  <c r="P12"/>
  <c r="P13"/>
  <c r="P14"/>
  <c r="W6"/>
  <c r="P7"/>
  <c r="P8"/>
  <c r="P9"/>
  <c r="P6"/>
  <c r="O6"/>
  <c r="I11"/>
  <c r="I12"/>
  <c r="I13"/>
  <c r="I14"/>
  <c r="I7"/>
  <c r="I8"/>
  <c r="I9"/>
  <c r="I6"/>
  <c r="G5" i="25"/>
  <c r="G6"/>
  <c r="G7"/>
  <c r="G8"/>
  <c r="G9"/>
  <c r="G10"/>
  <c r="G4"/>
  <c r="G5" i="10"/>
  <c r="G6"/>
  <c r="G7"/>
  <c r="G8"/>
  <c r="G4"/>
  <c r="N14" i="9"/>
  <c r="N15"/>
  <c r="N16"/>
  <c r="N17"/>
  <c r="N13"/>
  <c r="K14"/>
  <c r="K15"/>
  <c r="K16"/>
  <c r="K17"/>
  <c r="K13"/>
  <c r="H14"/>
  <c r="H15"/>
  <c r="H16"/>
  <c r="H17"/>
  <c r="H13"/>
  <c r="N16" i="13"/>
  <c r="N17"/>
  <c r="N18"/>
  <c r="N19"/>
  <c r="N15"/>
  <c r="F16"/>
  <c r="F17"/>
  <c r="F18"/>
  <c r="F19"/>
  <c r="F15"/>
  <c r="D13" i="12"/>
  <c r="D14"/>
  <c r="D15"/>
  <c r="D16"/>
  <c r="D12"/>
  <c r="H13" i="17"/>
  <c r="E14"/>
  <c r="E15"/>
  <c r="E16"/>
  <c r="E13"/>
  <c r="I15" i="16"/>
  <c r="I16"/>
  <c r="I17"/>
  <c r="F15"/>
  <c r="F16"/>
  <c r="F17"/>
  <c r="F20" i="15"/>
  <c r="F21"/>
  <c r="F22"/>
  <c r="F19"/>
  <c r="C20"/>
  <c r="C21"/>
  <c r="C22"/>
  <c r="C19"/>
  <c r="R16" i="14"/>
  <c r="R17"/>
  <c r="R18"/>
  <c r="R19"/>
  <c r="R20"/>
  <c r="R15"/>
  <c r="O16"/>
  <c r="O17"/>
  <c r="O18"/>
  <c r="O19"/>
  <c r="O20"/>
  <c r="O15"/>
  <c r="L16"/>
  <c r="L17"/>
  <c r="L18"/>
  <c r="L19"/>
  <c r="L20"/>
  <c r="L15"/>
  <c r="I16"/>
  <c r="I17"/>
  <c r="I18"/>
  <c r="I19"/>
  <c r="I20"/>
  <c r="I15"/>
  <c r="F6" i="23"/>
  <c r="F7"/>
  <c r="F8"/>
  <c r="F5"/>
  <c r="H12" i="22"/>
  <c r="H13"/>
  <c r="H14"/>
  <c r="H15"/>
  <c r="H11"/>
  <c r="K29" i="20"/>
  <c r="K32"/>
  <c r="K35"/>
  <c r="K38"/>
  <c r="K41"/>
  <c r="K26"/>
  <c r="H15" i="18"/>
  <c r="H16"/>
  <c r="H17"/>
  <c r="H13"/>
  <c r="F14"/>
  <c r="F15"/>
  <c r="F16"/>
  <c r="F17"/>
  <c r="F13"/>
  <c r="G14" i="19"/>
  <c r="G15"/>
  <c r="G16"/>
  <c r="G17"/>
  <c r="G13"/>
  <c r="E9" i="15"/>
  <c r="K8" i="26"/>
  <c r="E8"/>
  <c r="K7"/>
  <c r="E7"/>
  <c r="K6"/>
  <c r="E6"/>
  <c r="K5"/>
  <c r="E5"/>
  <c r="F5" i="25"/>
  <c r="F6"/>
  <c r="F7"/>
  <c r="F8"/>
  <c r="F9"/>
  <c r="F10"/>
  <c r="F4"/>
  <c r="H7" i="6"/>
  <c r="L7"/>
  <c r="L5"/>
  <c r="N5" s="1"/>
  <c r="L6"/>
  <c r="F6"/>
  <c r="F7"/>
  <c r="F5"/>
  <c r="F5" i="10"/>
  <c r="F6"/>
  <c r="F7"/>
  <c r="F8"/>
  <c r="F4"/>
  <c r="E6" i="23"/>
  <c r="E7"/>
  <c r="E8"/>
  <c r="E5"/>
  <c r="C16" i="8"/>
  <c r="D16"/>
  <c r="E16"/>
  <c r="E21" s="1"/>
  <c r="G16"/>
  <c r="H16"/>
  <c r="I16"/>
  <c r="I21" s="1"/>
  <c r="C17"/>
  <c r="D17"/>
  <c r="E17"/>
  <c r="E22" s="1"/>
  <c r="G17"/>
  <c r="H17"/>
  <c r="H22" s="1"/>
  <c r="I17"/>
  <c r="I22" s="1"/>
  <c r="C18"/>
  <c r="C23" s="1"/>
  <c r="D18"/>
  <c r="E18"/>
  <c r="F18" s="1"/>
  <c r="F23" s="1"/>
  <c r="G18"/>
  <c r="G23" s="1"/>
  <c r="H18"/>
  <c r="H23" s="1"/>
  <c r="I18"/>
  <c r="I23" s="1"/>
  <c r="C21"/>
  <c r="D21"/>
  <c r="G21"/>
  <c r="P21" s="1"/>
  <c r="H21"/>
  <c r="C22"/>
  <c r="G22"/>
  <c r="D23"/>
  <c r="K12"/>
  <c r="L12"/>
  <c r="M12"/>
  <c r="O12"/>
  <c r="P12"/>
  <c r="Q12"/>
  <c r="U6" i="4"/>
  <c r="X6"/>
  <c r="V11"/>
  <c r="V12"/>
  <c r="V13"/>
  <c r="V14"/>
  <c r="V7"/>
  <c r="V8"/>
  <c r="V9"/>
  <c r="V6"/>
  <c r="U11"/>
  <c r="U12"/>
  <c r="U13"/>
  <c r="U14"/>
  <c r="T11"/>
  <c r="T12"/>
  <c r="T13"/>
  <c r="T14"/>
  <c r="S11"/>
  <c r="S12"/>
  <c r="S13"/>
  <c r="S14"/>
  <c r="U7"/>
  <c r="U8"/>
  <c r="U9"/>
  <c r="T7"/>
  <c r="T8"/>
  <c r="T9"/>
  <c r="S7"/>
  <c r="S8"/>
  <c r="S9"/>
  <c r="T6"/>
  <c r="S6"/>
  <c r="E23" i="8" l="1"/>
  <c r="L23" s="1"/>
  <c r="P22"/>
  <c r="L21"/>
  <c r="P23"/>
  <c r="L22"/>
  <c r="J18"/>
  <c r="J23" s="1"/>
  <c r="J17"/>
  <c r="J22" s="1"/>
  <c r="F17"/>
  <c r="F22" s="1"/>
  <c r="J16"/>
  <c r="J21" s="1"/>
  <c r="Q21" s="1"/>
  <c r="F16"/>
  <c r="F21" s="1"/>
  <c r="D22"/>
  <c r="E21" i="7"/>
  <c r="C21"/>
  <c r="E20"/>
  <c r="C20"/>
  <c r="E19"/>
  <c r="C19"/>
  <c r="E18"/>
  <c r="C18"/>
  <c r="E17"/>
  <c r="C17"/>
  <c r="E16"/>
  <c r="C16"/>
  <c r="C34"/>
  <c r="E34"/>
  <c r="C35"/>
  <c r="E35"/>
  <c r="C36"/>
  <c r="E36"/>
  <c r="Q14" i="4"/>
  <c r="Q13"/>
  <c r="N11"/>
  <c r="O11" s="1"/>
  <c r="N12"/>
  <c r="O12" s="1"/>
  <c r="N13"/>
  <c r="O13" s="1"/>
  <c r="N14"/>
  <c r="O14" s="1"/>
  <c r="N7"/>
  <c r="O7" s="1"/>
  <c r="N8"/>
  <c r="O8" s="1"/>
  <c r="N9"/>
  <c r="O9" s="1"/>
  <c r="N6"/>
  <c r="H13" i="19"/>
  <c r="F6"/>
  <c r="J7"/>
  <c r="J8"/>
  <c r="J9"/>
  <c r="J10"/>
  <c r="J6"/>
  <c r="F7"/>
  <c r="F8"/>
  <c r="F9"/>
  <c r="F10"/>
  <c r="H12" i="24"/>
  <c r="H13"/>
  <c r="G13"/>
  <c r="F13"/>
  <c r="G12"/>
  <c r="F12"/>
  <c r="N8"/>
  <c r="N9"/>
  <c r="N10"/>
  <c r="N6"/>
  <c r="H7"/>
  <c r="H8"/>
  <c r="H9"/>
  <c r="H10"/>
  <c r="H6"/>
  <c r="G7"/>
  <c r="G6"/>
  <c r="F11"/>
  <c r="G11" s="1"/>
  <c r="L10"/>
  <c r="M10" s="1"/>
  <c r="F10"/>
  <c r="G10" s="1"/>
  <c r="L9"/>
  <c r="M9" s="1"/>
  <c r="F9"/>
  <c r="L8"/>
  <c r="M8" s="1"/>
  <c r="F8"/>
  <c r="G8" s="1"/>
  <c r="F7"/>
  <c r="L6"/>
  <c r="M6" s="1"/>
  <c r="F6"/>
  <c r="F5"/>
  <c r="I32" i="20"/>
  <c r="I29"/>
  <c r="H28"/>
  <c r="H29"/>
  <c r="H30"/>
  <c r="H31"/>
  <c r="H32"/>
  <c r="H33"/>
  <c r="H34"/>
  <c r="H37"/>
  <c r="H38"/>
  <c r="H39"/>
  <c r="H41"/>
  <c r="F28"/>
  <c r="F29"/>
  <c r="F30"/>
  <c r="F31"/>
  <c r="F32"/>
  <c r="F33"/>
  <c r="F34"/>
  <c r="F37"/>
  <c r="F38"/>
  <c r="F39"/>
  <c r="F41"/>
  <c r="D28"/>
  <c r="D29"/>
  <c r="D30"/>
  <c r="D31"/>
  <c r="D32"/>
  <c r="D33"/>
  <c r="D34"/>
  <c r="D37"/>
  <c r="D38"/>
  <c r="D39"/>
  <c r="D40"/>
  <c r="D41"/>
  <c r="B27"/>
  <c r="F27" s="1"/>
  <c r="H27" s="1"/>
  <c r="B28"/>
  <c r="B29"/>
  <c r="B30"/>
  <c r="B31"/>
  <c r="B32"/>
  <c r="B33"/>
  <c r="B34"/>
  <c r="B37"/>
  <c r="B38"/>
  <c r="B39"/>
  <c r="B40"/>
  <c r="F40" s="1"/>
  <c r="H40" s="1"/>
  <c r="I38" s="1"/>
  <c r="B41"/>
  <c r="D24"/>
  <c r="D43" s="1"/>
  <c r="D8"/>
  <c r="D27" s="1"/>
  <c r="D9"/>
  <c r="D10"/>
  <c r="D11"/>
  <c r="D12"/>
  <c r="D13"/>
  <c r="D14"/>
  <c r="D15"/>
  <c r="D16"/>
  <c r="D35" s="1"/>
  <c r="D17"/>
  <c r="B36" s="1"/>
  <c r="D18"/>
  <c r="D19"/>
  <c r="D20"/>
  <c r="D21"/>
  <c r="D22"/>
  <c r="D23"/>
  <c r="D42" s="1"/>
  <c r="B8"/>
  <c r="B9"/>
  <c r="B10"/>
  <c r="B11"/>
  <c r="B12"/>
  <c r="B13"/>
  <c r="B14"/>
  <c r="B15"/>
  <c r="B16"/>
  <c r="B17"/>
  <c r="B18"/>
  <c r="B19"/>
  <c r="B20"/>
  <c r="B21"/>
  <c r="B22"/>
  <c r="B23"/>
  <c r="B24"/>
  <c r="R16" i="21"/>
  <c r="R17"/>
  <c r="O8"/>
  <c r="O9"/>
  <c r="O16"/>
  <c r="O17"/>
  <c r="O7"/>
  <c r="L8"/>
  <c r="L9"/>
  <c r="L16"/>
  <c r="L17"/>
  <c r="L7"/>
  <c r="H8"/>
  <c r="H9"/>
  <c r="H13"/>
  <c r="L13" s="1"/>
  <c r="H15"/>
  <c r="L15" s="1"/>
  <c r="R15" s="1"/>
  <c r="H16"/>
  <c r="H17"/>
  <c r="G18"/>
  <c r="E18"/>
  <c r="H18" s="1"/>
  <c r="L18" s="1"/>
  <c r="C18"/>
  <c r="G17"/>
  <c r="E17"/>
  <c r="I17" s="1"/>
  <c r="C17"/>
  <c r="J17" s="1"/>
  <c r="G16"/>
  <c r="E16"/>
  <c r="C16"/>
  <c r="J16" s="1"/>
  <c r="G15"/>
  <c r="E15"/>
  <c r="I15" s="1"/>
  <c r="O15" s="1"/>
  <c r="C15"/>
  <c r="G14"/>
  <c r="E14"/>
  <c r="H14" s="1"/>
  <c r="L14" s="1"/>
  <c r="C14"/>
  <c r="G13"/>
  <c r="E13"/>
  <c r="I13" s="1"/>
  <c r="O13" s="1"/>
  <c r="C13"/>
  <c r="G12"/>
  <c r="E12"/>
  <c r="H12" s="1"/>
  <c r="L12" s="1"/>
  <c r="C12"/>
  <c r="G11"/>
  <c r="E11"/>
  <c r="I11" s="1"/>
  <c r="O11" s="1"/>
  <c r="C11"/>
  <c r="G10"/>
  <c r="E10"/>
  <c r="H10" s="1"/>
  <c r="L10" s="1"/>
  <c r="C10"/>
  <c r="R9"/>
  <c r="G9"/>
  <c r="K9" s="1"/>
  <c r="U9" s="1"/>
  <c r="E9"/>
  <c r="I9" s="1"/>
  <c r="C9"/>
  <c r="G8"/>
  <c r="E8"/>
  <c r="C8"/>
  <c r="G7"/>
  <c r="E7"/>
  <c r="C7"/>
  <c r="H7" s="1"/>
  <c r="G4"/>
  <c r="E4"/>
  <c r="C4"/>
  <c r="D7" i="20"/>
  <c r="B7"/>
  <c r="M10" i="18"/>
  <c r="N10" s="1"/>
  <c r="F10"/>
  <c r="G10" s="1"/>
  <c r="M9"/>
  <c r="N9" s="1"/>
  <c r="F9"/>
  <c r="G9" s="1"/>
  <c r="N8"/>
  <c r="M8"/>
  <c r="F8"/>
  <c r="G8" s="1"/>
  <c r="F7"/>
  <c r="G7" s="1"/>
  <c r="M6"/>
  <c r="N6" s="1"/>
  <c r="F6"/>
  <c r="G6" s="1"/>
  <c r="M7" i="8"/>
  <c r="M14" s="1"/>
  <c r="Q7"/>
  <c r="Q14" s="1"/>
  <c r="O6"/>
  <c r="O13" s="1"/>
  <c r="P6"/>
  <c r="P13" s="1"/>
  <c r="L6"/>
  <c r="L13" s="1"/>
  <c r="K6"/>
  <c r="K13" s="1"/>
  <c r="F15" i="22"/>
  <c r="E15"/>
  <c r="D15"/>
  <c r="C15"/>
  <c r="B15"/>
  <c r="F14"/>
  <c r="E14"/>
  <c r="D14"/>
  <c r="C14"/>
  <c r="B14"/>
  <c r="F13"/>
  <c r="E13"/>
  <c r="D13"/>
  <c r="C13"/>
  <c r="G13" s="1"/>
  <c r="B13"/>
  <c r="F12"/>
  <c r="E12"/>
  <c r="D12"/>
  <c r="C12"/>
  <c r="B12"/>
  <c r="F11"/>
  <c r="E11"/>
  <c r="D11"/>
  <c r="C11"/>
  <c r="B11"/>
  <c r="J9" i="15"/>
  <c r="J8"/>
  <c r="J7"/>
  <c r="J6"/>
  <c r="E8"/>
  <c r="E7"/>
  <c r="E6"/>
  <c r="J10" i="16"/>
  <c r="J9"/>
  <c r="J8"/>
  <c r="G7"/>
  <c r="F10"/>
  <c r="F9"/>
  <c r="F8"/>
  <c r="C7"/>
  <c r="D14"/>
  <c r="C14"/>
  <c r="I10" i="17"/>
  <c r="H16" s="1"/>
  <c r="I9"/>
  <c r="H15" s="1"/>
  <c r="I8"/>
  <c r="H14" s="1"/>
  <c r="I7"/>
  <c r="E8"/>
  <c r="E9"/>
  <c r="F15" s="1"/>
  <c r="E10"/>
  <c r="E7"/>
  <c r="C16"/>
  <c r="B16"/>
  <c r="C15"/>
  <c r="B15"/>
  <c r="C14"/>
  <c r="B14"/>
  <c r="C13"/>
  <c r="B13"/>
  <c r="Q11" i="14"/>
  <c r="M11"/>
  <c r="I11"/>
  <c r="E11"/>
  <c r="Q10"/>
  <c r="M10"/>
  <c r="I10"/>
  <c r="E10"/>
  <c r="Q9"/>
  <c r="M9"/>
  <c r="I9"/>
  <c r="E9"/>
  <c r="Q8"/>
  <c r="M8"/>
  <c r="I8"/>
  <c r="E8"/>
  <c r="Q7"/>
  <c r="M7"/>
  <c r="I7"/>
  <c r="E7"/>
  <c r="Q6"/>
  <c r="M6"/>
  <c r="I6"/>
  <c r="E6"/>
  <c r="E27" i="11"/>
  <c r="E28"/>
  <c r="E29"/>
  <c r="E30"/>
  <c r="E26"/>
  <c r="G19"/>
  <c r="E19"/>
  <c r="C19"/>
  <c r="H19" s="1"/>
  <c r="G18"/>
  <c r="E18"/>
  <c r="H18" s="1"/>
  <c r="C18"/>
  <c r="I17"/>
  <c r="O17" s="1"/>
  <c r="G17"/>
  <c r="K17" s="1"/>
  <c r="U17" s="1"/>
  <c r="E17"/>
  <c r="C17"/>
  <c r="H17" s="1"/>
  <c r="H16"/>
  <c r="J16" s="1"/>
  <c r="G16"/>
  <c r="E16"/>
  <c r="I16" s="1"/>
  <c r="O16" s="1"/>
  <c r="C16"/>
  <c r="G15"/>
  <c r="E15"/>
  <c r="C15"/>
  <c r="H15" s="1"/>
  <c r="G14"/>
  <c r="E14"/>
  <c r="H14" s="1"/>
  <c r="C14"/>
  <c r="G13"/>
  <c r="E13"/>
  <c r="C13"/>
  <c r="I13" s="1"/>
  <c r="O13" s="1"/>
  <c r="H12"/>
  <c r="J12" s="1"/>
  <c r="G12"/>
  <c r="K12" s="1"/>
  <c r="U12" s="1"/>
  <c r="E12"/>
  <c r="I12" s="1"/>
  <c r="O12" s="1"/>
  <c r="C12"/>
  <c r="G11"/>
  <c r="E11"/>
  <c r="C11"/>
  <c r="H11" s="1"/>
  <c r="G10"/>
  <c r="E10"/>
  <c r="H10" s="1"/>
  <c r="C10"/>
  <c r="G9"/>
  <c r="E9"/>
  <c r="C9"/>
  <c r="H9" s="1"/>
  <c r="H8"/>
  <c r="L8" s="1"/>
  <c r="G8"/>
  <c r="E8"/>
  <c r="I8" s="1"/>
  <c r="O8" s="1"/>
  <c r="C8"/>
  <c r="G7"/>
  <c r="E7"/>
  <c r="C7"/>
  <c r="H7" s="1"/>
  <c r="G6"/>
  <c r="E6"/>
  <c r="H6" s="1"/>
  <c r="C6"/>
  <c r="G5"/>
  <c r="E5"/>
  <c r="C5"/>
  <c r="I5" s="1"/>
  <c r="O5" s="1"/>
  <c r="O9" i="13"/>
  <c r="N11"/>
  <c r="O11" s="1"/>
  <c r="N10"/>
  <c r="O10" s="1"/>
  <c r="N9"/>
  <c r="N8"/>
  <c r="O8" s="1"/>
  <c r="N7"/>
  <c r="O7" s="1"/>
  <c r="H8"/>
  <c r="H9"/>
  <c r="H10"/>
  <c r="H11"/>
  <c r="H7"/>
  <c r="G11"/>
  <c r="G10"/>
  <c r="G9"/>
  <c r="G8"/>
  <c r="G7"/>
  <c r="D22"/>
  <c r="E15" i="12"/>
  <c r="E12"/>
  <c r="G6"/>
  <c r="G7"/>
  <c r="G8"/>
  <c r="G9"/>
  <c r="G5"/>
  <c r="F9"/>
  <c r="F8"/>
  <c r="F7"/>
  <c r="F6"/>
  <c r="F5"/>
  <c r="N10" i="9"/>
  <c r="J10"/>
  <c r="F10"/>
  <c r="N9"/>
  <c r="J9"/>
  <c r="F9"/>
  <c r="N8"/>
  <c r="J8"/>
  <c r="F8"/>
  <c r="N7"/>
  <c r="J7"/>
  <c r="F7"/>
  <c r="N6"/>
  <c r="J6"/>
  <c r="F6"/>
  <c r="P7" i="8"/>
  <c r="P14" s="1"/>
  <c r="O7"/>
  <c r="O14" s="1"/>
  <c r="L7"/>
  <c r="L14" s="1"/>
  <c r="K7"/>
  <c r="K14" s="1"/>
  <c r="Q6"/>
  <c r="Q13" s="1"/>
  <c r="M6"/>
  <c r="M13" s="1"/>
  <c r="E33" i="7"/>
  <c r="C33"/>
  <c r="E32"/>
  <c r="C32"/>
  <c r="E31"/>
  <c r="C31"/>
  <c r="E30"/>
  <c r="C30"/>
  <c r="E29"/>
  <c r="C29"/>
  <c r="E28"/>
  <c r="C28"/>
  <c r="E27"/>
  <c r="H27" s="1"/>
  <c r="C27"/>
  <c r="E26"/>
  <c r="C26"/>
  <c r="E25"/>
  <c r="C25"/>
  <c r="E24"/>
  <c r="C24"/>
  <c r="E23"/>
  <c r="C23"/>
  <c r="E22"/>
  <c r="C22"/>
  <c r="E39"/>
  <c r="C39"/>
  <c r="E38"/>
  <c r="C38"/>
  <c r="E37"/>
  <c r="C37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10" i="5"/>
  <c r="F10" s="1"/>
  <c r="E11"/>
  <c r="F11" s="1"/>
  <c r="E13"/>
  <c r="F13" s="1"/>
  <c r="E12"/>
  <c r="F12" s="1"/>
  <c r="H12" s="1"/>
  <c r="E15"/>
  <c r="F15" s="1"/>
  <c r="E16"/>
  <c r="F16" s="1"/>
  <c r="E18"/>
  <c r="F18" s="1"/>
  <c r="E17"/>
  <c r="F17" s="1"/>
  <c r="E6"/>
  <c r="F6" s="1"/>
  <c r="E8"/>
  <c r="F8" s="1"/>
  <c r="E7"/>
  <c r="F7" s="1"/>
  <c r="E5"/>
  <c r="F5" s="1"/>
  <c r="G7" i="4"/>
  <c r="H7" s="1"/>
  <c r="G8"/>
  <c r="H8" s="1"/>
  <c r="G9"/>
  <c r="H9" s="1"/>
  <c r="G11"/>
  <c r="H11" s="1"/>
  <c r="G13"/>
  <c r="H13" s="1"/>
  <c r="G12"/>
  <c r="H12" s="1"/>
  <c r="G14"/>
  <c r="H14" s="1"/>
  <c r="G6"/>
  <c r="H6" s="1"/>
  <c r="F7" i="16" l="1"/>
  <c r="F14"/>
  <c r="J7"/>
  <c r="I14"/>
  <c r="H5" i="7"/>
  <c r="H13"/>
  <c r="G21"/>
  <c r="G20"/>
  <c r="G25"/>
  <c r="H32"/>
  <c r="H16"/>
  <c r="H17"/>
  <c r="G6"/>
  <c r="H15"/>
  <c r="H22"/>
  <c r="G30"/>
  <c r="G19"/>
  <c r="G17"/>
  <c r="G18"/>
  <c r="G11"/>
  <c r="G13"/>
  <c r="G29"/>
  <c r="H6"/>
  <c r="H8"/>
  <c r="H12"/>
  <c r="G28"/>
  <c r="G31"/>
  <c r="G10"/>
  <c r="G38"/>
  <c r="G4"/>
  <c r="H7"/>
  <c r="G9"/>
  <c r="H11"/>
  <c r="G14"/>
  <c r="H37"/>
  <c r="G39"/>
  <c r="H23"/>
  <c r="G33"/>
  <c r="H35"/>
  <c r="G16"/>
  <c r="H18"/>
  <c r="H19"/>
  <c r="H24"/>
  <c r="H29"/>
  <c r="H36"/>
  <c r="G8"/>
  <c r="H10"/>
  <c r="G37"/>
  <c r="H38"/>
  <c r="G23"/>
  <c r="G32"/>
  <c r="G7"/>
  <c r="G22"/>
  <c r="H25"/>
  <c r="G26"/>
  <c r="H30"/>
  <c r="I30" s="1"/>
  <c r="J30" s="1"/>
  <c r="H31"/>
  <c r="G36"/>
  <c r="G35"/>
  <c r="I35" s="1"/>
  <c r="J35" s="1"/>
  <c r="H20"/>
  <c r="I20" s="1"/>
  <c r="J20" s="1"/>
  <c r="H21"/>
  <c r="I21" s="1"/>
  <c r="J21" s="1"/>
  <c r="G5"/>
  <c r="G12"/>
  <c r="G15"/>
  <c r="G24"/>
  <c r="G27"/>
  <c r="I27" s="1"/>
  <c r="J27" s="1"/>
  <c r="H34"/>
  <c r="G34"/>
  <c r="H11" i="24"/>
  <c r="G9"/>
  <c r="B42" i="20"/>
  <c r="F42" s="1"/>
  <c r="H42" s="1"/>
  <c r="B43"/>
  <c r="F43" s="1"/>
  <c r="H43" s="1"/>
  <c r="I41" s="1"/>
  <c r="B35"/>
  <c r="F35" s="1"/>
  <c r="H35" s="1"/>
  <c r="D36"/>
  <c r="F36" s="1"/>
  <c r="H36" s="1"/>
  <c r="I35" s="1"/>
  <c r="B26"/>
  <c r="D26"/>
  <c r="R13" i="21"/>
  <c r="K13"/>
  <c r="U13" s="1"/>
  <c r="J12"/>
  <c r="H11"/>
  <c r="L11" s="1"/>
  <c r="R11" s="1"/>
  <c r="I7"/>
  <c r="K17"/>
  <c r="U17" s="1"/>
  <c r="K11"/>
  <c r="U11" s="1"/>
  <c r="I8"/>
  <c r="P7" s="1"/>
  <c r="J9"/>
  <c r="M10"/>
  <c r="I12"/>
  <c r="O12" s="1"/>
  <c r="R12" s="1"/>
  <c r="J13"/>
  <c r="I16"/>
  <c r="J10"/>
  <c r="J14"/>
  <c r="J18"/>
  <c r="I10"/>
  <c r="O10" s="1"/>
  <c r="R10" s="1"/>
  <c r="J11"/>
  <c r="I14"/>
  <c r="J15"/>
  <c r="I18"/>
  <c r="O18" s="1"/>
  <c r="R18" s="1"/>
  <c r="T16" s="1"/>
  <c r="G14" i="22"/>
  <c r="G12"/>
  <c r="G11"/>
  <c r="G15"/>
  <c r="L6" i="11"/>
  <c r="R8"/>
  <c r="L15"/>
  <c r="L18"/>
  <c r="K7"/>
  <c r="U7" s="1"/>
  <c r="K13"/>
  <c r="U13" s="1"/>
  <c r="L11"/>
  <c r="J17"/>
  <c r="L17"/>
  <c r="K8"/>
  <c r="U8" s="1"/>
  <c r="K14"/>
  <c r="U14" s="1"/>
  <c r="L7"/>
  <c r="J7"/>
  <c r="L14"/>
  <c r="L19"/>
  <c r="J19"/>
  <c r="L9"/>
  <c r="N8" s="1"/>
  <c r="L10"/>
  <c r="J10"/>
  <c r="K10"/>
  <c r="U10" s="1"/>
  <c r="K16"/>
  <c r="U16" s="1"/>
  <c r="I9"/>
  <c r="O9" s="1"/>
  <c r="Q8" s="1"/>
  <c r="L12"/>
  <c r="R12" s="1"/>
  <c r="L16"/>
  <c r="R16" s="1"/>
  <c r="H5"/>
  <c r="K5" s="1"/>
  <c r="U5" s="1"/>
  <c r="I6"/>
  <c r="O6" s="1"/>
  <c r="Q5" s="1"/>
  <c r="I10"/>
  <c r="O10" s="1"/>
  <c r="H13"/>
  <c r="I14"/>
  <c r="O14" s="1"/>
  <c r="I18"/>
  <c r="O18" s="1"/>
  <c r="P17" s="1"/>
  <c r="I7"/>
  <c r="O7" s="1"/>
  <c r="J8"/>
  <c r="I11"/>
  <c r="O11" s="1"/>
  <c r="I15"/>
  <c r="O15" s="1"/>
  <c r="I19"/>
  <c r="O19" s="1"/>
  <c r="H4" i="7"/>
  <c r="H9"/>
  <c r="H14"/>
  <c r="H39"/>
  <c r="H26"/>
  <c r="H28"/>
  <c r="H33"/>
  <c r="H10" i="5"/>
  <c r="I8" i="7" l="1"/>
  <c r="J8" s="1"/>
  <c r="I19"/>
  <c r="J19" s="1"/>
  <c r="L19" s="1"/>
  <c r="I5"/>
  <c r="J5" s="1"/>
  <c r="I25"/>
  <c r="J25" s="1"/>
  <c r="I6"/>
  <c r="J6" s="1"/>
  <c r="I13"/>
  <c r="J13" s="1"/>
  <c r="I32"/>
  <c r="J32" s="1"/>
  <c r="I24"/>
  <c r="J24" s="1"/>
  <c r="I12"/>
  <c r="J12" s="1"/>
  <c r="I16"/>
  <c r="J16" s="1"/>
  <c r="I17"/>
  <c r="J17" s="1"/>
  <c r="I7"/>
  <c r="J7" s="1"/>
  <c r="I28"/>
  <c r="J28" s="1"/>
  <c r="I9"/>
  <c r="J9" s="1"/>
  <c r="I15"/>
  <c r="J15" s="1"/>
  <c r="I31"/>
  <c r="J31" s="1"/>
  <c r="I22"/>
  <c r="J22" s="1"/>
  <c r="I18"/>
  <c r="J18" s="1"/>
  <c r="I11"/>
  <c r="J11" s="1"/>
  <c r="I38"/>
  <c r="J38" s="1"/>
  <c r="I29"/>
  <c r="J29" s="1"/>
  <c r="I33"/>
  <c r="J33" s="1"/>
  <c r="I14"/>
  <c r="J14" s="1"/>
  <c r="K13" s="1"/>
  <c r="I26"/>
  <c r="I4"/>
  <c r="I36"/>
  <c r="J36" s="1"/>
  <c r="I23"/>
  <c r="J23" s="1"/>
  <c r="I10"/>
  <c r="J10" s="1"/>
  <c r="I39"/>
  <c r="J39" s="1"/>
  <c r="I37"/>
  <c r="J37" s="1"/>
  <c r="K19"/>
  <c r="I34"/>
  <c r="J34" s="1"/>
  <c r="F26" i="20"/>
  <c r="H26" s="1"/>
  <c r="I26" s="1"/>
  <c r="S16" i="21"/>
  <c r="O14"/>
  <c r="P13" s="1"/>
  <c r="N10"/>
  <c r="N13"/>
  <c r="P10"/>
  <c r="Q10"/>
  <c r="T10"/>
  <c r="S10"/>
  <c r="J7"/>
  <c r="J8"/>
  <c r="Q7"/>
  <c r="K7"/>
  <c r="U7" s="1"/>
  <c r="K12"/>
  <c r="U12" s="1"/>
  <c r="K10"/>
  <c r="U10" s="1"/>
  <c r="K8"/>
  <c r="U8" s="1"/>
  <c r="M13"/>
  <c r="N16"/>
  <c r="M16"/>
  <c r="P16"/>
  <c r="Q16"/>
  <c r="R8"/>
  <c r="K16"/>
  <c r="U16" s="1"/>
  <c r="K15"/>
  <c r="U15" s="1"/>
  <c r="K14"/>
  <c r="U14" s="1"/>
  <c r="K18"/>
  <c r="U18" s="1"/>
  <c r="W14" i="11"/>
  <c r="R17"/>
  <c r="N17"/>
  <c r="M17"/>
  <c r="R14"/>
  <c r="N14"/>
  <c r="M14"/>
  <c r="R11"/>
  <c r="S8"/>
  <c r="K6"/>
  <c r="U6" s="1"/>
  <c r="W5" s="1"/>
  <c r="Q17"/>
  <c r="J15"/>
  <c r="P5"/>
  <c r="K11"/>
  <c r="U11" s="1"/>
  <c r="R10"/>
  <c r="R19"/>
  <c r="R7"/>
  <c r="K19"/>
  <c r="U19" s="1"/>
  <c r="R18"/>
  <c r="J13"/>
  <c r="L13"/>
  <c r="R13" s="1"/>
  <c r="V8"/>
  <c r="W8"/>
  <c r="P8"/>
  <c r="M8"/>
  <c r="J14"/>
  <c r="J11"/>
  <c r="J18"/>
  <c r="R6"/>
  <c r="P11"/>
  <c r="Q11"/>
  <c r="P14"/>
  <c r="Q14"/>
  <c r="J5"/>
  <c r="L5"/>
  <c r="R9"/>
  <c r="T8" s="1"/>
  <c r="K18"/>
  <c r="U18" s="1"/>
  <c r="K15"/>
  <c r="U15" s="1"/>
  <c r="V14" s="1"/>
  <c r="J9"/>
  <c r="K9"/>
  <c r="U9" s="1"/>
  <c r="R15"/>
  <c r="J6"/>
  <c r="K10" i="7"/>
  <c r="L22" l="1"/>
  <c r="L28"/>
  <c r="L37"/>
  <c r="L16"/>
  <c r="L13"/>
  <c r="L34"/>
  <c r="L10"/>
  <c r="L31"/>
  <c r="L7"/>
  <c r="K4"/>
  <c r="J4"/>
  <c r="L4" s="1"/>
  <c r="K28"/>
  <c r="K7"/>
  <c r="K16"/>
  <c r="J26"/>
  <c r="K25" s="1"/>
  <c r="K37"/>
  <c r="K31"/>
  <c r="K22"/>
  <c r="K34"/>
  <c r="R14" i="21"/>
  <c r="Q13"/>
  <c r="M7"/>
  <c r="R7"/>
  <c r="N7"/>
  <c r="V13"/>
  <c r="W13"/>
  <c r="V10"/>
  <c r="W10"/>
  <c r="V16"/>
  <c r="W16"/>
  <c r="V7"/>
  <c r="W7"/>
  <c r="V17" i="11"/>
  <c r="W17"/>
  <c r="W11"/>
  <c r="V11"/>
  <c r="T11"/>
  <c r="S11"/>
  <c r="S14"/>
  <c r="T14"/>
  <c r="R5"/>
  <c r="N5"/>
  <c r="M5"/>
  <c r="S17"/>
  <c r="T17"/>
  <c r="M11"/>
  <c r="N11"/>
  <c r="V5"/>
  <c r="L25" i="7" l="1"/>
  <c r="S13" i="21"/>
  <c r="T13"/>
  <c r="S7"/>
  <c r="T7"/>
  <c r="S5" i="11"/>
  <c r="T5"/>
</calcChain>
</file>

<file path=xl/sharedStrings.xml><?xml version="1.0" encoding="utf-8"?>
<sst xmlns="http://schemas.openxmlformats.org/spreadsheetml/2006/main" count="568" uniqueCount="248">
  <si>
    <t xml:space="preserve">ck </t>
    <phoneticPr fontId="3" type="noConversion"/>
  </si>
  <si>
    <r>
      <t>P</t>
    </r>
    <r>
      <rPr>
        <sz val="12"/>
        <rFont val="宋体"/>
        <family val="3"/>
        <charset val="134"/>
      </rPr>
      <t>PM</t>
    </r>
    <phoneticPr fontId="3" type="noConversion"/>
  </si>
  <si>
    <t xml:space="preserve">CK </t>
    <phoneticPr fontId="1" type="noConversion"/>
  </si>
  <si>
    <t>0.1mM(NH4)2SO4</t>
    <phoneticPr fontId="1" type="noConversion"/>
  </si>
  <si>
    <t>405-37</t>
    <phoneticPr fontId="1" type="noConversion"/>
  </si>
  <si>
    <t>405-54</t>
    <phoneticPr fontId="1" type="noConversion"/>
  </si>
  <si>
    <t>(NH4)2SO4</t>
    <phoneticPr fontId="1" type="noConversion"/>
  </si>
  <si>
    <t>405-58</t>
    <phoneticPr fontId="1" type="noConversion"/>
  </si>
  <si>
    <t>404-37</t>
    <phoneticPr fontId="1" type="noConversion"/>
  </si>
  <si>
    <t>ck</t>
    <phoneticPr fontId="1" type="noConversion"/>
  </si>
  <si>
    <r>
      <t>(NH</t>
    </r>
    <r>
      <rPr>
        <vertAlign val="sub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>)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SO</t>
    </r>
    <r>
      <rPr>
        <vertAlign val="subscript"/>
        <sz val="11"/>
        <color theme="1"/>
        <rFont val="宋体"/>
        <family val="3"/>
        <charset val="134"/>
        <scheme val="minor"/>
      </rPr>
      <t>4</t>
    </r>
    <phoneticPr fontId="1" type="noConversion"/>
  </si>
  <si>
    <t>NaN3</t>
    <phoneticPr fontId="1" type="noConversion"/>
  </si>
  <si>
    <t>CK</t>
    <phoneticPr fontId="1" type="noConversion"/>
  </si>
  <si>
    <t>405-52</t>
    <phoneticPr fontId="1" type="noConversion"/>
  </si>
  <si>
    <t>KCN10</t>
    <phoneticPr fontId="1" type="noConversion"/>
  </si>
  <si>
    <t>YB2082</t>
    <phoneticPr fontId="1" type="noConversion"/>
  </si>
  <si>
    <t>YB1538</t>
    <phoneticPr fontId="1" type="noConversion"/>
  </si>
  <si>
    <t>YB654</t>
    <phoneticPr fontId="1" type="noConversion"/>
  </si>
  <si>
    <t>YB1876</t>
    <phoneticPr fontId="1" type="noConversion"/>
  </si>
  <si>
    <t>KCN-10</t>
    <phoneticPr fontId="1" type="noConversion"/>
  </si>
  <si>
    <t>KCN-20</t>
    <phoneticPr fontId="1" type="noConversion"/>
  </si>
  <si>
    <t>NaN3-0.65</t>
    <phoneticPr fontId="1" type="noConversion"/>
  </si>
  <si>
    <t>NaN3-1.35</t>
    <phoneticPr fontId="1" type="noConversion"/>
  </si>
  <si>
    <t>405-62</t>
    <phoneticPr fontId="1" type="noConversion"/>
  </si>
  <si>
    <r>
      <t>30mg KNO</t>
    </r>
    <r>
      <rPr>
        <vertAlign val="subscript"/>
        <sz val="11"/>
        <color theme="1"/>
        <rFont val="宋体"/>
        <family val="3"/>
        <charset val="134"/>
        <scheme val="minor"/>
      </rPr>
      <t>3</t>
    </r>
    <phoneticPr fontId="1" type="noConversion"/>
  </si>
  <si>
    <t>KCN</t>
    <phoneticPr fontId="1" type="noConversion"/>
  </si>
  <si>
    <t>404-37+FD</t>
    <phoneticPr fontId="1" type="noConversion"/>
  </si>
  <si>
    <t>405-58+FD</t>
    <phoneticPr fontId="1" type="noConversion"/>
  </si>
  <si>
    <t>WT</t>
    <phoneticPr fontId="1" type="noConversion"/>
  </si>
  <si>
    <r>
      <t>W</t>
    </r>
    <r>
      <rPr>
        <sz val="12"/>
        <rFont val="宋体"/>
        <family val="3"/>
        <charset val="134"/>
      </rPr>
      <t>T</t>
    </r>
    <phoneticPr fontId="3" type="noConversion"/>
  </si>
  <si>
    <t>CK</t>
    <phoneticPr fontId="3" type="noConversion"/>
  </si>
  <si>
    <r>
      <t>c</t>
    </r>
    <r>
      <rPr>
        <sz val="12"/>
        <rFont val="宋体"/>
        <family val="3"/>
        <charset val="134"/>
      </rPr>
      <t>k</t>
    </r>
    <phoneticPr fontId="3" type="noConversion"/>
  </si>
  <si>
    <t>up</t>
    <phoneticPr fontId="1" type="noConversion"/>
  </si>
  <si>
    <t>down</t>
    <phoneticPr fontId="1" type="noConversion"/>
  </si>
  <si>
    <t>37+FD</t>
    <phoneticPr fontId="1" type="noConversion"/>
  </si>
  <si>
    <t>ck(fresh weight)</t>
    <phoneticPr fontId="1" type="noConversion"/>
  </si>
  <si>
    <t>mg</t>
    <phoneticPr fontId="1" type="noConversion"/>
  </si>
  <si>
    <t>N50(KNO3=50mg/L)</t>
    <phoneticPr fontId="1" type="noConversion"/>
  </si>
  <si>
    <t>NON(KNO3=0mg/L)</t>
    <phoneticPr fontId="1" type="noConversion"/>
  </si>
  <si>
    <t>OD665</t>
    <phoneticPr fontId="3" type="noConversion"/>
  </si>
  <si>
    <t>OD649</t>
    <phoneticPr fontId="3" type="noConversion"/>
  </si>
  <si>
    <t>Ca</t>
    <phoneticPr fontId="3" type="noConversion"/>
  </si>
  <si>
    <t>Cb</t>
    <phoneticPr fontId="3" type="noConversion"/>
  </si>
  <si>
    <t>C(a+b)</t>
    <phoneticPr fontId="3" type="noConversion"/>
  </si>
  <si>
    <r>
      <t>WT1</t>
    </r>
    <r>
      <rPr>
        <sz val="12"/>
        <rFont val="宋体"/>
        <family val="3"/>
        <charset val="134"/>
      </rPr>
      <t>(60%O2)</t>
    </r>
    <phoneticPr fontId="3" type="noConversion"/>
  </si>
  <si>
    <r>
      <t>W</t>
    </r>
    <r>
      <rPr>
        <sz val="12"/>
        <rFont val="宋体"/>
        <family val="3"/>
        <charset val="134"/>
      </rPr>
      <t>T1(air)</t>
    </r>
    <phoneticPr fontId="3" type="noConversion"/>
  </si>
  <si>
    <r>
      <t>WT</t>
    </r>
    <r>
      <rPr>
        <sz val="12"/>
        <rFont val="宋体"/>
        <family val="3"/>
        <charset val="134"/>
      </rPr>
      <t>1(5%O2)</t>
    </r>
    <phoneticPr fontId="3" type="noConversion"/>
  </si>
  <si>
    <r>
      <t>405-54</t>
    </r>
    <r>
      <rPr>
        <sz val="12"/>
        <rFont val="宋体"/>
        <family val="3"/>
        <charset val="134"/>
      </rPr>
      <t>(60%O2)</t>
    </r>
    <phoneticPr fontId="3" type="noConversion"/>
  </si>
  <si>
    <r>
      <t>404-37-1</t>
    </r>
    <r>
      <rPr>
        <sz val="12"/>
        <rFont val="宋体"/>
        <family val="3"/>
        <charset val="134"/>
      </rPr>
      <t>(60%)</t>
    </r>
    <phoneticPr fontId="3" type="noConversion"/>
  </si>
  <si>
    <r>
      <t>404-37-2</t>
    </r>
    <r>
      <rPr>
        <sz val="12"/>
        <rFont val="宋体"/>
        <family val="3"/>
        <charset val="134"/>
      </rPr>
      <t>(air)</t>
    </r>
    <phoneticPr fontId="3" type="noConversion"/>
  </si>
  <si>
    <r>
      <t>404-37-3</t>
    </r>
    <r>
      <rPr>
        <sz val="12"/>
        <rFont val="宋体"/>
        <family val="3"/>
        <charset val="134"/>
      </rPr>
      <t>(5%O2)</t>
    </r>
    <phoneticPr fontId="3" type="noConversion"/>
  </si>
  <si>
    <r>
      <t>405-58-1</t>
    </r>
    <r>
      <rPr>
        <sz val="12"/>
        <rFont val="宋体"/>
        <family val="3"/>
        <charset val="134"/>
      </rPr>
      <t>(60%O2)</t>
    </r>
    <phoneticPr fontId="3" type="noConversion"/>
  </si>
  <si>
    <t>405-58-3(5%O2)</t>
    <phoneticPr fontId="3" type="noConversion"/>
  </si>
  <si>
    <t>404-37</t>
    <phoneticPr fontId="3" type="noConversion"/>
  </si>
  <si>
    <t>405-58</t>
    <phoneticPr fontId="3" type="noConversion"/>
  </si>
  <si>
    <t>405-54</t>
    <phoneticPr fontId="3" type="noConversion"/>
  </si>
  <si>
    <t>-</t>
    <phoneticPr fontId="1" type="noConversion"/>
  </si>
  <si>
    <t>CK</t>
    <phoneticPr fontId="1" type="noConversion"/>
  </si>
  <si>
    <t>Fig5I</t>
    <phoneticPr fontId="1" type="noConversion"/>
  </si>
  <si>
    <t>Fig5H</t>
    <phoneticPr fontId="1" type="noConversion"/>
  </si>
  <si>
    <t>Fresh weight</t>
    <phoneticPr fontId="1" type="noConversion"/>
  </si>
  <si>
    <t>5 plants</t>
    <phoneticPr fontId="1" type="noConversion"/>
  </si>
  <si>
    <r>
      <t>KCN(10</t>
    </r>
    <r>
      <rPr>
        <sz val="11"/>
        <color theme="1"/>
        <rFont val="Times New Roman"/>
        <family val="1"/>
      </rPr>
      <t>µ</t>
    </r>
    <r>
      <rPr>
        <sz val="11"/>
        <color theme="1"/>
        <rFont val="宋体"/>
        <family val="2"/>
        <charset val="134"/>
        <scheme val="minor"/>
      </rPr>
      <t>g/L)</t>
    </r>
    <phoneticPr fontId="1" type="noConversion"/>
  </si>
  <si>
    <t>Fresh weight (5 plants)</t>
    <phoneticPr fontId="1" type="noConversion"/>
  </si>
  <si>
    <t>NaN3(10µM)</t>
    <phoneticPr fontId="1" type="noConversion"/>
  </si>
  <si>
    <t>Fig5F</t>
    <phoneticPr fontId="1" type="noConversion"/>
  </si>
  <si>
    <t>30mg/L KNO3</t>
    <phoneticPr fontId="1" type="noConversion"/>
  </si>
  <si>
    <t>long-day</t>
    <phoneticPr fontId="1" type="noConversion"/>
  </si>
  <si>
    <t>Short-day</t>
    <phoneticPr fontId="1" type="noConversion"/>
  </si>
  <si>
    <t>30days</t>
    <phoneticPr fontId="1" type="noConversion"/>
  </si>
  <si>
    <t>OD470</t>
    <phoneticPr fontId="3" type="noConversion"/>
  </si>
  <si>
    <t>Cx.c</t>
    <phoneticPr fontId="3" type="noConversion"/>
  </si>
  <si>
    <t>WT1</t>
    <phoneticPr fontId="3" type="noConversion"/>
  </si>
  <si>
    <t>WT2</t>
    <phoneticPr fontId="3" type="noConversion"/>
  </si>
  <si>
    <t>WT3</t>
    <phoneticPr fontId="3" type="noConversion"/>
  </si>
  <si>
    <r>
      <t>YB</t>
    </r>
    <r>
      <rPr>
        <sz val="11"/>
        <color theme="1"/>
        <rFont val="宋体"/>
        <family val="2"/>
        <charset val="134"/>
        <scheme val="minor"/>
      </rPr>
      <t>2082</t>
    </r>
    <r>
      <rPr>
        <sz val="12"/>
        <rFont val="宋体"/>
        <family val="3"/>
        <charset val="134"/>
      </rPr>
      <t>-1</t>
    </r>
    <phoneticPr fontId="3" type="noConversion"/>
  </si>
  <si>
    <t>YB2082-2</t>
    <phoneticPr fontId="3" type="noConversion"/>
  </si>
  <si>
    <t>YB2082-3</t>
    <phoneticPr fontId="3" type="noConversion"/>
  </si>
  <si>
    <r>
      <t>YB</t>
    </r>
    <r>
      <rPr>
        <sz val="12"/>
        <rFont val="宋体"/>
        <family val="3"/>
        <charset val="134"/>
      </rPr>
      <t>1538</t>
    </r>
    <r>
      <rPr>
        <sz val="11"/>
        <color theme="1"/>
        <rFont val="宋体"/>
        <family val="2"/>
        <charset val="134"/>
        <scheme val="minor"/>
      </rPr>
      <t>-1</t>
    </r>
    <phoneticPr fontId="3" type="noConversion"/>
  </si>
  <si>
    <t>YB1538-2</t>
    <phoneticPr fontId="3" type="noConversion"/>
  </si>
  <si>
    <t>YB1538-3</t>
    <phoneticPr fontId="3" type="noConversion"/>
  </si>
  <si>
    <r>
      <t>Y</t>
    </r>
    <r>
      <rPr>
        <sz val="12"/>
        <rFont val="宋体"/>
        <family val="3"/>
        <charset val="134"/>
      </rPr>
      <t>B654</t>
    </r>
    <r>
      <rPr>
        <sz val="11"/>
        <color theme="1"/>
        <rFont val="宋体"/>
        <family val="2"/>
        <charset val="134"/>
        <scheme val="minor"/>
      </rPr>
      <t>-1</t>
    </r>
    <phoneticPr fontId="3" type="noConversion"/>
  </si>
  <si>
    <t>YB654-2</t>
    <phoneticPr fontId="3" type="noConversion"/>
  </si>
  <si>
    <t>YB654-3</t>
    <phoneticPr fontId="3" type="noConversion"/>
  </si>
  <si>
    <r>
      <t>Y</t>
    </r>
    <r>
      <rPr>
        <sz val="12"/>
        <rFont val="宋体"/>
        <family val="3"/>
        <charset val="134"/>
      </rPr>
      <t>B1876</t>
    </r>
    <r>
      <rPr>
        <sz val="11"/>
        <color theme="1"/>
        <rFont val="宋体"/>
        <family val="2"/>
        <charset val="134"/>
        <scheme val="minor"/>
      </rPr>
      <t>-1</t>
    </r>
    <phoneticPr fontId="3" type="noConversion"/>
  </si>
  <si>
    <t>YB1876-2</t>
    <phoneticPr fontId="3" type="noConversion"/>
  </si>
  <si>
    <t>YB1876-3</t>
    <phoneticPr fontId="3" type="noConversion"/>
  </si>
  <si>
    <t>Ca+b</t>
    <phoneticPr fontId="3" type="noConversion"/>
  </si>
  <si>
    <t>WT</t>
    <phoneticPr fontId="3" type="noConversion"/>
  </si>
  <si>
    <r>
      <t>YB</t>
    </r>
    <r>
      <rPr>
        <sz val="11"/>
        <color theme="1"/>
        <rFont val="宋体"/>
        <family val="2"/>
        <charset val="134"/>
        <scheme val="minor"/>
      </rPr>
      <t>2082</t>
    </r>
    <phoneticPr fontId="3" type="noConversion"/>
  </si>
  <si>
    <r>
      <t>YB</t>
    </r>
    <r>
      <rPr>
        <sz val="12"/>
        <rFont val="宋体"/>
        <family val="3"/>
        <charset val="134"/>
      </rPr>
      <t>1538</t>
    </r>
    <phoneticPr fontId="3" type="noConversion"/>
  </si>
  <si>
    <r>
      <t>Y</t>
    </r>
    <r>
      <rPr>
        <sz val="12"/>
        <rFont val="宋体"/>
        <family val="3"/>
        <charset val="134"/>
      </rPr>
      <t>B654</t>
    </r>
    <phoneticPr fontId="3" type="noConversion"/>
  </si>
  <si>
    <r>
      <t>Y</t>
    </r>
    <r>
      <rPr>
        <sz val="12"/>
        <rFont val="宋体"/>
        <family val="3"/>
        <charset val="134"/>
      </rPr>
      <t>B1876</t>
    </r>
    <phoneticPr fontId="3" type="noConversion"/>
  </si>
  <si>
    <t>Ca+b/gFW</t>
    <phoneticPr fontId="3" type="noConversion"/>
  </si>
  <si>
    <t>Fig5E</t>
    <phoneticPr fontId="3" type="noConversion"/>
  </si>
  <si>
    <t>short-day</t>
    <phoneticPr fontId="1" type="noConversion"/>
  </si>
  <si>
    <t>15days</t>
    <phoneticPr fontId="1" type="noConversion"/>
  </si>
  <si>
    <t>50 mg/LKNO3</t>
    <phoneticPr fontId="1" type="noConversion"/>
  </si>
  <si>
    <t>short-day 15days</t>
    <phoneticPr fontId="1" type="noConversion"/>
  </si>
  <si>
    <t>Long-day 30days</t>
    <phoneticPr fontId="1" type="noConversion"/>
  </si>
  <si>
    <t>200mg/L KNO3</t>
    <phoneticPr fontId="1" type="noConversion"/>
  </si>
  <si>
    <t>30mg/LKNO3</t>
    <phoneticPr fontId="1" type="noConversion"/>
  </si>
  <si>
    <t>200mg/LKNO3</t>
    <phoneticPr fontId="1" type="noConversion"/>
  </si>
  <si>
    <t>30 mg/LKNO3</t>
    <phoneticPr fontId="1" type="noConversion"/>
  </si>
  <si>
    <t>60 days</t>
    <phoneticPr fontId="1" type="noConversion"/>
  </si>
  <si>
    <t>Fig3D</t>
    <phoneticPr fontId="1" type="noConversion"/>
  </si>
  <si>
    <t>50mg/L KNO3</t>
    <phoneticPr fontId="1" type="noConversion"/>
  </si>
  <si>
    <t>50 mg/L KNO3</t>
    <phoneticPr fontId="1" type="noConversion"/>
  </si>
  <si>
    <r>
      <t>4</t>
    </r>
    <r>
      <rPr>
        <sz val="12"/>
        <rFont val="宋体"/>
        <family val="3"/>
        <charset val="134"/>
      </rPr>
      <t>04-3</t>
    </r>
    <phoneticPr fontId="3" type="noConversion"/>
  </si>
  <si>
    <r>
      <t>405-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4</t>
    </r>
    <phoneticPr fontId="3" type="noConversion"/>
  </si>
  <si>
    <t>ck1</t>
    <phoneticPr fontId="3" type="noConversion"/>
  </si>
  <si>
    <t>ck2</t>
    <phoneticPr fontId="3" type="noConversion"/>
  </si>
  <si>
    <t>ck3</t>
    <phoneticPr fontId="3" type="noConversion"/>
  </si>
  <si>
    <r>
      <t>4</t>
    </r>
    <r>
      <rPr>
        <sz val="12"/>
        <rFont val="宋体"/>
        <family val="3"/>
        <charset val="134"/>
      </rPr>
      <t>05-54</t>
    </r>
    <r>
      <rPr>
        <sz val="11"/>
        <color theme="1"/>
        <rFont val="宋体"/>
        <family val="2"/>
        <charset val="134"/>
        <scheme val="minor"/>
      </rPr>
      <t>-1</t>
    </r>
    <phoneticPr fontId="3" type="noConversion"/>
  </si>
  <si>
    <r>
      <t>4</t>
    </r>
    <r>
      <rPr>
        <sz val="12"/>
        <rFont val="宋体"/>
        <family val="3"/>
        <charset val="134"/>
      </rPr>
      <t>05-54</t>
    </r>
    <r>
      <rPr>
        <sz val="11"/>
        <color theme="1"/>
        <rFont val="宋体"/>
        <family val="2"/>
        <charset val="134"/>
        <scheme val="minor"/>
      </rPr>
      <t>-2</t>
    </r>
    <phoneticPr fontId="3" type="noConversion"/>
  </si>
  <si>
    <r>
      <t>4</t>
    </r>
    <r>
      <rPr>
        <sz val="12"/>
        <rFont val="宋体"/>
        <family val="3"/>
        <charset val="134"/>
      </rPr>
      <t>05-54</t>
    </r>
    <r>
      <rPr>
        <sz val="11"/>
        <color theme="1"/>
        <rFont val="宋体"/>
        <family val="2"/>
        <charset val="134"/>
        <scheme val="minor"/>
      </rPr>
      <t>-3</t>
    </r>
    <phoneticPr fontId="3" type="noConversion"/>
  </si>
  <si>
    <r>
      <t>4</t>
    </r>
    <r>
      <rPr>
        <sz val="12"/>
        <rFont val="宋体"/>
        <family val="3"/>
        <charset val="134"/>
      </rPr>
      <t>04-37</t>
    </r>
    <r>
      <rPr>
        <sz val="11"/>
        <color theme="1"/>
        <rFont val="宋体"/>
        <family val="2"/>
        <charset val="134"/>
        <scheme val="minor"/>
      </rPr>
      <t>-1</t>
    </r>
    <phoneticPr fontId="3" type="noConversion"/>
  </si>
  <si>
    <r>
      <t>4</t>
    </r>
    <r>
      <rPr>
        <sz val="12"/>
        <rFont val="宋体"/>
        <family val="3"/>
        <charset val="134"/>
      </rPr>
      <t>04-37</t>
    </r>
    <r>
      <rPr>
        <sz val="11"/>
        <color theme="1"/>
        <rFont val="宋体"/>
        <family val="2"/>
        <charset val="134"/>
        <scheme val="minor"/>
      </rPr>
      <t>-2</t>
    </r>
    <phoneticPr fontId="3" type="noConversion"/>
  </si>
  <si>
    <r>
      <t>4</t>
    </r>
    <r>
      <rPr>
        <sz val="12"/>
        <rFont val="宋体"/>
        <family val="3"/>
        <charset val="134"/>
      </rPr>
      <t>04-37</t>
    </r>
    <r>
      <rPr>
        <sz val="11"/>
        <color theme="1"/>
        <rFont val="宋体"/>
        <family val="2"/>
        <charset val="134"/>
        <scheme val="minor"/>
      </rPr>
      <t>-3</t>
    </r>
    <phoneticPr fontId="3" type="noConversion"/>
  </si>
  <si>
    <r>
      <t>4</t>
    </r>
    <r>
      <rPr>
        <sz val="12"/>
        <rFont val="宋体"/>
        <family val="3"/>
        <charset val="134"/>
      </rPr>
      <t>05-58</t>
    </r>
    <r>
      <rPr>
        <sz val="11"/>
        <color theme="1"/>
        <rFont val="宋体"/>
        <family val="2"/>
        <charset val="134"/>
        <scheme val="minor"/>
      </rPr>
      <t>-1</t>
    </r>
    <phoneticPr fontId="3" type="noConversion"/>
  </si>
  <si>
    <r>
      <t>4</t>
    </r>
    <r>
      <rPr>
        <sz val="12"/>
        <rFont val="宋体"/>
        <family val="3"/>
        <charset val="134"/>
      </rPr>
      <t>05-58</t>
    </r>
    <r>
      <rPr>
        <sz val="11"/>
        <color theme="1"/>
        <rFont val="宋体"/>
        <family val="2"/>
        <charset val="134"/>
        <scheme val="minor"/>
      </rPr>
      <t>-2</t>
    </r>
    <phoneticPr fontId="3" type="noConversion"/>
  </si>
  <si>
    <r>
      <t>4</t>
    </r>
    <r>
      <rPr>
        <sz val="12"/>
        <rFont val="宋体"/>
        <family val="3"/>
        <charset val="134"/>
      </rPr>
      <t>05-58</t>
    </r>
    <r>
      <rPr>
        <sz val="11"/>
        <color theme="1"/>
        <rFont val="宋体"/>
        <family val="2"/>
        <charset val="134"/>
        <scheme val="minor"/>
      </rPr>
      <t>-3</t>
    </r>
    <phoneticPr fontId="3" type="noConversion"/>
  </si>
  <si>
    <r>
      <t>10</t>
    </r>
    <r>
      <rPr>
        <sz val="11"/>
        <color theme="1"/>
        <rFont val="Times New Roman"/>
        <family val="1"/>
      </rPr>
      <t>µ</t>
    </r>
    <r>
      <rPr>
        <sz val="11"/>
        <color theme="1"/>
        <rFont val="宋体"/>
        <family val="2"/>
        <charset val="134"/>
        <scheme val="minor"/>
      </rPr>
      <t>g/mLNH4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phoneticPr fontId="1" type="noConversion"/>
  </si>
  <si>
    <r>
      <t>30</t>
    </r>
    <r>
      <rPr>
        <sz val="11"/>
        <color theme="1"/>
        <rFont val="Times New Roman"/>
        <family val="1"/>
      </rPr>
      <t>µ</t>
    </r>
    <r>
      <rPr>
        <sz val="11"/>
        <color theme="1"/>
        <rFont val="宋体"/>
        <family val="2"/>
        <charset val="134"/>
        <scheme val="minor"/>
      </rPr>
      <t>g/mLNH4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phoneticPr fontId="1" type="noConversion"/>
  </si>
  <si>
    <r>
      <t>20</t>
    </r>
    <r>
      <rPr>
        <sz val="11"/>
        <color theme="1"/>
        <rFont val="Times New Roman"/>
        <family val="1"/>
      </rPr>
      <t>µ</t>
    </r>
    <r>
      <rPr>
        <sz val="11"/>
        <color theme="1"/>
        <rFont val="宋体"/>
        <family val="2"/>
        <charset val="134"/>
        <scheme val="minor"/>
      </rPr>
      <t>g/mLNH4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phoneticPr fontId="1" type="noConversion"/>
  </si>
  <si>
    <t>N0 nitrogen</t>
    <phoneticPr fontId="1" type="noConversion"/>
  </si>
  <si>
    <t>50 mg/L KNO3</t>
    <phoneticPr fontId="1" type="noConversion"/>
  </si>
  <si>
    <t>405-34</t>
    <phoneticPr fontId="3" type="noConversion"/>
  </si>
  <si>
    <t>405-54</t>
    <phoneticPr fontId="3" type="noConversion"/>
  </si>
  <si>
    <t>404-54</t>
    <phoneticPr fontId="1" type="noConversion"/>
  </si>
  <si>
    <t xml:space="preserve"> </t>
    <phoneticPr fontId="1" type="noConversion"/>
  </si>
  <si>
    <t>Fresh weight mg/8 plants</t>
    <phoneticPr fontId="1" type="noConversion"/>
  </si>
  <si>
    <t>405-54-2(air)</t>
    <phoneticPr fontId="3" type="noConversion"/>
  </si>
  <si>
    <t>405-54-3(5%O2)</t>
    <phoneticPr fontId="3" type="noConversion"/>
  </si>
  <si>
    <t>405-58-2(air)</t>
    <phoneticPr fontId="3" type="noConversion"/>
  </si>
  <si>
    <t>405-58</t>
    <phoneticPr fontId="1" type="noConversion"/>
  </si>
  <si>
    <t>404-37</t>
    <phoneticPr fontId="1" type="noConversion"/>
  </si>
  <si>
    <t>405-54</t>
    <phoneticPr fontId="1" type="noConversion"/>
  </si>
  <si>
    <r>
      <t>C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H</t>
    </r>
    <r>
      <rPr>
        <vertAlign val="sub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 xml:space="preserve"> reduction (nmolC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H</t>
    </r>
    <r>
      <rPr>
        <vertAlign val="sub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>/mg protein/hr)</t>
    </r>
    <phoneticPr fontId="1" type="noConversion"/>
  </si>
  <si>
    <r>
      <t>C</t>
    </r>
    <r>
      <rPr>
        <sz val="12"/>
        <rFont val="宋体"/>
        <family val="3"/>
        <charset val="134"/>
      </rPr>
      <t>K</t>
    </r>
    <phoneticPr fontId="3" type="noConversion"/>
  </si>
  <si>
    <r>
      <t xml:space="preserve">Fixtion of </t>
    </r>
    <r>
      <rPr>
        <vertAlign val="superscript"/>
        <sz val="12"/>
        <rFont val="宋体"/>
        <family val="3"/>
        <charset val="134"/>
      </rPr>
      <t>15</t>
    </r>
    <r>
      <rPr>
        <sz val="12"/>
        <rFont val="宋体"/>
        <family val="3"/>
        <charset val="134"/>
      </rPr>
      <t>N</t>
    </r>
    <r>
      <rPr>
        <vertAlign val="sub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 xml:space="preserve"> (</t>
    </r>
    <r>
      <rPr>
        <sz val="12"/>
        <rFont val="Times New Roman"/>
        <family val="1"/>
      </rPr>
      <t>δ</t>
    </r>
    <r>
      <rPr>
        <vertAlign val="superscript"/>
        <sz val="12"/>
        <rFont val="宋体"/>
        <family val="3"/>
        <charset val="134"/>
      </rPr>
      <t>15</t>
    </r>
    <r>
      <rPr>
        <sz val="12"/>
        <rFont val="宋体"/>
        <family val="3"/>
        <charset val="134"/>
      </rPr>
      <t>N</t>
    </r>
    <r>
      <rPr>
        <sz val="12"/>
        <rFont val="Times New Roman"/>
        <family val="1"/>
      </rPr>
      <t>‰</t>
    </r>
    <r>
      <rPr>
        <sz val="12"/>
        <rFont val="宋体"/>
        <family val="3"/>
        <charset val="134"/>
      </rPr>
      <t>)</t>
    </r>
    <phoneticPr fontId="3" type="noConversion"/>
  </si>
  <si>
    <t>CK</t>
    <phoneticPr fontId="1" type="noConversion"/>
  </si>
  <si>
    <r>
      <t>(NH</t>
    </r>
    <r>
      <rPr>
        <vertAlign val="subscript"/>
        <sz val="11"/>
        <color theme="1"/>
        <rFont val="Arial Unicode MS"/>
        <family val="2"/>
        <charset val="134"/>
      </rPr>
      <t>4</t>
    </r>
    <r>
      <rPr>
        <sz val="11"/>
        <color theme="1"/>
        <rFont val="Arial Unicode MS"/>
        <family val="2"/>
        <charset val="134"/>
      </rPr>
      <t>)</t>
    </r>
    <r>
      <rPr>
        <vertAlign val="subscript"/>
        <sz val="11"/>
        <color theme="1"/>
        <rFont val="Arial Unicode MS"/>
        <family val="2"/>
        <charset val="134"/>
      </rPr>
      <t>2</t>
    </r>
    <r>
      <rPr>
        <sz val="11"/>
        <color theme="1"/>
        <rFont val="Arial Unicode MS"/>
        <family val="2"/>
        <charset val="134"/>
      </rPr>
      <t>SO</t>
    </r>
    <r>
      <rPr>
        <vertAlign val="subscript"/>
        <sz val="11"/>
        <color theme="1"/>
        <rFont val="Arial Unicode MS"/>
        <family val="2"/>
        <charset val="134"/>
      </rPr>
      <t>4</t>
    </r>
    <phoneticPr fontId="1" type="noConversion"/>
  </si>
  <si>
    <t>404-37</t>
    <phoneticPr fontId="1" type="noConversion"/>
  </si>
  <si>
    <t>404-37+FJ</t>
    <phoneticPr fontId="1" type="noConversion"/>
  </si>
  <si>
    <t>405-54+FD</t>
    <phoneticPr fontId="1" type="noConversion"/>
  </si>
  <si>
    <t>405-54+FJ</t>
    <phoneticPr fontId="1" type="noConversion"/>
  </si>
  <si>
    <t>10mg/L KNO3</t>
    <phoneticPr fontId="1" type="noConversion"/>
  </si>
  <si>
    <t>CK</t>
    <phoneticPr fontId="1" type="noConversion"/>
  </si>
  <si>
    <t>30 days</t>
    <phoneticPr fontId="1" type="noConversion"/>
  </si>
  <si>
    <t>Fresh weight/8 plants</t>
    <phoneticPr fontId="1" type="noConversion"/>
  </si>
  <si>
    <t>Dry weight/80 plants</t>
    <phoneticPr fontId="1" type="noConversion"/>
  </si>
  <si>
    <t>Long-day</t>
    <phoneticPr fontId="1" type="noConversion"/>
  </si>
  <si>
    <t>average</t>
    <phoneticPr fontId="3" type="noConversion"/>
  </si>
  <si>
    <t>CK0.1mM(NH4)2SO4</t>
    <phoneticPr fontId="1" type="noConversion"/>
  </si>
  <si>
    <t>OPT</t>
    <phoneticPr fontId="1" type="noConversion"/>
  </si>
  <si>
    <t>Raw data for figure 3D</t>
    <phoneticPr fontId="1" type="noConversion"/>
  </si>
  <si>
    <t>0mg/L KNO3</t>
    <phoneticPr fontId="1" type="noConversion"/>
  </si>
  <si>
    <t>Protein content</t>
    <phoneticPr fontId="1" type="noConversion"/>
  </si>
  <si>
    <t>The protein content was detected by OD280, and BSA was used as the standard.Seedlings of 100 mg were ground in buffer and dilute to 1mg/ml for detection.</t>
    <phoneticPr fontId="1" type="noConversion"/>
  </si>
  <si>
    <t>Raw data for figure 3E</t>
    <phoneticPr fontId="1" type="noConversion"/>
  </si>
  <si>
    <t>Raw data for figure 3F</t>
    <phoneticPr fontId="1" type="noConversion"/>
  </si>
  <si>
    <t>The seedling was ground with 10mg/100µl ethanol(96%) ,then the extracted solution was diluted four times.</t>
    <phoneticPr fontId="1" type="noConversion"/>
  </si>
  <si>
    <t>Blank</t>
    <phoneticPr fontId="1" type="noConversion"/>
  </si>
  <si>
    <t>Ca content</t>
    <phoneticPr fontId="3" type="noConversion"/>
  </si>
  <si>
    <t>Cb content</t>
    <phoneticPr fontId="1" type="noConversion"/>
  </si>
  <si>
    <t>C(a+b)content</t>
    <phoneticPr fontId="3" type="noConversion"/>
  </si>
  <si>
    <t>average</t>
  </si>
  <si>
    <t>error</t>
  </si>
  <si>
    <t>Cx.c content</t>
    <phoneticPr fontId="3" type="noConversion"/>
  </si>
  <si>
    <t>error (SD)</t>
    <phoneticPr fontId="1" type="noConversion"/>
  </si>
  <si>
    <t>error (SD)</t>
    <phoneticPr fontId="1" type="noConversion"/>
  </si>
  <si>
    <t>C(a+b)</t>
    <phoneticPr fontId="1" type="noConversion"/>
  </si>
  <si>
    <t>error (SD) 0 mg/L KNO3</t>
    <phoneticPr fontId="1" type="noConversion"/>
  </si>
  <si>
    <t>error (SD) 50 mg/L KNO3</t>
    <phoneticPr fontId="1" type="noConversion"/>
  </si>
  <si>
    <t>The seedling was ground with 10mg/100µl ethanol(96%) ,then the extracted solution was diluted two times.</t>
    <phoneticPr fontId="1" type="noConversion"/>
  </si>
  <si>
    <t>Raw data for figure 3G</t>
    <phoneticPr fontId="1" type="noConversion"/>
  </si>
  <si>
    <t>error(SD)</t>
    <phoneticPr fontId="1" type="noConversion"/>
  </si>
  <si>
    <r>
      <t>Five hundred milligram seedlings was used.The content of soluble protein in seedling was estimated with the value of 5</t>
    </r>
    <r>
      <rPr>
        <sz val="11"/>
        <color theme="1"/>
        <rFont val="Times New Roman"/>
        <family val="1"/>
      </rPr>
      <t>‰</t>
    </r>
    <r>
      <rPr>
        <sz val="11"/>
        <color theme="1"/>
        <rFont val="宋体"/>
        <family val="3"/>
        <charset val="134"/>
      </rPr>
      <t>.</t>
    </r>
    <phoneticPr fontId="1" type="noConversion"/>
  </si>
  <si>
    <t>Raw data for figure 3I</t>
    <phoneticPr fontId="1" type="noConversion"/>
  </si>
  <si>
    <t>Raw data for figure 3H</t>
    <phoneticPr fontId="1" type="noConversion"/>
  </si>
  <si>
    <t>average</t>
    <phoneticPr fontId="1" type="noConversion"/>
  </si>
  <si>
    <t>error(SD)</t>
    <phoneticPr fontId="1" type="noConversion"/>
  </si>
  <si>
    <t>0 mg/L KNO3</t>
    <phoneticPr fontId="1" type="noConversion"/>
  </si>
  <si>
    <t>protent content</t>
  </si>
  <si>
    <t>protent content</t>
    <phoneticPr fontId="1" type="noConversion"/>
  </si>
  <si>
    <t>OD280</t>
  </si>
  <si>
    <t>OD280</t>
    <phoneticPr fontId="1" type="noConversion"/>
  </si>
  <si>
    <t>Raw data for figure 4B</t>
    <phoneticPr fontId="1" type="noConversion"/>
  </si>
  <si>
    <t>seedling mortality</t>
    <phoneticPr fontId="1" type="noConversion"/>
  </si>
  <si>
    <t>error (SD)KCN-10</t>
    <phoneticPr fontId="1" type="noConversion"/>
  </si>
  <si>
    <t>error (SD)KCN-20</t>
    <phoneticPr fontId="1" type="noConversion"/>
  </si>
  <si>
    <t>error (SD) NaN3-0.65</t>
    <phoneticPr fontId="1" type="noConversion"/>
  </si>
  <si>
    <t>error (SD) NaN3-1.35</t>
    <phoneticPr fontId="1" type="noConversion"/>
  </si>
  <si>
    <t>Raw data for figure 4D-1</t>
    <phoneticPr fontId="1" type="noConversion"/>
  </si>
  <si>
    <t>Fresh weight after 30d culture in long-day condition.</t>
  </si>
  <si>
    <t>Fresh weight after 30d culture in long-day condition.</t>
    <phoneticPr fontId="1" type="noConversion"/>
  </si>
  <si>
    <t>error (SD) 30 mg/L KNO3</t>
    <phoneticPr fontId="1" type="noConversion"/>
  </si>
  <si>
    <t>error (SD) 200 mg/L KNO3</t>
    <phoneticPr fontId="1" type="noConversion"/>
  </si>
  <si>
    <t>Fresh weight after 15d culture in short-day condition</t>
    <phoneticPr fontId="1" type="noConversion"/>
  </si>
  <si>
    <t>Raw data for figure 4D-2</t>
    <phoneticPr fontId="1" type="noConversion"/>
  </si>
  <si>
    <t>Raw data for figure 4D-3</t>
    <phoneticPr fontId="1" type="noConversion"/>
  </si>
  <si>
    <t>Raw data for figure 5D</t>
    <phoneticPr fontId="1" type="noConversion"/>
  </si>
  <si>
    <t>Raw data for figure 5E</t>
    <phoneticPr fontId="1" type="noConversion"/>
  </si>
  <si>
    <t>The seedling was ground with 60mg/100µl ethanol(96%) ,then the extracted solution was diluted two times.</t>
    <phoneticPr fontId="1" type="noConversion"/>
  </si>
  <si>
    <t>error</t>
    <phoneticPr fontId="3" type="noConversion"/>
  </si>
  <si>
    <t>Cb content</t>
    <phoneticPr fontId="3" type="noConversion"/>
  </si>
  <si>
    <t>C(a+b)ontent</t>
    <phoneticPr fontId="3" type="noConversion"/>
  </si>
  <si>
    <t>Raw data for figure 5F</t>
    <phoneticPr fontId="1" type="noConversion"/>
  </si>
  <si>
    <t>error (SD) KCN</t>
    <phoneticPr fontId="1" type="noConversion"/>
  </si>
  <si>
    <t>error (SD) NaN3</t>
    <phoneticPr fontId="1" type="noConversion"/>
  </si>
  <si>
    <t>Fresh weight after 30d culture in short-day condition.</t>
    <phoneticPr fontId="1" type="noConversion"/>
  </si>
  <si>
    <t xml:space="preserve">error (SD) </t>
    <phoneticPr fontId="1" type="noConversion"/>
  </si>
  <si>
    <t xml:space="preserve">error (SD) NaN3 </t>
    <phoneticPr fontId="1" type="noConversion"/>
  </si>
  <si>
    <t>error (SD) KCN</t>
    <phoneticPr fontId="1" type="noConversion"/>
  </si>
  <si>
    <t>Raw data for figure 5H</t>
    <phoneticPr fontId="1" type="noConversion"/>
  </si>
  <si>
    <t>Raw data for figure 5I</t>
    <phoneticPr fontId="1" type="noConversion"/>
  </si>
  <si>
    <t>Raw data for figure S3C,S3D,S3E</t>
    <phoneticPr fontId="1" type="noConversion"/>
  </si>
  <si>
    <t>Fresh weight,dry weight, and the radio of dry/weight after 60d culture in short-day condition</t>
    <phoneticPr fontId="1" type="noConversion"/>
  </si>
  <si>
    <r>
      <t>dry weight/fresh weight</t>
    </r>
    <r>
      <rPr>
        <sz val="11"/>
        <color theme="1"/>
        <rFont val="Times New Roman"/>
        <family val="1"/>
      </rPr>
      <t>‰</t>
    </r>
    <phoneticPr fontId="1" type="noConversion"/>
  </si>
  <si>
    <t>error</t>
    <phoneticPr fontId="1" type="noConversion"/>
  </si>
  <si>
    <t>Fresh weight after 15d culture in short-day or long day condition at the meidium containing 10 mg/L KNO3.</t>
    <phoneticPr fontId="1" type="noConversion"/>
  </si>
  <si>
    <t>Raw data for figure S5C</t>
    <phoneticPr fontId="1" type="noConversion"/>
  </si>
  <si>
    <t>Raw data for figure S4</t>
    <phoneticPr fontId="1" type="noConversion"/>
  </si>
  <si>
    <t>error (SD) NON</t>
    <phoneticPr fontId="1" type="noConversion"/>
  </si>
  <si>
    <t>error (SD) 50 mg/L KNO3</t>
    <phoneticPr fontId="1" type="noConversion"/>
  </si>
  <si>
    <t>50mg/L KNO3 Fresh weight/100µL</t>
    <phoneticPr fontId="1" type="noConversion"/>
  </si>
  <si>
    <t>average</t>
    <phoneticPr fontId="1" type="noConversion"/>
  </si>
  <si>
    <t>NH4+ content</t>
    <phoneticPr fontId="1" type="noConversion"/>
  </si>
  <si>
    <t>blank</t>
    <phoneticPr fontId="1" type="noConversion"/>
  </si>
  <si>
    <t>Fresh weight after 15d culture in short-day and different O2 concentration.</t>
    <phoneticPr fontId="1" type="noConversion"/>
  </si>
  <si>
    <t>Raw data for figure S6B</t>
    <phoneticPr fontId="1" type="noConversion"/>
  </si>
  <si>
    <t>Raw data for figure S6C</t>
    <phoneticPr fontId="1" type="noConversion"/>
  </si>
  <si>
    <t>Chl content after 15d culture in short-day and different O2 concentration.</t>
    <phoneticPr fontId="1" type="noConversion"/>
  </si>
  <si>
    <t>Raw data for figure S7a</t>
    <phoneticPr fontId="1" type="noConversion"/>
  </si>
  <si>
    <r>
      <t>C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H</t>
    </r>
    <r>
      <rPr>
        <vertAlign val="sub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 xml:space="preserve"> reduction (nmolC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H</t>
    </r>
    <r>
      <rPr>
        <vertAlign val="sub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>/g fresh weight/hr)</t>
    </r>
    <phoneticPr fontId="1" type="noConversion"/>
  </si>
  <si>
    <t>C2H2 PPM=1.315*peak areas</t>
    <phoneticPr fontId="1" type="noConversion"/>
  </si>
  <si>
    <t>Raw data for figure S7b</t>
    <phoneticPr fontId="1" type="noConversion"/>
  </si>
  <si>
    <t>Fixtion of 15N2 (δ15N‰)</t>
  </si>
  <si>
    <t>up</t>
    <phoneticPr fontId="1" type="noConversion"/>
  </si>
  <si>
    <t>down</t>
    <phoneticPr fontId="1" type="noConversion"/>
  </si>
  <si>
    <t>60% O2</t>
    <phoneticPr fontId="1" type="noConversion"/>
  </si>
  <si>
    <t>air</t>
  </si>
  <si>
    <t>5%O2</t>
    <phoneticPr fontId="1" type="noConversion"/>
  </si>
  <si>
    <t>60%O2</t>
    <phoneticPr fontId="1" type="noConversion"/>
  </si>
  <si>
    <t>air</t>
    <phoneticPr fontId="1" type="noConversion"/>
  </si>
  <si>
    <t>peak areas</t>
    <phoneticPr fontId="1" type="noConversion"/>
  </si>
  <si>
    <t>Dry weight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</si>
</sst>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vertAlign val="superscript"/>
      <sz val="12"/>
      <name val="宋体"/>
      <family val="3"/>
      <charset val="134"/>
    </font>
    <font>
      <vertAlign val="subscript"/>
      <sz val="12"/>
      <name val="宋体"/>
      <family val="3"/>
      <charset val="134"/>
    </font>
    <font>
      <vertAlign val="subscript"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1"/>
      <color theme="1"/>
      <name val="Arial Unicode MS"/>
      <family val="2"/>
      <charset val="134"/>
    </font>
    <font>
      <vertAlign val="subscript"/>
      <sz val="11"/>
      <color theme="1"/>
      <name val="Arial Unicode MS"/>
      <family val="2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0" xfId="0" applyAlignment="1"/>
    <xf numFmtId="0" fontId="2" fillId="0" borderId="0" xfId="0" applyFont="1" applyAlignment="1"/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58" fontId="2" fillId="0" borderId="0" xfId="0" applyNumberFormat="1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8EE1"/>
      <color rgb="FF559DD5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5210137868110171"/>
          <c:y val="8.8885735213330888E-2"/>
          <c:w val="0.82337242718555692"/>
          <c:h val="0.76408899468961777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Figure5I!$G$4:$G$8</c:f>
                <c:numCache>
                  <c:formatCode>General</c:formatCode>
                  <c:ptCount val="5"/>
                  <c:pt idx="0">
                    <c:v>9.4516312525053423E-2</c:v>
                  </c:pt>
                  <c:pt idx="1">
                    <c:v>0.32532035493239053</c:v>
                  </c:pt>
                  <c:pt idx="2">
                    <c:v>0.29091808698210758</c:v>
                  </c:pt>
                  <c:pt idx="3">
                    <c:v>0.22590558499809393</c:v>
                  </c:pt>
                  <c:pt idx="4">
                    <c:v>0.23544284515215222</c:v>
                  </c:pt>
                </c:numCache>
              </c:numRef>
            </c:plus>
            <c:minus>
              <c:numRef>
                <c:f>Figure5I!$H$4:$H$8</c:f>
                <c:numCache>
                  <c:formatCode>General</c:formatCode>
                  <c:ptCount val="5"/>
                  <c:pt idx="0">
                    <c:v>9.4516000000000003E-2</c:v>
                  </c:pt>
                  <c:pt idx="1">
                    <c:v>0.32532</c:v>
                  </c:pt>
                  <c:pt idx="2">
                    <c:v>0.29091800000000001</c:v>
                  </c:pt>
                  <c:pt idx="3">
                    <c:v>0.225906</c:v>
                  </c:pt>
                  <c:pt idx="4">
                    <c:v>0.23544300000000001</c:v>
                  </c:pt>
                </c:numCache>
              </c:numRef>
            </c:minus>
            <c:spPr>
              <a:ln w="25400"/>
            </c:spPr>
          </c:errBars>
          <c:cat>
            <c:strRef>
              <c:f>Figure5I!$B$10:$B$14</c:f>
              <c:strCache>
                <c:ptCount val="5"/>
                <c:pt idx="0">
                  <c:v>CK</c:v>
                </c:pt>
                <c:pt idx="1">
                  <c:v>404-37</c:v>
                </c:pt>
                <c:pt idx="2">
                  <c:v>404-37+FD</c:v>
                </c:pt>
                <c:pt idx="3">
                  <c:v>405-58</c:v>
                </c:pt>
                <c:pt idx="4">
                  <c:v>405-58+FD</c:v>
                </c:pt>
              </c:strCache>
            </c:strRef>
          </c:cat>
          <c:val>
            <c:numRef>
              <c:f>Figure5I!$C$10:$C$14</c:f>
              <c:numCache>
                <c:formatCode>General</c:formatCode>
                <c:ptCount val="5"/>
                <c:pt idx="0">
                  <c:v>0.753</c:v>
                </c:pt>
                <c:pt idx="1">
                  <c:v>4.6269999999999998</c:v>
                </c:pt>
                <c:pt idx="2">
                  <c:v>9.3829999999999991</c:v>
                </c:pt>
                <c:pt idx="3">
                  <c:v>2.657</c:v>
                </c:pt>
                <c:pt idx="4">
                  <c:v>6.3470000000000004</c:v>
                </c:pt>
              </c:numCache>
            </c:numRef>
          </c:val>
        </c:ser>
        <c:ser>
          <c:idx val="1"/>
          <c:order val="1"/>
          <c:cat>
            <c:strRef>
              <c:f>Figure5I!$B$10:$B$14</c:f>
              <c:strCache>
                <c:ptCount val="5"/>
                <c:pt idx="0">
                  <c:v>CK</c:v>
                </c:pt>
                <c:pt idx="1">
                  <c:v>404-37</c:v>
                </c:pt>
                <c:pt idx="2">
                  <c:v>404-37+FD</c:v>
                </c:pt>
                <c:pt idx="3">
                  <c:v>405-58</c:v>
                </c:pt>
                <c:pt idx="4">
                  <c:v>405-58+FD</c:v>
                </c:pt>
              </c:strCache>
            </c:strRef>
          </c:cat>
          <c:val>
            <c:numRef>
              <c:f>'Figure 3I'!$A$3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gapWidth val="164"/>
        <c:overlap val="100"/>
        <c:axId val="101792768"/>
        <c:axId val="101823232"/>
      </c:barChart>
      <c:catAx>
        <c:axId val="101792768"/>
        <c:scaling>
          <c:orientation val="minMax"/>
        </c:scaling>
        <c:axPos val="b"/>
        <c:tickLblPos val="none"/>
        <c:spPr>
          <a:ln w="28575">
            <a:solidFill>
              <a:schemeClr val="tx1"/>
            </a:solidFill>
          </a:ln>
        </c:spPr>
        <c:txPr>
          <a:bodyPr rot="0" vert="horz" anchor="t" anchorCtr="0"/>
          <a:lstStyle/>
          <a:p>
            <a:pPr>
              <a:defRPr/>
            </a:pPr>
            <a:endParaRPr lang="zh-CN"/>
          </a:p>
        </c:txPr>
        <c:crossAx val="101823232"/>
        <c:crosses val="autoZero"/>
        <c:auto val="1"/>
        <c:lblAlgn val="ctr"/>
        <c:lblOffset val="0"/>
        <c:tickLblSkip val="1"/>
      </c:catAx>
      <c:valAx>
        <c:axId val="1018232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 b="1" i="0" u="none" strike="noStrike" baseline="0"/>
                  <a:t>Fixtion of </a:t>
                </a:r>
                <a:r>
                  <a:rPr lang="en-US" sz="2000" b="1" i="0" u="none" strike="noStrike" baseline="30000"/>
                  <a:t>15</a:t>
                </a:r>
                <a:r>
                  <a:rPr lang="en-US" sz="2000" b="1" i="0" u="none" strike="noStrike" baseline="0"/>
                  <a:t>N</a:t>
                </a:r>
                <a:r>
                  <a:rPr lang="en-US" sz="2000" b="1" i="0" u="none" strike="noStrike" baseline="-25000"/>
                  <a:t>2</a:t>
                </a:r>
                <a:r>
                  <a:rPr lang="en-US" sz="2000" b="1" i="0" u="none" strike="noStrike" baseline="0"/>
                  <a:t> (</a:t>
                </a:r>
                <a:r>
                  <a:rPr lang="el-GR" sz="2000" b="1" i="0" u="none" strike="noStrike" baseline="0"/>
                  <a:t>δ</a:t>
                </a:r>
                <a:r>
                  <a:rPr lang="el-GR" sz="2000" b="1" i="0" u="none" strike="noStrike" baseline="30000"/>
                  <a:t>15</a:t>
                </a:r>
                <a:r>
                  <a:rPr lang="en-US" sz="2000" b="1" i="0" u="none" strike="noStrike" baseline="0"/>
                  <a:t>N ‰) </a:t>
                </a:r>
                <a:endParaRPr lang="zh-CN" altLang="en-US" sz="2000" b="1"/>
              </a:p>
            </c:rich>
          </c:tx>
          <c:layout>
            <c:manualLayout>
              <c:xMode val="edge"/>
              <c:yMode val="edge"/>
              <c:x val="2.1252007678144749E-2"/>
              <c:y val="0.19744268960599587"/>
            </c:manualLayout>
          </c:layout>
        </c:title>
        <c:numFmt formatCode="General" sourceLinked="1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2000"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101792768"/>
        <c:crosses val="autoZero"/>
        <c:crossBetween val="between"/>
        <c:majorUnit val="2"/>
      </c:valAx>
      <c:spPr>
        <a:solidFill>
          <a:srgbClr val="FFFFFF"/>
        </a:solidFill>
      </c:spPr>
    </c:plotArea>
    <c:plotVisOnly val="1"/>
  </c:chart>
  <c:spPr>
    <a:solidFill>
      <a:srgbClr val="FFFFFF"/>
    </a:solidFill>
    <a:ln>
      <a:noFill/>
    </a:ln>
  </c:spPr>
  <c:txPr>
    <a:bodyPr/>
    <a:lstStyle/>
    <a:p>
      <a:pPr>
        <a:defRPr sz="1600" baseline="0">
          <a:latin typeface="Arial Unicode MS" pitchFamily="34" charset="-122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3468622579928413"/>
          <c:y val="4.1315098770548418E-2"/>
          <c:w val="0.8575122639716235"/>
          <c:h val="0.80684504825913028"/>
        </c:manualLayout>
      </c:layout>
      <c:barChart>
        <c:barDir val="col"/>
        <c:grouping val="clustered"/>
        <c:ser>
          <c:idx val="0"/>
          <c:order val="0"/>
          <c:tx>
            <c:v>60%O2</c:v>
          </c:tx>
          <c:errBars>
            <c:errBarType val="both"/>
            <c:errValType val="cust"/>
            <c:plus>
              <c:numRef>
                <c:f>'Figure S6B'!$G$5:$G$8</c:f>
                <c:numCache>
                  <c:formatCode>General</c:formatCode>
                  <c:ptCount val="4"/>
                  <c:pt idx="0">
                    <c:v>1.9094065395647918E-2</c:v>
                  </c:pt>
                  <c:pt idx="1">
                    <c:v>1.9094065395652279E-2</c:v>
                  </c:pt>
                  <c:pt idx="2">
                    <c:v>1.90940653956501E-2</c:v>
                  </c:pt>
                  <c:pt idx="3">
                    <c:v>7.2168783648703288E-3</c:v>
                  </c:pt>
                </c:numCache>
              </c:numRef>
            </c:plus>
            <c:minus>
              <c:numRef>
                <c:f>'Figure S6B'!$H$5:$H$8</c:f>
                <c:numCache>
                  <c:formatCode>General</c:formatCode>
                  <c:ptCount val="4"/>
                  <c:pt idx="0">
                    <c:v>1.9094E-2</c:v>
                  </c:pt>
                  <c:pt idx="1">
                    <c:v>1.9094E-2</c:v>
                  </c:pt>
                  <c:pt idx="2">
                    <c:v>1.9094E-2</c:v>
                  </c:pt>
                  <c:pt idx="3">
                    <c:v>7.2170000000000003E-3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'Figure S6B'!$B$20:$B$23</c:f>
              <c:strCache>
                <c:ptCount val="4"/>
                <c:pt idx="0">
                  <c:v>CK</c:v>
                </c:pt>
                <c:pt idx="1">
                  <c:v>404-37</c:v>
                </c:pt>
                <c:pt idx="2">
                  <c:v>405-54</c:v>
                </c:pt>
                <c:pt idx="3">
                  <c:v>405-58</c:v>
                </c:pt>
              </c:strCache>
            </c:strRef>
          </c:cat>
          <c:val>
            <c:numRef>
              <c:f>'Figure S6B'!$C$20:$C$23</c:f>
              <c:numCache>
                <c:formatCode>General</c:formatCode>
                <c:ptCount val="4"/>
                <c:pt idx="0">
                  <c:v>0.44600000000000001</c:v>
                </c:pt>
                <c:pt idx="1">
                  <c:v>0.61599999999999999</c:v>
                </c:pt>
                <c:pt idx="2">
                  <c:v>0.35399999999999998</c:v>
                </c:pt>
                <c:pt idx="3">
                  <c:v>0.442</c:v>
                </c:pt>
              </c:numCache>
            </c:numRef>
          </c:val>
        </c:ser>
        <c:ser>
          <c:idx val="1"/>
          <c:order val="1"/>
          <c:tx>
            <c:v>air</c:v>
          </c:tx>
          <c:errBars>
            <c:errBarType val="both"/>
            <c:errValType val="cust"/>
            <c:plus>
              <c:numRef>
                <c:f>'Figure S6B'!$G$10:$G$13</c:f>
                <c:numCache>
                  <c:formatCode>General</c:formatCode>
                  <c:ptCount val="4"/>
                  <c:pt idx="0">
                    <c:v>1.2500000000003198E-2</c:v>
                  </c:pt>
                  <c:pt idx="1">
                    <c:v>7.2168783648704051E-3</c:v>
                  </c:pt>
                  <c:pt idx="2">
                    <c:v>1.2499999999994316E-2</c:v>
                  </c:pt>
                  <c:pt idx="3">
                    <c:v>7.2168783648702967E-3</c:v>
                  </c:pt>
                </c:numCache>
              </c:numRef>
            </c:plus>
            <c:minus>
              <c:numRef>
                <c:f>'Figure S6B'!$H$10:$H$13</c:f>
                <c:numCache>
                  <c:formatCode>General</c:formatCode>
                  <c:ptCount val="4"/>
                  <c:pt idx="0">
                    <c:v>1.2499999999999956E-2</c:v>
                  </c:pt>
                  <c:pt idx="1">
                    <c:v>7.2170000000000003E-3</c:v>
                  </c:pt>
                  <c:pt idx="2">
                    <c:v>1.2499999999999956E-2</c:v>
                  </c:pt>
                  <c:pt idx="3">
                    <c:v>7.2170000000000003E-3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'Figure S6B'!$B$20:$B$23</c:f>
              <c:strCache>
                <c:ptCount val="4"/>
                <c:pt idx="0">
                  <c:v>CK</c:v>
                </c:pt>
                <c:pt idx="1">
                  <c:v>404-37</c:v>
                </c:pt>
                <c:pt idx="2">
                  <c:v>405-54</c:v>
                </c:pt>
                <c:pt idx="3">
                  <c:v>405-58</c:v>
                </c:pt>
              </c:strCache>
            </c:strRef>
          </c:cat>
          <c:val>
            <c:numRef>
              <c:f>'Figure S6B'!$D$20:$D$23</c:f>
              <c:numCache>
                <c:formatCode>General</c:formatCode>
                <c:ptCount val="4"/>
                <c:pt idx="0">
                  <c:v>0.54200000000000004</c:v>
                </c:pt>
                <c:pt idx="1">
                  <c:v>0.73</c:v>
                </c:pt>
                <c:pt idx="2">
                  <c:v>0.64200000000000002</c:v>
                </c:pt>
                <c:pt idx="3">
                  <c:v>0.60799999999999998</c:v>
                </c:pt>
              </c:numCache>
            </c:numRef>
          </c:val>
        </c:ser>
        <c:ser>
          <c:idx val="2"/>
          <c:order val="2"/>
          <c:tx>
            <c:v>5%O2</c:v>
          </c:tx>
          <c:errBars>
            <c:errBarType val="both"/>
            <c:errValType val="cust"/>
            <c:plus>
              <c:numRef>
                <c:f>'Figure S6B'!$G$15:$G$18</c:f>
                <c:numCache>
                  <c:formatCode>General</c:formatCode>
                  <c:ptCount val="4"/>
                  <c:pt idx="0">
                    <c:v>7.2168783648703608E-3</c:v>
                  </c:pt>
                  <c:pt idx="1">
                    <c:v>7.2168783648699246E-3</c:v>
                  </c:pt>
                  <c:pt idx="2">
                    <c:v>7.2168783648703608E-3</c:v>
                  </c:pt>
                  <c:pt idx="3">
                    <c:v>7.2168783648703608E-3</c:v>
                  </c:pt>
                </c:numCache>
              </c:numRef>
            </c:plus>
            <c:minus>
              <c:numRef>
                <c:f>'Figure S6B'!$H$15:$H$18</c:f>
                <c:numCache>
                  <c:formatCode>General</c:formatCode>
                  <c:ptCount val="4"/>
                  <c:pt idx="0">
                    <c:v>7.2170000000000003E-3</c:v>
                  </c:pt>
                  <c:pt idx="1">
                    <c:v>7.2170000000000003E-3</c:v>
                  </c:pt>
                  <c:pt idx="2">
                    <c:v>7.2170000000000003E-3</c:v>
                  </c:pt>
                  <c:pt idx="3">
                    <c:v>7.2170000000000003E-3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'Figure S6B'!$B$20:$B$23</c:f>
              <c:strCache>
                <c:ptCount val="4"/>
                <c:pt idx="0">
                  <c:v>CK</c:v>
                </c:pt>
                <c:pt idx="1">
                  <c:v>404-37</c:v>
                </c:pt>
                <c:pt idx="2">
                  <c:v>405-54</c:v>
                </c:pt>
                <c:pt idx="3">
                  <c:v>405-58</c:v>
                </c:pt>
              </c:strCache>
            </c:strRef>
          </c:cat>
          <c:val>
            <c:numRef>
              <c:f>'Figure S6B'!$E$20:$E$23</c:f>
              <c:numCache>
                <c:formatCode>General</c:formatCode>
                <c:ptCount val="4"/>
                <c:pt idx="0">
                  <c:v>0.625</c:v>
                </c:pt>
                <c:pt idx="1">
                  <c:v>0.78</c:v>
                </c:pt>
                <c:pt idx="2">
                  <c:v>0.82499999999999996</c:v>
                </c:pt>
                <c:pt idx="3">
                  <c:v>0.65800000000000003</c:v>
                </c:pt>
              </c:numCache>
            </c:numRef>
          </c:val>
        </c:ser>
        <c:axId val="104887040"/>
        <c:axId val="104888576"/>
      </c:barChart>
      <c:catAx>
        <c:axId val="10488704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2000">
                <a:latin typeface="+mn-lt"/>
              </a:defRPr>
            </a:pPr>
            <a:endParaRPr lang="zh-CN"/>
          </a:p>
        </c:txPr>
        <c:crossAx val="104888576"/>
        <c:crosses val="autoZero"/>
        <c:auto val="1"/>
        <c:lblAlgn val="ctr"/>
        <c:lblOffset val="100"/>
      </c:catAx>
      <c:valAx>
        <c:axId val="1048885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2000">
                    <a:latin typeface="+mn-lt"/>
                  </a:rPr>
                  <a:t>Fresh</a:t>
                </a:r>
                <a:r>
                  <a:rPr lang="zh-CN" altLang="en-US" sz="2000">
                    <a:latin typeface="+mn-lt"/>
                  </a:rPr>
                  <a:t> </a:t>
                </a:r>
                <a:r>
                  <a:rPr lang="en-US" altLang="zh-CN" sz="2000">
                    <a:latin typeface="+mn-lt"/>
                  </a:rPr>
                  <a:t>weight</a:t>
                </a:r>
                <a:r>
                  <a:rPr lang="zh-CN" altLang="en-US" sz="2000">
                    <a:latin typeface="+mn-lt"/>
                  </a:rPr>
                  <a:t> </a:t>
                </a:r>
                <a:r>
                  <a:rPr lang="en-US" altLang="zh-CN" sz="2000">
                    <a:latin typeface="+mn-lt"/>
                  </a:rPr>
                  <a:t>(mg)</a:t>
                </a:r>
                <a:endParaRPr lang="zh-CN" altLang="en-US" sz="2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"/>
              <c:y val="0.26048132999393381"/>
            </c:manualLayout>
          </c:layout>
        </c:title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2000">
                <a:latin typeface="+mn-lt"/>
              </a:defRPr>
            </a:pPr>
            <a:endParaRPr lang="zh-CN"/>
          </a:p>
        </c:txPr>
        <c:crossAx val="104887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54338167203945065"/>
          <c:y val="7.0766440236160648E-3"/>
          <c:w val="0.39897118910139939"/>
          <c:h val="8.4684048361232334E-2"/>
        </c:manualLayout>
      </c:layout>
      <c:txPr>
        <a:bodyPr/>
        <a:lstStyle/>
        <a:p>
          <a:pPr>
            <a:defRPr sz="1800">
              <a:latin typeface="+mn-lt"/>
            </a:defRPr>
          </a:pPr>
          <a:endParaRPr lang="zh-CN"/>
        </a:p>
      </c:txPr>
    </c:legend>
    <c:plotVisOnly val="1"/>
  </c:chart>
  <c:spPr>
    <a:solidFill>
      <a:srgbClr val="FFFFFF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</xdr:row>
      <xdr:rowOff>0</xdr:rowOff>
    </xdr:from>
    <xdr:to>
      <xdr:col>26</xdr:col>
      <xdr:colOff>66675</xdr:colOff>
      <xdr:row>30</xdr:row>
      <xdr:rowOff>76200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0.12709</cdr:x>
      <cdr:y>0.88081</cdr:y>
    </cdr:from>
    <cdr:to>
      <cdr:x>0.28763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3901" y="2886074"/>
          <a:ext cx="9144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0.15672</cdr:x>
      <cdr:y>0.875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00174" y="4325541"/>
          <a:ext cx="7534275" cy="617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zh-CN" sz="2000">
              <a:latin typeface="Arial Unicode MS" pitchFamily="34" charset="-122"/>
              <a:ea typeface="Arial Unicode MS" pitchFamily="34" charset="-122"/>
              <a:cs typeface="Arial Unicode MS" pitchFamily="34" charset="-122"/>
            </a:rPr>
            <a:t>      CK            404-37</a:t>
          </a:r>
          <a:r>
            <a:rPr lang="en-US" altLang="zh-CN" sz="2000" baseline="0">
              <a:latin typeface="Arial Unicode MS" pitchFamily="34" charset="-122"/>
              <a:ea typeface="Arial Unicode MS" pitchFamily="34" charset="-122"/>
              <a:cs typeface="Arial Unicode MS" pitchFamily="34" charset="-122"/>
            </a:rPr>
            <a:t>        404-37+FD    405-58        405-58+FD</a:t>
          </a:r>
          <a:endParaRPr lang="zh-CN" altLang="en-US" sz="2000">
            <a:latin typeface="Arial Unicode MS" pitchFamily="34" charset="-122"/>
            <a:ea typeface="Arial Unicode MS" pitchFamily="34" charset="-122"/>
            <a:cs typeface="Arial Unicode MS" pitchFamily="34" charset="-122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95249</xdr:colOff>
      <xdr:row>17</xdr:row>
      <xdr:rowOff>95250</xdr:rowOff>
    </xdr:from>
    <xdr:to>
      <xdr:col>20</xdr:col>
      <xdr:colOff>552450</xdr:colOff>
      <xdr:row>41</xdr:row>
      <xdr:rowOff>142875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7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K17" sqref="K17"/>
    </sheetView>
  </sheetViews>
  <sheetFormatPr defaultRowHeight="13.5"/>
  <cols>
    <col min="4" max="4" width="11.125" customWidth="1"/>
    <col min="5" max="5" width="13.5" customWidth="1"/>
    <col min="6" max="6" width="11.375" customWidth="1"/>
    <col min="7" max="7" width="12.375" customWidth="1"/>
    <col min="8" max="8" width="12" customWidth="1"/>
  </cols>
  <sheetData>
    <row r="1" spans="1:10">
      <c r="B1" t="s">
        <v>156</v>
      </c>
    </row>
    <row r="2" spans="1:10">
      <c r="B2" t="s">
        <v>199</v>
      </c>
    </row>
    <row r="3" spans="1:10">
      <c r="B3" t="s">
        <v>131</v>
      </c>
    </row>
    <row r="4" spans="1:10">
      <c r="D4" t="s">
        <v>183</v>
      </c>
      <c r="H4" t="s">
        <v>106</v>
      </c>
    </row>
    <row r="5" spans="1:10">
      <c r="F5" t="s">
        <v>181</v>
      </c>
      <c r="J5" t="s">
        <v>181</v>
      </c>
    </row>
    <row r="6" spans="1:10">
      <c r="B6" t="s">
        <v>148</v>
      </c>
      <c r="C6">
        <v>4.4000000000000004</v>
      </c>
      <c r="D6">
        <v>4.0999999999999996</v>
      </c>
      <c r="E6">
        <v>4.5</v>
      </c>
      <c r="F6">
        <f>AVERAGE(C6:E6)/8</f>
        <v>0.54166666666666663</v>
      </c>
      <c r="G6">
        <v>5.0999999999999996</v>
      </c>
      <c r="H6">
        <v>5.2</v>
      </c>
      <c r="I6">
        <v>5.3</v>
      </c>
      <c r="J6">
        <f>AVERAGE(G6:I6)/8</f>
        <v>0.65</v>
      </c>
    </row>
    <row r="7" spans="1:10">
      <c r="B7" t="s">
        <v>3</v>
      </c>
      <c r="C7">
        <v>3.5</v>
      </c>
      <c r="D7">
        <v>3.6</v>
      </c>
      <c r="E7">
        <v>3.3</v>
      </c>
      <c r="F7">
        <f t="shared" ref="F7:F10" si="0">AVERAGE(C7:E7)/8</f>
        <v>0.43333333333333329</v>
      </c>
      <c r="G7">
        <v>8.5</v>
      </c>
      <c r="H7">
        <v>8.3000000000000007</v>
      </c>
      <c r="I7">
        <v>8.6</v>
      </c>
      <c r="J7">
        <f t="shared" ref="J7:J10" si="1">AVERAGE(G7:I7)/8</f>
        <v>1.0583333333333333</v>
      </c>
    </row>
    <row r="8" spans="1:10">
      <c r="B8" t="s">
        <v>7</v>
      </c>
      <c r="C8">
        <v>3.6</v>
      </c>
      <c r="D8">
        <v>3.1</v>
      </c>
      <c r="E8">
        <v>3.2</v>
      </c>
      <c r="F8">
        <f t="shared" si="0"/>
        <v>0.41250000000000003</v>
      </c>
      <c r="G8">
        <v>5.6</v>
      </c>
      <c r="H8">
        <v>6.1</v>
      </c>
      <c r="I8">
        <v>5.8</v>
      </c>
      <c r="J8">
        <f t="shared" si="1"/>
        <v>0.72916666666666663</v>
      </c>
    </row>
    <row r="9" spans="1:10">
      <c r="B9" t="s">
        <v>8</v>
      </c>
      <c r="C9">
        <v>3.4</v>
      </c>
      <c r="D9">
        <v>3.8</v>
      </c>
      <c r="E9">
        <v>3.7</v>
      </c>
      <c r="F9">
        <f t="shared" si="0"/>
        <v>0.45416666666666661</v>
      </c>
      <c r="G9">
        <v>6.3</v>
      </c>
      <c r="H9">
        <v>6.5</v>
      </c>
      <c r="I9">
        <v>6.2</v>
      </c>
      <c r="J9">
        <f t="shared" si="1"/>
        <v>0.79166666666666663</v>
      </c>
    </row>
    <row r="10" spans="1:10">
      <c r="B10" t="s">
        <v>5</v>
      </c>
      <c r="C10">
        <v>3.4</v>
      </c>
      <c r="D10">
        <v>3.2</v>
      </c>
      <c r="E10">
        <v>3.5</v>
      </c>
      <c r="F10">
        <f t="shared" si="0"/>
        <v>0.42083333333333334</v>
      </c>
      <c r="G10">
        <v>6.7</v>
      </c>
      <c r="H10">
        <v>6.8</v>
      </c>
      <c r="I10">
        <v>6.5</v>
      </c>
      <c r="J10">
        <f t="shared" si="1"/>
        <v>0.83333333333333337</v>
      </c>
    </row>
    <row r="12" spans="1:10">
      <c r="C12">
        <v>0</v>
      </c>
      <c r="D12" t="s">
        <v>106</v>
      </c>
      <c r="E12" s="10" t="s">
        <v>170</v>
      </c>
      <c r="F12" t="s">
        <v>157</v>
      </c>
      <c r="G12" s="10" t="s">
        <v>170</v>
      </c>
      <c r="H12" t="s">
        <v>106</v>
      </c>
    </row>
    <row r="13" spans="1:10" ht="16.5">
      <c r="B13" s="14" t="s">
        <v>141</v>
      </c>
      <c r="C13">
        <v>0.54</v>
      </c>
      <c r="D13">
        <v>0.65</v>
      </c>
      <c r="E13">
        <v>2.6020999999999999E-2</v>
      </c>
      <c r="F13">
        <v>2.6020999999999999E-2</v>
      </c>
      <c r="G13">
        <f>STDEV(G6:I6)/8</f>
        <v>1.2499999999994316E-2</v>
      </c>
      <c r="H13">
        <f>J6-G6/8</f>
        <v>1.2500000000000067E-2</v>
      </c>
    </row>
    <row r="14" spans="1:10" ht="18">
      <c r="A14" s="3" t="s">
        <v>105</v>
      </c>
      <c r="B14" s="14" t="s">
        <v>142</v>
      </c>
      <c r="C14">
        <v>0.43</v>
      </c>
      <c r="D14">
        <v>1.06</v>
      </c>
      <c r="E14">
        <v>1.9094E-2</v>
      </c>
      <c r="F14">
        <v>1.9094E-2</v>
      </c>
      <c r="G14">
        <f t="shared" ref="G14:G17" si="2">STDEV(G7:I7)/8</f>
        <v>1.9094065395658093E-2</v>
      </c>
      <c r="H14">
        <v>1.9094E-2</v>
      </c>
    </row>
    <row r="15" spans="1:10" ht="16.5">
      <c r="B15" s="14" t="s">
        <v>7</v>
      </c>
      <c r="C15">
        <v>0.41</v>
      </c>
      <c r="D15">
        <v>0.73</v>
      </c>
      <c r="E15">
        <v>3.3071999999999997E-2</v>
      </c>
      <c r="F15">
        <v>3.3071999999999997E-2</v>
      </c>
      <c r="G15">
        <f t="shared" si="2"/>
        <v>3.1457643480294603E-2</v>
      </c>
      <c r="H15">
        <v>3.1458E-2</v>
      </c>
    </row>
    <row r="16" spans="1:10" ht="16.5">
      <c r="B16" s="14" t="s">
        <v>8</v>
      </c>
      <c r="C16">
        <v>0.45</v>
      </c>
      <c r="D16">
        <v>0.79</v>
      </c>
      <c r="E16">
        <v>2.6020999999999999E-2</v>
      </c>
      <c r="F16">
        <v>2.6020999999999999E-2</v>
      </c>
      <c r="G16">
        <f t="shared" si="2"/>
        <v>1.9094065395649371E-2</v>
      </c>
      <c r="H16">
        <v>1.9094E-2</v>
      </c>
      <c r="J16" s="10"/>
    </row>
    <row r="17" spans="2:8" ht="16.5">
      <c r="B17" s="14" t="s">
        <v>5</v>
      </c>
      <c r="C17">
        <v>0.42</v>
      </c>
      <c r="D17">
        <v>0.83</v>
      </c>
      <c r="E17">
        <v>1.9094E-2</v>
      </c>
      <c r="F17">
        <v>1.9094E-2</v>
      </c>
      <c r="G17">
        <f t="shared" si="2"/>
        <v>1.9094065395646464E-2</v>
      </c>
      <c r="H17">
        <v>1.9094E-2</v>
      </c>
    </row>
  </sheetData>
  <phoneticPr fontId="1" type="noConversion"/>
  <pageMargins left="0.7" right="0.7" top="0.75" bottom="0.75" header="0.3" footer="0.3"/>
  <pageSetup paperSize="9"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sqref="A1:F2"/>
    </sheetView>
  </sheetViews>
  <sheetFormatPr defaultRowHeight="13.5"/>
  <sheetData>
    <row r="1" spans="1:9">
      <c r="A1" t="s">
        <v>201</v>
      </c>
    </row>
    <row r="2" spans="1:9">
      <c r="A2" t="s">
        <v>196</v>
      </c>
    </row>
    <row r="4" spans="1:9">
      <c r="B4" t="s">
        <v>99</v>
      </c>
    </row>
    <row r="5" spans="1:9">
      <c r="A5" t="s">
        <v>11</v>
      </c>
      <c r="C5" t="s">
        <v>97</v>
      </c>
      <c r="H5" t="s">
        <v>100</v>
      </c>
    </row>
    <row r="6" spans="1:9">
      <c r="E6" t="s">
        <v>181</v>
      </c>
      <c r="I6" t="s">
        <v>167</v>
      </c>
    </row>
    <row r="7" spans="1:9">
      <c r="A7" t="s">
        <v>9</v>
      </c>
      <c r="B7">
        <v>43</v>
      </c>
      <c r="C7">
        <v>47</v>
      </c>
      <c r="D7">
        <v>46</v>
      </c>
      <c r="E7">
        <f>AVERAGE(B7:D7)</f>
        <v>45.333333333333336</v>
      </c>
      <c r="F7">
        <v>76</v>
      </c>
      <c r="G7">
        <v>80</v>
      </c>
      <c r="H7">
        <v>77</v>
      </c>
      <c r="I7">
        <f>AVERAGE(F7:H7)</f>
        <v>77.666666666666671</v>
      </c>
    </row>
    <row r="8" spans="1:9">
      <c r="A8" t="s">
        <v>4</v>
      </c>
      <c r="B8">
        <v>58</v>
      </c>
      <c r="C8">
        <v>65</v>
      </c>
      <c r="D8">
        <v>62</v>
      </c>
      <c r="E8">
        <f t="shared" ref="E8:E10" si="0">AVERAGE(B8:D8)</f>
        <v>61.666666666666664</v>
      </c>
      <c r="F8">
        <v>86</v>
      </c>
      <c r="G8">
        <v>88</v>
      </c>
      <c r="H8">
        <v>85</v>
      </c>
      <c r="I8">
        <f>AVERAGE(F8:H8)</f>
        <v>86.333333333333329</v>
      </c>
    </row>
    <row r="9" spans="1:9">
      <c r="A9" t="s">
        <v>7</v>
      </c>
      <c r="B9">
        <v>60</v>
      </c>
      <c r="C9">
        <v>68</v>
      </c>
      <c r="D9">
        <v>64</v>
      </c>
      <c r="E9">
        <f t="shared" si="0"/>
        <v>64</v>
      </c>
      <c r="F9">
        <v>82</v>
      </c>
      <c r="G9">
        <v>81</v>
      </c>
      <c r="H9">
        <v>81</v>
      </c>
      <c r="I9">
        <f>AVERAGE(F9:H9)</f>
        <v>81.333333333333329</v>
      </c>
    </row>
    <row r="10" spans="1:9">
      <c r="A10" t="s">
        <v>5</v>
      </c>
      <c r="B10">
        <v>56</v>
      </c>
      <c r="C10">
        <v>64</v>
      </c>
      <c r="D10">
        <v>59</v>
      </c>
      <c r="E10">
        <f t="shared" si="0"/>
        <v>59.666666666666664</v>
      </c>
      <c r="F10">
        <v>85</v>
      </c>
      <c r="G10">
        <v>86</v>
      </c>
      <c r="H10">
        <v>89</v>
      </c>
      <c r="I10">
        <f>AVERAGE(F10:H10)</f>
        <v>86.666666666666671</v>
      </c>
    </row>
    <row r="12" spans="1:9">
      <c r="E12" s="10" t="s">
        <v>197</v>
      </c>
      <c r="F12" s="10"/>
      <c r="H12" s="10" t="s">
        <v>198</v>
      </c>
      <c r="I12" s="10"/>
    </row>
    <row r="13" spans="1:9">
      <c r="A13" t="s">
        <v>12</v>
      </c>
      <c r="B13">
        <f>4.5/10</f>
        <v>0.45</v>
      </c>
      <c r="C13">
        <f>7.8/10</f>
        <v>0.78</v>
      </c>
      <c r="E13">
        <f>STDEV(B7:D7)/10</f>
        <v>0.2081665999466169</v>
      </c>
      <c r="F13">
        <v>0.20816699999999999</v>
      </c>
      <c r="H13">
        <f>STDEV(F7:H7)/10</f>
        <v>0.20816659994662784</v>
      </c>
      <c r="I13">
        <v>0.20816699999999999</v>
      </c>
    </row>
    <row r="14" spans="1:9">
      <c r="A14" t="s">
        <v>4</v>
      </c>
      <c r="B14">
        <f>6.15/10</f>
        <v>0.61499999999999999</v>
      </c>
      <c r="C14">
        <f>8.6/10</f>
        <v>0.86</v>
      </c>
      <c r="E14">
        <f>STDEV(B8:D8)/10</f>
        <v>0.35118845842842028</v>
      </c>
      <c r="F14">
        <v>0.351188</v>
      </c>
      <c r="H14">
        <f>(I8-H8)/10</f>
        <v>0.13333333333333286</v>
      </c>
      <c r="I14">
        <v>0.13333300000000001</v>
      </c>
    </row>
    <row r="15" spans="1:9">
      <c r="A15" t="s">
        <v>5</v>
      </c>
      <c r="B15">
        <f>5.95/10</f>
        <v>0.59499999999999997</v>
      </c>
      <c r="C15">
        <f>8.7/10</f>
        <v>0.86999999999999988</v>
      </c>
      <c r="E15">
        <f>STDEV(B9:D9)/10</f>
        <v>0.4</v>
      </c>
      <c r="F15">
        <f>(C9-E9)/10</f>
        <v>0.4</v>
      </c>
      <c r="H15">
        <f>(I9-G9)/10</f>
        <v>3.3333333333332861E-2</v>
      </c>
      <c r="I15">
        <v>3.3333000000000002E-2</v>
      </c>
    </row>
    <row r="16" spans="1:9">
      <c r="A16" t="s">
        <v>7</v>
      </c>
      <c r="B16">
        <f>6.4/10</f>
        <v>0.64</v>
      </c>
      <c r="C16">
        <f>8.15/10</f>
        <v>0.81500000000000006</v>
      </c>
      <c r="E16">
        <f>STDEV(B10:D10)/10</f>
        <v>0.40414518843273434</v>
      </c>
      <c r="F16">
        <v>0.40414499999999998</v>
      </c>
      <c r="H16">
        <f>(I10-F10)/10</f>
        <v>0.16666666666666713</v>
      </c>
      <c r="I16">
        <v>0.16666700000000001</v>
      </c>
    </row>
    <row r="17" spans="1:7">
      <c r="A17" s="3"/>
    </row>
    <row r="18" spans="1:7">
      <c r="C18" s="10"/>
      <c r="D18" s="10"/>
      <c r="F18" s="10"/>
      <c r="G18" s="10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2" sqref="A2:F2"/>
    </sheetView>
  </sheetViews>
  <sheetFormatPr defaultRowHeight="13.5"/>
  <sheetData>
    <row r="1" spans="1:7">
      <c r="A1" t="s">
        <v>202</v>
      </c>
    </row>
    <row r="2" spans="1:7">
      <c r="A2" t="s">
        <v>196</v>
      </c>
    </row>
    <row r="3" spans="1:7">
      <c r="A3" t="s">
        <v>60</v>
      </c>
      <c r="C3" t="s">
        <v>61</v>
      </c>
      <c r="D3" t="s">
        <v>67</v>
      </c>
      <c r="E3" t="s">
        <v>69</v>
      </c>
    </row>
    <row r="4" spans="1:7">
      <c r="F4" t="s">
        <v>181</v>
      </c>
    </row>
    <row r="5" spans="1:7">
      <c r="B5" t="s">
        <v>2</v>
      </c>
      <c r="C5">
        <v>4.2</v>
      </c>
      <c r="D5">
        <v>4.5</v>
      </c>
      <c r="E5">
        <v>3.9</v>
      </c>
      <c r="F5">
        <f>AVERAGE(C5:E5)</f>
        <v>4.2</v>
      </c>
      <c r="G5">
        <f>F5/5</f>
        <v>0.84000000000000008</v>
      </c>
    </row>
    <row r="6" spans="1:7">
      <c r="B6" t="s">
        <v>15</v>
      </c>
      <c r="C6">
        <v>6.1</v>
      </c>
      <c r="D6">
        <v>5.7</v>
      </c>
      <c r="E6">
        <v>6.4</v>
      </c>
      <c r="F6">
        <f>AVERAGE(C6:E6)</f>
        <v>6.0666666666666673</v>
      </c>
      <c r="G6">
        <f t="shared" ref="G6:G9" si="0">F6/5</f>
        <v>1.2133333333333334</v>
      </c>
    </row>
    <row r="7" spans="1:7">
      <c r="B7" t="s">
        <v>16</v>
      </c>
      <c r="C7">
        <v>3.9</v>
      </c>
      <c r="D7">
        <v>4.2</v>
      </c>
      <c r="E7">
        <v>4.0999999999999996</v>
      </c>
      <c r="F7">
        <f>AVERAGE(C7:E7)</f>
        <v>4.0666666666666664</v>
      </c>
      <c r="G7">
        <f t="shared" si="0"/>
        <v>0.81333333333333324</v>
      </c>
    </row>
    <row r="8" spans="1:7">
      <c r="B8" t="s">
        <v>17</v>
      </c>
      <c r="C8">
        <v>4.5999999999999996</v>
      </c>
      <c r="D8">
        <v>4.5</v>
      </c>
      <c r="E8">
        <v>4.7</v>
      </c>
      <c r="F8">
        <f>AVERAGE(C8:E8)</f>
        <v>4.6000000000000005</v>
      </c>
      <c r="G8">
        <f t="shared" si="0"/>
        <v>0.92000000000000015</v>
      </c>
    </row>
    <row r="9" spans="1:7">
      <c r="B9" t="s">
        <v>18</v>
      </c>
      <c r="C9">
        <v>4.4000000000000004</v>
      </c>
      <c r="D9">
        <v>4.2</v>
      </c>
      <c r="E9">
        <v>4.4000000000000004</v>
      </c>
      <c r="F9">
        <f>AVERAGE(C9:E9)</f>
        <v>4.3333333333333339</v>
      </c>
      <c r="G9">
        <f t="shared" si="0"/>
        <v>0.86666666666666681</v>
      </c>
    </row>
    <row r="11" spans="1:7">
      <c r="D11" s="10" t="s">
        <v>170</v>
      </c>
      <c r="E11" s="10"/>
    </row>
    <row r="12" spans="1:7">
      <c r="B12" t="s">
        <v>2</v>
      </c>
      <c r="C12">
        <v>0.84</v>
      </c>
      <c r="D12">
        <f>STDEV(C5:E5)/5</f>
        <v>6.0000000000001143E-2</v>
      </c>
      <c r="E12">
        <f>(D5-F5)/5</f>
        <v>5.9999999999999963E-2</v>
      </c>
    </row>
    <row r="13" spans="1:7">
      <c r="B13" t="s">
        <v>15</v>
      </c>
      <c r="C13">
        <v>1.21</v>
      </c>
      <c r="D13">
        <f t="shared" ref="D13:D16" si="1">STDEV(C6:E6)/5</f>
        <v>7.0237691685679282E-2</v>
      </c>
      <c r="E13">
        <v>7.0237999999999995E-2</v>
      </c>
    </row>
    <row r="14" spans="1:7">
      <c r="A14" s="4"/>
      <c r="B14" t="s">
        <v>16</v>
      </c>
      <c r="C14">
        <v>0.81</v>
      </c>
      <c r="D14">
        <f t="shared" si="1"/>
        <v>3.055050463304132E-2</v>
      </c>
      <c r="E14">
        <v>3.0550999999999998E-2</v>
      </c>
    </row>
    <row r="15" spans="1:7">
      <c r="B15" t="s">
        <v>17</v>
      </c>
      <c r="C15">
        <v>0.92</v>
      </c>
      <c r="D15">
        <f t="shared" si="1"/>
        <v>1.999999999999446E-2</v>
      </c>
      <c r="E15">
        <f>(E8-F8)/5</f>
        <v>1.9999999999999928E-2</v>
      </c>
    </row>
    <row r="16" spans="1:7">
      <c r="B16" t="s">
        <v>18</v>
      </c>
      <c r="C16">
        <v>0.87</v>
      </c>
      <c r="D16">
        <f t="shared" si="1"/>
        <v>2.3094010767577604E-2</v>
      </c>
      <c r="E16">
        <v>2.3094E-2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4"/>
  <sheetViews>
    <sheetView workbookViewId="0">
      <selection sqref="A1:C1"/>
    </sheetView>
  </sheetViews>
  <sheetFormatPr defaultRowHeight="13.5"/>
  <sheetData>
    <row r="1" spans="1:23">
      <c r="A1" t="s">
        <v>203</v>
      </c>
    </row>
    <row r="2" spans="1:23">
      <c r="B2" t="s">
        <v>204</v>
      </c>
    </row>
    <row r="3" spans="1:23">
      <c r="A3" s="6"/>
    </row>
    <row r="4" spans="1:23">
      <c r="A4" s="7"/>
      <c r="B4" s="7" t="s">
        <v>39</v>
      </c>
      <c r="C4" s="7"/>
      <c r="D4" s="7" t="s">
        <v>40</v>
      </c>
      <c r="E4" s="7"/>
      <c r="F4" s="7" t="s">
        <v>70</v>
      </c>
      <c r="G4" s="7"/>
      <c r="H4" s="7" t="s">
        <v>41</v>
      </c>
      <c r="I4" s="7" t="s">
        <v>42</v>
      </c>
      <c r="J4" s="7" t="s">
        <v>43</v>
      </c>
      <c r="K4" s="7" t="s">
        <v>71</v>
      </c>
      <c r="L4" s="7" t="s">
        <v>164</v>
      </c>
      <c r="M4" s="7" t="s">
        <v>153</v>
      </c>
      <c r="N4" s="7" t="s">
        <v>205</v>
      </c>
      <c r="O4" s="7" t="s">
        <v>206</v>
      </c>
      <c r="P4" s="7" t="s">
        <v>153</v>
      </c>
      <c r="Q4" s="7" t="s">
        <v>205</v>
      </c>
      <c r="R4" s="7" t="s">
        <v>207</v>
      </c>
      <c r="S4" s="7" t="s">
        <v>153</v>
      </c>
      <c r="T4" s="7" t="s">
        <v>205</v>
      </c>
      <c r="U4" s="7" t="s">
        <v>169</v>
      </c>
      <c r="V4" s="7" t="s">
        <v>153</v>
      </c>
      <c r="W4" s="7" t="s">
        <v>205</v>
      </c>
    </row>
    <row r="5" spans="1:23">
      <c r="A5" s="7" t="s">
        <v>72</v>
      </c>
      <c r="B5" s="7">
        <v>0.28940000510215802</v>
      </c>
      <c r="C5" s="7">
        <f t="shared" ref="C5:C19" si="0">B5+0.00893</f>
        <v>0.29833000510215801</v>
      </c>
      <c r="D5" s="7">
        <v>0.12849999754428801</v>
      </c>
      <c r="E5" s="7">
        <f t="shared" ref="E5:E19" si="1">D5+0.00897</f>
        <v>0.13746999754428801</v>
      </c>
      <c r="F5" s="7">
        <v>0.37060000598430598</v>
      </c>
      <c r="G5" s="7">
        <f t="shared" ref="G5:G19" si="2">F5+0.0113</f>
        <v>0.38190000598430596</v>
      </c>
      <c r="H5" s="7">
        <f t="shared" ref="H5:H19" si="3">13.95*C5-6.8*E5</f>
        <v>3.2269075878739453</v>
      </c>
      <c r="I5" s="7">
        <f t="shared" ref="I5:I19" si="4">24.96*E5-7.32*C5</f>
        <v>1.2474755013576324</v>
      </c>
      <c r="J5" s="7">
        <f t="shared" ref="J5:J19" si="5">H5+I5</f>
        <v>4.4743830892315781</v>
      </c>
      <c r="K5" s="7">
        <f t="shared" ref="K5:K19" si="6">(1000*G5-2.05*H5-114.8*I5)/248</f>
        <v>0.93578491077946835</v>
      </c>
      <c r="L5" s="7">
        <f>H5*2*1/0.06/1000</f>
        <v>0.10756358626246486</v>
      </c>
      <c r="M5" s="7">
        <f>AVERAGE(L5:L7)</f>
        <v>0.11023762208799574</v>
      </c>
      <c r="N5" s="7">
        <f>STDEV(L5:L7)</f>
        <v>7.4430934833305444E-3</v>
      </c>
      <c r="O5" s="7">
        <f>I5*2*1/0.06/1000</f>
        <v>4.1582516711921078E-2</v>
      </c>
      <c r="P5" s="7">
        <f>AVERAGE(O5:O7)</f>
        <v>4.2104636508197284E-2</v>
      </c>
      <c r="Q5" s="7">
        <f>STDEV(O5:O7)</f>
        <v>1.3236283534885716E-3</v>
      </c>
      <c r="R5" s="7">
        <f t="shared" ref="R5:R19" si="7">L5+O5</f>
        <v>0.14914610297438594</v>
      </c>
      <c r="S5" s="7">
        <f>AVERAGE(R5:R7)</f>
        <v>0.15234225859619302</v>
      </c>
      <c r="T5" s="7">
        <f>STDEV(R5:R7)</f>
        <v>8.766137494757199E-3</v>
      </c>
      <c r="U5" s="7">
        <f>K5*2*1/0.06/1000</f>
        <v>3.1192830359315613E-2</v>
      </c>
      <c r="V5" s="7">
        <f>AVERAGE(U5:U7)</f>
        <v>3.3379750396379408E-2</v>
      </c>
      <c r="W5" s="7">
        <f>STDEV(U5:U7)</f>
        <v>4.1808191807565171E-3</v>
      </c>
    </row>
    <row r="6" spans="1:23">
      <c r="A6" s="7" t="s">
        <v>73</v>
      </c>
      <c r="B6" s="7">
        <v>0.28140012099743</v>
      </c>
      <c r="C6" s="7">
        <f t="shared" si="0"/>
        <v>0.29033012099743</v>
      </c>
      <c r="D6" s="7">
        <v>0.12560000751018499</v>
      </c>
      <c r="E6" s="7">
        <f t="shared" si="1"/>
        <v>0.134570007510185</v>
      </c>
      <c r="F6" s="7">
        <v>0.365499986505602</v>
      </c>
      <c r="G6" s="7">
        <f t="shared" si="2"/>
        <v>0.37679998650560198</v>
      </c>
      <c r="H6" s="7">
        <f t="shared" si="3"/>
        <v>3.1350291368448904</v>
      </c>
      <c r="I6" s="7">
        <f t="shared" si="4"/>
        <v>1.2336509017530299</v>
      </c>
      <c r="J6" s="7">
        <f t="shared" si="5"/>
        <v>4.3686800385979208</v>
      </c>
      <c r="K6" s="7">
        <f t="shared" si="6"/>
        <v>0.92237924699121832</v>
      </c>
      <c r="L6" s="7">
        <f>H6*2*1/0.06/1000</f>
        <v>0.10450097122816301</v>
      </c>
      <c r="M6" s="7"/>
      <c r="N6" s="7"/>
      <c r="O6" s="7">
        <f>I6*2*1/0.06/1000</f>
        <v>4.1121696725100999E-2</v>
      </c>
      <c r="P6" s="7"/>
      <c r="Q6" s="7"/>
      <c r="R6" s="7">
        <f t="shared" si="7"/>
        <v>0.14562266795326401</v>
      </c>
      <c r="S6" s="7"/>
      <c r="T6" s="7"/>
      <c r="U6" s="7">
        <f>K6*2*1/0.06/1000</f>
        <v>3.0745974899707276E-2</v>
      </c>
      <c r="V6" s="7"/>
      <c r="W6" s="7"/>
    </row>
    <row r="7" spans="1:23">
      <c r="A7" s="7" t="s">
        <v>74</v>
      </c>
      <c r="B7" s="7">
        <v>0.31860013113022001</v>
      </c>
      <c r="C7" s="7">
        <f t="shared" si="0"/>
        <v>0.32753013113022</v>
      </c>
      <c r="D7" s="7">
        <v>0.13950000971555701</v>
      </c>
      <c r="E7" s="7">
        <f t="shared" si="1"/>
        <v>0.14847000971555702</v>
      </c>
      <c r="F7" s="7">
        <v>0.43039998203521002</v>
      </c>
      <c r="G7" s="7">
        <f t="shared" si="2"/>
        <v>0.44169998203520999</v>
      </c>
      <c r="H7" s="7">
        <f t="shared" si="3"/>
        <v>3.559449263200781</v>
      </c>
      <c r="I7" s="7">
        <f t="shared" si="4"/>
        <v>1.3082908826270927</v>
      </c>
      <c r="J7" s="7">
        <f t="shared" si="5"/>
        <v>4.8677401458278737</v>
      </c>
      <c r="K7" s="7">
        <f t="shared" si="6"/>
        <v>1.14601337790346</v>
      </c>
      <c r="L7" s="7">
        <f>H7*2*1/0.06/1000</f>
        <v>0.11864830877335937</v>
      </c>
      <c r="M7" s="7"/>
      <c r="N7" s="7"/>
      <c r="O7" s="7">
        <f>I7*2*1/0.06/1000</f>
        <v>4.360969608756976E-2</v>
      </c>
      <c r="P7" s="7"/>
      <c r="Q7" s="7"/>
      <c r="R7" s="7">
        <f t="shared" si="7"/>
        <v>0.16225800486092912</v>
      </c>
      <c r="S7" s="7"/>
      <c r="T7" s="7"/>
      <c r="U7" s="7">
        <f>K7*2*1/0.06/1000</f>
        <v>3.8200445930115338E-2</v>
      </c>
      <c r="V7" s="7"/>
      <c r="W7" s="7"/>
    </row>
    <row r="8" spans="1:23" ht="14.25">
      <c r="A8" s="11" t="s">
        <v>75</v>
      </c>
      <c r="B8" s="7">
        <v>0.79579998470544799</v>
      </c>
      <c r="C8" s="7">
        <f t="shared" si="0"/>
        <v>0.80472998470544799</v>
      </c>
      <c r="D8" s="7">
        <v>0.37750000007144402</v>
      </c>
      <c r="E8" s="7">
        <f t="shared" si="1"/>
        <v>0.386470000071444</v>
      </c>
      <c r="F8" s="7">
        <v>0.85150002836451999</v>
      </c>
      <c r="G8" s="7">
        <f t="shared" si="2"/>
        <v>0.86280002836451997</v>
      </c>
      <c r="H8" s="7">
        <f t="shared" si="3"/>
        <v>8.5979872861551794</v>
      </c>
      <c r="I8" s="7">
        <f t="shared" si="4"/>
        <v>3.7556677137393626</v>
      </c>
      <c r="J8" s="7">
        <f t="shared" si="5"/>
        <v>12.353654999894541</v>
      </c>
      <c r="K8" s="7">
        <f t="shared" si="6"/>
        <v>1.669449600365416</v>
      </c>
      <c r="L8" s="7">
        <f t="shared" ref="L8:L19" si="8">H8*2*1/0.1/1000</f>
        <v>0.17195974572310357</v>
      </c>
      <c r="M8" s="7">
        <f>AVERAGE(L8:L10)</f>
        <v>0.16836364920235894</v>
      </c>
      <c r="N8" s="7">
        <f>STDEV(L8:L10)</f>
        <v>3.1480192844976075E-3</v>
      </c>
      <c r="O8" s="7">
        <f t="shared" ref="O8:O19" si="9">I8*2*1/0.1/1000</f>
        <v>7.5113354274787242E-2</v>
      </c>
      <c r="P8" s="7">
        <f>AVERAGE(O8:O10)</f>
        <v>6.8272470570559851E-2</v>
      </c>
      <c r="Q8" s="7">
        <f>STDEV(O8:O10)</f>
        <v>7.602614737702189E-3</v>
      </c>
      <c r="R8" s="7">
        <f t="shared" si="7"/>
        <v>0.24707309999789082</v>
      </c>
      <c r="S8" s="7">
        <f>AVERAGE(R8:R10)</f>
        <v>0.23663611977291879</v>
      </c>
      <c r="T8" s="7">
        <f>STDEV(R8:R10)</f>
        <v>1.0439764139209405E-2</v>
      </c>
      <c r="U8" s="7">
        <f t="shared" ref="U8:U19" si="10">K8*2*1/0.1/1000</f>
        <v>3.338899200730832E-2</v>
      </c>
      <c r="V8" s="7">
        <f>AVERAGE(U8:U10)</f>
        <v>3.1268178217325193E-2</v>
      </c>
      <c r="W8" s="7">
        <f>STDEV(U8:U10)</f>
        <v>2.2035173210471029E-3</v>
      </c>
    </row>
    <row r="9" spans="1:23" ht="14.25">
      <c r="A9" s="8" t="s">
        <v>76</v>
      </c>
      <c r="B9" s="7">
        <v>0.768900001657009</v>
      </c>
      <c r="C9" s="7">
        <f t="shared" si="0"/>
        <v>0.777830001657009</v>
      </c>
      <c r="D9" s="7">
        <v>0.35860000869036601</v>
      </c>
      <c r="E9" s="7">
        <f t="shared" si="1"/>
        <v>0.36757000869036599</v>
      </c>
      <c r="F9" s="7">
        <v>0.76489997228330997</v>
      </c>
      <c r="G9" s="7">
        <f t="shared" si="2"/>
        <v>0.77619997228330995</v>
      </c>
      <c r="H9" s="7">
        <f t="shared" si="3"/>
        <v>8.3512524640207868</v>
      </c>
      <c r="I9" s="7">
        <f t="shared" si="4"/>
        <v>3.4808318047822286</v>
      </c>
      <c r="J9" s="7">
        <f t="shared" si="5"/>
        <v>11.832084268803015</v>
      </c>
      <c r="K9" s="7">
        <f t="shared" si="6"/>
        <v>1.4495177965446271</v>
      </c>
      <c r="L9" s="7">
        <f t="shared" si="8"/>
        <v>0.16702504928041573</v>
      </c>
      <c r="M9" s="7"/>
      <c r="N9" s="7"/>
      <c r="O9" s="7">
        <f t="shared" si="9"/>
        <v>6.9616636095644571E-2</v>
      </c>
      <c r="P9" s="7"/>
      <c r="Q9" s="7"/>
      <c r="R9" s="7">
        <f t="shared" si="7"/>
        <v>0.23664168537606028</v>
      </c>
      <c r="S9" s="7"/>
      <c r="T9" s="7"/>
      <c r="U9" s="7">
        <f t="shared" si="10"/>
        <v>2.8990355930892543E-2</v>
      </c>
      <c r="V9" s="7"/>
      <c r="W9" s="7"/>
    </row>
    <row r="10" spans="1:23" ht="14.25">
      <c r="A10" s="8" t="s">
        <v>77</v>
      </c>
      <c r="B10" s="7">
        <v>0.75419999874425003</v>
      </c>
      <c r="C10" s="7">
        <f t="shared" si="0"/>
        <v>0.76312999874425003</v>
      </c>
      <c r="D10" s="7">
        <v>0.33519997828005998</v>
      </c>
      <c r="E10" s="7">
        <f t="shared" si="1"/>
        <v>0.34416997828005996</v>
      </c>
      <c r="F10" s="7">
        <v>0.74029999439143301</v>
      </c>
      <c r="G10" s="7">
        <f t="shared" si="2"/>
        <v>0.75159999439143299</v>
      </c>
      <c r="H10" s="7">
        <f t="shared" si="3"/>
        <v>8.3053076301778805</v>
      </c>
      <c r="I10" s="7">
        <f t="shared" si="4"/>
        <v>3.0043710670623867</v>
      </c>
      <c r="J10" s="7">
        <f t="shared" si="5"/>
        <v>11.309678697240267</v>
      </c>
      <c r="K10" s="7">
        <f t="shared" si="6"/>
        <v>1.5712593356887354</v>
      </c>
      <c r="L10" s="7">
        <f t="shared" si="8"/>
        <v>0.1661061526035576</v>
      </c>
      <c r="M10" s="7"/>
      <c r="N10" s="7"/>
      <c r="O10" s="7">
        <f t="shared" si="9"/>
        <v>6.0087421341247733E-2</v>
      </c>
      <c r="P10" s="7"/>
      <c r="Q10" s="7"/>
      <c r="R10" s="7">
        <f t="shared" si="7"/>
        <v>0.22619357394480533</v>
      </c>
      <c r="S10" s="7"/>
      <c r="T10" s="7"/>
      <c r="U10" s="7">
        <f t="shared" si="10"/>
        <v>3.1425186713774707E-2</v>
      </c>
      <c r="V10" s="7"/>
      <c r="W10" s="7"/>
    </row>
    <row r="11" spans="1:23" ht="14.25">
      <c r="A11" s="8" t="s">
        <v>78</v>
      </c>
      <c r="B11" s="7">
        <v>0.50490001708269105</v>
      </c>
      <c r="C11" s="7">
        <f t="shared" si="0"/>
        <v>0.51383001708269105</v>
      </c>
      <c r="D11" s="7">
        <v>0.204600000083447</v>
      </c>
      <c r="E11" s="7">
        <f t="shared" si="1"/>
        <v>0.21357000008344701</v>
      </c>
      <c r="F11" s="7">
        <v>0.56949996978044504</v>
      </c>
      <c r="G11" s="7">
        <f t="shared" si="2"/>
        <v>0.58079996978044501</v>
      </c>
      <c r="H11" s="7">
        <f t="shared" si="3"/>
        <v>5.7156527377361002</v>
      </c>
      <c r="I11" s="7">
        <f t="shared" si="4"/>
        <v>1.5694714770375393</v>
      </c>
      <c r="J11" s="7">
        <f t="shared" si="5"/>
        <v>7.2851242147736395</v>
      </c>
      <c r="K11" s="7">
        <f t="shared" si="6"/>
        <v>1.568175629452325</v>
      </c>
      <c r="L11" s="7">
        <f t="shared" si="8"/>
        <v>0.114313054754722</v>
      </c>
      <c r="M11" s="7">
        <f>AVERAGE(L11:L13)</f>
        <v>0.11231785428026116</v>
      </c>
      <c r="N11" s="7">
        <f>STDEV(L11:L13)</f>
        <v>2.4993771874464743E-3</v>
      </c>
      <c r="O11" s="7">
        <f t="shared" si="9"/>
        <v>3.1389429540750788E-2</v>
      </c>
      <c r="P11" s="7">
        <f>AVERAGE(O11:O13)</f>
        <v>3.6372470201131914E-2</v>
      </c>
      <c r="Q11" s="7">
        <f>STDEV(O11:O13)</f>
        <v>4.5799225704904155E-3</v>
      </c>
      <c r="R11" s="7">
        <f t="shared" si="7"/>
        <v>0.14570248429547278</v>
      </c>
      <c r="S11" s="7">
        <f>AVERAGE(R11:R13)</f>
        <v>0.14869032448139308</v>
      </c>
      <c r="T11" s="7">
        <f>STDEV(R11:R13)</f>
        <v>4.2248375668689567E-3</v>
      </c>
      <c r="U11" s="7">
        <f t="shared" si="10"/>
        <v>3.1363512589046502E-2</v>
      </c>
      <c r="V11" s="7">
        <f>AVERAGE(U11:U13)</f>
        <v>2.9218503341193348E-2</v>
      </c>
      <c r="W11" s="7">
        <f>STDEV(U11:U13)</f>
        <v>1.9326180641904525E-3</v>
      </c>
    </row>
    <row r="12" spans="1:23" ht="14.25">
      <c r="A12" s="8" t="s">
        <v>79</v>
      </c>
      <c r="B12" s="7">
        <v>0.49160002171993256</v>
      </c>
      <c r="C12" s="7">
        <f t="shared" si="0"/>
        <v>0.50053002171993255</v>
      </c>
      <c r="D12" s="7">
        <v>0.21260000020265579</v>
      </c>
      <c r="E12" s="7">
        <f t="shared" si="1"/>
        <v>0.2215700002026558</v>
      </c>
      <c r="F12" s="7">
        <v>0.556600005626678</v>
      </c>
      <c r="G12" s="7">
        <f t="shared" si="2"/>
        <v>0.56790000562667797</v>
      </c>
      <c r="H12" s="7">
        <f t="shared" si="3"/>
        <v>5.4757178016149997</v>
      </c>
      <c r="I12" s="7">
        <f t="shared" si="4"/>
        <v>1.8665074460683821</v>
      </c>
      <c r="J12" s="7">
        <f t="shared" si="5"/>
        <v>7.3422252476833822</v>
      </c>
      <c r="K12" s="7">
        <f t="shared" si="6"/>
        <v>1.3806440698577298</v>
      </c>
      <c r="L12" s="7">
        <f t="shared" si="8"/>
        <v>0.10951435603229999</v>
      </c>
      <c r="M12" s="7"/>
      <c r="N12" s="7"/>
      <c r="O12" s="7">
        <f t="shared" si="9"/>
        <v>3.7330148921367635E-2</v>
      </c>
      <c r="P12" s="7"/>
      <c r="Q12" s="7"/>
      <c r="R12" s="7">
        <f t="shared" si="7"/>
        <v>0.14684450495366763</v>
      </c>
      <c r="S12" s="7"/>
      <c r="T12" s="7"/>
      <c r="U12" s="7">
        <f t="shared" si="10"/>
        <v>2.7612881397154596E-2</v>
      </c>
      <c r="V12" s="7"/>
      <c r="W12" s="7"/>
    </row>
    <row r="13" spans="1:23" ht="14.25">
      <c r="A13" s="8" t="s">
        <v>80</v>
      </c>
      <c r="B13" s="7">
        <v>0.51020000874996185</v>
      </c>
      <c r="C13" s="7">
        <f t="shared" si="0"/>
        <v>0.51913000874996185</v>
      </c>
      <c r="D13" s="7">
        <v>0.22420000284910202</v>
      </c>
      <c r="E13" s="7">
        <f t="shared" si="1"/>
        <v>0.23317000284910203</v>
      </c>
      <c r="F13" s="7">
        <v>0.58780002593994141</v>
      </c>
      <c r="G13" s="7">
        <f t="shared" si="2"/>
        <v>0.59910002593994138</v>
      </c>
      <c r="H13" s="7">
        <f t="shared" si="3"/>
        <v>5.6563076026880736</v>
      </c>
      <c r="I13" s="7">
        <f t="shared" si="4"/>
        <v>2.0198916070638662</v>
      </c>
      <c r="J13" s="7">
        <f t="shared" si="5"/>
        <v>7.6761992097519398</v>
      </c>
      <c r="K13" s="7">
        <f t="shared" si="6"/>
        <v>1.4339558018689473</v>
      </c>
      <c r="L13" s="7">
        <f t="shared" si="8"/>
        <v>0.11312615205376148</v>
      </c>
      <c r="M13" s="7"/>
      <c r="N13" s="7"/>
      <c r="O13" s="7">
        <f t="shared" si="9"/>
        <v>4.0397832141277318E-2</v>
      </c>
      <c r="P13" s="7"/>
      <c r="Q13" s="7"/>
      <c r="R13" s="7">
        <f t="shared" si="7"/>
        <v>0.15352398419503879</v>
      </c>
      <c r="S13" s="7"/>
      <c r="T13" s="7"/>
      <c r="U13" s="7">
        <f t="shared" si="10"/>
        <v>2.8679116037378948E-2</v>
      </c>
      <c r="V13" s="7"/>
      <c r="W13" s="7"/>
    </row>
    <row r="14" spans="1:23" ht="14.25">
      <c r="A14" s="8" t="s">
        <v>81</v>
      </c>
      <c r="B14" s="7">
        <v>0.56620002067089004</v>
      </c>
      <c r="C14" s="7">
        <f t="shared" si="0"/>
        <v>0.57513002067089003</v>
      </c>
      <c r="D14" s="7">
        <v>0.25279998916387603</v>
      </c>
      <c r="E14" s="7">
        <f t="shared" si="1"/>
        <v>0.261769989163876</v>
      </c>
      <c r="F14" s="7">
        <v>0.64840000190734803</v>
      </c>
      <c r="G14" s="7">
        <f t="shared" si="2"/>
        <v>0.65970000190734801</v>
      </c>
      <c r="H14" s="7">
        <f t="shared" si="3"/>
        <v>6.2430278620445581</v>
      </c>
      <c r="I14" s="7">
        <f t="shared" si="4"/>
        <v>2.32382717821943</v>
      </c>
      <c r="J14" s="7">
        <f t="shared" si="5"/>
        <v>8.566855040263988</v>
      </c>
      <c r="K14" s="7">
        <f t="shared" si="6"/>
        <v>1.532767881978089</v>
      </c>
      <c r="L14" s="7">
        <f t="shared" si="8"/>
        <v>0.12486055724089115</v>
      </c>
      <c r="M14" s="7">
        <f>AVERAGE(L14:L16)</f>
        <v>0.12291648516447133</v>
      </c>
      <c r="N14" s="7">
        <f>STDEV(L14:L16)</f>
        <v>2.430183737749204E-3</v>
      </c>
      <c r="O14" s="7">
        <f t="shared" si="9"/>
        <v>4.64765435643886E-2</v>
      </c>
      <c r="P14" s="7">
        <f>AVERAGE(O14:O16)</f>
        <v>4.2904551538965281E-2</v>
      </c>
      <c r="Q14" s="7">
        <f>STDEV(O14:O16)</f>
        <v>3.0970706151567037E-3</v>
      </c>
      <c r="R14" s="7">
        <f t="shared" si="7"/>
        <v>0.17133710080527975</v>
      </c>
      <c r="S14" s="7">
        <f>AVERAGE(R14:R16)</f>
        <v>0.16582103670343662</v>
      </c>
      <c r="T14" s="7">
        <f>STDEV(R14:R16)</f>
        <v>5.1419563659010192E-3</v>
      </c>
      <c r="U14" s="7">
        <f t="shared" si="10"/>
        <v>3.065535763956178E-2</v>
      </c>
      <c r="V14" s="7">
        <f>AVERAGE(U14:U16)</f>
        <v>3.0542656834563215E-2</v>
      </c>
      <c r="W14" s="7">
        <f>STDEV(U14:U16)</f>
        <v>4.4702280117073738E-4</v>
      </c>
    </row>
    <row r="15" spans="1:23" ht="14.25">
      <c r="A15" s="8" t="s">
        <v>82</v>
      </c>
      <c r="B15" s="7">
        <v>0.54040002644062002</v>
      </c>
      <c r="C15" s="7">
        <f t="shared" si="0"/>
        <v>0.54933002644062001</v>
      </c>
      <c r="D15" s="7">
        <v>0.23420000731945001</v>
      </c>
      <c r="E15" s="7">
        <f t="shared" si="1"/>
        <v>0.24317000731945002</v>
      </c>
      <c r="F15" s="7">
        <v>0.60880001574754705</v>
      </c>
      <c r="G15" s="7">
        <f t="shared" si="2"/>
        <v>0.62010001574754703</v>
      </c>
      <c r="H15" s="7">
        <f t="shared" si="3"/>
        <v>6.0095978190743891</v>
      </c>
      <c r="I15" s="7">
        <f t="shared" si="4"/>
        <v>2.0484275891481341</v>
      </c>
      <c r="J15" s="7">
        <f t="shared" si="5"/>
        <v>8.0580254082225231</v>
      </c>
      <c r="K15" s="7">
        <f t="shared" si="6"/>
        <v>1.5025034394525754</v>
      </c>
      <c r="L15" s="7">
        <f t="shared" si="8"/>
        <v>0.12019195638148777</v>
      </c>
      <c r="M15" s="7"/>
      <c r="N15" s="7"/>
      <c r="O15" s="7">
        <f t="shared" si="9"/>
        <v>4.096855178296268E-2</v>
      </c>
      <c r="P15" s="7"/>
      <c r="Q15" s="7"/>
      <c r="R15" s="7">
        <f t="shared" si="7"/>
        <v>0.16116050816445046</v>
      </c>
      <c r="S15" s="7"/>
      <c r="T15" s="7"/>
      <c r="U15" s="7">
        <f t="shared" si="10"/>
        <v>3.0050068789051504E-2</v>
      </c>
      <c r="V15" s="7"/>
      <c r="W15" s="7"/>
    </row>
    <row r="16" spans="1:23" ht="14.25">
      <c r="A16" s="8" t="s">
        <v>83</v>
      </c>
      <c r="B16" s="7">
        <v>0.55539997428655596</v>
      </c>
      <c r="C16" s="7">
        <f t="shared" si="0"/>
        <v>0.56432997428655596</v>
      </c>
      <c r="D16" s="7">
        <v>0.23920000702142699</v>
      </c>
      <c r="E16" s="7">
        <f t="shared" si="1"/>
        <v>0.248170007021427</v>
      </c>
      <c r="F16" s="7">
        <v>0.62170001327991398</v>
      </c>
      <c r="G16" s="7">
        <f t="shared" si="2"/>
        <v>0.63300001327991395</v>
      </c>
      <c r="H16" s="7">
        <f t="shared" si="3"/>
        <v>6.1848470935517517</v>
      </c>
      <c r="I16" s="7">
        <f t="shared" si="4"/>
        <v>2.0634279634772286</v>
      </c>
      <c r="J16" s="7">
        <f t="shared" si="5"/>
        <v>8.2482750570289802</v>
      </c>
      <c r="K16" s="7">
        <f t="shared" si="6"/>
        <v>1.5461272037538183</v>
      </c>
      <c r="L16" s="7">
        <f t="shared" si="8"/>
        <v>0.12369694187103503</v>
      </c>
      <c r="M16" s="7"/>
      <c r="N16" s="7"/>
      <c r="O16" s="7">
        <f t="shared" si="9"/>
        <v>4.126855926954457E-2</v>
      </c>
      <c r="P16" s="7"/>
      <c r="Q16" s="7"/>
      <c r="R16" s="7">
        <f t="shared" si="7"/>
        <v>0.16496550114057959</v>
      </c>
      <c r="S16" s="7"/>
      <c r="T16" s="7"/>
      <c r="U16" s="7">
        <f t="shared" si="10"/>
        <v>3.0922544075076362E-2</v>
      </c>
      <c r="V16" s="7"/>
      <c r="W16" s="7"/>
    </row>
    <row r="17" spans="1:23" ht="14.25">
      <c r="A17" s="8" t="s">
        <v>84</v>
      </c>
      <c r="B17" s="7">
        <v>0.551199974298477</v>
      </c>
      <c r="C17" s="7">
        <f t="shared" si="0"/>
        <v>0.560129974298477</v>
      </c>
      <c r="D17" s="7">
        <v>0.23719999747276299</v>
      </c>
      <c r="E17" s="7">
        <f t="shared" si="1"/>
        <v>0.246169997472763</v>
      </c>
      <c r="F17" s="7">
        <v>0.61649999707937198</v>
      </c>
      <c r="G17" s="7">
        <f t="shared" si="2"/>
        <v>0.62779999707937195</v>
      </c>
      <c r="H17" s="7">
        <f t="shared" si="3"/>
        <v>6.1398571586489652</v>
      </c>
      <c r="I17" s="7">
        <f t="shared" si="4"/>
        <v>2.0442517250553127</v>
      </c>
      <c r="J17" s="7">
        <f t="shared" si="5"/>
        <v>8.1841088837042779</v>
      </c>
      <c r="K17" s="7">
        <f t="shared" si="6"/>
        <v>1.5344080317249662</v>
      </c>
      <c r="L17" s="7">
        <f t="shared" si="8"/>
        <v>0.12279714317297931</v>
      </c>
      <c r="M17" s="7">
        <f>AVERAGE(L17:L19)</f>
        <v>0.12661008198096932</v>
      </c>
      <c r="N17" s="7">
        <f>STDEV(L17:L19)</f>
        <v>3.863874553669243E-3</v>
      </c>
      <c r="O17" s="7">
        <f t="shared" si="9"/>
        <v>4.0885034501106254E-2</v>
      </c>
      <c r="P17" s="7">
        <f>AVERAGE(O17:O19)</f>
        <v>4.4560233579213349E-2</v>
      </c>
      <c r="Q17" s="7">
        <f>STDEV(O17:O19)</f>
        <v>3.2030024128186412E-3</v>
      </c>
      <c r="R17" s="7">
        <f t="shared" si="7"/>
        <v>0.16368217767408555</v>
      </c>
      <c r="S17" s="7">
        <f>AVERAGE(R17:R19)</f>
        <v>0.1711703155601827</v>
      </c>
      <c r="T17" s="7">
        <f>STDEV(R17:R19)</f>
        <v>6.9028591127360288E-3</v>
      </c>
      <c r="U17" s="7">
        <f t="shared" si="10"/>
        <v>3.0688160634499324E-2</v>
      </c>
      <c r="V17" s="7">
        <f>AVERAGE(U17:U19)</f>
        <v>3.1570972060241877E-2</v>
      </c>
      <c r="W17" s="7">
        <f>STDEV(U17:U19)</f>
        <v>1.0047279137395725E-3</v>
      </c>
    </row>
    <row r="18" spans="1:23" ht="14.25">
      <c r="A18" s="8" t="s">
        <v>85</v>
      </c>
      <c r="B18" s="7">
        <v>0.57260000017285295</v>
      </c>
      <c r="C18" s="7">
        <f t="shared" si="0"/>
        <v>0.58153000017285295</v>
      </c>
      <c r="D18" s="7">
        <v>0.253800006371737</v>
      </c>
      <c r="E18" s="7">
        <f t="shared" si="1"/>
        <v>0.26277000637173697</v>
      </c>
      <c r="F18" s="7">
        <v>0.65480001717805802</v>
      </c>
      <c r="G18" s="7">
        <f t="shared" si="2"/>
        <v>0.666100017178058</v>
      </c>
      <c r="H18" s="7">
        <f t="shared" si="3"/>
        <v>6.3255074590834859</v>
      </c>
      <c r="I18" s="7">
        <f t="shared" si="4"/>
        <v>2.3019397577732716</v>
      </c>
      <c r="J18" s="7">
        <f t="shared" si="5"/>
        <v>8.6274472168567584</v>
      </c>
      <c r="K18" s="7">
        <f t="shared" si="6"/>
        <v>1.5680243657038924</v>
      </c>
      <c r="L18" s="7">
        <f t="shared" si="8"/>
        <v>0.12651014918166972</v>
      </c>
      <c r="M18" s="7"/>
      <c r="N18" s="7"/>
      <c r="O18" s="7">
        <f t="shared" si="9"/>
        <v>4.6038795155465433E-2</v>
      </c>
      <c r="P18" s="7"/>
      <c r="Q18" s="7"/>
      <c r="R18" s="7">
        <f t="shared" si="7"/>
        <v>0.17254894433713516</v>
      </c>
      <c r="S18" s="7"/>
      <c r="T18" s="7"/>
      <c r="U18" s="7">
        <f t="shared" si="10"/>
        <v>3.1360487314077846E-2</v>
      </c>
      <c r="V18" s="7"/>
      <c r="W18" s="7"/>
    </row>
    <row r="19" spans="1:23" ht="14.25">
      <c r="A19" s="8" t="s">
        <v>86</v>
      </c>
      <c r="B19" s="7">
        <v>0.59020001395940702</v>
      </c>
      <c r="C19" s="7">
        <f t="shared" si="0"/>
        <v>0.59913001395940702</v>
      </c>
      <c r="D19" s="7">
        <v>0.26040000225305598</v>
      </c>
      <c r="E19" s="7">
        <f t="shared" si="1"/>
        <v>0.26937000225305596</v>
      </c>
      <c r="F19" s="7">
        <v>0.67549996882676999</v>
      </c>
      <c r="G19" s="7">
        <f t="shared" si="2"/>
        <v>0.68679996882676997</v>
      </c>
      <c r="H19" s="7">
        <f t="shared" si="3"/>
        <v>6.5261476794129463</v>
      </c>
      <c r="I19" s="7">
        <f t="shared" si="4"/>
        <v>2.3378435540534177</v>
      </c>
      <c r="J19" s="7">
        <f t="shared" si="5"/>
        <v>8.8639912334663649</v>
      </c>
      <c r="K19" s="7">
        <f t="shared" si="6"/>
        <v>1.6332134116074237</v>
      </c>
      <c r="L19" s="7">
        <f t="shared" si="8"/>
        <v>0.13052295358825894</v>
      </c>
      <c r="M19" s="7"/>
      <c r="N19" s="7"/>
      <c r="O19" s="7">
        <f t="shared" si="9"/>
        <v>4.6756871081068352E-2</v>
      </c>
      <c r="P19" s="7"/>
      <c r="Q19" s="7"/>
      <c r="R19" s="7">
        <f t="shared" si="7"/>
        <v>0.17727982466932729</v>
      </c>
      <c r="S19" s="7"/>
      <c r="T19" s="7"/>
      <c r="U19" s="7">
        <f t="shared" si="10"/>
        <v>3.266426823214847E-2</v>
      </c>
      <c r="V19" s="7"/>
      <c r="W19" s="7"/>
    </row>
    <row r="23" spans="1:23">
      <c r="A23" s="15" t="s">
        <v>94</v>
      </c>
    </row>
    <row r="25" spans="1:23">
      <c r="A25" s="7"/>
      <c r="B25" s="7" t="s">
        <v>41</v>
      </c>
      <c r="C25" s="7" t="s">
        <v>42</v>
      </c>
      <c r="D25" s="7" t="s">
        <v>87</v>
      </c>
      <c r="E25" s="7" t="s">
        <v>93</v>
      </c>
      <c r="F25" s="7" t="s">
        <v>170</v>
      </c>
      <c r="G25" s="7"/>
      <c r="H25" s="7"/>
      <c r="I25" s="7"/>
    </row>
    <row r="26" spans="1:23">
      <c r="A26" s="7" t="s">
        <v>88</v>
      </c>
      <c r="B26" s="7">
        <v>0.110238</v>
      </c>
      <c r="C26" s="7">
        <v>4.2104999999999997E-2</v>
      </c>
      <c r="D26" s="7">
        <v>0.15234200000000001</v>
      </c>
      <c r="E26" s="7">
        <f>D26*1000</f>
        <v>152.34200000000001</v>
      </c>
      <c r="F26" s="7">
        <v>8.766</v>
      </c>
      <c r="G26" s="7">
        <v>8.766</v>
      </c>
      <c r="H26" s="7"/>
      <c r="I26" s="7"/>
    </row>
    <row r="27" spans="1:23" ht="14.25">
      <c r="A27" s="11" t="s">
        <v>89</v>
      </c>
      <c r="B27" s="7">
        <v>0.16836400000000001</v>
      </c>
      <c r="C27" s="7">
        <v>6.8271999999999999E-2</v>
      </c>
      <c r="D27" s="7">
        <v>0.23663600000000001</v>
      </c>
      <c r="E27" s="7">
        <f t="shared" ref="E27:E30" si="11">D27*1000</f>
        <v>236.63600000000002</v>
      </c>
      <c r="F27" s="7">
        <v>10.44</v>
      </c>
      <c r="G27" s="7">
        <v>10.44</v>
      </c>
      <c r="H27" s="7"/>
      <c r="I27" s="7"/>
    </row>
    <row r="28" spans="1:23" ht="14.25">
      <c r="A28" s="8" t="s">
        <v>90</v>
      </c>
      <c r="B28" s="7">
        <v>0.112318</v>
      </c>
      <c r="C28" s="7">
        <v>3.6372000000000002E-2</v>
      </c>
      <c r="D28" s="7">
        <v>0.14868999999999999</v>
      </c>
      <c r="E28" s="7">
        <f t="shared" si="11"/>
        <v>148.69</v>
      </c>
      <c r="F28" s="7">
        <v>4.2249999999999996</v>
      </c>
      <c r="G28" s="7">
        <v>4.2249999999999996</v>
      </c>
      <c r="H28" s="7"/>
      <c r="I28" s="7"/>
    </row>
    <row r="29" spans="1:23" ht="14.25">
      <c r="A29" s="8" t="s">
        <v>91</v>
      </c>
      <c r="B29" s="7">
        <v>0.122916</v>
      </c>
      <c r="C29" s="7">
        <v>4.2904999999999999E-2</v>
      </c>
      <c r="D29" s="7">
        <v>0.165821</v>
      </c>
      <c r="E29" s="7">
        <f t="shared" si="11"/>
        <v>165.821</v>
      </c>
      <c r="F29" s="7">
        <v>5.1420000000000003</v>
      </c>
      <c r="G29" s="7">
        <v>5.1420000000000003</v>
      </c>
      <c r="H29" s="7"/>
      <c r="I29" s="7"/>
    </row>
    <row r="30" spans="1:23" ht="14.25">
      <c r="A30" s="8" t="s">
        <v>92</v>
      </c>
      <c r="B30" s="7">
        <v>0.12661</v>
      </c>
      <c r="C30" s="7">
        <v>4.4560000000000002E-2</v>
      </c>
      <c r="D30" s="7">
        <v>0.17116999999999999</v>
      </c>
      <c r="E30" s="7">
        <f t="shared" si="11"/>
        <v>171.17</v>
      </c>
      <c r="F30" s="7">
        <v>6.9029999999999996</v>
      </c>
      <c r="G30" s="7">
        <v>6.9029999999999996</v>
      </c>
      <c r="H30" s="7"/>
      <c r="I30" s="7"/>
    </row>
    <row r="34" spans="16:16" ht="14.25">
      <c r="P34" s="1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A22" sqref="A22"/>
    </sheetView>
  </sheetViews>
  <sheetFormatPr defaultRowHeight="13.5"/>
  <cols>
    <col min="14" max="14" width="11.625" customWidth="1"/>
  </cols>
  <sheetData>
    <row r="1" spans="1:15">
      <c r="A1" t="s">
        <v>208</v>
      </c>
    </row>
    <row r="2" spans="1:15">
      <c r="A2" t="s">
        <v>196</v>
      </c>
    </row>
    <row r="4" spans="1:15">
      <c r="B4" t="s">
        <v>66</v>
      </c>
      <c r="D4" t="s">
        <v>63</v>
      </c>
    </row>
    <row r="5" spans="1:15" ht="15">
      <c r="D5" t="s">
        <v>62</v>
      </c>
      <c r="K5" t="s">
        <v>64</v>
      </c>
    </row>
    <row r="6" spans="1:15" ht="15">
      <c r="G6" t="s">
        <v>181</v>
      </c>
      <c r="N6" t="s">
        <v>181</v>
      </c>
    </row>
    <row r="7" spans="1:15">
      <c r="B7" t="s">
        <v>12</v>
      </c>
      <c r="D7">
        <v>3.3</v>
      </c>
      <c r="E7">
        <v>3.6</v>
      </c>
      <c r="F7">
        <v>3.3</v>
      </c>
      <c r="G7">
        <f>AVERAGE(D7:F7)</f>
        <v>3.4</v>
      </c>
      <c r="H7">
        <f>G7/5</f>
        <v>0.67999999999999994</v>
      </c>
      <c r="K7">
        <v>1.8</v>
      </c>
      <c r="L7">
        <v>2</v>
      </c>
      <c r="M7">
        <v>1.6</v>
      </c>
      <c r="N7">
        <f>AVERAGE(K7:M7)</f>
        <v>1.8</v>
      </c>
      <c r="O7">
        <f>N7/5</f>
        <v>0.36</v>
      </c>
    </row>
    <row r="8" spans="1:15">
      <c r="B8" t="s">
        <v>15</v>
      </c>
      <c r="D8">
        <v>5.5</v>
      </c>
      <c r="E8">
        <v>5.0999999999999996</v>
      </c>
      <c r="F8">
        <v>5.2</v>
      </c>
      <c r="G8">
        <f>AVERAGE(D8:F8)</f>
        <v>5.2666666666666666</v>
      </c>
      <c r="H8">
        <f t="shared" ref="H8:H11" si="0">G8/5</f>
        <v>1.0533333333333332</v>
      </c>
      <c r="K8">
        <v>3.2</v>
      </c>
      <c r="L8">
        <v>3.4</v>
      </c>
      <c r="M8">
        <v>3.2</v>
      </c>
      <c r="N8">
        <f>AVERAGE(K8:M8)</f>
        <v>3.2666666666666671</v>
      </c>
      <c r="O8">
        <f t="shared" ref="O8:O11" si="1">N8/5</f>
        <v>0.65333333333333343</v>
      </c>
    </row>
    <row r="9" spans="1:15">
      <c r="B9" t="s">
        <v>16</v>
      </c>
      <c r="D9">
        <v>2.9</v>
      </c>
      <c r="E9">
        <v>2.6</v>
      </c>
      <c r="F9">
        <v>2.7</v>
      </c>
      <c r="G9">
        <f>AVERAGE(D9:F9)</f>
        <v>2.7333333333333329</v>
      </c>
      <c r="H9">
        <f t="shared" si="0"/>
        <v>0.54666666666666663</v>
      </c>
      <c r="K9">
        <v>2.2000000000000002</v>
      </c>
      <c r="L9">
        <v>2</v>
      </c>
      <c r="M9">
        <v>2.1</v>
      </c>
      <c r="N9">
        <f>AVERAGE(K9:M9)</f>
        <v>2.1</v>
      </c>
      <c r="O9">
        <f t="shared" si="1"/>
        <v>0.42000000000000004</v>
      </c>
    </row>
    <row r="10" spans="1:15">
      <c r="B10" t="s">
        <v>17</v>
      </c>
      <c r="D10">
        <v>3.6</v>
      </c>
      <c r="E10">
        <v>3.9</v>
      </c>
      <c r="F10">
        <v>3.5</v>
      </c>
      <c r="G10">
        <f>AVERAGE(D10:F10)</f>
        <v>3.6666666666666665</v>
      </c>
      <c r="H10">
        <f t="shared" si="0"/>
        <v>0.73333333333333328</v>
      </c>
      <c r="K10">
        <v>2.5</v>
      </c>
      <c r="L10">
        <v>2.2000000000000002</v>
      </c>
      <c r="M10">
        <v>2.2999999999999998</v>
      </c>
      <c r="N10">
        <f>AVERAGE(K10:M10)</f>
        <v>2.3333333333333335</v>
      </c>
      <c r="O10">
        <f t="shared" si="1"/>
        <v>0.46666666666666667</v>
      </c>
    </row>
    <row r="11" spans="1:15">
      <c r="B11" t="s">
        <v>18</v>
      </c>
      <c r="D11">
        <v>2.8</v>
      </c>
      <c r="E11">
        <v>2.8</v>
      </c>
      <c r="F11">
        <v>3.1</v>
      </c>
      <c r="G11">
        <f>AVERAGE(D11:F11)</f>
        <v>2.9</v>
      </c>
      <c r="H11">
        <f t="shared" si="0"/>
        <v>0.57999999999999996</v>
      </c>
      <c r="K11">
        <v>1.8</v>
      </c>
      <c r="L11">
        <v>2</v>
      </c>
      <c r="M11">
        <v>1.9</v>
      </c>
      <c r="N11">
        <f>AVERAGE(K11:M11)</f>
        <v>1.8999999999999997</v>
      </c>
      <c r="O11">
        <f t="shared" si="1"/>
        <v>0.37999999999999995</v>
      </c>
    </row>
    <row r="14" spans="1:15">
      <c r="F14" t="s">
        <v>209</v>
      </c>
      <c r="N14" t="s">
        <v>210</v>
      </c>
    </row>
    <row r="15" spans="1:15">
      <c r="F15">
        <f>STDEV(D7:F7)/5</f>
        <v>3.4641016151378198E-2</v>
      </c>
      <c r="G15">
        <v>3.4640999999999998E-2</v>
      </c>
      <c r="N15">
        <f>STDEV(K7:N7)/5</f>
        <v>3.2659863237109052E-2</v>
      </c>
      <c r="O15">
        <v>3.2660000000000002E-2</v>
      </c>
    </row>
    <row r="16" spans="1:15">
      <c r="F16">
        <f t="shared" ref="F16:F19" si="2">STDEV(D8:F8)/5</f>
        <v>4.1633319989320787E-2</v>
      </c>
      <c r="G16">
        <v>4.1633000000000003E-2</v>
      </c>
      <c r="N16">
        <f t="shared" ref="N16:N19" si="3">STDEV(K8:N8)/5</f>
        <v>1.8856180831642741E-2</v>
      </c>
      <c r="O16">
        <v>1.8856000000000001E-2</v>
      </c>
    </row>
    <row r="17" spans="1:15">
      <c r="F17">
        <f t="shared" si="2"/>
        <v>3.0550504633040161E-2</v>
      </c>
      <c r="G17">
        <v>3.0550999999999998E-2</v>
      </c>
      <c r="N17">
        <f t="shared" si="3"/>
        <v>1.6329931618554346E-2</v>
      </c>
      <c r="O17">
        <v>1.6330000000000001E-2</v>
      </c>
    </row>
    <row r="18" spans="1:15">
      <c r="F18">
        <f t="shared" si="2"/>
        <v>4.1633319989322501E-2</v>
      </c>
      <c r="G18">
        <v>4.1633000000000003E-2</v>
      </c>
      <c r="N18">
        <f t="shared" si="3"/>
        <v>2.4944382578492044E-2</v>
      </c>
      <c r="O18">
        <v>2.4944000000000001E-2</v>
      </c>
    </row>
    <row r="19" spans="1:15">
      <c r="F19">
        <f t="shared" si="2"/>
        <v>3.4641016151379225E-2</v>
      </c>
      <c r="G19">
        <v>3.4640999999999998E-2</v>
      </c>
      <c r="N19">
        <f t="shared" si="3"/>
        <v>1.6329931618555796E-2</v>
      </c>
      <c r="O19">
        <v>1.6330000000000001E-2</v>
      </c>
    </row>
    <row r="21" spans="1:15">
      <c r="B21" t="s">
        <v>12</v>
      </c>
      <c r="C21">
        <v>0.68</v>
      </c>
      <c r="D21">
        <v>0.36</v>
      </c>
    </row>
    <row r="22" spans="1:15">
      <c r="A22" s="15" t="s">
        <v>65</v>
      </c>
      <c r="B22" t="s">
        <v>15</v>
      </c>
      <c r="C22">
        <v>1.05</v>
      </c>
      <c r="D22">
        <f>6.5/10</f>
        <v>0.65</v>
      </c>
    </row>
    <row r="23" spans="1:15">
      <c r="B23" t="s">
        <v>16</v>
      </c>
      <c r="C23">
        <v>0.55000000000000004</v>
      </c>
      <c r="D23">
        <v>0.42</v>
      </c>
    </row>
    <row r="24" spans="1:15">
      <c r="B24" t="s">
        <v>17</v>
      </c>
      <c r="C24">
        <v>0.73</v>
      </c>
      <c r="D24">
        <v>0.47</v>
      </c>
    </row>
    <row r="25" spans="1:15">
      <c r="B25" t="s">
        <v>18</v>
      </c>
      <c r="C25">
        <v>0.57999999999999996</v>
      </c>
      <c r="D25">
        <v>0.38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8"/>
  <sheetViews>
    <sheetView workbookViewId="0"/>
  </sheetViews>
  <sheetFormatPr defaultRowHeight="13.5"/>
  <sheetData>
    <row r="1" spans="1:15">
      <c r="A1" t="s">
        <v>215</v>
      </c>
    </row>
    <row r="2" spans="1:15">
      <c r="A2" t="s">
        <v>211</v>
      </c>
    </row>
    <row r="3" spans="1:15">
      <c r="B3" t="s">
        <v>60</v>
      </c>
      <c r="D3" t="s">
        <v>68</v>
      </c>
      <c r="E3" t="s">
        <v>149</v>
      </c>
    </row>
    <row r="4" spans="1:15" ht="16.5">
      <c r="C4" t="s">
        <v>24</v>
      </c>
      <c r="G4" t="s">
        <v>11</v>
      </c>
      <c r="K4" t="s">
        <v>25</v>
      </c>
    </row>
    <row r="5" spans="1:15" ht="16.5">
      <c r="F5" t="s">
        <v>181</v>
      </c>
      <c r="J5" t="s">
        <v>167</v>
      </c>
      <c r="N5" t="s">
        <v>167</v>
      </c>
    </row>
    <row r="6" spans="1:15">
      <c r="B6" t="s">
        <v>12</v>
      </c>
      <c r="C6">
        <v>0.74</v>
      </c>
      <c r="D6">
        <v>0.78</v>
      </c>
      <c r="E6">
        <v>0.75</v>
      </c>
      <c r="F6">
        <f>AVERAGE(C6:E6)</f>
        <v>0.75666666666666671</v>
      </c>
      <c r="G6">
        <v>0.53</v>
      </c>
      <c r="H6">
        <v>0.57999999999999996</v>
      </c>
      <c r="I6">
        <v>0.56000000000000005</v>
      </c>
      <c r="J6">
        <f>AVERAGE(G6:I6)</f>
        <v>0.55666666666666664</v>
      </c>
      <c r="K6">
        <v>0.65</v>
      </c>
      <c r="L6">
        <v>0.66</v>
      </c>
      <c r="M6">
        <v>0.68</v>
      </c>
      <c r="N6">
        <f>AVERAGE(K6:M6)</f>
        <v>0.66333333333333344</v>
      </c>
    </row>
    <row r="7" spans="1:15">
      <c r="B7" t="s">
        <v>8</v>
      </c>
      <c r="C7">
        <v>0.98</v>
      </c>
      <c r="D7">
        <v>1.23</v>
      </c>
      <c r="E7">
        <v>1.1200000000000001</v>
      </c>
      <c r="F7">
        <f t="shared" ref="F7:F10" si="0">AVERAGE(C7:E7)</f>
        <v>1.1100000000000001</v>
      </c>
      <c r="G7">
        <v>0.84</v>
      </c>
      <c r="H7">
        <v>0.77</v>
      </c>
      <c r="I7">
        <v>0.81</v>
      </c>
      <c r="J7">
        <f t="shared" ref="J7:J9" si="1">AVERAGE(G7:I7)</f>
        <v>0.80666666666666664</v>
      </c>
      <c r="K7">
        <v>1.32</v>
      </c>
      <c r="L7">
        <v>1.56</v>
      </c>
      <c r="M7">
        <v>1.41</v>
      </c>
      <c r="N7">
        <f t="shared" ref="N7:N10" si="2">AVERAGE(K7:M7)</f>
        <v>1.43</v>
      </c>
    </row>
    <row r="8" spans="1:15">
      <c r="B8" t="s">
        <v>26</v>
      </c>
      <c r="C8">
        <v>1.72</v>
      </c>
      <c r="D8">
        <v>1.81</v>
      </c>
      <c r="E8">
        <v>1.68</v>
      </c>
      <c r="F8">
        <f t="shared" si="0"/>
        <v>1.7366666666666666</v>
      </c>
      <c r="G8">
        <v>1.25</v>
      </c>
      <c r="H8">
        <v>1.1200000000000001</v>
      </c>
      <c r="I8">
        <v>1.08</v>
      </c>
      <c r="J8">
        <f t="shared" si="1"/>
        <v>1.1500000000000001</v>
      </c>
      <c r="K8">
        <v>2.38</v>
      </c>
      <c r="L8">
        <v>2.3199999999999998</v>
      </c>
      <c r="M8">
        <v>2.2599999999999998</v>
      </c>
      <c r="N8">
        <f t="shared" si="2"/>
        <v>2.3199999999999998</v>
      </c>
    </row>
    <row r="9" spans="1:15">
      <c r="B9" t="s">
        <v>7</v>
      </c>
      <c r="C9">
        <v>0.86</v>
      </c>
      <c r="D9">
        <v>0.88</v>
      </c>
      <c r="E9">
        <v>0.94</v>
      </c>
      <c r="F9">
        <f t="shared" si="0"/>
        <v>0.8933333333333332</v>
      </c>
      <c r="G9">
        <v>0.75</v>
      </c>
      <c r="H9">
        <v>0.73</v>
      </c>
      <c r="I9">
        <v>0.77</v>
      </c>
      <c r="J9">
        <f t="shared" si="1"/>
        <v>0.75</v>
      </c>
      <c r="K9">
        <v>1.1499999999999999</v>
      </c>
      <c r="L9">
        <v>1.1000000000000001</v>
      </c>
      <c r="M9">
        <v>1.24</v>
      </c>
      <c r="N9">
        <f t="shared" si="2"/>
        <v>1.1633333333333333</v>
      </c>
    </row>
    <row r="10" spans="1:15">
      <c r="B10" t="s">
        <v>27</v>
      </c>
      <c r="C10">
        <v>1.41</v>
      </c>
      <c r="D10">
        <v>1.32</v>
      </c>
      <c r="E10">
        <v>1.29</v>
      </c>
      <c r="F10">
        <f t="shared" si="0"/>
        <v>1.3399999999999999</v>
      </c>
      <c r="G10">
        <v>0.92</v>
      </c>
      <c r="H10">
        <v>0.96</v>
      </c>
      <c r="I10">
        <v>0.88</v>
      </c>
      <c r="J10">
        <f>AVERAGE(G10:I10)</f>
        <v>0.91999999999999993</v>
      </c>
      <c r="K10">
        <v>1.33</v>
      </c>
      <c r="L10">
        <v>1.28</v>
      </c>
      <c r="M10">
        <v>1.36</v>
      </c>
      <c r="N10">
        <f t="shared" si="2"/>
        <v>1.3233333333333335</v>
      </c>
    </row>
    <row r="12" spans="1:15">
      <c r="H12" t="s">
        <v>212</v>
      </c>
      <c r="K12" t="s">
        <v>213</v>
      </c>
      <c r="N12" t="s">
        <v>214</v>
      </c>
    </row>
    <row r="13" spans="1:15">
      <c r="C13" t="s">
        <v>28</v>
      </c>
      <c r="D13">
        <v>0.76</v>
      </c>
      <c r="E13">
        <v>0.56000000000000005</v>
      </c>
      <c r="F13">
        <v>0.66</v>
      </c>
      <c r="H13">
        <f>STDEV(C6:E6)</f>
        <v>2.0816659994661344E-2</v>
      </c>
      <c r="I13">
        <v>2.0816999999999999E-2</v>
      </c>
      <c r="K13">
        <f>STDEV(G6:I6)</f>
        <v>2.5166114784236651E-2</v>
      </c>
      <c r="L13">
        <v>2.5166000000000001E-2</v>
      </c>
      <c r="N13">
        <f>STDEV(K6:M6)</f>
        <v>1.527525231651948E-2</v>
      </c>
      <c r="O13">
        <v>1.5275E-2</v>
      </c>
    </row>
    <row r="14" spans="1:15">
      <c r="C14" t="s">
        <v>8</v>
      </c>
      <c r="D14">
        <v>1.1100000000000001</v>
      </c>
      <c r="E14">
        <v>0.81</v>
      </c>
      <c r="F14">
        <v>1.43</v>
      </c>
      <c r="H14">
        <f>STDEV(C7:E7)</f>
        <v>0.12529964086141687</v>
      </c>
      <c r="I14">
        <v>0.12529999999999999</v>
      </c>
      <c r="K14">
        <f>STDEV(G7:I7)</f>
        <v>3.5118845842842111E-2</v>
      </c>
      <c r="L14">
        <v>3.5118999999999997E-2</v>
      </c>
      <c r="N14">
        <f>STDEV(K7:M7)</f>
        <v>0.12124355652982115</v>
      </c>
      <c r="O14">
        <v>0.121244</v>
      </c>
    </row>
    <row r="15" spans="1:15">
      <c r="A15" s="15" t="s">
        <v>59</v>
      </c>
      <c r="C15" t="s">
        <v>26</v>
      </c>
      <c r="D15">
        <v>1.74</v>
      </c>
      <c r="E15">
        <v>1.1499999999999999</v>
      </c>
      <c r="F15">
        <v>2.3199999999999998</v>
      </c>
      <c r="H15">
        <f>STDEV(C8:E8)</f>
        <v>6.6583281184791926E-2</v>
      </c>
      <c r="I15">
        <v>6.6583000000000003E-2</v>
      </c>
      <c r="K15">
        <f>STDEV(G8:I8)</f>
        <v>8.8881944173155994E-2</v>
      </c>
      <c r="L15">
        <v>8.8882000000000003E-2</v>
      </c>
      <c r="N15">
        <f>STDEV(K8:M8)</f>
        <v>6.0000000000018899E-2</v>
      </c>
      <c r="O15">
        <v>0.06</v>
      </c>
    </row>
    <row r="16" spans="1:15">
      <c r="C16" t="s">
        <v>7</v>
      </c>
      <c r="D16">
        <v>0.89</v>
      </c>
      <c r="E16">
        <v>0.75</v>
      </c>
      <c r="F16">
        <v>1.1599999999999999</v>
      </c>
      <c r="H16">
        <f>STDEV(C9:E9)</f>
        <v>4.1633319989323028E-2</v>
      </c>
      <c r="I16">
        <v>4.1633000000000003E-2</v>
      </c>
      <c r="K16">
        <f>STDEV(G9:I9)</f>
        <v>2.0000000000000018E-2</v>
      </c>
      <c r="L16">
        <v>0.02</v>
      </c>
      <c r="N16">
        <f>STDEV(K9:M9)</f>
        <v>7.0945988845973529E-2</v>
      </c>
      <c r="O16">
        <v>7.0945999999999995E-2</v>
      </c>
    </row>
    <row r="17" spans="3:15">
      <c r="C17" t="s">
        <v>27</v>
      </c>
      <c r="D17">
        <v>1.34</v>
      </c>
      <c r="E17">
        <v>0.92</v>
      </c>
      <c r="F17">
        <v>1.32</v>
      </c>
      <c r="H17">
        <f>STDEV(C10:E10)</f>
        <v>6.2449979983992987E-2</v>
      </c>
      <c r="I17">
        <v>6.2449999999999999E-2</v>
      </c>
      <c r="K17">
        <f>STDEV(G10:I10)</f>
        <v>4.000000000000057E-2</v>
      </c>
      <c r="L17">
        <v>0.04</v>
      </c>
      <c r="N17">
        <f>STDEV(K10:M10)</f>
        <v>4.0414518843268833E-2</v>
      </c>
      <c r="O17">
        <v>4.0415E-2</v>
      </c>
    </row>
    <row r="18" spans="3:15">
      <c r="D18" s="10"/>
      <c r="E18" s="10"/>
      <c r="G18" s="10"/>
      <c r="H18" s="10"/>
      <c r="J18" s="10"/>
      <c r="K18" s="10"/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sqref="A1:C2"/>
    </sheetView>
  </sheetViews>
  <sheetFormatPr defaultRowHeight="13.5"/>
  <sheetData>
    <row r="1" spans="1:8">
      <c r="A1" t="s">
        <v>216</v>
      </c>
    </row>
    <row r="2" spans="1:8" ht="18.75">
      <c r="A2" s="1" t="s">
        <v>140</v>
      </c>
    </row>
    <row r="3" spans="1:8">
      <c r="F3" t="s">
        <v>181</v>
      </c>
      <c r="G3" t="s">
        <v>182</v>
      </c>
    </row>
    <row r="4" spans="1:8">
      <c r="A4" s="4"/>
      <c r="B4" t="s">
        <v>12</v>
      </c>
      <c r="C4">
        <v>0.68</v>
      </c>
      <c r="D4">
        <v>0.72</v>
      </c>
      <c r="E4">
        <v>0.86</v>
      </c>
      <c r="F4">
        <f>AVERAGE(C4:E4)</f>
        <v>0.7533333333333333</v>
      </c>
      <c r="G4">
        <f>STDEV(C4:E4)</f>
        <v>9.4516312525053423E-2</v>
      </c>
      <c r="H4">
        <v>9.4516000000000003E-2</v>
      </c>
    </row>
    <row r="5" spans="1:8">
      <c r="B5" t="s">
        <v>8</v>
      </c>
      <c r="C5">
        <v>4.3099999999999996</v>
      </c>
      <c r="D5">
        <v>4.96</v>
      </c>
      <c r="E5">
        <v>4.6100000000000003</v>
      </c>
      <c r="F5">
        <f t="shared" ref="F5:F8" si="0">AVERAGE(C5:E5)</f>
        <v>4.626666666666666</v>
      </c>
      <c r="G5">
        <f t="shared" ref="G5:G8" si="1">STDEV(C5:E5)</f>
        <v>0.32532035493239053</v>
      </c>
      <c r="H5">
        <v>0.32532</v>
      </c>
    </row>
    <row r="6" spans="1:8">
      <c r="B6" t="s">
        <v>26</v>
      </c>
      <c r="C6">
        <v>9.08</v>
      </c>
      <c r="D6">
        <v>9.41</v>
      </c>
      <c r="E6">
        <v>9.66</v>
      </c>
      <c r="F6">
        <f t="shared" si="0"/>
        <v>9.3833333333333346</v>
      </c>
      <c r="G6">
        <f t="shared" si="1"/>
        <v>0.29091808698210758</v>
      </c>
      <c r="H6">
        <v>0.29091800000000001</v>
      </c>
    </row>
    <row r="7" spans="1:8">
      <c r="B7" t="s">
        <v>7</v>
      </c>
      <c r="C7">
        <v>2.68</v>
      </c>
      <c r="D7">
        <v>2.87</v>
      </c>
      <c r="E7">
        <v>2.42</v>
      </c>
      <c r="F7">
        <f t="shared" si="0"/>
        <v>2.6566666666666667</v>
      </c>
      <c r="G7">
        <f t="shared" si="1"/>
        <v>0.22590558499809393</v>
      </c>
      <c r="H7">
        <v>0.225906</v>
      </c>
    </row>
    <row r="8" spans="1:8">
      <c r="B8" t="s">
        <v>27</v>
      </c>
      <c r="C8">
        <v>6.33</v>
      </c>
      <c r="D8">
        <v>6.12</v>
      </c>
      <c r="E8">
        <v>6.59</v>
      </c>
      <c r="F8">
        <f t="shared" si="0"/>
        <v>6.3466666666666667</v>
      </c>
      <c r="G8">
        <f t="shared" si="1"/>
        <v>0.23544284515215222</v>
      </c>
      <c r="H8">
        <v>0.23544300000000001</v>
      </c>
    </row>
    <row r="10" spans="1:8">
      <c r="A10" s="16" t="s">
        <v>58</v>
      </c>
      <c r="B10" t="s">
        <v>12</v>
      </c>
      <c r="C10">
        <v>0.753</v>
      </c>
    </row>
    <row r="11" spans="1:8">
      <c r="B11" t="s">
        <v>8</v>
      </c>
      <c r="C11">
        <v>4.6269999999999998</v>
      </c>
    </row>
    <row r="12" spans="1:8">
      <c r="B12" t="s">
        <v>26</v>
      </c>
      <c r="C12">
        <v>9.3829999999999991</v>
      </c>
    </row>
    <row r="13" spans="1:8">
      <c r="B13" t="s">
        <v>7</v>
      </c>
      <c r="C13">
        <v>2.657</v>
      </c>
    </row>
    <row r="14" spans="1:8">
      <c r="B14" t="s">
        <v>27</v>
      </c>
      <c r="C14">
        <v>6.3470000000000004</v>
      </c>
    </row>
    <row r="28" spans="9:9" ht="14.25">
      <c r="I28" s="1"/>
    </row>
  </sheetData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N17" sqref="N17"/>
    </sheetView>
  </sheetViews>
  <sheetFormatPr defaultRowHeight="13.5"/>
  <sheetData>
    <row r="1" spans="1:8">
      <c r="A1" t="s">
        <v>216</v>
      </c>
    </row>
    <row r="2" spans="1:8" ht="18.75">
      <c r="A2" s="1" t="s">
        <v>140</v>
      </c>
    </row>
    <row r="3" spans="1:8">
      <c r="F3" t="s">
        <v>181</v>
      </c>
      <c r="G3" t="s">
        <v>171</v>
      </c>
    </row>
    <row r="4" spans="1:8">
      <c r="A4" s="4"/>
      <c r="B4" t="s">
        <v>12</v>
      </c>
      <c r="C4">
        <v>0.65</v>
      </c>
      <c r="D4">
        <v>0.68</v>
      </c>
      <c r="E4">
        <v>0.72</v>
      </c>
      <c r="F4">
        <f>AVERAGE(C4:E4)</f>
        <v>0.68333333333333324</v>
      </c>
      <c r="G4">
        <f>STDEV(C4:E4)</f>
        <v>3.5118845842845269E-2</v>
      </c>
      <c r="H4">
        <v>3.5118999999999997E-2</v>
      </c>
    </row>
    <row r="5" spans="1:8">
      <c r="B5" t="s">
        <v>143</v>
      </c>
      <c r="C5">
        <v>4.82</v>
      </c>
      <c r="D5">
        <v>4.7699999999999996</v>
      </c>
      <c r="E5">
        <v>4.71</v>
      </c>
      <c r="F5">
        <f t="shared" ref="F5:F10" si="0">AVERAGE(C5:E5)</f>
        <v>4.7666666666666666</v>
      </c>
      <c r="G5">
        <f t="shared" ref="G5:G10" si="1">STDEV(C5:E5)</f>
        <v>5.5075705472861163E-2</v>
      </c>
      <c r="H5">
        <v>5.5076E-2</v>
      </c>
    </row>
    <row r="6" spans="1:8">
      <c r="B6" t="s">
        <v>26</v>
      </c>
      <c r="C6">
        <v>9.32</v>
      </c>
      <c r="D6">
        <v>9.39</v>
      </c>
      <c r="E6">
        <v>9.2100000000000009</v>
      </c>
      <c r="F6">
        <f t="shared" si="0"/>
        <v>9.3066666666666666</v>
      </c>
      <c r="G6">
        <f t="shared" si="1"/>
        <v>9.0737717258774497E-2</v>
      </c>
      <c r="H6">
        <v>9.0737999999999999E-2</v>
      </c>
    </row>
    <row r="7" spans="1:8">
      <c r="B7" t="s">
        <v>144</v>
      </c>
      <c r="C7">
        <v>9.4</v>
      </c>
      <c r="D7">
        <v>10.09</v>
      </c>
      <c r="E7">
        <v>9.6300000000000008</v>
      </c>
      <c r="F7">
        <f t="shared" si="0"/>
        <v>9.7066666666666688</v>
      </c>
      <c r="G7">
        <f t="shared" si="1"/>
        <v>0.35133080327991417</v>
      </c>
      <c r="H7">
        <v>0.351331</v>
      </c>
    </row>
    <row r="8" spans="1:8">
      <c r="B8" t="s">
        <v>5</v>
      </c>
      <c r="C8">
        <v>5.83</v>
      </c>
      <c r="D8">
        <v>5.25</v>
      </c>
      <c r="E8">
        <v>5.95</v>
      </c>
      <c r="F8">
        <f t="shared" si="0"/>
        <v>5.6766666666666667</v>
      </c>
      <c r="G8">
        <f t="shared" si="1"/>
        <v>0.37434387043643608</v>
      </c>
      <c r="H8">
        <v>0.37434400000000001</v>
      </c>
    </row>
    <row r="9" spans="1:8">
      <c r="B9" t="s">
        <v>145</v>
      </c>
      <c r="C9">
        <v>8.5299999999999994</v>
      </c>
      <c r="D9">
        <v>8.5</v>
      </c>
      <c r="E9">
        <v>8.19</v>
      </c>
      <c r="F9">
        <f t="shared" si="0"/>
        <v>8.4066666666666663</v>
      </c>
      <c r="G9">
        <f t="shared" si="1"/>
        <v>0.18823743871330248</v>
      </c>
      <c r="H9">
        <v>0.18823699999999999</v>
      </c>
    </row>
    <row r="10" spans="1:8">
      <c r="B10" t="s">
        <v>146</v>
      </c>
      <c r="C10">
        <v>8.76</v>
      </c>
      <c r="D10">
        <v>8.84</v>
      </c>
      <c r="E10">
        <v>9.39</v>
      </c>
      <c r="F10">
        <f t="shared" si="0"/>
        <v>8.9966666666666679</v>
      </c>
      <c r="G10">
        <f t="shared" si="1"/>
        <v>0.34297716153309965</v>
      </c>
      <c r="H10">
        <v>0.34297699999999998</v>
      </c>
    </row>
    <row r="13" spans="1:8">
      <c r="B13" t="s">
        <v>12</v>
      </c>
      <c r="C13">
        <v>0.68300000000000005</v>
      </c>
    </row>
    <row r="14" spans="1:8">
      <c r="B14" t="s">
        <v>143</v>
      </c>
      <c r="C14">
        <v>4.7670000000000003</v>
      </c>
    </row>
    <row r="15" spans="1:8">
      <c r="B15" t="s">
        <v>26</v>
      </c>
      <c r="C15">
        <v>9.3070000000000004</v>
      </c>
    </row>
    <row r="16" spans="1:8">
      <c r="B16" t="s">
        <v>144</v>
      </c>
      <c r="C16">
        <v>9.7070000000000007</v>
      </c>
    </row>
    <row r="17" spans="2:3">
      <c r="B17" t="s">
        <v>5</v>
      </c>
      <c r="C17">
        <v>5.6769999999999996</v>
      </c>
    </row>
    <row r="18" spans="2:3">
      <c r="B18" t="s">
        <v>145</v>
      </c>
      <c r="C18">
        <v>8.407</v>
      </c>
    </row>
    <row r="19" spans="2:3">
      <c r="B19" t="s">
        <v>146</v>
      </c>
      <c r="C19">
        <v>8.9969999999999999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X21"/>
  <sheetViews>
    <sheetView workbookViewId="0">
      <selection activeCell="O27" sqref="O27"/>
    </sheetView>
  </sheetViews>
  <sheetFormatPr defaultRowHeight="13.5"/>
  <cols>
    <col min="1" max="1" width="11.75" customWidth="1"/>
    <col min="15" max="17" width="11.25" customWidth="1"/>
  </cols>
  <sheetData>
    <row r="1" spans="1:24">
      <c r="A1" t="s">
        <v>217</v>
      </c>
    </row>
    <row r="2" spans="1:24">
      <c r="A2" t="s">
        <v>218</v>
      </c>
    </row>
    <row r="4" spans="1:24" ht="15">
      <c r="A4" t="s">
        <v>150</v>
      </c>
      <c r="B4" t="s">
        <v>37</v>
      </c>
      <c r="D4" t="s">
        <v>95</v>
      </c>
      <c r="E4" t="s">
        <v>104</v>
      </c>
      <c r="K4" t="s">
        <v>151</v>
      </c>
      <c r="S4" t="s">
        <v>219</v>
      </c>
    </row>
    <row r="5" spans="1:24">
      <c r="G5" t="s">
        <v>181</v>
      </c>
      <c r="I5" t="s">
        <v>171</v>
      </c>
      <c r="N5" t="s">
        <v>181</v>
      </c>
      <c r="P5" t="s">
        <v>171</v>
      </c>
      <c r="V5" t="s">
        <v>181</v>
      </c>
      <c r="X5" t="s">
        <v>171</v>
      </c>
    </row>
    <row r="6" spans="1:24">
      <c r="A6" t="s">
        <v>12</v>
      </c>
      <c r="B6">
        <v>19.2</v>
      </c>
      <c r="C6">
        <v>20.100000000000001</v>
      </c>
      <c r="D6">
        <v>17.600000000000001</v>
      </c>
      <c r="E6">
        <v>18.2</v>
      </c>
      <c r="F6">
        <v>17.8</v>
      </c>
      <c r="G6">
        <f>AVERAGE(B6:F6)</f>
        <v>18.579999999999998</v>
      </c>
      <c r="H6">
        <f>G6/8</f>
        <v>2.3224999999999998</v>
      </c>
      <c r="I6">
        <f>STDEV(B6:F6)/8</f>
        <v>0.13122023472011579</v>
      </c>
      <c r="J6">
        <v>0.13122</v>
      </c>
      <c r="K6">
        <v>2.8</v>
      </c>
      <c r="L6">
        <v>2.6</v>
      </c>
      <c r="M6">
        <v>2.8</v>
      </c>
      <c r="N6">
        <f>AVERAGE(K6:M6)</f>
        <v>2.7333333333333329</v>
      </c>
      <c r="O6">
        <f>N6/80</f>
        <v>3.4166666666666665E-2</v>
      </c>
      <c r="P6">
        <f>100*STDEV(K6:M6)/80</f>
        <v>0.1443375672974081</v>
      </c>
      <c r="Q6">
        <v>0.14433757</v>
      </c>
      <c r="S6">
        <f>K6/B6</f>
        <v>0.14583333333333334</v>
      </c>
      <c r="T6">
        <f t="shared" ref="T6:U14" si="0">L6/C6</f>
        <v>0.12935323383084577</v>
      </c>
      <c r="U6">
        <f>M6/D6</f>
        <v>0.15909090909090906</v>
      </c>
      <c r="V6">
        <f>AVERAGE(S6:U6)</f>
        <v>0.14475915875169607</v>
      </c>
      <c r="W6">
        <f>100*STDEV(S6:U6)</f>
        <v>1.4897909945429453</v>
      </c>
      <c r="X6">
        <f>(V6-T6)*100</f>
        <v>1.54059249208503</v>
      </c>
    </row>
    <row r="7" spans="1:24">
      <c r="A7">
        <v>37</v>
      </c>
      <c r="B7">
        <v>19.5</v>
      </c>
      <c r="C7">
        <v>21.3</v>
      </c>
      <c r="D7">
        <v>22.8</v>
      </c>
      <c r="E7">
        <v>22.6</v>
      </c>
      <c r="F7">
        <v>21.5</v>
      </c>
      <c r="G7">
        <f>AVERAGE(B7:F7)</f>
        <v>21.54</v>
      </c>
      <c r="H7">
        <f>G7/8</f>
        <v>2.6924999999999999</v>
      </c>
      <c r="I7">
        <f t="shared" ref="I7:I14" si="1">STDEV(B7:F7)/8</f>
        <v>0.16455432233764852</v>
      </c>
      <c r="J7">
        <v>0.16455400000000001</v>
      </c>
      <c r="K7">
        <v>3.4</v>
      </c>
      <c r="L7">
        <v>3.3</v>
      </c>
      <c r="M7">
        <v>3.3</v>
      </c>
      <c r="N7">
        <f t="shared" ref="N7:N14" si="2">AVERAGE(K7:M7)</f>
        <v>3.3333333333333335</v>
      </c>
      <c r="O7">
        <f t="shared" ref="O7:O14" si="3">N7/80</f>
        <v>4.1666666666666671E-2</v>
      </c>
      <c r="P7">
        <f t="shared" ref="P7:P14" si="4">100*STDEV(K7:M7)/80</f>
        <v>7.2168783648703286E-2</v>
      </c>
      <c r="Q7">
        <v>7.2168780000000002E-2</v>
      </c>
      <c r="S7">
        <f t="shared" ref="S7:S14" si="5">K7/B7</f>
        <v>0.17435897435897435</v>
      </c>
      <c r="T7">
        <f t="shared" si="0"/>
        <v>0.15492957746478872</v>
      </c>
      <c r="U7">
        <f t="shared" si="0"/>
        <v>0.14473684210526314</v>
      </c>
      <c r="V7">
        <f t="shared" ref="V7:V14" si="6">AVERAGE(S7:U7)</f>
        <v>0.15800846464300874</v>
      </c>
      <c r="W7">
        <f t="shared" ref="W7:W14" si="7">100*STDEV(S7:U7)</f>
        <v>1.5049164079982824</v>
      </c>
      <c r="X7">
        <f>1.504916</f>
        <v>1.5049159999999999</v>
      </c>
    </row>
    <row r="8" spans="1:24">
      <c r="A8">
        <v>54</v>
      </c>
      <c r="B8">
        <v>21.6</v>
      </c>
      <c r="C8">
        <v>23.8</v>
      </c>
      <c r="D8">
        <v>25.2</v>
      </c>
      <c r="E8">
        <v>23.1</v>
      </c>
      <c r="F8">
        <v>22.6</v>
      </c>
      <c r="G8">
        <f>AVERAGE(B8:F8)</f>
        <v>23.26</v>
      </c>
      <c r="H8">
        <f>G8/8</f>
        <v>2.9075000000000002</v>
      </c>
      <c r="I8">
        <f t="shared" si="1"/>
        <v>0.16854153790683099</v>
      </c>
      <c r="J8">
        <v>0.168542</v>
      </c>
      <c r="K8">
        <v>3.6</v>
      </c>
      <c r="L8">
        <v>3.8</v>
      </c>
      <c r="M8">
        <v>3.8</v>
      </c>
      <c r="N8">
        <f t="shared" si="2"/>
        <v>3.7333333333333329</v>
      </c>
      <c r="O8">
        <f t="shared" si="3"/>
        <v>4.6666666666666662E-2</v>
      </c>
      <c r="P8">
        <f t="shared" si="4"/>
        <v>0.14433756729741773</v>
      </c>
      <c r="Q8">
        <v>0.14433757</v>
      </c>
      <c r="S8">
        <f t="shared" si="5"/>
        <v>0.16666666666666666</v>
      </c>
      <c r="T8">
        <f t="shared" si="0"/>
        <v>0.15966386554621848</v>
      </c>
      <c r="U8">
        <f t="shared" si="0"/>
        <v>0.15079365079365079</v>
      </c>
      <c r="V8">
        <f t="shared" si="6"/>
        <v>0.15904139433551198</v>
      </c>
      <c r="W8">
        <f t="shared" si="7"/>
        <v>0.79547948453981054</v>
      </c>
      <c r="X8">
        <v>0.79547900000000005</v>
      </c>
    </row>
    <row r="9" spans="1:24">
      <c r="A9">
        <v>58</v>
      </c>
      <c r="B9">
        <v>21.2</v>
      </c>
      <c r="C9">
        <v>19.399999999999999</v>
      </c>
      <c r="D9">
        <v>19.899999999999999</v>
      </c>
      <c r="E9">
        <v>20.2</v>
      </c>
      <c r="F9">
        <v>19.8</v>
      </c>
      <c r="G9">
        <f>AVERAGE(B9:F9)</f>
        <v>20.099999999999998</v>
      </c>
      <c r="H9">
        <f>G9/8</f>
        <v>2.5124999999999997</v>
      </c>
      <c r="I9">
        <f t="shared" si="1"/>
        <v>8.4779124789079674E-2</v>
      </c>
      <c r="J9">
        <v>8.4778999999999993E-2</v>
      </c>
      <c r="K9">
        <v>3</v>
      </c>
      <c r="L9">
        <v>3.1</v>
      </c>
      <c r="M9">
        <v>3.1</v>
      </c>
      <c r="N9">
        <f t="shared" si="2"/>
        <v>3.0666666666666664</v>
      </c>
      <c r="O9">
        <f t="shared" si="3"/>
        <v>3.833333333333333E-2</v>
      </c>
      <c r="P9">
        <f t="shared" si="4"/>
        <v>7.2168783648728099E-2</v>
      </c>
      <c r="Q9">
        <v>7.2168780000000002E-2</v>
      </c>
      <c r="S9">
        <f t="shared" si="5"/>
        <v>0.14150943396226415</v>
      </c>
      <c r="T9">
        <f t="shared" si="0"/>
        <v>0.15979381443298971</v>
      </c>
      <c r="U9">
        <f t="shared" si="0"/>
        <v>0.15577889447236182</v>
      </c>
      <c r="V9">
        <f t="shared" si="6"/>
        <v>0.15236071428920522</v>
      </c>
      <c r="W9">
        <f t="shared" si="7"/>
        <v>0.96095061851770436</v>
      </c>
      <c r="X9">
        <v>0.960951</v>
      </c>
    </row>
    <row r="10" spans="1:24">
      <c r="A10" t="s">
        <v>150</v>
      </c>
      <c r="B10" t="s">
        <v>38</v>
      </c>
      <c r="G10" t="s">
        <v>181</v>
      </c>
      <c r="I10" t="s">
        <v>171</v>
      </c>
      <c r="N10" t="s">
        <v>181</v>
      </c>
      <c r="P10" t="s">
        <v>171</v>
      </c>
      <c r="V10" t="s">
        <v>181</v>
      </c>
      <c r="X10" t="s">
        <v>171</v>
      </c>
    </row>
    <row r="11" spans="1:24">
      <c r="A11" t="s">
        <v>12</v>
      </c>
      <c r="B11">
        <v>8.5</v>
      </c>
      <c r="C11">
        <v>9.1999999999999993</v>
      </c>
      <c r="D11">
        <v>8.6</v>
      </c>
      <c r="E11">
        <v>8.6</v>
      </c>
      <c r="F11">
        <v>7.9</v>
      </c>
      <c r="G11">
        <f>AVERAGE(B11:F11)</f>
        <v>8.5599999999999987</v>
      </c>
      <c r="H11">
        <f>G11/8</f>
        <v>1.0699999999999998</v>
      </c>
      <c r="I11">
        <f t="shared" si="1"/>
        <v>5.7689903796072722E-2</v>
      </c>
      <c r="J11">
        <v>5.7689999999999998E-2</v>
      </c>
      <c r="K11">
        <v>2.1</v>
      </c>
      <c r="L11">
        <v>2.2000000000000002</v>
      </c>
      <c r="M11">
        <v>2.1</v>
      </c>
      <c r="N11">
        <f t="shared" si="2"/>
        <v>2.1333333333333333</v>
      </c>
      <c r="O11">
        <f t="shared" si="3"/>
        <v>2.6666666666666665E-2</v>
      </c>
      <c r="P11">
        <f t="shared" si="4"/>
        <v>7.2168783648689644E-2</v>
      </c>
      <c r="Q11">
        <f>0.07216878</f>
        <v>7.2168780000000002E-2</v>
      </c>
      <c r="S11">
        <f t="shared" si="5"/>
        <v>0.24705882352941178</v>
      </c>
      <c r="T11">
        <f t="shared" si="0"/>
        <v>0.23913043478260873</v>
      </c>
      <c r="U11">
        <f t="shared" si="0"/>
        <v>0.24418604651162792</v>
      </c>
      <c r="V11">
        <f t="shared" si="6"/>
        <v>0.24345843494121613</v>
      </c>
      <c r="W11">
        <f t="shared" si="7"/>
        <v>0.40139632507231693</v>
      </c>
      <c r="X11">
        <v>0.40139599999999998</v>
      </c>
    </row>
    <row r="12" spans="1:24">
      <c r="A12">
        <v>37</v>
      </c>
      <c r="B12">
        <v>6.8</v>
      </c>
      <c r="C12">
        <v>6.7</v>
      </c>
      <c r="D12">
        <v>7</v>
      </c>
      <c r="E12">
        <v>6.6</v>
      </c>
      <c r="F12">
        <v>6.8</v>
      </c>
      <c r="G12">
        <f>AVERAGE(B12:F12)</f>
        <v>6.7799999999999994</v>
      </c>
      <c r="H12">
        <f>G12/8</f>
        <v>0.84749999999999992</v>
      </c>
      <c r="I12">
        <f t="shared" si="1"/>
        <v>1.85404962177445E-2</v>
      </c>
      <c r="J12">
        <v>1.8540000000000001E-2</v>
      </c>
      <c r="K12">
        <v>1.8</v>
      </c>
      <c r="L12">
        <v>1.8</v>
      </c>
      <c r="M12">
        <v>1.7</v>
      </c>
      <c r="N12">
        <f t="shared" si="2"/>
        <v>1.7666666666666666</v>
      </c>
      <c r="O12">
        <f t="shared" si="3"/>
        <v>2.2083333333333333E-2</v>
      </c>
      <c r="P12">
        <f t="shared" si="4"/>
        <v>7.2168783648708865E-2</v>
      </c>
      <c r="Q12">
        <f>0.07216878</f>
        <v>7.2168780000000002E-2</v>
      </c>
      <c r="S12">
        <f t="shared" si="5"/>
        <v>0.26470588235294118</v>
      </c>
      <c r="T12">
        <f t="shared" si="0"/>
        <v>0.26865671641791045</v>
      </c>
      <c r="U12">
        <f t="shared" si="0"/>
        <v>0.24285714285714285</v>
      </c>
      <c r="V12">
        <f t="shared" si="6"/>
        <v>0.25873991387599821</v>
      </c>
      <c r="W12">
        <f t="shared" si="7"/>
        <v>1.3896009638751439</v>
      </c>
      <c r="X12">
        <v>1.3896010000000001</v>
      </c>
    </row>
    <row r="13" spans="1:24">
      <c r="A13">
        <v>54</v>
      </c>
      <c r="B13">
        <v>6.2</v>
      </c>
      <c r="C13">
        <v>6.2</v>
      </c>
      <c r="D13">
        <v>6.1</v>
      </c>
      <c r="E13">
        <v>6</v>
      </c>
      <c r="F13">
        <v>6.5</v>
      </c>
      <c r="G13">
        <f>AVERAGE(B13:F13)</f>
        <v>6.2</v>
      </c>
      <c r="H13">
        <f>G13/8</f>
        <v>0.77500000000000002</v>
      </c>
      <c r="I13">
        <f t="shared" si="1"/>
        <v>2.3385358667338367E-2</v>
      </c>
      <c r="J13">
        <v>2.3385E-2</v>
      </c>
      <c r="K13">
        <v>1.7</v>
      </c>
      <c r="L13">
        <v>1.8</v>
      </c>
      <c r="M13">
        <v>1.6</v>
      </c>
      <c r="N13">
        <f t="shared" si="2"/>
        <v>1.7</v>
      </c>
      <c r="O13">
        <f t="shared" si="3"/>
        <v>2.1249999999999998E-2</v>
      </c>
      <c r="P13">
        <f t="shared" si="4"/>
        <v>0.12500000000000422</v>
      </c>
      <c r="Q13">
        <f>100*(O13-M13/80)</f>
        <v>0.12499999999999976</v>
      </c>
      <c r="S13">
        <f t="shared" si="5"/>
        <v>0.27419354838709675</v>
      </c>
      <c r="T13">
        <f t="shared" si="0"/>
        <v>0.29032258064516131</v>
      </c>
      <c r="U13">
        <f t="shared" si="0"/>
        <v>0.26229508196721313</v>
      </c>
      <c r="V13">
        <f t="shared" si="6"/>
        <v>0.27560373699982371</v>
      </c>
      <c r="W13">
        <f t="shared" si="7"/>
        <v>1.406686334895578</v>
      </c>
      <c r="X13">
        <v>1.4066860000000001</v>
      </c>
    </row>
    <row r="14" spans="1:24">
      <c r="A14">
        <v>58</v>
      </c>
      <c r="B14">
        <v>7.1</v>
      </c>
      <c r="C14">
        <v>6.8</v>
      </c>
      <c r="D14">
        <v>6.9</v>
      </c>
      <c r="E14">
        <v>7.2</v>
      </c>
      <c r="F14">
        <v>7.1</v>
      </c>
      <c r="G14">
        <f>AVERAGE(B14:F14)</f>
        <v>7.0199999999999987</v>
      </c>
      <c r="H14">
        <f>G14/8</f>
        <v>0.87749999999999984</v>
      </c>
      <c r="I14">
        <f t="shared" si="1"/>
        <v>2.0539595906452227E-2</v>
      </c>
      <c r="J14">
        <v>2.0539999999999999E-2</v>
      </c>
      <c r="K14">
        <v>1.7</v>
      </c>
      <c r="L14">
        <v>1.8</v>
      </c>
      <c r="M14">
        <v>1.9</v>
      </c>
      <c r="N14">
        <f t="shared" si="2"/>
        <v>1.8</v>
      </c>
      <c r="O14">
        <f t="shared" si="3"/>
        <v>2.2499999999999999E-2</v>
      </c>
      <c r="P14">
        <f t="shared" si="4"/>
        <v>0.12499999999999867</v>
      </c>
      <c r="Q14">
        <f>100*(O14-K14/80)</f>
        <v>0.12500000000000011</v>
      </c>
      <c r="S14">
        <f t="shared" si="5"/>
        <v>0.23943661971830987</v>
      </c>
      <c r="T14">
        <f t="shared" si="0"/>
        <v>0.26470588235294118</v>
      </c>
      <c r="U14">
        <f t="shared" si="0"/>
        <v>0.27536231884057966</v>
      </c>
      <c r="V14">
        <f t="shared" si="6"/>
        <v>0.25983494030394355</v>
      </c>
      <c r="W14">
        <f t="shared" si="7"/>
        <v>1.8451518140507335</v>
      </c>
      <c r="X14">
        <v>1.8451519999999999</v>
      </c>
    </row>
    <row r="16" spans="1:24" ht="15">
      <c r="B16" t="s">
        <v>60</v>
      </c>
      <c r="D16" t="s">
        <v>247</v>
      </c>
      <c r="G16" t="s">
        <v>219</v>
      </c>
    </row>
    <row r="17" spans="1:8">
      <c r="A17" t="s">
        <v>12</v>
      </c>
      <c r="B17">
        <v>2.323</v>
      </c>
      <c r="C17">
        <v>1.07</v>
      </c>
      <c r="D17">
        <v>3.4169999999999998</v>
      </c>
      <c r="E17">
        <v>2.6669999999999998</v>
      </c>
      <c r="G17">
        <v>14.5</v>
      </c>
      <c r="H17">
        <v>24.3</v>
      </c>
    </row>
    <row r="18" spans="1:8">
      <c r="A18" t="s">
        <v>4</v>
      </c>
      <c r="B18">
        <v>2.6930000000000001</v>
      </c>
      <c r="C18">
        <v>0.84799999999999998</v>
      </c>
      <c r="D18">
        <v>4.1669999999999998</v>
      </c>
      <c r="E18">
        <v>2.2080000000000002</v>
      </c>
      <c r="G18">
        <v>15.8</v>
      </c>
      <c r="H18">
        <v>25.8</v>
      </c>
    </row>
    <row r="19" spans="1:8">
      <c r="A19" t="s">
        <v>129</v>
      </c>
      <c r="B19">
        <v>2.9079999999999999</v>
      </c>
      <c r="C19">
        <v>0.77500000000000002</v>
      </c>
      <c r="D19">
        <v>4.6669999999999998</v>
      </c>
      <c r="E19">
        <v>2.125</v>
      </c>
      <c r="G19">
        <v>15.9</v>
      </c>
      <c r="H19">
        <v>27.6</v>
      </c>
    </row>
    <row r="20" spans="1:8">
      <c r="A20" t="s">
        <v>7</v>
      </c>
      <c r="B20">
        <v>2.5129999999999999</v>
      </c>
      <c r="C20">
        <v>0.878</v>
      </c>
      <c r="D20">
        <v>3.8330000000000002</v>
      </c>
      <c r="E20">
        <v>2.25</v>
      </c>
      <c r="G20">
        <v>15.2</v>
      </c>
      <c r="H20">
        <v>25.9</v>
      </c>
    </row>
    <row r="21" spans="1:8">
      <c r="E21" t="s">
        <v>130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O24" sqref="O24"/>
    </sheetView>
  </sheetViews>
  <sheetFormatPr defaultRowHeight="13.5"/>
  <cols>
    <col min="1" max="1" width="13.625" customWidth="1"/>
    <col min="2" max="2" width="11.625" customWidth="1"/>
    <col min="3" max="3" width="13.25" customWidth="1"/>
  </cols>
  <sheetData>
    <row r="1" spans="1:14">
      <c r="A1" t="s">
        <v>223</v>
      </c>
    </row>
    <row r="3" spans="1:14">
      <c r="C3" t="s">
        <v>226</v>
      </c>
    </row>
    <row r="4" spans="1:14">
      <c r="F4" t="s">
        <v>227</v>
      </c>
      <c r="H4" t="s">
        <v>228</v>
      </c>
      <c r="L4" t="s">
        <v>227</v>
      </c>
      <c r="N4" t="s">
        <v>228</v>
      </c>
    </row>
    <row r="5" spans="1:14">
      <c r="A5" t="s">
        <v>155</v>
      </c>
      <c r="B5" t="s">
        <v>229</v>
      </c>
      <c r="C5">
        <v>235.2</v>
      </c>
      <c r="D5">
        <v>232.2</v>
      </c>
      <c r="E5">
        <v>229.9</v>
      </c>
      <c r="F5">
        <f>AVERAGE(C5:E5)</f>
        <v>232.43333333333331</v>
      </c>
    </row>
    <row r="6" spans="1:14">
      <c r="B6" t="s">
        <v>2</v>
      </c>
      <c r="C6">
        <v>398.6</v>
      </c>
      <c r="D6">
        <v>403.8</v>
      </c>
      <c r="E6">
        <v>406.8</v>
      </c>
      <c r="F6">
        <f t="shared" ref="F6:F13" si="0">AVERAGE(C6:E6)</f>
        <v>403.06666666666666</v>
      </c>
      <c r="G6">
        <f>F6-232.4</f>
        <v>170.66666666666666</v>
      </c>
      <c r="H6">
        <f>G6*10*10/157.6/3</f>
        <v>36.097010716300055</v>
      </c>
      <c r="I6">
        <v>546.70000000000005</v>
      </c>
      <c r="J6">
        <v>548.20000000000005</v>
      </c>
      <c r="K6">
        <v>551.1</v>
      </c>
      <c r="L6">
        <f>AVERAGE(I6:K6)</f>
        <v>548.66666666666663</v>
      </c>
      <c r="M6">
        <f>L6-232</f>
        <v>316.66666666666663</v>
      </c>
      <c r="N6">
        <f>M6*10*10/157.6/3</f>
        <v>66.976875352509865</v>
      </c>
    </row>
    <row r="7" spans="1:14">
      <c r="B7" t="s">
        <v>154</v>
      </c>
      <c r="C7">
        <v>484.5</v>
      </c>
      <c r="D7">
        <v>483.9</v>
      </c>
      <c r="E7">
        <v>480.8</v>
      </c>
      <c r="F7">
        <f t="shared" si="0"/>
        <v>483.06666666666666</v>
      </c>
      <c r="G7">
        <f t="shared" ref="G7:G13" si="1">F7-232.4</f>
        <v>250.66666666666666</v>
      </c>
      <c r="H7">
        <f t="shared" ref="H7:H10" si="2">G7*10*10/157.6/3</f>
        <v>53.017484489565703</v>
      </c>
    </row>
    <row r="8" spans="1:14">
      <c r="B8" t="s">
        <v>7</v>
      </c>
      <c r="C8">
        <v>399.4</v>
      </c>
      <c r="D8">
        <v>397.5</v>
      </c>
      <c r="E8">
        <v>395.2</v>
      </c>
      <c r="F8">
        <f t="shared" si="0"/>
        <v>397.36666666666662</v>
      </c>
      <c r="G8">
        <f t="shared" si="1"/>
        <v>164.96666666666661</v>
      </c>
      <c r="H8">
        <f t="shared" si="2"/>
        <v>34.891426959954863</v>
      </c>
      <c r="I8">
        <v>610.9</v>
      </c>
      <c r="J8">
        <v>613.6</v>
      </c>
      <c r="K8">
        <v>616.4</v>
      </c>
      <c r="L8">
        <f t="shared" ref="L8:L10" si="3">AVERAGE(I8:K8)</f>
        <v>613.63333333333333</v>
      </c>
      <c r="M8">
        <f t="shared" ref="M8:M10" si="4">L8-232</f>
        <v>381.63333333333333</v>
      </c>
      <c r="N8">
        <f t="shared" ref="N8:N10" si="5">M8*10*10/157.6/3</f>
        <v>80.71771009588268</v>
      </c>
    </row>
    <row r="9" spans="1:14">
      <c r="B9" t="s">
        <v>8</v>
      </c>
      <c r="C9">
        <v>507.6</v>
      </c>
      <c r="D9">
        <v>505.2</v>
      </c>
      <c r="E9">
        <v>512.20000000000005</v>
      </c>
      <c r="F9">
        <f t="shared" si="0"/>
        <v>508.33333333333331</v>
      </c>
      <c r="G9">
        <f t="shared" si="1"/>
        <v>275.93333333333328</v>
      </c>
      <c r="H9">
        <f t="shared" si="2"/>
        <v>58.36153412295544</v>
      </c>
      <c r="I9">
        <v>582.5</v>
      </c>
      <c r="J9">
        <v>584.79999999999995</v>
      </c>
      <c r="K9">
        <v>580.4</v>
      </c>
      <c r="L9">
        <f t="shared" si="3"/>
        <v>582.56666666666661</v>
      </c>
      <c r="M9">
        <f t="shared" si="4"/>
        <v>350.56666666666661</v>
      </c>
      <c r="N9">
        <f t="shared" si="5"/>
        <v>74.146926113931173</v>
      </c>
    </row>
    <row r="10" spans="1:14">
      <c r="B10" t="s">
        <v>5</v>
      </c>
      <c r="C10">
        <v>512.5</v>
      </c>
      <c r="D10">
        <v>509.8</v>
      </c>
      <c r="E10">
        <v>509.7</v>
      </c>
      <c r="F10">
        <f t="shared" si="0"/>
        <v>510.66666666666669</v>
      </c>
      <c r="G10">
        <f t="shared" si="1"/>
        <v>278.26666666666665</v>
      </c>
      <c r="H10">
        <f t="shared" si="2"/>
        <v>58.855047941342356</v>
      </c>
      <c r="I10">
        <v>588.70000000000005</v>
      </c>
      <c r="J10">
        <v>590.6</v>
      </c>
      <c r="K10">
        <v>592.20000000000005</v>
      </c>
      <c r="L10">
        <f t="shared" si="3"/>
        <v>590.50000000000011</v>
      </c>
      <c r="M10">
        <f t="shared" si="4"/>
        <v>358.50000000000011</v>
      </c>
      <c r="N10">
        <f t="shared" si="5"/>
        <v>75.824873096446723</v>
      </c>
    </row>
    <row r="11" spans="1:14" ht="15.75">
      <c r="B11" t="s">
        <v>122</v>
      </c>
      <c r="C11">
        <v>389.6</v>
      </c>
      <c r="D11">
        <v>389.8</v>
      </c>
      <c r="E11">
        <v>390.7</v>
      </c>
      <c r="F11">
        <f t="shared" si="0"/>
        <v>390.03333333333336</v>
      </c>
      <c r="G11">
        <f t="shared" si="1"/>
        <v>157.63333333333335</v>
      </c>
      <c r="H11">
        <f t="shared" ref="H11:H13" si="6">G11*10/157.6</f>
        <v>10.00211505922166</v>
      </c>
    </row>
    <row r="12" spans="1:14" ht="15.75">
      <c r="B12" t="s">
        <v>124</v>
      </c>
      <c r="C12">
        <v>542.4</v>
      </c>
      <c r="D12">
        <v>551.6</v>
      </c>
      <c r="E12">
        <v>547.79999999999995</v>
      </c>
      <c r="F12">
        <f t="shared" si="0"/>
        <v>547.26666666666665</v>
      </c>
      <c r="G12">
        <f t="shared" si="1"/>
        <v>314.86666666666667</v>
      </c>
      <c r="H12">
        <f t="shared" si="6"/>
        <v>19.978849407783422</v>
      </c>
    </row>
    <row r="13" spans="1:14" ht="15.75">
      <c r="B13" t="s">
        <v>123</v>
      </c>
      <c r="C13">
        <v>702.8</v>
      </c>
      <c r="D13">
        <v>715.6</v>
      </c>
      <c r="E13">
        <v>710.2</v>
      </c>
      <c r="F13">
        <f t="shared" si="0"/>
        <v>709.53333333333342</v>
      </c>
      <c r="G13">
        <f t="shared" si="1"/>
        <v>477.13333333333344</v>
      </c>
      <c r="H13">
        <f t="shared" si="6"/>
        <v>30.274957698815573</v>
      </c>
    </row>
    <row r="14" spans="1:14">
      <c r="C14" t="s">
        <v>125</v>
      </c>
      <c r="D14" t="s">
        <v>126</v>
      </c>
      <c r="F14" t="s">
        <v>224</v>
      </c>
      <c r="I14" t="s">
        <v>225</v>
      </c>
    </row>
    <row r="15" spans="1:14">
      <c r="B15" t="s">
        <v>2</v>
      </c>
      <c r="C15">
        <v>36.1</v>
      </c>
      <c r="D15">
        <v>67</v>
      </c>
      <c r="F15">
        <f>100*STDEV(C6:E6)/157.6/3</f>
        <v>0.87751595501945567</v>
      </c>
      <c r="G15">
        <v>0.87751595500000001</v>
      </c>
      <c r="I15">
        <f>100*STDEV(I6:K6)/157.6/3</f>
        <v>0.47309924054837427</v>
      </c>
      <c r="J15">
        <v>0.47309899999999999</v>
      </c>
    </row>
    <row r="16" spans="1:14" ht="16.5">
      <c r="B16" t="s">
        <v>10</v>
      </c>
      <c r="C16">
        <v>53</v>
      </c>
      <c r="F16">
        <f>100*STDEV(C7:E7)/157.6/3</f>
        <v>0.42000482257595767</v>
      </c>
      <c r="G16">
        <v>0.42</v>
      </c>
    </row>
    <row r="17" spans="2:10">
      <c r="B17" t="s">
        <v>7</v>
      </c>
      <c r="C17">
        <v>34.9</v>
      </c>
      <c r="D17">
        <v>80.7</v>
      </c>
      <c r="F17">
        <f>100*STDEV(C8:E8)/157.6/3</f>
        <v>0.44483337716893173</v>
      </c>
      <c r="G17">
        <v>0.44483337699999997</v>
      </c>
      <c r="I17">
        <f>100*STDEV(I8:K8)/157.6/3</f>
        <v>0.58167333142137856</v>
      </c>
      <c r="J17">
        <v>0.581673</v>
      </c>
    </row>
    <row r="18" spans="2:10">
      <c r="B18" t="s">
        <v>8</v>
      </c>
      <c r="C18">
        <v>58.4</v>
      </c>
      <c r="D18">
        <v>74.099999999999994</v>
      </c>
      <c r="F18">
        <f>100*STDEV(C9:E9)/157.6/3</f>
        <v>0.75235880270431787</v>
      </c>
      <c r="G18">
        <v>0.75235880300000002</v>
      </c>
      <c r="I18">
        <f>100*STDEV(I9:K9)/157.6/3</f>
        <v>0.46547323294771731</v>
      </c>
      <c r="J18">
        <v>0.46547300000000003</v>
      </c>
    </row>
    <row r="19" spans="2:10">
      <c r="B19" t="s">
        <v>5</v>
      </c>
      <c r="C19">
        <v>58.9</v>
      </c>
      <c r="D19">
        <v>75.8</v>
      </c>
      <c r="F19">
        <f>100*STDEV(C10:E10)/157.6/3</f>
        <v>0.33597722948120551</v>
      </c>
      <c r="G19">
        <v>0.33597722899999999</v>
      </c>
      <c r="I19">
        <f>100*STDEV(I10:K10)/157.6/3</f>
        <v>0.37058831361300665</v>
      </c>
      <c r="J19">
        <v>0.37058799999999997</v>
      </c>
    </row>
    <row r="20" spans="2:10">
      <c r="B20" s="10"/>
      <c r="C20" s="10"/>
      <c r="D20" s="10"/>
      <c r="E20" s="10"/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sqref="A1:L2"/>
    </sheetView>
  </sheetViews>
  <sheetFormatPr defaultRowHeight="13.5"/>
  <sheetData>
    <row r="1" spans="1:13">
      <c r="A1" t="s">
        <v>222</v>
      </c>
    </row>
    <row r="2" spans="1:13">
      <c r="A2" t="s">
        <v>221</v>
      </c>
    </row>
    <row r="3" spans="1:13">
      <c r="C3" t="s">
        <v>147</v>
      </c>
    </row>
    <row r="4" spans="1:13">
      <c r="C4" t="s">
        <v>152</v>
      </c>
      <c r="F4" t="s">
        <v>220</v>
      </c>
      <c r="I4" t="s">
        <v>95</v>
      </c>
      <c r="L4" t="s">
        <v>220</v>
      </c>
    </row>
    <row r="5" spans="1:13">
      <c r="A5" t="s">
        <v>12</v>
      </c>
      <c r="B5">
        <v>3.4</v>
      </c>
      <c r="C5">
        <v>4.0999999999999996</v>
      </c>
      <c r="D5">
        <v>3.5</v>
      </c>
      <c r="E5">
        <f>AVERAGE(B5:D5)/8</f>
        <v>0.45833333333333331</v>
      </c>
      <c r="F5">
        <f>STDEV(B5:D5)/8</f>
        <v>4.7324236215001876E-2</v>
      </c>
      <c r="G5">
        <v>4.7323999999999998E-2</v>
      </c>
      <c r="H5">
        <v>4.2</v>
      </c>
      <c r="I5">
        <v>4.2</v>
      </c>
      <c r="J5">
        <v>4.3</v>
      </c>
      <c r="K5">
        <f>AVERAGE(H5:J5)/8</f>
        <v>0.52916666666666667</v>
      </c>
      <c r="L5">
        <f>STDEV(H5:J5)/8</f>
        <v>7.2168783648702967E-3</v>
      </c>
      <c r="M5">
        <v>7.2170000000000003E-3</v>
      </c>
    </row>
    <row r="6" spans="1:13">
      <c r="A6" t="s">
        <v>7</v>
      </c>
      <c r="B6">
        <v>4.5</v>
      </c>
      <c r="C6">
        <v>4.3</v>
      </c>
      <c r="D6">
        <v>4.5999999999999996</v>
      </c>
      <c r="E6">
        <f>AVERAGE(B6:D6)/8</f>
        <v>0.55833333333333335</v>
      </c>
      <c r="F6">
        <f t="shared" ref="F6:F8" si="0">STDEV(B6:D6)/8</f>
        <v>1.9094065395647918E-2</v>
      </c>
      <c r="G6">
        <v>1.9094E-2</v>
      </c>
      <c r="H6">
        <v>5.4</v>
      </c>
      <c r="I6">
        <v>5.0999999999999996</v>
      </c>
      <c r="J6">
        <v>5.2</v>
      </c>
      <c r="K6">
        <f t="shared" ref="K6:K8" si="1">AVERAGE(H6:J6)/8</f>
        <v>0.65416666666666667</v>
      </c>
      <c r="L6">
        <f t="shared" ref="L6:L8" si="2">STDEV(H6:J6)/8</f>
        <v>1.9094065395652279E-2</v>
      </c>
      <c r="M6">
        <v>1.9094E-2</v>
      </c>
    </row>
    <row r="7" spans="1:13">
      <c r="A7" t="s">
        <v>8</v>
      </c>
      <c r="B7">
        <v>4.9000000000000004</v>
      </c>
      <c r="C7">
        <v>5.2</v>
      </c>
      <c r="D7">
        <v>5</v>
      </c>
      <c r="E7">
        <f>AVERAGE(B7:D7)/8</f>
        <v>0.62916666666666676</v>
      </c>
      <c r="F7">
        <f t="shared" si="0"/>
        <v>1.9094065395649371E-2</v>
      </c>
      <c r="G7">
        <v>1.9094E-2</v>
      </c>
      <c r="H7">
        <v>6.1</v>
      </c>
      <c r="I7">
        <v>5.9</v>
      </c>
      <c r="J7">
        <v>6.2</v>
      </c>
      <c r="K7">
        <f t="shared" si="1"/>
        <v>0.7583333333333333</v>
      </c>
      <c r="L7">
        <f t="shared" si="2"/>
        <v>1.9094065395655186E-2</v>
      </c>
      <c r="M7">
        <v>1.9094E-2</v>
      </c>
    </row>
    <row r="8" spans="1:13">
      <c r="A8" t="s">
        <v>5</v>
      </c>
      <c r="B8">
        <v>4.8</v>
      </c>
      <c r="C8">
        <v>5.2</v>
      </c>
      <c r="D8">
        <v>4.9000000000000004</v>
      </c>
      <c r="E8">
        <f>AVERAGE(B8:D8)/8</f>
        <v>0.62083333333333335</v>
      </c>
      <c r="F8">
        <f t="shared" si="0"/>
        <v>2.6020824993325493E-2</v>
      </c>
      <c r="G8">
        <v>2.6020999999999999E-2</v>
      </c>
      <c r="H8">
        <v>6.3</v>
      </c>
      <c r="I8">
        <v>6.5</v>
      </c>
      <c r="J8">
        <v>6.5</v>
      </c>
      <c r="K8">
        <f t="shared" si="1"/>
        <v>0.8041666666666667</v>
      </c>
      <c r="L8">
        <f t="shared" si="2"/>
        <v>1.4433756729737927E-2</v>
      </c>
      <c r="M8">
        <v>1.4434000000000001E-2</v>
      </c>
    </row>
    <row r="12" spans="1:13">
      <c r="A12" t="s">
        <v>12</v>
      </c>
      <c r="B12">
        <v>0.45829999999999999</v>
      </c>
      <c r="C12">
        <v>0.5292</v>
      </c>
    </row>
    <row r="13" spans="1:13">
      <c r="A13" t="s">
        <v>7</v>
      </c>
      <c r="B13">
        <v>0.55830000000000002</v>
      </c>
      <c r="C13">
        <v>0.6542</v>
      </c>
    </row>
    <row r="14" spans="1:13">
      <c r="A14" t="s">
        <v>8</v>
      </c>
      <c r="B14">
        <v>0.62919999999999998</v>
      </c>
      <c r="C14">
        <v>0.75829999999999997</v>
      </c>
    </row>
    <row r="15" spans="1:13">
      <c r="A15" t="s">
        <v>5</v>
      </c>
      <c r="B15">
        <v>0.62080000000000002</v>
      </c>
      <c r="C15">
        <v>0.80420000000000003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P17" sqref="P17"/>
    </sheetView>
  </sheetViews>
  <sheetFormatPr defaultRowHeight="13.5"/>
  <cols>
    <col min="5" max="5" width="12.375" customWidth="1"/>
    <col min="7" max="7" width="15.625" customWidth="1"/>
    <col min="8" max="8" width="11.375" customWidth="1"/>
  </cols>
  <sheetData>
    <row r="1" spans="1:14">
      <c r="A1" t="s">
        <v>160</v>
      </c>
    </row>
    <row r="2" spans="1:14">
      <c r="B2" t="s">
        <v>159</v>
      </c>
    </row>
    <row r="4" spans="1:14">
      <c r="A4" t="s">
        <v>158</v>
      </c>
      <c r="E4" t="s">
        <v>183</v>
      </c>
      <c r="J4" t="s">
        <v>107</v>
      </c>
    </row>
    <row r="5" spans="1:14">
      <c r="C5" t="s">
        <v>187</v>
      </c>
      <c r="F5" t="s">
        <v>181</v>
      </c>
      <c r="G5" t="s">
        <v>185</v>
      </c>
      <c r="J5" t="s">
        <v>186</v>
      </c>
      <c r="M5" t="s">
        <v>181</v>
      </c>
      <c r="N5" t="s">
        <v>184</v>
      </c>
    </row>
    <row r="6" spans="1:14">
      <c r="B6" t="s">
        <v>2</v>
      </c>
      <c r="C6">
        <v>0.62429999999999997</v>
      </c>
      <c r="D6">
        <v>0.61850000000000005</v>
      </c>
      <c r="E6">
        <v>0.61240000000000006</v>
      </c>
      <c r="F6">
        <f>AVERAGE(C6:E6)</f>
        <v>0.61839999999999995</v>
      </c>
      <c r="G6">
        <f>F6*15</f>
        <v>9.2759999999999998</v>
      </c>
      <c r="J6">
        <v>0.98909999999999998</v>
      </c>
      <c r="K6">
        <v>1.0285</v>
      </c>
      <c r="L6">
        <v>1.0427</v>
      </c>
      <c r="M6">
        <f>AVERAGE(J6:L6)</f>
        <v>1.0201</v>
      </c>
      <c r="N6">
        <f>M6*15</f>
        <v>15.301500000000001</v>
      </c>
    </row>
    <row r="7" spans="1:14">
      <c r="B7" t="s">
        <v>3</v>
      </c>
      <c r="C7">
        <v>0.81289999999999996</v>
      </c>
      <c r="D7">
        <v>0.84109999999999996</v>
      </c>
      <c r="E7">
        <v>0.87009999999999998</v>
      </c>
      <c r="F7">
        <f t="shared" ref="F7" si="0">AVERAGE(C7:E7)</f>
        <v>0.8413666666666666</v>
      </c>
      <c r="G7">
        <f t="shared" ref="G7:G10" si="1">F7*15</f>
        <v>12.6205</v>
      </c>
    </row>
    <row r="8" spans="1:14">
      <c r="B8" t="s">
        <v>8</v>
      </c>
      <c r="C8">
        <v>0.96660000000000001</v>
      </c>
      <c r="D8">
        <v>0.96909999999999996</v>
      </c>
      <c r="E8">
        <v>0.97319999999999995</v>
      </c>
      <c r="F8">
        <f>AVERAGE(C8:E8)</f>
        <v>0.96963333333333335</v>
      </c>
      <c r="G8">
        <f t="shared" si="1"/>
        <v>14.544499999999999</v>
      </c>
      <c r="J8">
        <v>1.0606</v>
      </c>
      <c r="K8">
        <v>1.0721000000000001</v>
      </c>
      <c r="L8">
        <v>1.0707</v>
      </c>
      <c r="M8">
        <f t="shared" ref="M8:M10" si="2">AVERAGE(J8:L8)</f>
        <v>1.0677999999999999</v>
      </c>
      <c r="N8">
        <f t="shared" ref="N8:N10" si="3">M8*15</f>
        <v>16.016999999999999</v>
      </c>
    </row>
    <row r="9" spans="1:14">
      <c r="B9" t="s">
        <v>7</v>
      </c>
      <c r="C9">
        <v>0.86829999999999996</v>
      </c>
      <c r="D9">
        <v>0.89049999999999996</v>
      </c>
      <c r="E9">
        <v>0.91310000000000002</v>
      </c>
      <c r="F9">
        <f>AVERAGE(C9:E9)</f>
        <v>0.89063333333333328</v>
      </c>
      <c r="G9">
        <f t="shared" si="1"/>
        <v>13.359499999999999</v>
      </c>
      <c r="J9">
        <v>1.0685</v>
      </c>
      <c r="K9">
        <v>1.0589</v>
      </c>
      <c r="L9">
        <v>1.0536000000000001</v>
      </c>
      <c r="M9">
        <f t="shared" si="2"/>
        <v>1.0603333333333333</v>
      </c>
      <c r="N9">
        <f t="shared" si="3"/>
        <v>15.905000000000001</v>
      </c>
    </row>
    <row r="10" spans="1:14">
      <c r="B10" t="s">
        <v>5</v>
      </c>
      <c r="C10">
        <v>0.94510000000000005</v>
      </c>
      <c r="D10">
        <v>0.92279999999999995</v>
      </c>
      <c r="E10">
        <v>0.91510000000000002</v>
      </c>
      <c r="F10">
        <f>AVERAGE(C10:E10)</f>
        <v>0.92766666666666675</v>
      </c>
      <c r="G10">
        <f t="shared" si="1"/>
        <v>13.915000000000001</v>
      </c>
      <c r="J10">
        <v>1.0875999999999999</v>
      </c>
      <c r="K10">
        <v>1.0988</v>
      </c>
      <c r="L10">
        <v>1.1136999999999999</v>
      </c>
      <c r="M10">
        <f t="shared" si="2"/>
        <v>1.1000333333333332</v>
      </c>
      <c r="N10">
        <f t="shared" si="3"/>
        <v>16.500499999999999</v>
      </c>
    </row>
    <row r="12" spans="1:14">
      <c r="C12">
        <v>0</v>
      </c>
      <c r="D12" t="s">
        <v>107</v>
      </c>
      <c r="F12" s="10" t="s">
        <v>173</v>
      </c>
      <c r="G12" s="10"/>
      <c r="H12" s="10" t="s">
        <v>174</v>
      </c>
      <c r="I12" s="10"/>
    </row>
    <row r="13" spans="1:14">
      <c r="B13" t="s">
        <v>28</v>
      </c>
      <c r="C13">
        <v>9.2799999999999994</v>
      </c>
      <c r="D13">
        <v>15.3</v>
      </c>
      <c r="F13">
        <f>STDEV(C6:E6)*15</f>
        <v>8.9259453280870385E-2</v>
      </c>
      <c r="G13">
        <v>8.9259000000000005E-2</v>
      </c>
      <c r="H13">
        <f>STDEV(J6:L6)*15</f>
        <v>0.41654651600991677</v>
      </c>
      <c r="I13">
        <v>0.416547</v>
      </c>
    </row>
    <row r="14" spans="1:14">
      <c r="B14" t="s">
        <v>6</v>
      </c>
      <c r="C14">
        <v>12.6</v>
      </c>
      <c r="F14">
        <f t="shared" ref="F14:F17" si="4">STDEV(C7:E7)*15</f>
        <v>0.42901398578601158</v>
      </c>
      <c r="G14">
        <v>0.42901400000000001</v>
      </c>
    </row>
    <row r="15" spans="1:14">
      <c r="A15" s="3"/>
      <c r="B15" t="s">
        <v>8</v>
      </c>
      <c r="C15">
        <v>14.5</v>
      </c>
      <c r="D15">
        <v>16</v>
      </c>
      <c r="F15">
        <f t="shared" si="4"/>
        <v>4.9982496936427229E-2</v>
      </c>
      <c r="G15">
        <v>4.9981999999999999E-2</v>
      </c>
      <c r="H15">
        <f t="shared" ref="H15:H17" si="5">STDEV(J8:L8)*15</f>
        <v>9.4118276652306293E-2</v>
      </c>
      <c r="I15">
        <v>9.4117999999999993E-2</v>
      </c>
    </row>
    <row r="16" spans="1:14">
      <c r="B16" t="s">
        <v>7</v>
      </c>
      <c r="C16">
        <v>13.4</v>
      </c>
      <c r="D16">
        <v>15.9</v>
      </c>
      <c r="F16">
        <f t="shared" si="4"/>
        <v>0.33600446425605762</v>
      </c>
      <c r="G16">
        <v>0.33600400000000002</v>
      </c>
      <c r="H16">
        <f t="shared" si="5"/>
        <v>0.1132905556522691</v>
      </c>
      <c r="I16">
        <v>0.113291</v>
      </c>
    </row>
    <row r="17" spans="2:9">
      <c r="B17" t="s">
        <v>5</v>
      </c>
      <c r="C17">
        <v>13.9</v>
      </c>
      <c r="D17">
        <v>16.5</v>
      </c>
      <c r="F17">
        <f t="shared" si="4"/>
        <v>0.23371296498055083</v>
      </c>
      <c r="G17">
        <v>0.233713</v>
      </c>
      <c r="H17">
        <f t="shared" si="5"/>
        <v>0.19640455697361001</v>
      </c>
      <c r="I17">
        <v>0.196405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I34" sqref="I34"/>
    </sheetView>
  </sheetViews>
  <sheetFormatPr defaultRowHeight="13.5"/>
  <sheetData>
    <row r="1" spans="1:9">
      <c r="A1" t="s">
        <v>231</v>
      </c>
    </row>
    <row r="2" spans="1:9">
      <c r="A2" t="s">
        <v>230</v>
      </c>
    </row>
    <row r="3" spans="1:9">
      <c r="B3" t="s">
        <v>95</v>
      </c>
      <c r="D3" t="s">
        <v>96</v>
      </c>
    </row>
    <row r="4" spans="1:9">
      <c r="E4" t="s">
        <v>181</v>
      </c>
      <c r="G4" t="s">
        <v>220</v>
      </c>
    </row>
    <row r="5" spans="1:9">
      <c r="A5" t="s">
        <v>12</v>
      </c>
      <c r="B5">
        <v>3.6</v>
      </c>
      <c r="C5">
        <v>3.7</v>
      </c>
      <c r="D5">
        <v>3.4</v>
      </c>
      <c r="E5">
        <f>AVERAGE(B5:D5)</f>
        <v>3.5666666666666669</v>
      </c>
      <c r="F5">
        <f>E5/8</f>
        <v>0.44583333333333336</v>
      </c>
      <c r="G5">
        <f t="shared" ref="G5:G8" si="0">STDEV(B5:D5)/8</f>
        <v>1.9094065395647918E-2</v>
      </c>
      <c r="H5">
        <v>1.9094E-2</v>
      </c>
      <c r="I5" t="s">
        <v>241</v>
      </c>
    </row>
    <row r="6" spans="1:9">
      <c r="A6" t="s">
        <v>8</v>
      </c>
      <c r="B6">
        <v>4.8</v>
      </c>
      <c r="C6">
        <v>4.9000000000000004</v>
      </c>
      <c r="D6">
        <v>5.0999999999999996</v>
      </c>
      <c r="E6">
        <f t="shared" ref="E6:E16" si="1">AVERAGE(B6:D6)</f>
        <v>4.9333333333333327</v>
      </c>
      <c r="F6">
        <f>E6/8</f>
        <v>0.61666666666666659</v>
      </c>
      <c r="G6">
        <f t="shared" si="0"/>
        <v>1.9094065395652279E-2</v>
      </c>
      <c r="H6">
        <v>1.9094E-2</v>
      </c>
    </row>
    <row r="7" spans="1:9">
      <c r="A7" t="s">
        <v>5</v>
      </c>
      <c r="B7">
        <v>3</v>
      </c>
      <c r="C7">
        <v>2.8</v>
      </c>
      <c r="D7">
        <v>2.7</v>
      </c>
      <c r="E7">
        <f>AVERAGE(B7:D7)</f>
        <v>2.8333333333333335</v>
      </c>
      <c r="F7">
        <f>E7/8</f>
        <v>0.35416666666666669</v>
      </c>
      <c r="G7">
        <f t="shared" si="0"/>
        <v>1.90940653956501E-2</v>
      </c>
      <c r="H7">
        <v>1.9094E-2</v>
      </c>
    </row>
    <row r="8" spans="1:9">
      <c r="A8" t="s">
        <v>7</v>
      </c>
      <c r="B8">
        <v>3.5</v>
      </c>
      <c r="C8">
        <v>3.5</v>
      </c>
      <c r="D8">
        <v>3.6</v>
      </c>
      <c r="E8">
        <f>AVERAGE(B8:D8)</f>
        <v>3.5333333333333332</v>
      </c>
      <c r="F8">
        <f>E8/8</f>
        <v>0.44166666666666665</v>
      </c>
      <c r="G8">
        <f t="shared" si="0"/>
        <v>7.2168783648703288E-3</v>
      </c>
      <c r="H8">
        <v>7.2170000000000003E-3</v>
      </c>
    </row>
    <row r="9" spans="1:9">
      <c r="E9" t="s">
        <v>181</v>
      </c>
      <c r="G9" t="s">
        <v>220</v>
      </c>
    </row>
    <row r="10" spans="1:9">
      <c r="A10" t="s">
        <v>12</v>
      </c>
      <c r="B10">
        <v>5.0999999999999996</v>
      </c>
      <c r="C10">
        <v>5</v>
      </c>
      <c r="D10">
        <v>4.9000000000000004</v>
      </c>
      <c r="E10">
        <f t="shared" si="1"/>
        <v>5</v>
      </c>
      <c r="F10">
        <f t="shared" ref="F10:F15" si="2">E10/8</f>
        <v>0.625</v>
      </c>
      <c r="G10">
        <f>STDEV(B10:D10)/8</f>
        <v>1.2500000000003198E-2</v>
      </c>
      <c r="H10">
        <f t="shared" ref="H10" si="3">B10/8-F10</f>
        <v>1.2499999999999956E-2</v>
      </c>
      <c r="I10" t="s">
        <v>242</v>
      </c>
    </row>
    <row r="11" spans="1:9">
      <c r="A11" t="s">
        <v>8</v>
      </c>
      <c r="B11">
        <v>1.6</v>
      </c>
      <c r="C11">
        <v>1.6</v>
      </c>
      <c r="D11">
        <v>1.5</v>
      </c>
      <c r="E11">
        <f t="shared" si="1"/>
        <v>1.5666666666666667</v>
      </c>
      <c r="F11">
        <f>E11/2</f>
        <v>0.78333333333333333</v>
      </c>
      <c r="G11">
        <f t="shared" ref="G11:G18" si="4">STDEV(B11:D11)/8</f>
        <v>7.2168783648704051E-3</v>
      </c>
      <c r="H11">
        <v>7.2170000000000003E-3</v>
      </c>
    </row>
    <row r="12" spans="1:9">
      <c r="A12" t="s">
        <v>5</v>
      </c>
      <c r="B12">
        <v>6.6</v>
      </c>
      <c r="C12">
        <v>6.5</v>
      </c>
      <c r="D12">
        <v>6.7</v>
      </c>
      <c r="E12">
        <f>AVERAGE(B12:D12)</f>
        <v>6.6000000000000005</v>
      </c>
      <c r="F12">
        <f>E12/8</f>
        <v>0.82500000000000007</v>
      </c>
      <c r="G12">
        <f t="shared" si="4"/>
        <v>1.2499999999994316E-2</v>
      </c>
      <c r="H12">
        <f>D12/8-F12</f>
        <v>1.2499999999999956E-2</v>
      </c>
    </row>
    <row r="13" spans="1:9">
      <c r="A13" t="s">
        <v>7</v>
      </c>
      <c r="B13">
        <v>5.2</v>
      </c>
      <c r="C13">
        <v>5.3</v>
      </c>
      <c r="D13">
        <v>5.3</v>
      </c>
      <c r="E13">
        <f>AVERAGE(B13:D13)</f>
        <v>5.2666666666666666</v>
      </c>
      <c r="F13">
        <f>E13/8</f>
        <v>0.65833333333333333</v>
      </c>
      <c r="G13">
        <f t="shared" si="4"/>
        <v>7.2168783648702967E-3</v>
      </c>
      <c r="H13">
        <v>7.2170000000000003E-3</v>
      </c>
    </row>
    <row r="14" spans="1:9">
      <c r="E14" t="s">
        <v>181</v>
      </c>
      <c r="G14" t="s">
        <v>220</v>
      </c>
    </row>
    <row r="15" spans="1:9">
      <c r="A15" t="s">
        <v>12</v>
      </c>
      <c r="B15">
        <v>4.4000000000000004</v>
      </c>
      <c r="C15">
        <v>4.3</v>
      </c>
      <c r="D15">
        <v>4.3</v>
      </c>
      <c r="E15">
        <f t="shared" si="1"/>
        <v>4.333333333333333</v>
      </c>
      <c r="F15">
        <f t="shared" si="2"/>
        <v>0.54166666666666663</v>
      </c>
      <c r="G15">
        <f>STDEV(B15:D15)/8</f>
        <v>7.2168783648703608E-3</v>
      </c>
      <c r="H15">
        <v>7.2170000000000003E-3</v>
      </c>
      <c r="I15" t="s">
        <v>243</v>
      </c>
    </row>
    <row r="16" spans="1:9">
      <c r="A16" t="s">
        <v>8</v>
      </c>
      <c r="B16">
        <v>1.5</v>
      </c>
      <c r="C16">
        <v>1.4</v>
      </c>
      <c r="D16">
        <v>1.5</v>
      </c>
      <c r="E16">
        <f t="shared" si="1"/>
        <v>1.4666666666666668</v>
      </c>
      <c r="F16">
        <f>E16/2</f>
        <v>0.73333333333333339</v>
      </c>
      <c r="G16">
        <f>STDEV(B16:D16)/8</f>
        <v>7.2168783648699246E-3</v>
      </c>
      <c r="H16">
        <v>7.2170000000000003E-3</v>
      </c>
    </row>
    <row r="17" spans="1:8">
      <c r="A17" t="s">
        <v>5</v>
      </c>
      <c r="B17">
        <v>5.0999999999999996</v>
      </c>
      <c r="C17">
        <v>5.2</v>
      </c>
      <c r="D17">
        <v>5.0999999999999996</v>
      </c>
      <c r="E17">
        <f>AVERAGE(B17:D17)</f>
        <v>5.1333333333333337</v>
      </c>
      <c r="F17">
        <f>E17/8</f>
        <v>0.64166666666666672</v>
      </c>
      <c r="G17">
        <f t="shared" si="4"/>
        <v>7.2168783648703608E-3</v>
      </c>
      <c r="H17">
        <v>7.2170000000000003E-3</v>
      </c>
    </row>
    <row r="18" spans="1:8">
      <c r="A18" t="s">
        <v>7</v>
      </c>
      <c r="B18">
        <v>4.9000000000000004</v>
      </c>
      <c r="C18">
        <v>4.8</v>
      </c>
      <c r="D18">
        <v>4.9000000000000004</v>
      </c>
      <c r="E18">
        <f>AVERAGE(B18:D18)</f>
        <v>4.8666666666666663</v>
      </c>
      <c r="F18">
        <f>E18/8</f>
        <v>0.60833333333333328</v>
      </c>
      <c r="G18">
        <f t="shared" si="4"/>
        <v>7.2168783648703608E-3</v>
      </c>
      <c r="H18">
        <v>7.2170000000000003E-3</v>
      </c>
    </row>
    <row r="19" spans="1:8">
      <c r="C19" t="s">
        <v>244</v>
      </c>
      <c r="D19" t="s">
        <v>245</v>
      </c>
      <c r="E19" t="s">
        <v>243</v>
      </c>
    </row>
    <row r="20" spans="1:8">
      <c r="B20" t="s">
        <v>12</v>
      </c>
      <c r="C20">
        <v>0.44600000000000001</v>
      </c>
      <c r="D20">
        <v>0.54200000000000004</v>
      </c>
      <c r="E20">
        <v>0.625</v>
      </c>
    </row>
    <row r="21" spans="1:8">
      <c r="B21" t="s">
        <v>8</v>
      </c>
      <c r="C21">
        <v>0.61599999999999999</v>
      </c>
      <c r="D21">
        <v>0.73</v>
      </c>
      <c r="E21">
        <v>0.78</v>
      </c>
    </row>
    <row r="22" spans="1:8">
      <c r="B22" t="s">
        <v>5</v>
      </c>
      <c r="C22">
        <v>0.35399999999999998</v>
      </c>
      <c r="D22">
        <v>0.64200000000000002</v>
      </c>
      <c r="E22">
        <v>0.82499999999999996</v>
      </c>
    </row>
    <row r="23" spans="1:8">
      <c r="B23" t="s">
        <v>7</v>
      </c>
      <c r="C23">
        <v>0.442</v>
      </c>
      <c r="D23">
        <v>0.60799999999999998</v>
      </c>
      <c r="E23">
        <v>0.65800000000000003</v>
      </c>
    </row>
    <row r="43" spans="1:1" ht="14.25">
      <c r="A43" s="1"/>
    </row>
  </sheetData>
  <phoneticPr fontId="1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50"/>
  <sheetViews>
    <sheetView workbookViewId="0">
      <selection activeCell="U27" sqref="U27"/>
    </sheetView>
  </sheetViews>
  <sheetFormatPr defaultRowHeight="13.5"/>
  <sheetData>
    <row r="1" spans="1:15">
      <c r="A1" t="s">
        <v>232</v>
      </c>
    </row>
    <row r="2" spans="1:15">
      <c r="A2" t="s">
        <v>233</v>
      </c>
    </row>
    <row r="3" spans="1:15">
      <c r="A3" s="7"/>
      <c r="B3" s="7" t="s">
        <v>39</v>
      </c>
      <c r="C3" s="7"/>
      <c r="D3" s="7" t="s">
        <v>40</v>
      </c>
      <c r="E3" s="7"/>
      <c r="F3" s="7"/>
      <c r="G3" s="7" t="s">
        <v>41</v>
      </c>
      <c r="H3" s="7" t="s">
        <v>42</v>
      </c>
      <c r="I3" s="7" t="s">
        <v>43</v>
      </c>
      <c r="J3" s="7"/>
      <c r="K3" s="7" t="s">
        <v>153</v>
      </c>
      <c r="L3" s="7" t="s">
        <v>177</v>
      </c>
      <c r="M3" s="7"/>
      <c r="N3" s="7"/>
      <c r="O3" s="7"/>
    </row>
    <row r="4" spans="1:15" ht="14.25">
      <c r="A4" s="8" t="s">
        <v>44</v>
      </c>
      <c r="B4">
        <v>0.1837</v>
      </c>
      <c r="C4" s="7">
        <f>B4-0.0536</f>
        <v>0.13009999999999999</v>
      </c>
      <c r="D4">
        <v>0.1118</v>
      </c>
      <c r="E4" s="8">
        <f t="shared" ref="E4:E10" si="0">D4-0.0536</f>
        <v>5.8199999999999995E-2</v>
      </c>
      <c r="F4" s="7"/>
      <c r="G4" s="7">
        <f>13.95*C4-6.88*E4</f>
        <v>1.414479</v>
      </c>
      <c r="H4" s="7">
        <f>24.96*E4-7.32*C4</f>
        <v>0.50034000000000001</v>
      </c>
      <c r="I4" s="7">
        <f>G4+H4</f>
        <v>1.914819</v>
      </c>
      <c r="J4" s="7">
        <f>1000*I4/0.446/24</f>
        <v>178.8881726457399</v>
      </c>
      <c r="K4" s="7">
        <f>AVERAGE(J4:J6)</f>
        <v>177.69263826606877</v>
      </c>
      <c r="L4" s="7">
        <f>STDEV(J4:J6)</f>
        <v>1.1129302680202289</v>
      </c>
      <c r="M4" s="7"/>
      <c r="N4" s="7"/>
      <c r="O4" s="7"/>
    </row>
    <row r="5" spans="1:15" ht="14.25">
      <c r="A5" s="7"/>
      <c r="B5">
        <v>0.18260000000000001</v>
      </c>
      <c r="C5" s="7">
        <f>B5-0.0536</f>
        <v>0.129</v>
      </c>
      <c r="D5">
        <v>0.1109</v>
      </c>
      <c r="E5" s="8">
        <f t="shared" si="0"/>
        <v>5.7299999999999997E-2</v>
      </c>
      <c r="F5" s="7"/>
      <c r="G5" s="7">
        <f>13.95*C5-6.88*E5</f>
        <v>1.4053260000000001</v>
      </c>
      <c r="H5" s="7">
        <f>24.96*E5-7.32*C5</f>
        <v>0.48592799999999992</v>
      </c>
      <c r="I5" s="7">
        <f>G5+H5</f>
        <v>1.891254</v>
      </c>
      <c r="J5" s="7">
        <f>1000*I5/0.446/24</f>
        <v>176.68665919282512</v>
      </c>
      <c r="K5" s="7"/>
      <c r="L5" s="7"/>
      <c r="M5" s="7"/>
      <c r="N5" s="7"/>
      <c r="O5" s="7"/>
    </row>
    <row r="6" spans="1:15" ht="14.25">
      <c r="A6" s="7"/>
      <c r="B6">
        <v>0.18310000000000001</v>
      </c>
      <c r="C6" s="7">
        <f>B6-0.0536</f>
        <v>0.1295</v>
      </c>
      <c r="D6">
        <v>0.11119999999999999</v>
      </c>
      <c r="E6" s="8">
        <f t="shared" si="0"/>
        <v>5.7599999999999991E-2</v>
      </c>
      <c r="F6" s="7"/>
      <c r="G6" s="7">
        <f>13.95*C6-6.88*E6</f>
        <v>1.410237</v>
      </c>
      <c r="H6" s="7">
        <f>24.96*E6-7.32*C6</f>
        <v>0.48975599999999975</v>
      </c>
      <c r="I6" s="7">
        <f>G6+H6</f>
        <v>1.8999929999999998</v>
      </c>
      <c r="J6" s="7">
        <f>1000*I6/0.446/24</f>
        <v>177.50308295964123</v>
      </c>
      <c r="K6" s="7"/>
      <c r="L6" s="7"/>
      <c r="M6" s="7"/>
      <c r="N6" s="7"/>
      <c r="O6" s="7"/>
    </row>
    <row r="7" spans="1:15" ht="14.25">
      <c r="A7" s="8" t="s">
        <v>45</v>
      </c>
      <c r="B7">
        <v>0.25030000000000002</v>
      </c>
      <c r="C7" s="7">
        <f>B7-0.0536</f>
        <v>0.19670000000000001</v>
      </c>
      <c r="D7">
        <v>0.13450000000000001</v>
      </c>
      <c r="E7" s="8">
        <f t="shared" si="0"/>
        <v>8.09E-2</v>
      </c>
      <c r="F7" s="7"/>
      <c r="G7" s="7">
        <f>13.95*C7-6.88*E7</f>
        <v>2.187373</v>
      </c>
      <c r="H7" s="7">
        <f>24.96*E7-7.32*C7</f>
        <v>0.57942000000000005</v>
      </c>
      <c r="I7" s="7">
        <f>G7+H7</f>
        <v>2.7667929999999998</v>
      </c>
      <c r="J7" s="7">
        <f>1000*I7/0.542/22</f>
        <v>232.03564240187853</v>
      </c>
      <c r="K7" s="7">
        <f>AVERAGE(J7:J9)</f>
        <v>232.90668679414065</v>
      </c>
      <c r="L7" s="7">
        <f>STDEV(J7:J9)</f>
        <v>0.94770337567183127</v>
      </c>
      <c r="M7" s="7"/>
      <c r="N7" s="7"/>
      <c r="O7" s="7"/>
    </row>
    <row r="8" spans="1:15" ht="14.25">
      <c r="A8" s="8"/>
      <c r="B8">
        <v>0.2515</v>
      </c>
      <c r="C8" s="7">
        <f>B8-0.0536</f>
        <v>0.19789999999999999</v>
      </c>
      <c r="D8">
        <v>0.1353</v>
      </c>
      <c r="E8" s="8">
        <f t="shared" si="0"/>
        <v>8.1699999999999995E-2</v>
      </c>
      <c r="F8" s="7"/>
      <c r="G8" s="7">
        <f>13.95*C8-6.88*E8</f>
        <v>2.1986089999999998</v>
      </c>
      <c r="H8" s="7">
        <f>24.96*E8-7.32*C8</f>
        <v>0.59060400000000013</v>
      </c>
      <c r="I8" s="7">
        <f>G8+H8</f>
        <v>2.7892130000000002</v>
      </c>
      <c r="J8" s="7">
        <f>1000*I8/0.542/22</f>
        <v>233.91588393156661</v>
      </c>
      <c r="K8" s="7"/>
      <c r="L8" s="7"/>
      <c r="M8" s="7"/>
      <c r="N8" s="7"/>
      <c r="O8" s="7"/>
    </row>
    <row r="9" spans="1:15" ht="14.25">
      <c r="A9" s="8"/>
      <c r="B9">
        <v>0.25080000000000002</v>
      </c>
      <c r="C9" s="7">
        <f>B9-0.0536</f>
        <v>0.19720000000000001</v>
      </c>
      <c r="D9">
        <v>0.1348</v>
      </c>
      <c r="E9" s="8">
        <f t="shared" si="0"/>
        <v>8.1199999999999994E-2</v>
      </c>
      <c r="F9" s="7"/>
      <c r="G9" s="7">
        <f>13.95*C9-6.88*E9</f>
        <v>2.1922839999999999</v>
      </c>
      <c r="H9" s="7">
        <f>24.96*E9-7.32*C9</f>
        <v>0.58324799999999999</v>
      </c>
      <c r="I9" s="7">
        <f>G9+H9</f>
        <v>2.7755320000000001</v>
      </c>
      <c r="J9" s="7">
        <f>1000*I9/0.542/22</f>
        <v>232.76853404897685</v>
      </c>
      <c r="K9" s="7"/>
      <c r="L9" s="7"/>
      <c r="M9" s="7"/>
      <c r="N9" s="7"/>
      <c r="O9" s="7"/>
    </row>
    <row r="10" spans="1:15" ht="14.25">
      <c r="A10" s="8" t="s">
        <v>46</v>
      </c>
      <c r="B10">
        <v>0.2959</v>
      </c>
      <c r="C10" s="7">
        <f>B10-0.0536</f>
        <v>0.24229999999999999</v>
      </c>
      <c r="D10">
        <v>0.16839999999999999</v>
      </c>
      <c r="E10" s="7">
        <f t="shared" si="0"/>
        <v>0.11479999999999999</v>
      </c>
      <c r="F10" s="7"/>
      <c r="G10" s="7">
        <f>13.95*C10-6.88*E10</f>
        <v>2.5902609999999999</v>
      </c>
      <c r="H10" s="7">
        <f>24.96*E10-7.32*C10</f>
        <v>1.091772</v>
      </c>
      <c r="I10" s="7">
        <f>G10+H10</f>
        <v>3.6820329999999997</v>
      </c>
      <c r="J10" s="7">
        <f>1000*I10/0.625/22</f>
        <v>267.78421818181818</v>
      </c>
      <c r="K10" s="7">
        <f>AVERAGE(J10:J12)</f>
        <v>268.51912727272725</v>
      </c>
      <c r="L10" s="7">
        <f>STDEV(J10:J12)</f>
        <v>0.70371963235490198</v>
      </c>
      <c r="M10" s="7"/>
      <c r="N10" s="7"/>
      <c r="O10" s="7"/>
    </row>
    <row r="11" spans="1:15" ht="14.25">
      <c r="A11" s="8"/>
      <c r="B11">
        <v>0.29620000000000002</v>
      </c>
      <c r="C11" s="7">
        <f>B11-0.0536</f>
        <v>0.24260000000000001</v>
      </c>
      <c r="D11">
        <v>0.16889999999999999</v>
      </c>
      <c r="E11" s="7">
        <f>D11-0.0536</f>
        <v>0.11529999999999999</v>
      </c>
      <c r="F11" s="7"/>
      <c r="G11" s="7">
        <f>13.95*C11-6.88*E11</f>
        <v>2.5910060000000001</v>
      </c>
      <c r="H11" s="7">
        <f>24.96*E11-7.32*C11</f>
        <v>1.1020559999999995</v>
      </c>
      <c r="I11" s="7">
        <f>G11+H11</f>
        <v>3.6930619999999994</v>
      </c>
      <c r="J11" s="7">
        <f>1000*I11/0.625/22</f>
        <v>268.5863272727272</v>
      </c>
      <c r="K11" s="7"/>
      <c r="L11" s="7"/>
      <c r="M11" s="7"/>
      <c r="N11" s="7"/>
      <c r="O11" s="7"/>
    </row>
    <row r="12" spans="1:15" ht="14.25">
      <c r="A12" s="8"/>
      <c r="B12">
        <v>0.2969</v>
      </c>
      <c r="C12" s="7">
        <f>B12-0.0536</f>
        <v>0.24329999999999999</v>
      </c>
      <c r="D12">
        <v>0.1691</v>
      </c>
      <c r="E12" s="7">
        <f>D12-0.0536</f>
        <v>0.11549999999999999</v>
      </c>
      <c r="F12" s="7"/>
      <c r="G12" s="7">
        <f>13.95*C12-6.88*E12</f>
        <v>2.5993949999999999</v>
      </c>
      <c r="H12" s="7">
        <f>24.96*E12-7.32*C12</f>
        <v>1.1019240000000001</v>
      </c>
      <c r="I12" s="7">
        <f>G12+H12</f>
        <v>3.7013189999999998</v>
      </c>
      <c r="J12" s="7">
        <f>1000*I12/0.625/22</f>
        <v>269.18683636363636</v>
      </c>
      <c r="K12" s="7"/>
      <c r="L12" s="7"/>
      <c r="M12" s="7"/>
      <c r="N12" s="7"/>
      <c r="O12" s="7"/>
    </row>
    <row r="13" spans="1:15" ht="14.25">
      <c r="A13" s="8" t="s">
        <v>47</v>
      </c>
      <c r="B13">
        <v>0.1706</v>
      </c>
      <c r="C13" s="7">
        <f>B13-0.0536</f>
        <v>0.11699999999999999</v>
      </c>
      <c r="D13">
        <v>0.1038</v>
      </c>
      <c r="E13" s="7">
        <f>D13-0.0536</f>
        <v>5.0200000000000002E-2</v>
      </c>
      <c r="F13" s="7"/>
      <c r="G13" s="7">
        <f>13.95*C13-6.88*E13</f>
        <v>1.2867739999999999</v>
      </c>
      <c r="H13" s="7">
        <f>24.96*E13-7.32*C13</f>
        <v>0.39655200000000013</v>
      </c>
      <c r="I13" s="7">
        <f>G13+H13</f>
        <v>1.6833260000000001</v>
      </c>
      <c r="J13" s="7">
        <f>1000*I13/0.354/24</f>
        <v>198.13159133709982</v>
      </c>
      <c r="K13" s="7">
        <f>AVERAGE(J13:J15)</f>
        <v>198.31838512241052</v>
      </c>
      <c r="L13" s="7">
        <f>STDEV(J13:J15)</f>
        <v>1.4525974154364441</v>
      </c>
      <c r="M13" s="7"/>
      <c r="N13" s="7"/>
      <c r="O13" s="7"/>
    </row>
    <row r="14" spans="1:15" ht="14.25">
      <c r="A14" s="8"/>
      <c r="B14">
        <v>0.17019999999999999</v>
      </c>
      <c r="C14" s="7">
        <f>B14-0.0536</f>
        <v>0.11659999999999998</v>
      </c>
      <c r="D14">
        <v>0.10340000000000001</v>
      </c>
      <c r="E14" s="7">
        <f>D14-0.0536</f>
        <v>4.9800000000000004E-2</v>
      </c>
      <c r="F14" s="7"/>
      <c r="G14" s="7">
        <f>13.95*C14-6.88*E14</f>
        <v>1.2839459999999996</v>
      </c>
      <c r="H14" s="7">
        <f>24.96*E14-7.32*C14</f>
        <v>0.38949600000000018</v>
      </c>
      <c r="I14" s="7">
        <f>G14+H14</f>
        <v>1.6734419999999997</v>
      </c>
      <c r="J14" s="7">
        <f>1000*I14/0.354/24</f>
        <v>196.968220338983</v>
      </c>
      <c r="K14" s="7"/>
      <c r="L14" s="7"/>
      <c r="M14" s="7"/>
      <c r="N14" s="7"/>
      <c r="O14" s="7"/>
    </row>
    <row r="15" spans="1:15" ht="14.25">
      <c r="A15" s="8"/>
      <c r="B15">
        <v>0.1709</v>
      </c>
      <c r="C15" s="7">
        <f>B15-0.0536</f>
        <v>0.11729999999999999</v>
      </c>
      <c r="D15">
        <v>0.1045</v>
      </c>
      <c r="E15" s="7">
        <f>D15-0.0536</f>
        <v>5.0899999999999994E-2</v>
      </c>
      <c r="F15" s="7"/>
      <c r="G15" s="7">
        <f>13.95*C15-6.88*E15</f>
        <v>1.2861429999999996</v>
      </c>
      <c r="H15" s="7">
        <f>24.96*E15-7.32*C15</f>
        <v>0.41182799999999986</v>
      </c>
      <c r="I15" s="7">
        <f>G15+H15</f>
        <v>1.6979709999999995</v>
      </c>
      <c r="J15" s="7">
        <f>1000*I15/0.354/24</f>
        <v>199.85534369114873</v>
      </c>
      <c r="K15" s="7"/>
      <c r="L15" s="7"/>
      <c r="M15" s="7"/>
      <c r="N15" s="7"/>
      <c r="O15" s="7"/>
    </row>
    <row r="16" spans="1:15" ht="14.25">
      <c r="A16" s="8" t="s">
        <v>132</v>
      </c>
      <c r="B16">
        <v>0.37109999999999999</v>
      </c>
      <c r="C16" s="7">
        <f t="shared" ref="C16:C18" si="1">B16-0.0536</f>
        <v>0.3175</v>
      </c>
      <c r="D16">
        <v>0.17169999999999999</v>
      </c>
      <c r="E16" s="7">
        <f t="shared" ref="E16:E21" si="2">D16-0.0536</f>
        <v>0.11809999999999998</v>
      </c>
      <c r="F16" s="7"/>
      <c r="G16" s="7">
        <f t="shared" ref="G16:G21" si="3">13.95*C16-6.88*E16</f>
        <v>3.6165970000000001</v>
      </c>
      <c r="H16" s="7">
        <f t="shared" ref="H16:H21" si="4">24.96*E16-7.32*C16</f>
        <v>0.62367599999999968</v>
      </c>
      <c r="I16" s="7">
        <f t="shared" ref="I16:I21" si="5">G16+H16</f>
        <v>4.2402730000000002</v>
      </c>
      <c r="J16" s="7">
        <f>1000*I16/0.642/24</f>
        <v>275.19944184839045</v>
      </c>
      <c r="K16" s="7">
        <f>AVERAGE(J16:J18)</f>
        <v>275.55414935964001</v>
      </c>
      <c r="L16" s="7">
        <f>STDEV(J16:J18)</f>
        <v>1.247083332528748</v>
      </c>
      <c r="M16" s="7"/>
      <c r="N16" s="7"/>
      <c r="O16" s="7"/>
    </row>
    <row r="17" spans="1:15" ht="14.25">
      <c r="A17" s="8"/>
      <c r="B17">
        <v>0.37280000000000002</v>
      </c>
      <c r="C17" s="7">
        <f t="shared" si="1"/>
        <v>0.31920000000000004</v>
      </c>
      <c r="D17">
        <v>0.17050000000000001</v>
      </c>
      <c r="E17" s="7">
        <f t="shared" si="2"/>
        <v>0.1169</v>
      </c>
      <c r="F17" s="7"/>
      <c r="G17" s="7">
        <f t="shared" si="3"/>
        <v>3.648568</v>
      </c>
      <c r="H17" s="7">
        <f t="shared" si="4"/>
        <v>0.58128000000000002</v>
      </c>
      <c r="I17" s="7">
        <f t="shared" si="5"/>
        <v>4.2298480000000005</v>
      </c>
      <c r="J17" s="7">
        <f>1000*I17/0.642/24</f>
        <v>274.52284527518174</v>
      </c>
      <c r="K17" s="7"/>
      <c r="L17" s="7"/>
      <c r="M17" s="7"/>
      <c r="N17" s="7"/>
      <c r="O17" s="7"/>
    </row>
    <row r="18" spans="1:15" ht="14.25">
      <c r="A18" s="8"/>
      <c r="B18">
        <v>0.37459999999999999</v>
      </c>
      <c r="C18" s="7">
        <f t="shared" si="1"/>
        <v>0.32100000000000001</v>
      </c>
      <c r="D18">
        <v>0.1719</v>
      </c>
      <c r="E18" s="7">
        <f t="shared" si="2"/>
        <v>0.11829999999999999</v>
      </c>
      <c r="F18" s="7"/>
      <c r="G18" s="7">
        <f t="shared" si="3"/>
        <v>3.6640459999999999</v>
      </c>
      <c r="H18" s="7">
        <f t="shared" si="4"/>
        <v>0.60304799999999981</v>
      </c>
      <c r="I18" s="7">
        <f t="shared" si="5"/>
        <v>4.2670940000000002</v>
      </c>
      <c r="J18" s="7">
        <f>1000*I18/0.642/24</f>
        <v>276.94016095534784</v>
      </c>
      <c r="K18" s="7"/>
      <c r="L18" s="7"/>
      <c r="M18" s="7"/>
      <c r="N18" s="7"/>
      <c r="O18" s="7"/>
    </row>
    <row r="19" spans="1:15" ht="14.25">
      <c r="A19" s="8" t="s">
        <v>133</v>
      </c>
      <c r="B19">
        <v>0.41389999999999999</v>
      </c>
      <c r="C19" s="7">
        <f>B19-0.07356</f>
        <v>0.34033999999999998</v>
      </c>
      <c r="D19">
        <v>0.20030000000000001</v>
      </c>
      <c r="E19" s="7">
        <f t="shared" si="2"/>
        <v>0.1467</v>
      </c>
      <c r="F19" s="7"/>
      <c r="G19" s="7">
        <f t="shared" si="3"/>
        <v>3.7384469999999999</v>
      </c>
      <c r="H19" s="7">
        <f t="shared" si="4"/>
        <v>1.1703432</v>
      </c>
      <c r="I19" s="7">
        <f t="shared" si="5"/>
        <v>4.9087902000000003</v>
      </c>
      <c r="J19" s="7">
        <f>1000*I19/0.825/20</f>
        <v>297.50243636363638</v>
      </c>
      <c r="K19" s="7">
        <f>AVERAGE(J19:J21)</f>
        <v>298.15746666666666</v>
      </c>
      <c r="L19" s="7">
        <f>STDEV(J19:J21)</f>
        <v>1.8218983601003182</v>
      </c>
      <c r="M19" s="7"/>
      <c r="N19" s="7"/>
      <c r="O19" s="7"/>
    </row>
    <row r="20" spans="1:15" ht="14.25">
      <c r="A20" s="8"/>
      <c r="B20">
        <v>0.41520000000000001</v>
      </c>
      <c r="C20" s="7">
        <f>B20-0.07356</f>
        <v>0.34164</v>
      </c>
      <c r="D20">
        <v>0.20230000000000001</v>
      </c>
      <c r="E20" s="7">
        <f t="shared" si="2"/>
        <v>0.1487</v>
      </c>
      <c r="F20" s="7"/>
      <c r="G20" s="7">
        <f t="shared" si="3"/>
        <v>3.7428219999999999</v>
      </c>
      <c r="H20" s="7">
        <f t="shared" si="4"/>
        <v>1.2107472000000001</v>
      </c>
      <c r="I20" s="7">
        <f t="shared" si="5"/>
        <v>4.9535692000000004</v>
      </c>
      <c r="J20" s="7">
        <f>1000*I20/0.825/20</f>
        <v>300.21631515151523</v>
      </c>
      <c r="K20" s="7"/>
      <c r="L20" s="7"/>
      <c r="M20" s="7"/>
      <c r="N20" s="7"/>
      <c r="O20" s="7"/>
    </row>
    <row r="21" spans="1:15" ht="14.25">
      <c r="A21" s="8"/>
      <c r="B21">
        <v>0.41339999999999999</v>
      </c>
      <c r="C21" s="7">
        <f>B21-0.07356</f>
        <v>0.33983999999999998</v>
      </c>
      <c r="D21">
        <v>0.19980000000000001</v>
      </c>
      <c r="E21" s="7">
        <f t="shared" si="2"/>
        <v>0.1462</v>
      </c>
      <c r="F21" s="7"/>
      <c r="G21" s="7">
        <f t="shared" si="3"/>
        <v>3.7349119999999996</v>
      </c>
      <c r="H21" s="7">
        <f t="shared" si="4"/>
        <v>1.1615232</v>
      </c>
      <c r="I21" s="7">
        <f t="shared" si="5"/>
        <v>4.8964351999999991</v>
      </c>
      <c r="J21" s="7">
        <f>1000*I21/0.825/20</f>
        <v>296.75364848484844</v>
      </c>
      <c r="K21" s="7"/>
      <c r="L21" s="7"/>
      <c r="M21" s="7"/>
      <c r="N21" s="7"/>
      <c r="O21" s="7"/>
    </row>
    <row r="22" spans="1:15" ht="14.25">
      <c r="A22" s="8" t="s">
        <v>48</v>
      </c>
      <c r="B22">
        <v>0.29759999999999998</v>
      </c>
      <c r="C22" s="7">
        <f>B22-0.0536</f>
        <v>0.24399999999999997</v>
      </c>
      <c r="D22">
        <v>0.1585</v>
      </c>
      <c r="E22" s="7">
        <f>D22-0.0536</f>
        <v>0.10489999999999999</v>
      </c>
      <c r="F22" s="7"/>
      <c r="G22" s="7">
        <f>13.95*C22-6.88*E22</f>
        <v>2.6820879999999994</v>
      </c>
      <c r="H22" s="7">
        <f>24.96*E22-7.32*C22</f>
        <v>0.83222399999999985</v>
      </c>
      <c r="I22" s="7">
        <f>G22+H22</f>
        <v>3.5143119999999994</v>
      </c>
      <c r="J22" s="7">
        <f>1000*I22/0.616/24</f>
        <v>237.71049783549779</v>
      </c>
      <c r="K22" s="7">
        <f>AVERAGE(J22:J24)</f>
        <v>237.39254148629144</v>
      </c>
      <c r="L22" s="7">
        <f>STDEV(J22:J24)</f>
        <v>1.758302177849502</v>
      </c>
      <c r="M22" s="7"/>
      <c r="N22" s="7"/>
      <c r="O22" s="7"/>
    </row>
    <row r="23" spans="1:15" ht="14.25">
      <c r="A23" s="8"/>
      <c r="B23">
        <v>0.29730000000000001</v>
      </c>
      <c r="C23" s="7">
        <f>B23-0.0536</f>
        <v>0.2437</v>
      </c>
      <c r="D23">
        <v>0.15679999999999999</v>
      </c>
      <c r="E23" s="7">
        <f>D23-0.0536</f>
        <v>0.10319999999999999</v>
      </c>
      <c r="F23" s="7"/>
      <c r="G23" s="7">
        <f>13.95*C23-6.88*E23</f>
        <v>2.6895989999999999</v>
      </c>
      <c r="H23" s="7">
        <f>24.96*E23-7.32*C23</f>
        <v>0.79198799999999991</v>
      </c>
      <c r="I23" s="7">
        <f>G23+H23</f>
        <v>3.4815869999999998</v>
      </c>
      <c r="J23" s="7">
        <f>1000*I23/0.616/24</f>
        <v>235.49695616883116</v>
      </c>
      <c r="K23" s="7"/>
      <c r="L23" s="7"/>
      <c r="M23" s="7"/>
      <c r="N23" s="7"/>
      <c r="O23" s="7"/>
    </row>
    <row r="24" spans="1:15" ht="14.25">
      <c r="A24" s="8"/>
      <c r="B24">
        <v>0.29849999999999999</v>
      </c>
      <c r="C24" s="7">
        <f>B24-0.0536</f>
        <v>0.24489999999999998</v>
      </c>
      <c r="D24">
        <v>0.15920000000000001</v>
      </c>
      <c r="E24" s="7">
        <f>D24-0.0536</f>
        <v>0.1056</v>
      </c>
      <c r="F24" s="7"/>
      <c r="G24" s="7">
        <f>13.95*C24-6.88*E24</f>
        <v>2.6898269999999993</v>
      </c>
      <c r="H24" s="7">
        <f>24.96*E24-7.32*C24</f>
        <v>0.84310799999999997</v>
      </c>
      <c r="I24" s="7">
        <f>G24+H24</f>
        <v>3.5329349999999993</v>
      </c>
      <c r="J24" s="7">
        <f>1000*I24/0.616/24</f>
        <v>238.97017045454541</v>
      </c>
      <c r="K24" s="7"/>
      <c r="L24" s="7"/>
      <c r="M24" s="7"/>
      <c r="N24" s="7"/>
      <c r="O24" s="7"/>
    </row>
    <row r="25" spans="1:15" ht="14.25">
      <c r="A25" s="8" t="s">
        <v>49</v>
      </c>
      <c r="B25">
        <v>0.34439999999999998</v>
      </c>
      <c r="C25" s="7">
        <f>B25-0.0536</f>
        <v>0.2908</v>
      </c>
      <c r="D25">
        <v>0.1792</v>
      </c>
      <c r="E25" s="7">
        <f>D25-0.0536</f>
        <v>0.12559999999999999</v>
      </c>
      <c r="F25" s="7"/>
      <c r="G25" s="7">
        <f>13.95*C25-6.88*E25</f>
        <v>3.1925319999999999</v>
      </c>
      <c r="H25" s="7">
        <f>24.96*E25-7.32*C25</f>
        <v>1.0063199999999997</v>
      </c>
      <c r="I25" s="7">
        <f>G25+H25</f>
        <v>4.1988519999999996</v>
      </c>
      <c r="J25" s="7">
        <f>1000*I25/0.73/20</f>
        <v>287.59260273972603</v>
      </c>
      <c r="K25" s="7">
        <f>AVERAGE(J25:J27)</f>
        <v>288.65488584474883</v>
      </c>
      <c r="L25" s="7">
        <f>STDEV(J25:J27)</f>
        <v>1.1773941709781504</v>
      </c>
      <c r="M25" s="7"/>
      <c r="N25" s="7"/>
      <c r="O25" s="7"/>
    </row>
    <row r="26" spans="1:15" ht="14.25">
      <c r="A26" s="8"/>
      <c r="B26">
        <v>0.3468</v>
      </c>
      <c r="C26" s="7">
        <f>B26-0.0536</f>
        <v>0.29320000000000002</v>
      </c>
      <c r="D26">
        <v>0.1802</v>
      </c>
      <c r="E26" s="7">
        <f>D26-0.0536</f>
        <v>0.12659999999999999</v>
      </c>
      <c r="F26" s="7"/>
      <c r="G26" s="7">
        <f>13.95*C26-6.88*E26</f>
        <v>3.2191320000000001</v>
      </c>
      <c r="H26" s="7">
        <f>24.96*E26-7.32*C26</f>
        <v>1.0137119999999999</v>
      </c>
      <c r="I26" s="7">
        <f>G26+H26</f>
        <v>4.2328440000000001</v>
      </c>
      <c r="J26" s="7">
        <f>1000*I26/0.73/20</f>
        <v>289.92082191780821</v>
      </c>
      <c r="K26" s="7"/>
      <c r="L26" s="7"/>
      <c r="M26" s="7"/>
      <c r="N26" s="7"/>
      <c r="O26" s="7"/>
    </row>
    <row r="27" spans="1:15" ht="14.25">
      <c r="A27" s="8"/>
      <c r="B27">
        <v>0.34520000000000001</v>
      </c>
      <c r="C27" s="7">
        <f>B27-0.0536</f>
        <v>0.29160000000000003</v>
      </c>
      <c r="D27">
        <v>0.17960000000000001</v>
      </c>
      <c r="E27" s="7">
        <f>D27-0.0536</f>
        <v>0.126</v>
      </c>
      <c r="F27" s="7"/>
      <c r="G27" s="7">
        <f>13.95*C27-6.88*E27</f>
        <v>3.2009400000000001</v>
      </c>
      <c r="H27" s="7">
        <f>24.96*E27-7.32*C27</f>
        <v>1.0104479999999998</v>
      </c>
      <c r="I27" s="7">
        <f>G27+H27</f>
        <v>4.2113879999999995</v>
      </c>
      <c r="J27" s="7">
        <f>1000*I27/0.73/20</f>
        <v>288.45123287671225</v>
      </c>
      <c r="K27" s="7"/>
      <c r="L27" s="7"/>
      <c r="M27" s="7"/>
      <c r="N27" s="7"/>
      <c r="O27" s="7"/>
    </row>
    <row r="28" spans="1:15" ht="14.25">
      <c r="A28" s="8" t="s">
        <v>50</v>
      </c>
      <c r="B28">
        <v>0.1825</v>
      </c>
      <c r="C28" s="7">
        <f>B28-0.0536</f>
        <v>0.12889999999999999</v>
      </c>
      <c r="D28">
        <v>0.1094</v>
      </c>
      <c r="E28" s="7">
        <f>D28-0.0536</f>
        <v>5.5799999999999995E-2</v>
      </c>
      <c r="F28" s="7"/>
      <c r="G28" s="7">
        <f>13.95*C28-6.88*E28</f>
        <v>1.4142509999999997</v>
      </c>
      <c r="H28" s="7">
        <f>24.96*E28-7.32*C28</f>
        <v>0.44922000000000006</v>
      </c>
      <c r="I28" s="7">
        <f>G28+H28</f>
        <v>1.8634709999999997</v>
      </c>
      <c r="J28" s="7">
        <f>1000*I28/0.39/16</f>
        <v>298.63317307692301</v>
      </c>
      <c r="K28" s="7">
        <f>AVERAGE(J28:J30)</f>
        <v>297.96992521367514</v>
      </c>
      <c r="L28" s="7">
        <f>STDEV(J28:J30)</f>
        <v>1.0098685876823605</v>
      </c>
      <c r="M28" s="7"/>
      <c r="N28" s="7"/>
      <c r="O28" s="7"/>
    </row>
    <row r="29" spans="1:15" ht="14.25">
      <c r="A29" s="8"/>
      <c r="B29">
        <v>0.18179999999999999</v>
      </c>
      <c r="C29" s="7">
        <f>B29-0.0536</f>
        <v>0.12819999999999998</v>
      </c>
      <c r="D29">
        <v>0.1096</v>
      </c>
      <c r="E29" s="7">
        <f>D29-0.0536</f>
        <v>5.6000000000000001E-2</v>
      </c>
      <c r="F29" s="7"/>
      <c r="G29" s="7">
        <f>13.95*C29-6.88*E29</f>
        <v>1.4031099999999996</v>
      </c>
      <c r="H29" s="7">
        <f>24.96*E29-7.32*C29</f>
        <v>0.45933600000000019</v>
      </c>
      <c r="I29" s="7">
        <f>G29+H29</f>
        <v>1.8624459999999998</v>
      </c>
      <c r="J29" s="7">
        <f>1000*I29/0.39/16</f>
        <v>298.46891025641025</v>
      </c>
      <c r="K29" s="7"/>
      <c r="L29" s="7"/>
      <c r="M29" s="7"/>
      <c r="N29" s="7"/>
      <c r="O29" s="7"/>
    </row>
    <row r="30" spans="1:15" ht="14.25">
      <c r="A30" s="8"/>
      <c r="B30">
        <v>0.18160000000000001</v>
      </c>
      <c r="C30" s="7">
        <f>B30-0.0536</f>
        <v>0.128</v>
      </c>
      <c r="D30">
        <v>0.1091</v>
      </c>
      <c r="E30" s="7">
        <f>D30-0.0536</f>
        <v>5.5500000000000001E-2</v>
      </c>
      <c r="F30" s="7"/>
      <c r="G30" s="7">
        <f>13.95*C30-6.88*E30</f>
        <v>1.4037599999999999</v>
      </c>
      <c r="H30" s="7">
        <f>24.96*E30-7.32*C30</f>
        <v>0.44832000000000005</v>
      </c>
      <c r="I30" s="7">
        <f>G30+H30</f>
        <v>1.8520799999999999</v>
      </c>
      <c r="J30" s="7">
        <f>1000*I30/0.39/16</f>
        <v>296.80769230769226</v>
      </c>
      <c r="K30" s="7"/>
      <c r="L30" s="7"/>
      <c r="M30" s="7"/>
      <c r="N30" s="7"/>
      <c r="O30" s="7"/>
    </row>
    <row r="31" spans="1:15" ht="14.25">
      <c r="A31" s="8" t="s">
        <v>51</v>
      </c>
      <c r="B31">
        <v>0.22559999999999999</v>
      </c>
      <c r="C31" s="7">
        <f>B31-0.0536</f>
        <v>0.17199999999999999</v>
      </c>
      <c r="D31">
        <v>0.12230000000000001</v>
      </c>
      <c r="E31" s="7">
        <f>D31-0.0536</f>
        <v>6.8700000000000011E-2</v>
      </c>
      <c r="F31" s="7"/>
      <c r="G31" s="7">
        <f>13.95*C31-6.88*E31</f>
        <v>1.9267439999999993</v>
      </c>
      <c r="H31" s="7">
        <f>24.96*E31-7.32*C31</f>
        <v>0.45571200000000034</v>
      </c>
      <c r="I31" s="7">
        <f>G31+H31</f>
        <v>2.3824559999999995</v>
      </c>
      <c r="J31" s="7">
        <f>1000*I31/0.442/24</f>
        <v>224.59049773755655</v>
      </c>
      <c r="K31" s="7">
        <f>AVERAGE(J31:J33)</f>
        <v>227.16226747109098</v>
      </c>
      <c r="L31" s="7">
        <f>STDEV(J31:J33)</f>
        <v>2.5623638325411524</v>
      </c>
      <c r="M31" s="7"/>
      <c r="N31" s="7"/>
      <c r="O31" s="7"/>
    </row>
    <row r="32" spans="1:15" ht="14.25">
      <c r="A32" s="8"/>
      <c r="B32">
        <v>0.22620000000000001</v>
      </c>
      <c r="C32" s="7">
        <f>B32-0.0536</f>
        <v>0.1726</v>
      </c>
      <c r="D32">
        <v>0.1236</v>
      </c>
      <c r="E32" s="7">
        <f>D32-0.0536</f>
        <v>7.0000000000000007E-2</v>
      </c>
      <c r="F32" s="7"/>
      <c r="G32" s="7">
        <f>13.95*C32-6.88*E32</f>
        <v>1.9261699999999997</v>
      </c>
      <c r="H32" s="7">
        <f>24.96*E32-7.32*C32</f>
        <v>0.4837680000000002</v>
      </c>
      <c r="I32" s="7">
        <f>G32+H32</f>
        <v>2.4099379999999999</v>
      </c>
      <c r="J32" s="7">
        <f>1000*I32/0.442/24</f>
        <v>227.18118401206638</v>
      </c>
      <c r="K32" s="7"/>
      <c r="L32" s="7"/>
      <c r="M32" s="7"/>
      <c r="N32" s="7"/>
      <c r="O32" s="7"/>
    </row>
    <row r="33" spans="1:14" ht="14.25">
      <c r="A33" s="8"/>
      <c r="B33">
        <v>0.2278</v>
      </c>
      <c r="C33" s="7">
        <f>B33-0.0536</f>
        <v>0.17419999999999999</v>
      </c>
      <c r="D33">
        <v>0.1245</v>
      </c>
      <c r="E33" s="7">
        <f>D33-0.0536</f>
        <v>7.0899999999999991E-2</v>
      </c>
      <c r="F33" s="7"/>
      <c r="G33" s="7">
        <f>13.95*C33-6.88*E33</f>
        <v>1.9422979999999999</v>
      </c>
      <c r="H33" s="7">
        <f>24.96*E33-7.32*C33</f>
        <v>0.49451999999999985</v>
      </c>
      <c r="I33" s="7">
        <f>G33+H33</f>
        <v>2.4368179999999997</v>
      </c>
      <c r="J33" s="7">
        <f>1000*I33/0.442/24</f>
        <v>229.71512066365005</v>
      </c>
      <c r="K33" s="7"/>
      <c r="L33" s="7"/>
      <c r="M33" s="7"/>
      <c r="N33" s="7"/>
    </row>
    <row r="34" spans="1:14" ht="14.25">
      <c r="A34" s="8" t="s">
        <v>134</v>
      </c>
      <c r="B34">
        <v>0.35959999999999998</v>
      </c>
      <c r="C34" s="7">
        <f>B34-0.0536</f>
        <v>0.30599999999999999</v>
      </c>
      <c r="D34">
        <v>0.17380000000000001</v>
      </c>
      <c r="E34" s="7">
        <f>D34-0.0536</f>
        <v>0.1202</v>
      </c>
      <c r="F34" s="7"/>
      <c r="G34" s="7">
        <f>13.95*C34-6.88*E34</f>
        <v>3.4417239999999998</v>
      </c>
      <c r="H34" s="7">
        <f>24.96*E34-7.32*C34</f>
        <v>0.76027200000000006</v>
      </c>
      <c r="I34" s="7">
        <f>G34+H34</f>
        <v>4.2019959999999994</v>
      </c>
      <c r="J34" s="7">
        <f t="shared" ref="J34:J39" si="6">1000*I34/0.658/24</f>
        <v>266.08383991894624</v>
      </c>
      <c r="K34" s="7">
        <f>AVERAGE(J34:J36)</f>
        <v>264.11066784869973</v>
      </c>
      <c r="L34" s="7">
        <f>STDEV(J34:J36)</f>
        <v>1.7448830662477453</v>
      </c>
      <c r="M34" s="7"/>
    </row>
    <row r="35" spans="1:14" ht="14.25">
      <c r="A35" s="8"/>
      <c r="B35">
        <v>0.3523</v>
      </c>
      <c r="C35" s="7">
        <f>B35-0.0536</f>
        <v>0.29870000000000002</v>
      </c>
      <c r="D35">
        <v>0.17419999999999999</v>
      </c>
      <c r="E35" s="7">
        <f>D35-0.0536</f>
        <v>0.12059999999999998</v>
      </c>
      <c r="F35" s="7"/>
      <c r="G35" s="7">
        <f>13.95*C35-6.88*E35</f>
        <v>3.3371370000000007</v>
      </c>
      <c r="H35" s="7">
        <f>24.96*E35-7.32*C35</f>
        <v>0.82369199999999942</v>
      </c>
      <c r="I35" s="7">
        <f>G35+H35</f>
        <v>4.1608289999999997</v>
      </c>
      <c r="J35" s="7">
        <f t="shared" si="6"/>
        <v>263.4770136778115</v>
      </c>
      <c r="K35" s="7"/>
      <c r="L35" s="7"/>
      <c r="M35" s="7"/>
    </row>
    <row r="36" spans="1:14" ht="14.25">
      <c r="A36" s="8"/>
      <c r="B36">
        <v>0.35580000000000001</v>
      </c>
      <c r="C36" s="7">
        <f>B36-0.0536</f>
        <v>0.30220000000000002</v>
      </c>
      <c r="D36">
        <v>0.17230000000000001</v>
      </c>
      <c r="E36" s="7">
        <f>D36-0.0536</f>
        <v>0.1187</v>
      </c>
      <c r="F36" s="7"/>
      <c r="G36" s="7">
        <f>13.95*C36-6.88*E36</f>
        <v>3.3990340000000003</v>
      </c>
      <c r="H36" s="7">
        <f>24.96*E36-7.32*C36</f>
        <v>0.75064799999999998</v>
      </c>
      <c r="I36" s="7">
        <f>G36+H36</f>
        <v>4.1496820000000003</v>
      </c>
      <c r="J36" s="7">
        <f t="shared" si="6"/>
        <v>262.77114994934146</v>
      </c>
      <c r="K36" s="7"/>
      <c r="L36" s="7"/>
      <c r="M36" s="7"/>
    </row>
    <row r="37" spans="1:14" ht="14.25">
      <c r="A37" s="8" t="s">
        <v>52</v>
      </c>
      <c r="B37">
        <v>0.38629999999999998</v>
      </c>
      <c r="C37" s="7">
        <f>B37-0.0536</f>
        <v>0.3327</v>
      </c>
      <c r="D37">
        <v>0.1741</v>
      </c>
      <c r="E37" s="7">
        <f>D37-0.0536</f>
        <v>0.1205</v>
      </c>
      <c r="F37" s="7"/>
      <c r="G37" s="7">
        <f>13.95*C37-6.88*E37</f>
        <v>3.812125</v>
      </c>
      <c r="H37" s="7">
        <f>24.96*E37-7.32*C37</f>
        <v>0.57231600000000027</v>
      </c>
      <c r="I37" s="7">
        <f>G37+H37</f>
        <v>4.3844410000000007</v>
      </c>
      <c r="J37" s="7">
        <f t="shared" si="6"/>
        <v>277.63684143870319</v>
      </c>
      <c r="K37" s="7">
        <f>AVERAGE(J37:J39)</f>
        <v>278.13424518743665</v>
      </c>
      <c r="L37" s="7">
        <f>STDEV(J37:J39)</f>
        <v>1.1433032882077359</v>
      </c>
      <c r="M37" s="7"/>
    </row>
    <row r="38" spans="1:14" ht="14.25">
      <c r="A38" s="8"/>
      <c r="B38">
        <v>0.3876</v>
      </c>
      <c r="C38" s="7">
        <f>B38-0.0536</f>
        <v>0.33400000000000002</v>
      </c>
      <c r="D38">
        <v>0.17519999999999999</v>
      </c>
      <c r="E38" s="7">
        <f>D38-0.0536</f>
        <v>0.12159999999999999</v>
      </c>
      <c r="F38" s="7"/>
      <c r="G38" s="7">
        <f>13.95*C38-6.88*E38</f>
        <v>3.822692</v>
      </c>
      <c r="H38" s="7">
        <f>24.96*E38-7.32*C38</f>
        <v>0.59025599999999923</v>
      </c>
      <c r="I38" s="7">
        <f>G38+H38</f>
        <v>4.4129479999999992</v>
      </c>
      <c r="J38" s="7">
        <f t="shared" si="6"/>
        <v>279.44199594731504</v>
      </c>
      <c r="K38" s="7"/>
      <c r="L38" s="7"/>
      <c r="M38" s="7"/>
    </row>
    <row r="39" spans="1:14" ht="14.25">
      <c r="A39" s="8"/>
      <c r="B39">
        <v>0.3861</v>
      </c>
      <c r="C39" s="7">
        <f>B39-0.0536</f>
        <v>0.33250000000000002</v>
      </c>
      <c r="D39">
        <v>0.1739</v>
      </c>
      <c r="E39" s="7">
        <f>D39-0.0536</f>
        <v>0.12029999999999999</v>
      </c>
      <c r="F39" s="7"/>
      <c r="G39" s="7">
        <f>13.95*C39-6.88*E39</f>
        <v>3.810711</v>
      </c>
      <c r="H39" s="7">
        <f>24.96*E39-7.32*C39</f>
        <v>0.56878799999999963</v>
      </c>
      <c r="I39" s="7">
        <f>G39+H39</f>
        <v>4.3794989999999991</v>
      </c>
      <c r="J39" s="7">
        <f t="shared" si="6"/>
        <v>277.32389817629172</v>
      </c>
      <c r="K39" s="7"/>
      <c r="L39" s="7"/>
      <c r="M39" s="7"/>
    </row>
    <row r="40" spans="1:14" ht="14.25">
      <c r="N40" s="9"/>
    </row>
    <row r="46" spans="1:14" ht="14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8" spans="1:14" ht="14.25">
      <c r="K48" s="9"/>
      <c r="L48" s="9"/>
      <c r="M48" s="9"/>
    </row>
    <row r="50" spans="12:13" ht="14.25">
      <c r="L50" s="9"/>
      <c r="M50" s="9"/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Y47"/>
  <sheetViews>
    <sheetView workbookViewId="0">
      <selection activeCell="H33" sqref="H33"/>
    </sheetView>
  </sheetViews>
  <sheetFormatPr defaultRowHeight="13.5"/>
  <cols>
    <col min="8" max="8" width="12.75" bestFit="1" customWidth="1"/>
  </cols>
  <sheetData>
    <row r="1" spans="1:25">
      <c r="A1" t="s">
        <v>234</v>
      </c>
    </row>
    <row r="2" spans="1:25" ht="16.5">
      <c r="A2" t="s">
        <v>235</v>
      </c>
    </row>
    <row r="3" spans="1:25">
      <c r="A3" t="s">
        <v>246</v>
      </c>
      <c r="C3" t="s">
        <v>32</v>
      </c>
      <c r="G3" t="s">
        <v>33</v>
      </c>
      <c r="L3" t="s">
        <v>32</v>
      </c>
      <c r="P3" t="s">
        <v>33</v>
      </c>
      <c r="S3" t="s">
        <v>36</v>
      </c>
      <c r="T3" t="s">
        <v>32</v>
      </c>
      <c r="W3" t="s">
        <v>33</v>
      </c>
    </row>
    <row r="4" spans="1:25">
      <c r="B4" t="s">
        <v>56</v>
      </c>
      <c r="C4">
        <v>0.01</v>
      </c>
      <c r="D4">
        <v>0.01</v>
      </c>
      <c r="E4">
        <v>0.01</v>
      </c>
      <c r="G4">
        <v>0.01</v>
      </c>
      <c r="H4">
        <v>0.01</v>
      </c>
      <c r="I4">
        <v>0.01</v>
      </c>
      <c r="S4" t="s">
        <v>35</v>
      </c>
      <c r="T4">
        <v>9.9000000000000005E-2</v>
      </c>
      <c r="U4">
        <v>0.01</v>
      </c>
      <c r="V4">
        <v>0.1</v>
      </c>
      <c r="W4">
        <v>0.01</v>
      </c>
      <c r="X4">
        <v>0.01</v>
      </c>
      <c r="Y4">
        <v>0.01</v>
      </c>
    </row>
    <row r="5" spans="1:25">
      <c r="B5" t="s">
        <v>57</v>
      </c>
      <c r="C5">
        <v>3.5000000000000003E-2</v>
      </c>
      <c r="D5">
        <v>3.6999999999999998E-2</v>
      </c>
      <c r="E5">
        <v>3.7999999999999999E-2</v>
      </c>
      <c r="G5">
        <v>1.2999999999999999E-2</v>
      </c>
      <c r="H5">
        <v>1.2999999999999999E-2</v>
      </c>
      <c r="I5">
        <v>1.2999999999999999E-2</v>
      </c>
      <c r="K5">
        <v>2.5000000000000001E-2</v>
      </c>
      <c r="L5">
        <v>2.7E-2</v>
      </c>
      <c r="M5">
        <v>2.8000000000000001E-2</v>
      </c>
      <c r="O5">
        <v>3.0000000000000001E-3</v>
      </c>
      <c r="P5">
        <v>3.0000000000000001E-3</v>
      </c>
      <c r="Q5">
        <v>3.0000000000000001E-3</v>
      </c>
      <c r="S5">
        <v>37</v>
      </c>
      <c r="T5">
        <v>0.2</v>
      </c>
      <c r="U5">
        <v>1.2500000000000001E-2</v>
      </c>
      <c r="V5">
        <v>0.11</v>
      </c>
      <c r="W5">
        <v>0.02</v>
      </c>
      <c r="X5">
        <v>1E-3</v>
      </c>
      <c r="Y5">
        <v>1.0999999999999999E-2</v>
      </c>
    </row>
    <row r="6" spans="1:25">
      <c r="B6" t="s">
        <v>8</v>
      </c>
      <c r="C6">
        <v>0.28100000000000003</v>
      </c>
      <c r="D6">
        <v>2.5999999999999999E-2</v>
      </c>
      <c r="E6">
        <v>0.154</v>
      </c>
      <c r="G6">
        <v>0.16200000000000001</v>
      </c>
      <c r="H6">
        <v>1.7999999999999999E-2</v>
      </c>
      <c r="I6">
        <v>8.6999999999999994E-2</v>
      </c>
      <c r="K6">
        <f>C6-C4</f>
        <v>0.27100000000000002</v>
      </c>
      <c r="L6">
        <f>D6-D4</f>
        <v>1.6E-2</v>
      </c>
      <c r="M6">
        <f>E6-E4</f>
        <v>0.14399999999999999</v>
      </c>
      <c r="O6">
        <f>G6-G4</f>
        <v>0.152</v>
      </c>
      <c r="P6">
        <f>H6-H4</f>
        <v>7.9999999999999984E-3</v>
      </c>
      <c r="Q6">
        <f>I6-I4</f>
        <v>7.6999999999999999E-2</v>
      </c>
      <c r="S6" t="s">
        <v>34</v>
      </c>
      <c r="T6">
        <v>0.1</v>
      </c>
      <c r="U6">
        <v>0.02</v>
      </c>
      <c r="V6">
        <v>0.14000000000000001</v>
      </c>
      <c r="W6">
        <v>0.01</v>
      </c>
      <c r="X6">
        <v>2E-3</v>
      </c>
      <c r="Y6">
        <v>1.4E-2</v>
      </c>
    </row>
    <row r="7" spans="1:25">
      <c r="B7" t="s">
        <v>26</v>
      </c>
      <c r="C7">
        <v>0.14000000000000001</v>
      </c>
      <c r="D7">
        <v>3.6600000000000001E-2</v>
      </c>
      <c r="E7">
        <v>0.21099999999999999</v>
      </c>
      <c r="G7">
        <v>0.08</v>
      </c>
      <c r="H7">
        <v>2.4E-2</v>
      </c>
      <c r="I7">
        <v>0.121</v>
      </c>
      <c r="K7">
        <f>C7-C4</f>
        <v>0.13</v>
      </c>
      <c r="L7">
        <f>D7-D4</f>
        <v>2.6599999999999999E-2</v>
      </c>
      <c r="M7">
        <f>E7-E4</f>
        <v>0.20099999999999998</v>
      </c>
      <c r="O7">
        <f>G7-G4</f>
        <v>7.0000000000000007E-2</v>
      </c>
      <c r="P7">
        <f>H7-H4</f>
        <v>1.4E-2</v>
      </c>
      <c r="Q7">
        <f>I7-I4</f>
        <v>0.111</v>
      </c>
    </row>
    <row r="10" spans="1:25">
      <c r="A10" t="s">
        <v>236</v>
      </c>
    </row>
    <row r="11" spans="1:25">
      <c r="C11" t="s">
        <v>32</v>
      </c>
      <c r="G11" t="s">
        <v>33</v>
      </c>
      <c r="L11" t="s">
        <v>32</v>
      </c>
      <c r="P11" t="s">
        <v>33</v>
      </c>
    </row>
    <row r="12" spans="1:25">
      <c r="B12" t="s">
        <v>12</v>
      </c>
      <c r="C12">
        <v>1.1740999999999999</v>
      </c>
      <c r="D12">
        <v>1.268</v>
      </c>
      <c r="E12">
        <v>1.3149999999999999</v>
      </c>
      <c r="G12">
        <v>0.1409</v>
      </c>
      <c r="H12">
        <v>0.1409</v>
      </c>
      <c r="I12">
        <v>0.1409</v>
      </c>
      <c r="K12">
        <f t="shared" ref="K12:M14" si="0">K5*1.315*1000/28</f>
        <v>1.1741071428571428</v>
      </c>
      <c r="L12">
        <f t="shared" si="0"/>
        <v>1.2680357142857142</v>
      </c>
      <c r="M12">
        <f t="shared" si="0"/>
        <v>1.3149999999999999</v>
      </c>
      <c r="O12">
        <f t="shared" ref="O12:Q14" si="1">O5*1.315*1000/28</f>
        <v>0.14089285714285713</v>
      </c>
      <c r="P12">
        <f t="shared" si="1"/>
        <v>0.14089285714285713</v>
      </c>
      <c r="Q12">
        <f t="shared" si="1"/>
        <v>0.14089285714285713</v>
      </c>
    </row>
    <row r="13" spans="1:25">
      <c r="B13" t="s">
        <v>8</v>
      </c>
      <c r="C13">
        <v>12.727</v>
      </c>
      <c r="D13">
        <v>0.75139999999999996</v>
      </c>
      <c r="E13">
        <v>6.7629000000000001</v>
      </c>
      <c r="G13">
        <v>7.1386000000000003</v>
      </c>
      <c r="H13">
        <v>0.37569999999999998</v>
      </c>
      <c r="I13">
        <v>3.6162999999999998</v>
      </c>
      <c r="K13">
        <f t="shared" si="0"/>
        <v>12.727321428571429</v>
      </c>
      <c r="L13">
        <f t="shared" si="0"/>
        <v>0.75142857142857145</v>
      </c>
      <c r="M13">
        <f t="shared" si="0"/>
        <v>6.7628571428571425</v>
      </c>
      <c r="O13">
        <f t="shared" si="1"/>
        <v>7.138571428571427</v>
      </c>
      <c r="P13">
        <f t="shared" si="1"/>
        <v>0.37571428571428561</v>
      </c>
      <c r="Q13">
        <f t="shared" si="1"/>
        <v>3.61625</v>
      </c>
    </row>
    <row r="14" spans="1:25">
      <c r="B14" t="s">
        <v>26</v>
      </c>
      <c r="C14">
        <v>6.1054000000000004</v>
      </c>
      <c r="D14">
        <v>1.2493000000000001</v>
      </c>
      <c r="E14">
        <v>9.4398</v>
      </c>
      <c r="G14">
        <v>3.2875000000000001</v>
      </c>
      <c r="H14">
        <v>0.65749999999999997</v>
      </c>
      <c r="I14">
        <v>5.2130000000000001</v>
      </c>
      <c r="K14">
        <f t="shared" si="0"/>
        <v>6.1053571428571427</v>
      </c>
      <c r="L14">
        <f t="shared" si="0"/>
        <v>1.24925</v>
      </c>
      <c r="M14">
        <f t="shared" si="0"/>
        <v>9.4398214285714257</v>
      </c>
      <c r="O14">
        <f t="shared" si="1"/>
        <v>3.2875000000000005</v>
      </c>
      <c r="P14">
        <f t="shared" si="1"/>
        <v>0.65749999999999997</v>
      </c>
      <c r="Q14">
        <f t="shared" si="1"/>
        <v>5.2130357142857138</v>
      </c>
    </row>
    <row r="15" spans="1:25">
      <c r="C15" t="s">
        <v>32</v>
      </c>
      <c r="G15" t="s">
        <v>33</v>
      </c>
    </row>
    <row r="16" spans="1:25">
      <c r="B16" t="s">
        <v>12</v>
      </c>
      <c r="C16">
        <f>C12*0.5</f>
        <v>0.58704999999999996</v>
      </c>
      <c r="D16">
        <f>D12*0.5</f>
        <v>0.63400000000000001</v>
      </c>
      <c r="E16">
        <f>E12*0.5</f>
        <v>0.65749999999999997</v>
      </c>
      <c r="F16">
        <f>AVERAGE(C16:E16)</f>
        <v>0.62618333333333331</v>
      </c>
      <c r="G16">
        <f>G12*5</f>
        <v>0.70450000000000002</v>
      </c>
      <c r="H16">
        <f>H12*5</f>
        <v>0.70450000000000002</v>
      </c>
      <c r="I16">
        <f>I12*5</f>
        <v>0.70450000000000002</v>
      </c>
      <c r="J16">
        <f>AB12*5+AVERAGE(G16:I16)</f>
        <v>0.70450000000000002</v>
      </c>
    </row>
    <row r="17" spans="2:17">
      <c r="B17" t="s">
        <v>8</v>
      </c>
      <c r="C17">
        <f>C13*0.5</f>
        <v>6.3635000000000002</v>
      </c>
      <c r="D17">
        <f>D13*8</f>
        <v>6.0111999999999997</v>
      </c>
      <c r="E17">
        <f>E13*0.9</f>
        <v>6.0866100000000003</v>
      </c>
      <c r="F17">
        <f>AVERAGE(C17:E17)</f>
        <v>6.1537700000000006</v>
      </c>
      <c r="G17">
        <f>G13*5</f>
        <v>35.692999999999998</v>
      </c>
      <c r="H17">
        <f>H13*80</f>
        <v>30.055999999999997</v>
      </c>
      <c r="I17">
        <f>I13*9</f>
        <v>32.546700000000001</v>
      </c>
      <c r="J17">
        <f>AVERAGE(G17:I17)</f>
        <v>32.765233333333335</v>
      </c>
    </row>
    <row r="18" spans="2:17">
      <c r="B18" t="s">
        <v>26</v>
      </c>
      <c r="C18">
        <f>C14*1</f>
        <v>6.1054000000000004</v>
      </c>
      <c r="D18">
        <f>D14*5</f>
        <v>6.2465000000000002</v>
      </c>
      <c r="E18">
        <f>E14*0.7</f>
        <v>6.6078599999999996</v>
      </c>
      <c r="F18">
        <f t="shared" ref="F18" si="2">AVERAGE(C18:E18)</f>
        <v>6.3199199999999998</v>
      </c>
      <c r="G18">
        <f>G14*10</f>
        <v>32.875</v>
      </c>
      <c r="H18">
        <f>H14*50</f>
        <v>32.875</v>
      </c>
      <c r="I18">
        <f>I14*7</f>
        <v>36.491</v>
      </c>
      <c r="J18">
        <f>AVERAGE(G18:I18)</f>
        <v>34.080333333333336</v>
      </c>
    </row>
    <row r="19" spans="2:17">
      <c r="C19" t="s">
        <v>32</v>
      </c>
      <c r="G19" t="s">
        <v>33</v>
      </c>
    </row>
    <row r="20" spans="2:17">
      <c r="F20" t="s">
        <v>227</v>
      </c>
      <c r="J20" t="s">
        <v>227</v>
      </c>
      <c r="L20" t="s">
        <v>177</v>
      </c>
      <c r="P20" t="s">
        <v>177</v>
      </c>
    </row>
    <row r="21" spans="2:17">
      <c r="B21" t="s">
        <v>12</v>
      </c>
      <c r="C21">
        <f>C16*10</f>
        <v>5.8704999999999998</v>
      </c>
      <c r="D21">
        <f t="shared" ref="D21:J21" si="3">D16*10</f>
        <v>6.34</v>
      </c>
      <c r="E21">
        <f t="shared" si="3"/>
        <v>6.5749999999999993</v>
      </c>
      <c r="F21">
        <f t="shared" si="3"/>
        <v>6.2618333333333336</v>
      </c>
      <c r="G21">
        <f t="shared" si="3"/>
        <v>7.0449999999999999</v>
      </c>
      <c r="H21">
        <f t="shared" si="3"/>
        <v>7.0449999999999999</v>
      </c>
      <c r="I21">
        <f t="shared" si="3"/>
        <v>7.0449999999999999</v>
      </c>
      <c r="J21">
        <f t="shared" si="3"/>
        <v>7.0449999999999999</v>
      </c>
      <c r="L21">
        <f>STDEV(C21:E21)</f>
        <v>0.35869566952128551</v>
      </c>
      <c r="M21">
        <v>0.35869600000000001</v>
      </c>
      <c r="P21">
        <f>STDEV(G21:I21)</f>
        <v>1.0877919644084146E-15</v>
      </c>
      <c r="Q21">
        <f>H21-J21</f>
        <v>0</v>
      </c>
    </row>
    <row r="22" spans="2:17">
      <c r="B22" t="s">
        <v>8</v>
      </c>
      <c r="C22">
        <f t="shared" ref="C22:J23" si="4">C17*10</f>
        <v>63.635000000000005</v>
      </c>
      <c r="D22">
        <f t="shared" si="4"/>
        <v>60.111999999999995</v>
      </c>
      <c r="E22">
        <f t="shared" si="4"/>
        <v>60.866100000000003</v>
      </c>
      <c r="F22">
        <f t="shared" si="4"/>
        <v>61.537700000000008</v>
      </c>
      <c r="G22">
        <f t="shared" si="4"/>
        <v>356.92999999999995</v>
      </c>
      <c r="H22">
        <f t="shared" si="4"/>
        <v>300.55999999999995</v>
      </c>
      <c r="I22">
        <f t="shared" si="4"/>
        <v>325.46699999999998</v>
      </c>
      <c r="J22">
        <f t="shared" si="4"/>
        <v>327.65233333333333</v>
      </c>
      <c r="L22">
        <f>STDEV(C22:E22)</f>
        <v>1.8550383203586556</v>
      </c>
      <c r="M22">
        <v>1.855038</v>
      </c>
      <c r="P22">
        <f>STDEV(G22:I22)</f>
        <v>28.248468743160771</v>
      </c>
      <c r="Q22">
        <f>28.24846874</f>
        <v>28.24846874</v>
      </c>
    </row>
    <row r="23" spans="2:17">
      <c r="B23" t="s">
        <v>26</v>
      </c>
      <c r="C23">
        <f t="shared" si="4"/>
        <v>61.054000000000002</v>
      </c>
      <c r="D23">
        <f t="shared" si="4"/>
        <v>62.465000000000003</v>
      </c>
      <c r="E23">
        <f t="shared" si="4"/>
        <v>66.078599999999994</v>
      </c>
      <c r="F23">
        <f t="shared" si="4"/>
        <v>63.199199999999998</v>
      </c>
      <c r="G23">
        <f t="shared" si="4"/>
        <v>328.75</v>
      </c>
      <c r="H23">
        <f t="shared" si="4"/>
        <v>328.75</v>
      </c>
      <c r="I23">
        <f t="shared" si="4"/>
        <v>364.90999999999997</v>
      </c>
      <c r="J23">
        <f t="shared" si="4"/>
        <v>340.80333333333334</v>
      </c>
      <c r="L23">
        <f>STDEV(C23:E23)</f>
        <v>2.5915127859997598</v>
      </c>
      <c r="M23">
        <v>2.2915130000000001</v>
      </c>
      <c r="P23">
        <f>STDEV(G23:I23)</f>
        <v>20.876985733896966</v>
      </c>
      <c r="Q23">
        <f>20.87698573</f>
        <v>20.876985730000001</v>
      </c>
    </row>
    <row r="25" spans="2:17">
      <c r="D25" t="s">
        <v>239</v>
      </c>
      <c r="E25" t="s">
        <v>240</v>
      </c>
    </row>
    <row r="26" spans="2:17">
      <c r="B26" t="s">
        <v>12</v>
      </c>
      <c r="D26">
        <v>6.26</v>
      </c>
      <c r="E26">
        <v>7.05</v>
      </c>
    </row>
    <row r="27" spans="2:17">
      <c r="B27" t="s">
        <v>8</v>
      </c>
      <c r="D27">
        <v>61.54</v>
      </c>
      <c r="E27">
        <v>327.64999999999998</v>
      </c>
    </row>
    <row r="28" spans="2:17">
      <c r="B28" t="s">
        <v>26</v>
      </c>
      <c r="D28">
        <v>63.2</v>
      </c>
      <c r="E28">
        <v>340.8</v>
      </c>
    </row>
    <row r="38" spans="8:8" ht="14.25">
      <c r="H38" s="1"/>
    </row>
    <row r="47" spans="8:8" ht="14.25">
      <c r="H47" s="9"/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I15" sqref="I15"/>
    </sheetView>
  </sheetViews>
  <sheetFormatPr defaultRowHeight="13.5"/>
  <cols>
    <col min="2" max="2" width="10.875" customWidth="1"/>
  </cols>
  <sheetData>
    <row r="1" spans="1:14">
      <c r="A1" t="s">
        <v>237</v>
      </c>
    </row>
    <row r="2" spans="1:14">
      <c r="A2" t="s">
        <v>238</v>
      </c>
    </row>
    <row r="4" spans="1:14">
      <c r="C4" t="s">
        <v>32</v>
      </c>
      <c r="F4" t="s">
        <v>227</v>
      </c>
      <c r="G4" t="s">
        <v>177</v>
      </c>
      <c r="I4" t="s">
        <v>33</v>
      </c>
      <c r="L4" t="s">
        <v>227</v>
      </c>
      <c r="M4" t="s">
        <v>177</v>
      </c>
    </row>
    <row r="5" spans="1:14">
      <c r="B5" t="s">
        <v>12</v>
      </c>
      <c r="C5">
        <v>0.68</v>
      </c>
      <c r="D5">
        <v>0.61</v>
      </c>
      <c r="E5">
        <v>0.71</v>
      </c>
      <c r="F5">
        <f>AVERAGE(C5:E5)</f>
        <v>0.66666666666666663</v>
      </c>
      <c r="G5">
        <f>STDEV(C5:E5)</f>
        <v>5.1316014394469263E-2</v>
      </c>
      <c r="H5">
        <v>5.1316000000000001E-2</v>
      </c>
      <c r="I5">
        <v>0.79</v>
      </c>
      <c r="J5">
        <v>0.75</v>
      </c>
      <c r="K5">
        <v>0.71</v>
      </c>
      <c r="L5">
        <f>AVERAGE(I5:K5)</f>
        <v>0.75</v>
      </c>
      <c r="M5">
        <f>STDEV(I5:K5)</f>
        <v>4.000000000000057E-2</v>
      </c>
      <c r="N5">
        <f>L5-K5</f>
        <v>4.0000000000000036E-2</v>
      </c>
    </row>
    <row r="6" spans="1:14" ht="14.25">
      <c r="B6" t="s">
        <v>8</v>
      </c>
      <c r="C6">
        <v>4.78</v>
      </c>
      <c r="D6">
        <v>4.67</v>
      </c>
      <c r="E6" s="1">
        <v>4.6100000000000003</v>
      </c>
      <c r="F6">
        <f t="shared" ref="F6:F7" si="0">AVERAGE(C6:E6)</f>
        <v>4.6866666666666665</v>
      </c>
      <c r="G6">
        <f t="shared" ref="G6:G7" si="1">STDEV(C6:E6)</f>
        <v>8.6216781042588314E-2</v>
      </c>
      <c r="H6">
        <v>8.6217000000000002E-2</v>
      </c>
      <c r="I6">
        <v>5.56</v>
      </c>
      <c r="J6">
        <v>5.95</v>
      </c>
      <c r="K6">
        <v>5.24</v>
      </c>
      <c r="L6">
        <f>AVERAGE(I6:K6)</f>
        <v>5.583333333333333</v>
      </c>
      <c r="M6">
        <f t="shared" ref="M6:M7" si="2">STDEV(I6:K6)</f>
        <v>0.35557465226494744</v>
      </c>
      <c r="N6">
        <v>0.35557499999999997</v>
      </c>
    </row>
    <row r="7" spans="1:14">
      <c r="B7" t="s">
        <v>26</v>
      </c>
      <c r="C7">
        <v>6.92</v>
      </c>
      <c r="D7">
        <v>7.11</v>
      </c>
      <c r="E7">
        <v>6.73</v>
      </c>
      <c r="F7">
        <f t="shared" si="0"/>
        <v>6.9200000000000008</v>
      </c>
      <c r="G7">
        <f t="shared" si="1"/>
        <v>0.18999999999997494</v>
      </c>
      <c r="H7">
        <f>F7-E7</f>
        <v>0.19000000000000039</v>
      </c>
      <c r="I7">
        <v>9.6300000000000008</v>
      </c>
      <c r="J7">
        <v>9.39</v>
      </c>
      <c r="K7">
        <v>9.32</v>
      </c>
      <c r="L7">
        <f>AVERAGE(I7:K7)</f>
        <v>9.4466666666666672</v>
      </c>
      <c r="M7">
        <f t="shared" si="2"/>
        <v>0.16258331197683906</v>
      </c>
      <c r="N7">
        <v>0.16258300000000001</v>
      </c>
    </row>
    <row r="8" spans="1:14">
      <c r="C8" t="s">
        <v>239</v>
      </c>
      <c r="D8" t="s">
        <v>240</v>
      </c>
    </row>
    <row r="9" spans="1:14">
      <c r="B9" t="s">
        <v>12</v>
      </c>
      <c r="C9">
        <v>0.66700000000000004</v>
      </c>
      <c r="D9">
        <v>0.75</v>
      </c>
    </row>
    <row r="10" spans="1:14">
      <c r="B10" t="s">
        <v>8</v>
      </c>
      <c r="C10">
        <v>4.6870000000000003</v>
      </c>
      <c r="D10">
        <v>5.58</v>
      </c>
    </row>
    <row r="11" spans="1:14">
      <c r="B11" t="s">
        <v>26</v>
      </c>
      <c r="C11">
        <v>6.92</v>
      </c>
      <c r="D11">
        <v>9.4499999999999993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9"/>
  <sheetViews>
    <sheetView topLeftCell="A31" workbookViewId="0">
      <selection activeCell="Q24" sqref="Q24"/>
    </sheetView>
  </sheetViews>
  <sheetFormatPr defaultRowHeight="13.5"/>
  <sheetData>
    <row r="1" spans="1:15">
      <c r="A1" t="s">
        <v>161</v>
      </c>
    </row>
    <row r="2" spans="1:15">
      <c r="B2" t="s">
        <v>162</v>
      </c>
    </row>
    <row r="4" spans="1:15">
      <c r="A4" s="7" t="s">
        <v>39</v>
      </c>
      <c r="B4" s="7"/>
      <c r="C4" s="7" t="s">
        <v>40</v>
      </c>
    </row>
    <row r="5" spans="1:15">
      <c r="A5">
        <v>7.3700003325939178E-2</v>
      </c>
      <c r="C5">
        <v>7.4199996888637543E-2</v>
      </c>
      <c r="E5" t="s">
        <v>163</v>
      </c>
    </row>
    <row r="6" spans="1:15">
      <c r="A6">
        <v>7.1599997580051422E-2</v>
      </c>
      <c r="C6">
        <v>7.3299996554851532E-2</v>
      </c>
      <c r="E6" t="s">
        <v>163</v>
      </c>
    </row>
    <row r="7" spans="1:15" ht="14.25">
      <c r="A7">
        <v>0.30959999561309814</v>
      </c>
      <c r="B7">
        <f t="shared" ref="B7:B24" si="0">A7-0.072</f>
        <v>0.23759999561309814</v>
      </c>
      <c r="C7">
        <v>0.18849999955892499</v>
      </c>
      <c r="D7">
        <f t="shared" ref="D7:D24" si="1">C7-0.0735</f>
        <v>0.114999999558925</v>
      </c>
      <c r="E7" s="1" t="s">
        <v>31</v>
      </c>
    </row>
    <row r="8" spans="1:15" ht="14.25">
      <c r="A8">
        <v>0.31250000561708402</v>
      </c>
      <c r="B8">
        <f t="shared" si="0"/>
        <v>0.24050000561708401</v>
      </c>
      <c r="C8">
        <v>0.19120000557922601</v>
      </c>
      <c r="D8">
        <f t="shared" si="1"/>
        <v>0.11770000557922601</v>
      </c>
      <c r="E8" s="1"/>
    </row>
    <row r="9" spans="1:15" ht="14.25">
      <c r="A9">
        <v>0.29820000956130899</v>
      </c>
      <c r="B9">
        <f t="shared" si="0"/>
        <v>0.22620000956130898</v>
      </c>
      <c r="C9">
        <v>0.19039999955689799</v>
      </c>
      <c r="D9">
        <f t="shared" si="1"/>
        <v>0.11689999955689799</v>
      </c>
      <c r="E9" s="1"/>
    </row>
    <row r="10" spans="1:15" ht="14.25">
      <c r="A10">
        <v>0.319299999589924</v>
      </c>
      <c r="B10">
        <f t="shared" si="0"/>
        <v>0.24729999958992399</v>
      </c>
      <c r="C10">
        <v>0.18809999525547699</v>
      </c>
      <c r="D10">
        <f t="shared" si="1"/>
        <v>0.114599995255477</v>
      </c>
      <c r="E10" s="1" t="s">
        <v>108</v>
      </c>
    </row>
    <row r="11" spans="1:15" ht="14.25">
      <c r="A11">
        <v>0.33450000647794598</v>
      </c>
      <c r="B11">
        <f t="shared" si="0"/>
        <v>0.26250000647794597</v>
      </c>
      <c r="C11">
        <v>0.18920000952476601</v>
      </c>
      <c r="D11">
        <f t="shared" si="1"/>
        <v>0.11570000952476601</v>
      </c>
      <c r="E11" s="1"/>
    </row>
    <row r="12" spans="1:15" ht="14.25">
      <c r="A12">
        <v>0.30269999854486501</v>
      </c>
      <c r="B12">
        <f t="shared" si="0"/>
        <v>0.230699998544865</v>
      </c>
      <c r="C12">
        <v>0.186399994756696</v>
      </c>
      <c r="D12">
        <f t="shared" si="1"/>
        <v>0.112899994756696</v>
      </c>
      <c r="E12" s="1"/>
    </row>
    <row r="13" spans="1:15" ht="14.25">
      <c r="A13">
        <v>0.45629999041557312</v>
      </c>
      <c r="B13">
        <f t="shared" si="0"/>
        <v>0.38429999041557311</v>
      </c>
      <c r="C13">
        <v>0.27619999647140503</v>
      </c>
      <c r="D13">
        <f t="shared" si="1"/>
        <v>0.20269999647140502</v>
      </c>
      <c r="E13" s="1" t="s">
        <v>127</v>
      </c>
    </row>
    <row r="14" spans="1:15" ht="14.25">
      <c r="A14">
        <v>0.462299990536575</v>
      </c>
      <c r="B14">
        <f t="shared" si="0"/>
        <v>0.39029999053657499</v>
      </c>
      <c r="C14">
        <v>0.29620000064824398</v>
      </c>
      <c r="D14">
        <f t="shared" si="1"/>
        <v>0.22270000064824397</v>
      </c>
      <c r="E14" s="1"/>
    </row>
    <row r="15" spans="1:15" ht="14.25">
      <c r="A15">
        <v>0.44169999084387601</v>
      </c>
      <c r="B15">
        <f t="shared" si="0"/>
        <v>0.369699990843876</v>
      </c>
      <c r="C15">
        <v>0.25569999737148802</v>
      </c>
      <c r="D15">
        <f t="shared" si="1"/>
        <v>0.18219999737148801</v>
      </c>
      <c r="E15" s="1"/>
    </row>
    <row r="16" spans="1:15" ht="14.25">
      <c r="A16">
        <v>0.39399999380111694</v>
      </c>
      <c r="B16">
        <f t="shared" si="0"/>
        <v>0.32199999380111693</v>
      </c>
      <c r="C16">
        <v>0.239300004458427</v>
      </c>
      <c r="D16">
        <f t="shared" si="1"/>
        <v>0.16580000445842702</v>
      </c>
      <c r="E16" s="1" t="s">
        <v>54</v>
      </c>
      <c r="K16" s="7"/>
      <c r="L16" s="7"/>
      <c r="M16" s="7"/>
      <c r="N16" s="7"/>
      <c r="O16" s="7"/>
    </row>
    <row r="17" spans="1:11" ht="14.25">
      <c r="A17">
        <v>0.38369999938017801</v>
      </c>
      <c r="B17">
        <f t="shared" si="0"/>
        <v>0.31169999938017801</v>
      </c>
      <c r="C17">
        <v>0.23129999944586399</v>
      </c>
      <c r="D17">
        <f t="shared" si="1"/>
        <v>0.15779999944586398</v>
      </c>
      <c r="E17" s="1"/>
    </row>
    <row r="18" spans="1:11" ht="14.25">
      <c r="A18">
        <v>0.40320000938635397</v>
      </c>
      <c r="B18">
        <f t="shared" si="0"/>
        <v>0.33120000938635397</v>
      </c>
      <c r="C18">
        <v>0.24880000765884799</v>
      </c>
      <c r="D18">
        <f t="shared" si="1"/>
        <v>0.17530000765884801</v>
      </c>
      <c r="E18" s="1"/>
    </row>
    <row r="19" spans="1:11" ht="14.25">
      <c r="A19">
        <v>0.37900000810623169</v>
      </c>
      <c r="B19">
        <f t="shared" si="0"/>
        <v>0.30700000810623168</v>
      </c>
      <c r="C19">
        <v>0.22740000486373901</v>
      </c>
      <c r="D19">
        <f t="shared" si="1"/>
        <v>0.153900004863739</v>
      </c>
      <c r="E19" s="1" t="s">
        <v>53</v>
      </c>
    </row>
    <row r="20" spans="1:11" ht="14.25">
      <c r="A20">
        <v>0.393300000780268</v>
      </c>
      <c r="B20">
        <f t="shared" si="0"/>
        <v>0.32130000078026799</v>
      </c>
      <c r="C20">
        <v>0.244200008893665</v>
      </c>
      <c r="D20">
        <f t="shared" si="1"/>
        <v>0.17070000889366499</v>
      </c>
      <c r="E20" s="1"/>
    </row>
    <row r="21" spans="1:11" ht="14.25">
      <c r="A21">
        <v>0.36659999971034302</v>
      </c>
      <c r="B21">
        <f t="shared" si="0"/>
        <v>0.29459999971034301</v>
      </c>
      <c r="C21">
        <v>0.20980000686335501</v>
      </c>
      <c r="D21">
        <f t="shared" si="1"/>
        <v>0.13630000686335503</v>
      </c>
      <c r="E21" s="1"/>
    </row>
    <row r="22" spans="1:11" ht="14.25">
      <c r="A22">
        <v>0.42519998550415039</v>
      </c>
      <c r="B22">
        <f t="shared" si="0"/>
        <v>0.35319998550415038</v>
      </c>
      <c r="C22">
        <v>0.25920000672340393</v>
      </c>
      <c r="D22">
        <f t="shared" si="1"/>
        <v>0.18570000672340392</v>
      </c>
      <c r="E22" s="1" t="s">
        <v>55</v>
      </c>
    </row>
    <row r="23" spans="1:11" ht="14.25">
      <c r="A23">
        <v>0.405599995604356</v>
      </c>
      <c r="B23">
        <f t="shared" si="0"/>
        <v>0.33359999560435599</v>
      </c>
      <c r="C23">
        <v>0.26950000654454098</v>
      </c>
      <c r="D23">
        <f t="shared" si="1"/>
        <v>0.19600000654454097</v>
      </c>
      <c r="E23" s="1"/>
    </row>
    <row r="24" spans="1:11" ht="14.25">
      <c r="A24">
        <v>0.44429999656577601</v>
      </c>
      <c r="B24">
        <f t="shared" si="0"/>
        <v>0.372299996565776</v>
      </c>
      <c r="C24">
        <v>0.24920000788348501</v>
      </c>
      <c r="D24">
        <f t="shared" si="1"/>
        <v>0.175700007883485</v>
      </c>
      <c r="E24" s="1"/>
    </row>
    <row r="25" spans="1:11">
      <c r="B25" s="7" t="s">
        <v>41</v>
      </c>
      <c r="D25" s="7" t="s">
        <v>42</v>
      </c>
      <c r="F25" s="7" t="s">
        <v>43</v>
      </c>
      <c r="I25" t="s">
        <v>181</v>
      </c>
      <c r="K25" t="s">
        <v>171</v>
      </c>
    </row>
    <row r="26" spans="1:11" ht="14.25">
      <c r="A26" s="1" t="s">
        <v>31</v>
      </c>
      <c r="B26">
        <f>13.95*B7-6.88*D7</f>
        <v>2.5233199418373147</v>
      </c>
      <c r="C26" s="1" t="s">
        <v>31</v>
      </c>
      <c r="D26">
        <f>24.96*D7-7.32*B7</f>
        <v>1.1311680211028894</v>
      </c>
      <c r="E26" s="1" t="s">
        <v>31</v>
      </c>
      <c r="F26">
        <f t="shared" ref="F26:F43" si="2">B26+D26</f>
        <v>3.6544879629402041</v>
      </c>
      <c r="G26" s="1" t="s">
        <v>31</v>
      </c>
      <c r="H26">
        <f t="shared" ref="H26:H43" si="3">F26*0.1*4/0.01</f>
        <v>146.17951851760816</v>
      </c>
      <c r="I26">
        <f>AVERAGE(H26:H28)</f>
        <v>146.53702875245429</v>
      </c>
      <c r="K26">
        <f>STDEV(H26:H28)</f>
        <v>2.2072840370105564</v>
      </c>
    </row>
    <row r="27" spans="1:11" ht="14.25">
      <c r="A27" s="1"/>
      <c r="B27">
        <f t="shared" ref="B27:B43" si="4">13.95*B8-6.88*D8</f>
        <v>2.5451990399732467</v>
      </c>
      <c r="C27" s="1"/>
      <c r="D27">
        <f t="shared" ref="D27:D43" si="5">24.96*D8-7.32*B8</f>
        <v>1.1773320981404265</v>
      </c>
      <c r="E27" s="1"/>
      <c r="F27">
        <f t="shared" si="2"/>
        <v>3.7225311381136734</v>
      </c>
      <c r="G27" s="1"/>
      <c r="H27">
        <f t="shared" si="3"/>
        <v>148.90124552454697</v>
      </c>
    </row>
    <row r="28" spans="1:11" ht="14.25">
      <c r="A28" s="1"/>
      <c r="B28">
        <f t="shared" si="4"/>
        <v>2.3512181364288018</v>
      </c>
      <c r="C28" s="1"/>
      <c r="D28">
        <f t="shared" si="5"/>
        <v>1.2620399189513922</v>
      </c>
      <c r="E28" s="1"/>
      <c r="F28">
        <f t="shared" si="2"/>
        <v>3.6132580553801938</v>
      </c>
      <c r="G28" s="1"/>
      <c r="H28">
        <f t="shared" si="3"/>
        <v>144.53032221520775</v>
      </c>
    </row>
    <row r="29" spans="1:11" ht="14.25">
      <c r="A29" s="1" t="s">
        <v>108</v>
      </c>
      <c r="B29">
        <f t="shared" si="4"/>
        <v>2.6613870269217577</v>
      </c>
      <c r="C29" s="1" t="s">
        <v>108</v>
      </c>
      <c r="D29">
        <f t="shared" si="5"/>
        <v>1.0501798845784622</v>
      </c>
      <c r="E29" s="1" t="s">
        <v>108</v>
      </c>
      <c r="F29">
        <f t="shared" si="2"/>
        <v>3.7115669115002197</v>
      </c>
      <c r="G29" s="1" t="s">
        <v>108</v>
      </c>
      <c r="H29">
        <f t="shared" si="3"/>
        <v>148.46267646000879</v>
      </c>
      <c r="I29">
        <f>AVERAGE(H29:H31)</f>
        <v>148.19428029613721</v>
      </c>
      <c r="K29">
        <f t="shared" ref="K29:K41" si="6">STDEV(H29:H31)</f>
        <v>5.2343298072852313</v>
      </c>
    </row>
    <row r="30" spans="1:11" ht="14.25">
      <c r="A30" s="1"/>
      <c r="B30">
        <f t="shared" si="4"/>
        <v>2.865859024836956</v>
      </c>
      <c r="C30" s="1"/>
      <c r="D30">
        <f t="shared" si="5"/>
        <v>0.96637219031959543</v>
      </c>
      <c r="E30" s="1"/>
      <c r="F30">
        <f t="shared" si="2"/>
        <v>3.8322312151565514</v>
      </c>
      <c r="G30" s="1"/>
      <c r="H30">
        <f t="shared" si="3"/>
        <v>153.28924860626208</v>
      </c>
    </row>
    <row r="31" spans="1:11" ht="14.25">
      <c r="A31" s="1"/>
      <c r="B31">
        <f t="shared" si="4"/>
        <v>2.441513015774798</v>
      </c>
      <c r="C31" s="1"/>
      <c r="D31">
        <f t="shared" si="5"/>
        <v>1.1292598797787206</v>
      </c>
      <c r="E31" s="1"/>
      <c r="F31">
        <f t="shared" si="2"/>
        <v>3.5707728955535183</v>
      </c>
      <c r="G31" s="1"/>
      <c r="H31">
        <f t="shared" si="3"/>
        <v>142.83091582214072</v>
      </c>
    </row>
    <row r="32" spans="1:11" ht="14.25">
      <c r="A32" s="1" t="s">
        <v>127</v>
      </c>
      <c r="B32">
        <f t="shared" si="4"/>
        <v>3.9664088905739785</v>
      </c>
      <c r="C32" s="1" t="s">
        <v>127</v>
      </c>
      <c r="D32">
        <f t="shared" si="5"/>
        <v>2.246315982084274</v>
      </c>
      <c r="E32" s="1" t="s">
        <v>127</v>
      </c>
      <c r="F32">
        <f t="shared" si="2"/>
        <v>6.2127248726582529</v>
      </c>
      <c r="G32" s="1" t="s">
        <v>127</v>
      </c>
      <c r="H32">
        <f t="shared" si="3"/>
        <v>248.50899490633012</v>
      </c>
      <c r="I32">
        <f>AVERAGE(H32:H34)</f>
        <v>247.62822284543196</v>
      </c>
      <c r="K32">
        <f t="shared" si="6"/>
        <v>17.393094784383756</v>
      </c>
    </row>
    <row r="33" spans="1:11" ht="14.25">
      <c r="A33" s="1"/>
      <c r="B33">
        <f t="shared" si="4"/>
        <v>3.9125088635253027</v>
      </c>
      <c r="C33" s="1"/>
      <c r="D33">
        <f t="shared" si="5"/>
        <v>2.7015960854524401</v>
      </c>
      <c r="E33" s="1"/>
      <c r="F33">
        <f t="shared" si="2"/>
        <v>6.6141049489777428</v>
      </c>
      <c r="G33" s="1"/>
      <c r="H33">
        <f t="shared" si="3"/>
        <v>264.56419795910972</v>
      </c>
    </row>
    <row r="34" spans="1:11" ht="14.25">
      <c r="A34" s="1"/>
      <c r="B34">
        <f t="shared" si="4"/>
        <v>3.9037788903562323</v>
      </c>
      <c r="C34" s="1"/>
      <c r="D34">
        <f t="shared" si="5"/>
        <v>1.8415080014151686</v>
      </c>
      <c r="E34" s="1"/>
      <c r="F34">
        <f t="shared" si="2"/>
        <v>5.7452868917714008</v>
      </c>
      <c r="G34" s="1"/>
      <c r="H34">
        <f t="shared" si="3"/>
        <v>229.81147567085603</v>
      </c>
    </row>
    <row r="35" spans="1:11" ht="14.25">
      <c r="A35" s="1" t="s">
        <v>54</v>
      </c>
      <c r="B35">
        <f t="shared" si="4"/>
        <v>3.3511958828516026</v>
      </c>
      <c r="C35" s="1" t="s">
        <v>54</v>
      </c>
      <c r="D35">
        <f t="shared" si="5"/>
        <v>1.7813281566581627</v>
      </c>
      <c r="E35" s="1" t="s">
        <v>54</v>
      </c>
      <c r="F35">
        <f t="shared" si="2"/>
        <v>5.1325240395097653</v>
      </c>
      <c r="G35" s="1" t="s">
        <v>54</v>
      </c>
      <c r="H35">
        <f t="shared" si="3"/>
        <v>205.30096158039063</v>
      </c>
      <c r="I35">
        <f>AVERAGE(H35:H37)</f>
        <v>205.56532301446751</v>
      </c>
      <c r="K35">
        <f t="shared" si="6"/>
        <v>8.916643960241629</v>
      </c>
    </row>
    <row r="36" spans="1:11" ht="14.25">
      <c r="A36" s="1"/>
      <c r="B36">
        <f t="shared" si="4"/>
        <v>3.262550995165939</v>
      </c>
      <c r="C36" s="1"/>
      <c r="D36">
        <f t="shared" si="5"/>
        <v>1.6570439907058621</v>
      </c>
      <c r="E36" s="1"/>
      <c r="F36">
        <f t="shared" si="2"/>
        <v>4.9195949858718011</v>
      </c>
      <c r="G36" s="1"/>
      <c r="H36">
        <f t="shared" si="3"/>
        <v>196.78379943487204</v>
      </c>
    </row>
    <row r="37" spans="1:11" ht="14.25">
      <c r="A37" s="1"/>
      <c r="B37">
        <f t="shared" si="4"/>
        <v>3.4141760782467632</v>
      </c>
      <c r="C37" s="1"/>
      <c r="D37">
        <f t="shared" si="5"/>
        <v>1.9511041224567354</v>
      </c>
      <c r="E37" s="1"/>
      <c r="F37">
        <f t="shared" si="2"/>
        <v>5.3652802007034985</v>
      </c>
      <c r="G37" s="1"/>
      <c r="H37">
        <f t="shared" si="3"/>
        <v>214.61120802813994</v>
      </c>
    </row>
    <row r="38" spans="1:11" ht="14.25">
      <c r="A38" s="1" t="s">
        <v>53</v>
      </c>
      <c r="B38">
        <f t="shared" si="4"/>
        <v>3.2238180796194076</v>
      </c>
      <c r="C38" s="1" t="s">
        <v>53</v>
      </c>
      <c r="D38">
        <f t="shared" si="5"/>
        <v>1.5941040620613096</v>
      </c>
      <c r="E38" s="1" t="s">
        <v>53</v>
      </c>
      <c r="F38">
        <f t="shared" si="2"/>
        <v>4.8179221416807172</v>
      </c>
      <c r="G38" s="1" t="s">
        <v>53</v>
      </c>
      <c r="H38">
        <f t="shared" si="3"/>
        <v>192.71688566722869</v>
      </c>
      <c r="I38">
        <f>AVERAGE(H38:H40)</f>
        <v>192.69199239760519</v>
      </c>
      <c r="K38">
        <f t="shared" si="6"/>
        <v>15.979475418323108</v>
      </c>
    </row>
    <row r="39" spans="1:11" ht="14.25">
      <c r="A39" s="1"/>
      <c r="B39">
        <f t="shared" si="4"/>
        <v>3.3077189496963229</v>
      </c>
      <c r="C39" s="1"/>
      <c r="D39">
        <f t="shared" si="5"/>
        <v>1.9087562162743161</v>
      </c>
      <c r="E39" s="1"/>
      <c r="F39">
        <f t="shared" si="2"/>
        <v>5.216475165970639</v>
      </c>
      <c r="G39" s="1"/>
      <c r="H39">
        <f t="shared" si="3"/>
        <v>208.65900663882556</v>
      </c>
    </row>
    <row r="40" spans="1:11" ht="14.25">
      <c r="A40" s="1"/>
      <c r="B40">
        <f t="shared" si="4"/>
        <v>3.1719259487394025</v>
      </c>
      <c r="C40" s="1"/>
      <c r="D40">
        <f t="shared" si="5"/>
        <v>1.2455761734296305</v>
      </c>
      <c r="E40" s="1"/>
      <c r="F40">
        <f t="shared" si="2"/>
        <v>4.4175021221690329</v>
      </c>
      <c r="G40" s="1"/>
      <c r="H40">
        <f t="shared" si="3"/>
        <v>176.70008488676132</v>
      </c>
    </row>
    <row r="41" spans="1:11" ht="14.25">
      <c r="A41" s="1" t="s">
        <v>55</v>
      </c>
      <c r="B41">
        <f t="shared" si="4"/>
        <v>3.6495237515258792</v>
      </c>
      <c r="C41" s="1" t="s">
        <v>55</v>
      </c>
      <c r="D41">
        <f t="shared" si="5"/>
        <v>2.0496482739257811</v>
      </c>
      <c r="E41" s="1" t="s">
        <v>128</v>
      </c>
      <c r="F41">
        <f t="shared" si="2"/>
        <v>5.6991720254516602</v>
      </c>
      <c r="G41" s="1" t="s">
        <v>55</v>
      </c>
      <c r="H41">
        <f t="shared" si="3"/>
        <v>227.96688101806643</v>
      </c>
      <c r="I41">
        <f>AVERAGE(H41:H43)</f>
        <v>227.99500312531129</v>
      </c>
      <c r="K41">
        <f t="shared" si="6"/>
        <v>2.2089936480680086</v>
      </c>
    </row>
    <row r="42" spans="1:11" ht="14.25">
      <c r="B42">
        <f t="shared" si="4"/>
        <v>3.3052398936543241</v>
      </c>
      <c r="D42">
        <f t="shared" si="5"/>
        <v>2.4502081955278565</v>
      </c>
      <c r="E42" s="1"/>
      <c r="F42">
        <f t="shared" si="2"/>
        <v>5.7554480891821811</v>
      </c>
      <c r="G42" s="1"/>
      <c r="H42">
        <f t="shared" si="3"/>
        <v>230.21792356728724</v>
      </c>
    </row>
    <row r="43" spans="1:11" ht="14.25">
      <c r="B43">
        <f t="shared" si="4"/>
        <v>3.984768897854198</v>
      </c>
      <c r="D43">
        <f t="shared" si="5"/>
        <v>1.6602362219103051</v>
      </c>
      <c r="E43" s="1"/>
      <c r="F43">
        <f t="shared" si="2"/>
        <v>5.6450051197645035</v>
      </c>
      <c r="G43" s="1"/>
      <c r="H43">
        <f t="shared" si="3"/>
        <v>225.80020479058012</v>
      </c>
    </row>
    <row r="45" spans="1:11">
      <c r="B45" t="s">
        <v>172</v>
      </c>
      <c r="C45" t="s">
        <v>171</v>
      </c>
    </row>
    <row r="46" spans="1:11" ht="14.25">
      <c r="A46" s="1" t="s">
        <v>31</v>
      </c>
      <c r="B46">
        <v>146.5</v>
      </c>
      <c r="C46">
        <v>2.207284</v>
      </c>
      <c r="D46">
        <v>2.207284</v>
      </c>
      <c r="E46" s="1"/>
    </row>
    <row r="47" spans="1:11" ht="14.25">
      <c r="A47" s="1" t="s">
        <v>54</v>
      </c>
      <c r="B47">
        <v>205.6</v>
      </c>
      <c r="C47">
        <v>8.9166439999999998</v>
      </c>
      <c r="D47">
        <v>8.9166439999999998</v>
      </c>
    </row>
    <row r="48" spans="1:11" ht="14.25">
      <c r="A48" s="1" t="s">
        <v>53</v>
      </c>
      <c r="B48">
        <v>192.7</v>
      </c>
      <c r="C48">
        <v>15.979480000000001</v>
      </c>
      <c r="D48">
        <v>15.979480000000001</v>
      </c>
    </row>
    <row r="49" spans="1:4" ht="14.25">
      <c r="A49" s="1" t="s">
        <v>55</v>
      </c>
      <c r="B49">
        <v>228</v>
      </c>
      <c r="C49">
        <v>2.2089940000000001</v>
      </c>
      <c r="D49">
        <v>2.2089940000000001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3"/>
  <sheetViews>
    <sheetView workbookViewId="0">
      <selection sqref="A1:M2"/>
    </sheetView>
  </sheetViews>
  <sheetFormatPr defaultRowHeight="13.5"/>
  <sheetData>
    <row r="1" spans="1:23">
      <c r="A1" t="s">
        <v>176</v>
      </c>
    </row>
    <row r="2" spans="1:23">
      <c r="B2" t="s">
        <v>175</v>
      </c>
    </row>
    <row r="3" spans="1:23">
      <c r="A3" s="7"/>
      <c r="B3" s="7" t="s">
        <v>39</v>
      </c>
      <c r="C3" s="7"/>
      <c r="D3" s="7" t="s">
        <v>40</v>
      </c>
      <c r="E3" s="7"/>
      <c r="F3" s="7" t="s">
        <v>70</v>
      </c>
      <c r="G3" s="7"/>
      <c r="H3" s="7" t="s">
        <v>41</v>
      </c>
      <c r="I3" s="7" t="s">
        <v>42</v>
      </c>
      <c r="J3" s="7" t="s">
        <v>43</v>
      </c>
      <c r="K3" s="7" t="s">
        <v>71</v>
      </c>
      <c r="L3" s="7" t="s">
        <v>164</v>
      </c>
      <c r="M3" s="7" t="s">
        <v>167</v>
      </c>
      <c r="N3" s="7" t="s">
        <v>168</v>
      </c>
      <c r="O3" s="7" t="s">
        <v>165</v>
      </c>
      <c r="P3" s="7" t="s">
        <v>153</v>
      </c>
      <c r="Q3" s="7" t="s">
        <v>168</v>
      </c>
      <c r="R3" s="7" t="s">
        <v>166</v>
      </c>
      <c r="S3" s="7" t="s">
        <v>167</v>
      </c>
      <c r="T3" s="7" t="s">
        <v>168</v>
      </c>
      <c r="U3" s="7" t="s">
        <v>169</v>
      </c>
      <c r="V3" s="7" t="s">
        <v>167</v>
      </c>
      <c r="W3" s="7" t="s">
        <v>168</v>
      </c>
    </row>
    <row r="4" spans="1:23">
      <c r="A4" s="7" t="s">
        <v>110</v>
      </c>
      <c r="B4" s="7">
        <v>-6.4000040292739868E-3</v>
      </c>
      <c r="C4" s="7">
        <f>AVERAGE(B4:B6)</f>
        <v>-8.933335542678833E-3</v>
      </c>
      <c r="D4" s="7">
        <v>-6.1999969184398651E-3</v>
      </c>
      <c r="E4" s="7">
        <f>AVERAGE(D4:D6)</f>
        <v>-8.9666657149791718E-3</v>
      </c>
      <c r="F4" s="7">
        <v>-7.2999969124794006E-3</v>
      </c>
      <c r="G4" s="7">
        <f>AVERAGE(F4:F6)</f>
        <v>-1.1300000051657358E-2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>
      <c r="A5" s="7" t="s">
        <v>111</v>
      </c>
      <c r="B5" s="7">
        <v>-9.0999975800514221E-3</v>
      </c>
      <c r="C5" s="7"/>
      <c r="D5" s="7">
        <v>-9.3000009655952454E-3</v>
      </c>
      <c r="E5" s="7"/>
      <c r="F5" s="7">
        <v>-1.1500000953674316E-2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>
      <c r="A6" s="7" t="s">
        <v>112</v>
      </c>
      <c r="B6" s="7">
        <v>-1.130000501871109E-2</v>
      </c>
      <c r="C6" s="7"/>
      <c r="D6" s="7">
        <v>-1.1399999260902405E-2</v>
      </c>
      <c r="E6" s="7"/>
      <c r="F6" s="7">
        <v>-1.5100002288818359E-2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>
      <c r="A7" s="7" t="s">
        <v>72</v>
      </c>
      <c r="B7" s="7">
        <v>0.847500004480782</v>
      </c>
      <c r="C7" s="7">
        <f t="shared" ref="C7:C18" si="0">B7+0.00893</f>
        <v>0.85643000448078199</v>
      </c>
      <c r="D7" s="7">
        <v>0.30180000007152602</v>
      </c>
      <c r="E7" s="7">
        <f t="shared" ref="E7:E18" si="1">D7+0.00897</f>
        <v>0.310770000071526</v>
      </c>
      <c r="F7" s="7">
        <v>0.93210002837556005</v>
      </c>
      <c r="G7" s="7">
        <f t="shared" ref="G7:G18" si="2">F7+0.0113</f>
        <v>0.94340002837556003</v>
      </c>
      <c r="H7" s="7">
        <f>13.95*C7-6.88*E7</f>
        <v>9.80910096201481</v>
      </c>
      <c r="I7" s="7">
        <f t="shared" ref="I7:I18" si="3">24.96*E7-7.32*C7</f>
        <v>1.4877515689859644</v>
      </c>
      <c r="J7" s="7">
        <f>H7+I7</f>
        <v>11.296852531000773</v>
      </c>
      <c r="K7" s="7">
        <f t="shared" ref="K7:K18" si="4">(1000*G7-2.05*H7-114.8*I7)/248</f>
        <v>3.0342640777574235</v>
      </c>
      <c r="L7" s="7">
        <f>H7*2*1/0.1</f>
        <v>196.1820192402962</v>
      </c>
      <c r="M7" s="7">
        <f>AVERAGE(L7:L9)</f>
        <v>198.83701904764044</v>
      </c>
      <c r="N7" s="7">
        <f>STDEV(L7:L9)</f>
        <v>4.2334812767484395</v>
      </c>
      <c r="O7" s="7">
        <f>I7*2*1/0.1</f>
        <v>29.755031379719288</v>
      </c>
      <c r="P7" s="7">
        <f>AVERAGE(O7:O9)</f>
        <v>36.688309605920928</v>
      </c>
      <c r="Q7" s="7">
        <f>STDEV(O7:O9)</f>
        <v>6.4139754733374987</v>
      </c>
      <c r="R7" s="7">
        <f>L7+O7</f>
        <v>225.9370506200155</v>
      </c>
      <c r="S7" s="7">
        <f>AVERAGE(R7:R9)</f>
        <v>235.52532865356139</v>
      </c>
      <c r="T7" s="7">
        <f>STDEV(R7:R9)</f>
        <v>10.134435143524634</v>
      </c>
      <c r="U7" s="7">
        <f t="shared" ref="U7:U18" si="5">K7*2*1/0.1/1000</f>
        <v>6.0685281555148463E-2</v>
      </c>
      <c r="V7" s="7">
        <f>AVERAGE(U7:U9)</f>
        <v>5.9330238435495758E-2</v>
      </c>
      <c r="W7" s="7">
        <f>STDEV(U7:U9)</f>
        <v>1.780826327526609E-3</v>
      </c>
    </row>
    <row r="8" spans="1:23">
      <c r="A8" s="7" t="s">
        <v>73</v>
      </c>
      <c r="B8" s="7">
        <v>0.89370000165700902</v>
      </c>
      <c r="C8" s="7">
        <f t="shared" si="0"/>
        <v>0.90263000165700902</v>
      </c>
      <c r="D8" s="7">
        <v>0.34070000869035699</v>
      </c>
      <c r="E8" s="7">
        <f t="shared" si="1"/>
        <v>0.34967000869035697</v>
      </c>
      <c r="F8" s="7">
        <v>0.96369997228343995</v>
      </c>
      <c r="G8" s="7">
        <f t="shared" si="2"/>
        <v>0.97499997228343993</v>
      </c>
      <c r="H8" s="7">
        <f t="shared" ref="H8:H18" si="6">13.95*C8-6.88*E8</f>
        <v>10.18595886332562</v>
      </c>
      <c r="I8" s="7">
        <f t="shared" si="3"/>
        <v>2.1205118047820042</v>
      </c>
      <c r="J8" s="7">
        <f>H8+I8</f>
        <v>12.306470668107625</v>
      </c>
      <c r="K8" s="7">
        <f t="shared" si="4"/>
        <v>2.8656612960671306</v>
      </c>
      <c r="L8" s="7">
        <f t="shared" ref="L8:L18" si="7">H8*2*1/0.1</f>
        <v>203.71917726651239</v>
      </c>
      <c r="M8" s="7"/>
      <c r="N8" s="7"/>
      <c r="O8" s="7">
        <f t="shared" ref="O8:O18" si="8">I8*2*1/0.1</f>
        <v>42.41023609564008</v>
      </c>
      <c r="P8" s="7"/>
      <c r="Q8" s="7"/>
      <c r="R8" s="7">
        <f>L8+O8</f>
        <v>246.12941336215246</v>
      </c>
      <c r="S8" s="7"/>
      <c r="T8" s="7"/>
      <c r="U8" s="7">
        <f t="shared" si="5"/>
        <v>5.7313225921342609E-2</v>
      </c>
      <c r="V8" s="7"/>
      <c r="W8" s="7"/>
    </row>
    <row r="9" spans="1:23">
      <c r="A9" s="7" t="s">
        <v>74</v>
      </c>
      <c r="B9" s="7">
        <v>0.85869999873638003</v>
      </c>
      <c r="C9" s="7">
        <f t="shared" si="0"/>
        <v>0.86762999873638003</v>
      </c>
      <c r="D9" s="7">
        <v>0.321399978280067</v>
      </c>
      <c r="E9" s="7">
        <f t="shared" si="1"/>
        <v>0.33036997828006698</v>
      </c>
      <c r="F9" s="7">
        <v>0.97029994391255003</v>
      </c>
      <c r="G9" s="7">
        <f t="shared" si="2"/>
        <v>0.98159994391255001</v>
      </c>
      <c r="H9" s="7">
        <f t="shared" si="6"/>
        <v>9.8304930318056396</v>
      </c>
      <c r="I9" s="7">
        <f t="shared" si="3"/>
        <v>1.8949830671201706</v>
      </c>
      <c r="J9" s="7">
        <f>H9+I9</f>
        <v>11.72547609892581</v>
      </c>
      <c r="K9" s="7">
        <f t="shared" si="4"/>
        <v>2.99961039149981</v>
      </c>
      <c r="L9" s="7">
        <f t="shared" si="7"/>
        <v>196.60986063611278</v>
      </c>
      <c r="M9" s="7"/>
      <c r="N9" s="7"/>
      <c r="O9" s="7">
        <f t="shared" si="8"/>
        <v>37.899661342403412</v>
      </c>
      <c r="P9" s="7"/>
      <c r="Q9" s="7"/>
      <c r="R9" s="7">
        <f>L9+O9</f>
        <v>234.5095219785162</v>
      </c>
      <c r="S9" s="7"/>
      <c r="T9" s="7"/>
      <c r="U9" s="7">
        <f t="shared" si="5"/>
        <v>5.9992207829996196E-2</v>
      </c>
      <c r="V9" s="7"/>
      <c r="W9" s="7"/>
    </row>
    <row r="10" spans="1:23" ht="14.25">
      <c r="A10" s="11" t="s">
        <v>113</v>
      </c>
      <c r="B10" s="7">
        <v>2.4943999904394101</v>
      </c>
      <c r="C10" s="7">
        <f t="shared" si="0"/>
        <v>2.50332999043941</v>
      </c>
      <c r="D10" s="7">
        <v>1.3214999641060801</v>
      </c>
      <c r="E10" s="7">
        <f t="shared" si="1"/>
        <v>1.33046996410608</v>
      </c>
      <c r="F10" s="7">
        <v>2.65310000240834</v>
      </c>
      <c r="G10" s="7">
        <f t="shared" si="2"/>
        <v>2.6644000024083399</v>
      </c>
      <c r="H10" s="7">
        <f t="shared" si="6"/>
        <v>25.767820013579939</v>
      </c>
      <c r="I10" s="7">
        <f t="shared" si="3"/>
        <v>14.884154774071277</v>
      </c>
      <c r="J10" s="7">
        <f t="shared" ref="J10:J18" si="9">6.63*C10+18.16*E10</f>
        <v>40.758412384779703</v>
      </c>
      <c r="K10" s="7">
        <f t="shared" si="4"/>
        <v>3.6406250133754776</v>
      </c>
      <c r="L10" s="7">
        <f t="shared" si="7"/>
        <v>515.35640027159877</v>
      </c>
      <c r="M10" s="7">
        <f>AVERAGE(L10:L12)</f>
        <v>506.31347211578287</v>
      </c>
      <c r="N10" s="7">
        <f>STDEV(L10:L12)</f>
        <v>21.795237055774436</v>
      </c>
      <c r="O10" s="7">
        <f t="shared" si="8"/>
        <v>297.68309548142554</v>
      </c>
      <c r="P10" s="7">
        <f>AVERAGE(O10:O12)</f>
        <v>307.95069988450592</v>
      </c>
      <c r="Q10" s="7">
        <f>STDEV(O10:O12)</f>
        <v>10.263720584406949</v>
      </c>
      <c r="R10" s="7">
        <f t="shared" ref="R10:R18" si="10">L10+O10</f>
        <v>813.03949575302431</v>
      </c>
      <c r="S10" s="7">
        <f>AVERAGE(R10:R12)</f>
        <v>814.2641720002888</v>
      </c>
      <c r="T10" s="7">
        <f>STDEV(R10:R12)</f>
        <v>25.487758720244546</v>
      </c>
      <c r="U10" s="7">
        <f t="shared" si="5"/>
        <v>7.2812500267509545E-2</v>
      </c>
      <c r="V10" s="7">
        <f>AVERAGE(U10:U12)</f>
        <v>6.5795633426908945E-2</v>
      </c>
      <c r="W10" s="7">
        <f>STDEV(U10:U12)</f>
        <v>1.1770018891926415E-2</v>
      </c>
    </row>
    <row r="11" spans="1:23" ht="14.25">
      <c r="A11" s="8" t="s">
        <v>114</v>
      </c>
      <c r="B11" s="7">
        <v>2.36419999143481</v>
      </c>
      <c r="C11" s="7">
        <f t="shared" si="0"/>
        <v>2.3731299914348098</v>
      </c>
      <c r="D11" s="7">
        <v>1.30389999735951</v>
      </c>
      <c r="E11" s="7">
        <f t="shared" si="1"/>
        <v>1.3128699973595099</v>
      </c>
      <c r="F11" s="7">
        <v>2.4531000033542201</v>
      </c>
      <c r="G11" s="7">
        <f t="shared" si="2"/>
        <v>2.4644000033542199</v>
      </c>
      <c r="H11" s="7">
        <f t="shared" si="6"/>
        <v>24.07261779868217</v>
      </c>
      <c r="I11" s="7">
        <f t="shared" si="3"/>
        <v>15.397923596790562</v>
      </c>
      <c r="J11" s="7">
        <f t="shared" si="9"/>
        <v>39.575570995261486</v>
      </c>
      <c r="K11" s="7">
        <f t="shared" si="4"/>
        <v>2.6103609191748576</v>
      </c>
      <c r="L11" s="7">
        <f t="shared" si="7"/>
        <v>481.45235597364336</v>
      </c>
      <c r="M11" s="7"/>
      <c r="N11" s="7"/>
      <c r="O11" s="7">
        <f t="shared" si="8"/>
        <v>307.95847193581125</v>
      </c>
      <c r="P11" s="7"/>
      <c r="Q11" s="7"/>
      <c r="R11" s="7">
        <f t="shared" si="10"/>
        <v>789.41082790945461</v>
      </c>
      <c r="S11" s="7"/>
      <c r="T11" s="7"/>
      <c r="U11" s="7">
        <f t="shared" si="5"/>
        <v>5.220721838349715E-2</v>
      </c>
      <c r="V11" s="7"/>
      <c r="W11" s="7"/>
    </row>
    <row r="12" spans="1:23" ht="14.25">
      <c r="A12" s="8" t="s">
        <v>115</v>
      </c>
      <c r="B12" s="7">
        <v>2.5464999859809798</v>
      </c>
      <c r="C12" s="7">
        <f t="shared" si="0"/>
        <v>2.5554299859809797</v>
      </c>
      <c r="D12" s="7">
        <v>1.37789995629787</v>
      </c>
      <c r="E12" s="7">
        <f t="shared" si="1"/>
        <v>1.3868699562978699</v>
      </c>
      <c r="F12" s="7">
        <v>2.76610000240525</v>
      </c>
      <c r="G12" s="7">
        <f t="shared" si="2"/>
        <v>2.7774000024052499</v>
      </c>
      <c r="H12" s="7">
        <f t="shared" si="6"/>
        <v>26.106583005105321</v>
      </c>
      <c r="I12" s="7">
        <f t="shared" si="3"/>
        <v>15.91052661181406</v>
      </c>
      <c r="J12" s="7">
        <f t="shared" si="9"/>
        <v>42.128059213423214</v>
      </c>
      <c r="K12" s="7">
        <f t="shared" si="4"/>
        <v>3.6183590814860072</v>
      </c>
      <c r="L12" s="7">
        <f t="shared" si="7"/>
        <v>522.13166010210637</v>
      </c>
      <c r="M12" s="7"/>
      <c r="N12" s="7"/>
      <c r="O12" s="7">
        <f t="shared" si="8"/>
        <v>318.21053223628115</v>
      </c>
      <c r="P12" s="7"/>
      <c r="Q12" s="7"/>
      <c r="R12" s="7">
        <f t="shared" si="10"/>
        <v>840.34219233838758</v>
      </c>
      <c r="S12" s="7"/>
      <c r="T12" s="7"/>
      <c r="U12" s="7">
        <f t="shared" si="5"/>
        <v>7.236718162972014E-2</v>
      </c>
      <c r="V12" s="7"/>
      <c r="W12" s="7"/>
    </row>
    <row r="13" spans="1:23" ht="14.25">
      <c r="A13" s="8" t="s">
        <v>116</v>
      </c>
      <c r="B13" s="7">
        <v>2.3668999467492098</v>
      </c>
      <c r="C13" s="7">
        <f t="shared" si="0"/>
        <v>2.3758299467492097</v>
      </c>
      <c r="D13" s="7">
        <v>1.2981000481843901</v>
      </c>
      <c r="E13" s="7">
        <f t="shared" si="1"/>
        <v>1.30707004818439</v>
      </c>
      <c r="F13" s="7">
        <v>2.4542001006677499</v>
      </c>
      <c r="G13" s="7">
        <f t="shared" si="2"/>
        <v>2.4655001006677497</v>
      </c>
      <c r="H13" s="7">
        <f t="shared" si="6"/>
        <v>24.150185825642872</v>
      </c>
      <c r="I13" s="7">
        <f t="shared" si="3"/>
        <v>15.233393192478161</v>
      </c>
      <c r="J13" s="7">
        <f t="shared" si="9"/>
        <v>39.488144621975785</v>
      </c>
      <c r="K13" s="7">
        <f t="shared" si="4"/>
        <v>2.6903172630189087</v>
      </c>
      <c r="L13" s="7">
        <f t="shared" si="7"/>
        <v>483.00371651285741</v>
      </c>
      <c r="M13" s="7">
        <f>AVERAGE(L13:L15)</f>
        <v>481.14662811001352</v>
      </c>
      <c r="N13" s="7">
        <f>STDEV(L13:L15)</f>
        <v>12.059892278990514</v>
      </c>
      <c r="O13" s="7">
        <f t="shared" si="8"/>
        <v>304.66786384956322</v>
      </c>
      <c r="P13" s="7">
        <f>AVERAGE(O13:O15)</f>
        <v>311.52065274308285</v>
      </c>
      <c r="Q13" s="7">
        <f>STDEV(O13:O15)</f>
        <v>14.686692085718025</v>
      </c>
      <c r="R13" s="7">
        <f t="shared" si="10"/>
        <v>787.67158036242063</v>
      </c>
      <c r="S13" s="7">
        <f>AVERAGE(R13:R15)</f>
        <v>792.66728085309649</v>
      </c>
      <c r="T13" s="7">
        <f>STDEV(R13:R15)</f>
        <v>25.752415446503615</v>
      </c>
      <c r="U13" s="7">
        <f t="shared" si="5"/>
        <v>5.3806345260378176E-2</v>
      </c>
      <c r="V13" s="7">
        <f>AVERAGE(U13:U15)</f>
        <v>5.3552733673866489E-2</v>
      </c>
      <c r="W13" s="7">
        <f>STDEV(U13:U15)</f>
        <v>5.0662531811090138E-3</v>
      </c>
    </row>
    <row r="14" spans="1:23" ht="14.25">
      <c r="A14" s="8" t="s">
        <v>117</v>
      </c>
      <c r="B14" s="7">
        <v>2.4326999914407699</v>
      </c>
      <c r="C14" s="7">
        <f t="shared" si="0"/>
        <v>2.4416299914407698</v>
      </c>
      <c r="D14" s="7">
        <v>1.3648999968528699</v>
      </c>
      <c r="E14" s="7">
        <f t="shared" si="1"/>
        <v>1.3738699968528698</v>
      </c>
      <c r="F14" s="7">
        <v>2.64929993382448</v>
      </c>
      <c r="G14" s="7">
        <f t="shared" si="2"/>
        <v>2.6605999338244799</v>
      </c>
      <c r="H14" s="7">
        <f t="shared" si="6"/>
        <v>24.608512802250992</v>
      </c>
      <c r="I14" s="7">
        <f t="shared" si="3"/>
        <v>16.419063584101199</v>
      </c>
      <c r="J14" s="7">
        <f t="shared" si="9"/>
        <v>41.137485986100415</v>
      </c>
      <c r="K14" s="7">
        <f t="shared" si="4"/>
        <v>2.9243708996977746</v>
      </c>
      <c r="L14" s="7">
        <f t="shared" si="7"/>
        <v>492.17025604501981</v>
      </c>
      <c r="M14" s="7"/>
      <c r="N14" s="7"/>
      <c r="O14" s="7">
        <f t="shared" si="8"/>
        <v>328.38127168202396</v>
      </c>
      <c r="P14" s="7"/>
      <c r="Q14" s="7"/>
      <c r="R14" s="7">
        <f t="shared" si="10"/>
        <v>820.55152772704378</v>
      </c>
      <c r="S14" s="7"/>
      <c r="T14" s="7"/>
      <c r="U14" s="7">
        <f t="shared" si="5"/>
        <v>5.8487417993955487E-2</v>
      </c>
      <c r="V14" s="7"/>
      <c r="W14" s="7"/>
    </row>
    <row r="15" spans="1:23" ht="14.25">
      <c r="A15" s="8" t="s">
        <v>118</v>
      </c>
      <c r="B15" s="7">
        <v>2.3014999255537898</v>
      </c>
      <c r="C15" s="7">
        <f t="shared" si="0"/>
        <v>2.3104299255537897</v>
      </c>
      <c r="D15" s="7">
        <v>1.27260003966093</v>
      </c>
      <c r="E15" s="7">
        <f t="shared" si="1"/>
        <v>1.28157003966093</v>
      </c>
      <c r="F15" s="7">
        <v>2.3670998865553199</v>
      </c>
      <c r="G15" s="7">
        <f t="shared" si="2"/>
        <v>2.3783998865553198</v>
      </c>
      <c r="H15" s="7">
        <f t="shared" si="6"/>
        <v>23.413295588608168</v>
      </c>
      <c r="I15" s="7">
        <f t="shared" si="3"/>
        <v>15.075641134883075</v>
      </c>
      <c r="J15" s="7">
        <f t="shared" si="9"/>
        <v>38.591462326664114</v>
      </c>
      <c r="K15" s="7">
        <f t="shared" si="4"/>
        <v>2.4182218883632913</v>
      </c>
      <c r="L15" s="7">
        <f t="shared" si="7"/>
        <v>468.26591177216335</v>
      </c>
      <c r="M15" s="7"/>
      <c r="N15" s="7"/>
      <c r="O15" s="7">
        <f t="shared" si="8"/>
        <v>301.51282269766148</v>
      </c>
      <c r="P15" s="7"/>
      <c r="Q15" s="7"/>
      <c r="R15" s="7">
        <f t="shared" si="10"/>
        <v>769.77873446982483</v>
      </c>
      <c r="S15" s="7"/>
      <c r="T15" s="7"/>
      <c r="U15" s="7">
        <f t="shared" si="5"/>
        <v>4.8364437767265823E-2</v>
      </c>
      <c r="V15" s="7"/>
      <c r="W15" s="7"/>
    </row>
    <row r="16" spans="1:23" ht="14.25">
      <c r="A16" s="8" t="s">
        <v>119</v>
      </c>
      <c r="B16" s="7">
        <v>1.8460999800562801</v>
      </c>
      <c r="C16" s="7">
        <f t="shared" si="0"/>
        <v>1.8550299800562802</v>
      </c>
      <c r="D16" s="7">
        <v>0.86820001780986</v>
      </c>
      <c r="E16" s="7">
        <f t="shared" si="1"/>
        <v>0.87717001780986004</v>
      </c>
      <c r="F16" s="7">
        <v>1.86310002088546</v>
      </c>
      <c r="G16" s="7">
        <f t="shared" si="2"/>
        <v>1.8744000208854601</v>
      </c>
      <c r="H16" s="7">
        <f t="shared" si="6"/>
        <v>19.842738499253272</v>
      </c>
      <c r="I16" s="7">
        <f t="shared" si="3"/>
        <v>8.3153441905221346</v>
      </c>
      <c r="J16" s="7">
        <f t="shared" si="9"/>
        <v>28.228256291200196</v>
      </c>
      <c r="K16" s="7">
        <f t="shared" si="4"/>
        <v>3.5448423140727816</v>
      </c>
      <c r="L16" s="7">
        <f t="shared" si="7"/>
        <v>396.85476998506545</v>
      </c>
      <c r="M16" s="7">
        <f>AVERAGE(L16:L18)</f>
        <v>395.99665432957971</v>
      </c>
      <c r="N16" s="7">
        <f>STDEV(L16:L18)</f>
        <v>2.5044536076579589</v>
      </c>
      <c r="O16" s="7">
        <f t="shared" si="8"/>
        <v>166.30688381044268</v>
      </c>
      <c r="P16" s="7">
        <f>AVERAGE(O16:O18)</f>
        <v>170.37240774881255</v>
      </c>
      <c r="Q16" s="7">
        <f>STDEV(O16:O18)</f>
        <v>10.176524751231403</v>
      </c>
      <c r="R16" s="7">
        <f t="shared" si="10"/>
        <v>563.16165379550807</v>
      </c>
      <c r="S16" s="7">
        <f>AVERAGE(R16:R18)</f>
        <v>566.36906207839218</v>
      </c>
      <c r="T16" s="7">
        <f>STDEV(R16:R18)</f>
        <v>12.258556611846556</v>
      </c>
      <c r="U16" s="7">
        <f t="shared" si="5"/>
        <v>7.0896846281455622E-2</v>
      </c>
      <c r="V16" s="7">
        <f>AVERAGE(U16:U18)</f>
        <v>6.8984358591192799E-2</v>
      </c>
      <c r="W16" s="7">
        <f>STDEV(U16:U18)</f>
        <v>2.3545059713839657E-3</v>
      </c>
    </row>
    <row r="17" spans="1:23" ht="14.25">
      <c r="A17" s="8" t="s">
        <v>120</v>
      </c>
      <c r="B17" s="7">
        <v>1.86879992508888</v>
      </c>
      <c r="C17" s="7">
        <f t="shared" si="0"/>
        <v>1.8777299250888801</v>
      </c>
      <c r="D17" s="7">
        <v>0.90620003707408003</v>
      </c>
      <c r="E17" s="7">
        <f t="shared" si="1"/>
        <v>0.91517003707408007</v>
      </c>
      <c r="F17" s="7">
        <v>1.8966999477733499</v>
      </c>
      <c r="G17" s="7">
        <f t="shared" si="2"/>
        <v>1.90799994777335</v>
      </c>
      <c r="H17" s="7">
        <f t="shared" si="6"/>
        <v>19.897962599920206</v>
      </c>
      <c r="I17" s="7">
        <f t="shared" si="3"/>
        <v>9.0976610737184345</v>
      </c>
      <c r="J17" s="7">
        <f t="shared" si="9"/>
        <v>29.068837276604569</v>
      </c>
      <c r="K17" s="7">
        <f t="shared" si="4"/>
        <v>3.3177323918574078</v>
      </c>
      <c r="L17" s="7">
        <f t="shared" si="7"/>
        <v>397.95925199840411</v>
      </c>
      <c r="M17" s="7"/>
      <c r="N17" s="7"/>
      <c r="O17" s="7">
        <f t="shared" si="8"/>
        <v>181.95322147436869</v>
      </c>
      <c r="P17" s="7"/>
      <c r="Q17" s="7"/>
      <c r="R17" s="7">
        <f t="shared" si="10"/>
        <v>579.91247347277283</v>
      </c>
      <c r="S17" s="7"/>
      <c r="T17" s="7"/>
      <c r="U17" s="7">
        <f t="shared" si="5"/>
        <v>6.6354647837148145E-2</v>
      </c>
      <c r="V17" s="7"/>
      <c r="W17" s="7"/>
    </row>
    <row r="18" spans="1:23" ht="14.25">
      <c r="A18" s="8" t="s">
        <v>121</v>
      </c>
      <c r="B18" s="7">
        <v>1.8267000194787899</v>
      </c>
      <c r="C18" s="7">
        <f t="shared" si="0"/>
        <v>1.83563001947879</v>
      </c>
      <c r="D18" s="7">
        <v>0.85560001765489002</v>
      </c>
      <c r="E18" s="7">
        <f t="shared" si="1"/>
        <v>0.86457001765489006</v>
      </c>
      <c r="F18" s="7">
        <v>1.8281000035744599</v>
      </c>
      <c r="G18" s="7">
        <f t="shared" si="2"/>
        <v>1.83940000357446</v>
      </c>
      <c r="H18" s="7">
        <f t="shared" si="6"/>
        <v>19.658797050263477</v>
      </c>
      <c r="I18" s="7">
        <f t="shared" si="3"/>
        <v>8.1428558980813133</v>
      </c>
      <c r="J18" s="7">
        <f t="shared" si="9"/>
        <v>27.870818549757182</v>
      </c>
      <c r="K18" s="7">
        <f t="shared" si="4"/>
        <v>3.4850790827487308</v>
      </c>
      <c r="L18" s="7">
        <f t="shared" si="7"/>
        <v>393.17594100526952</v>
      </c>
      <c r="M18" s="7"/>
      <c r="N18" s="7"/>
      <c r="O18" s="7">
        <f t="shared" si="8"/>
        <v>162.85711796162624</v>
      </c>
      <c r="P18" s="7"/>
      <c r="Q18" s="7"/>
      <c r="R18" s="7">
        <f t="shared" si="10"/>
        <v>556.03305896689574</v>
      </c>
      <c r="S18" s="7"/>
      <c r="T18" s="7"/>
      <c r="U18" s="7">
        <f t="shared" si="5"/>
        <v>6.9701581654974615E-2</v>
      </c>
      <c r="V18" s="7"/>
      <c r="W18" s="7"/>
    </row>
    <row r="19" spans="1:2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>
      <c r="A21" s="7"/>
      <c r="B21" s="7"/>
      <c r="C21" s="12" t="s">
        <v>170</v>
      </c>
      <c r="D21" s="12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4.25">
      <c r="A22" s="1" t="s">
        <v>88</v>
      </c>
      <c r="B22">
        <v>235.5</v>
      </c>
      <c r="C22">
        <v>10.13444</v>
      </c>
      <c r="D22">
        <v>10.13444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4.25">
      <c r="A23" s="1" t="s">
        <v>109</v>
      </c>
      <c r="B23">
        <v>814.3</v>
      </c>
      <c r="C23">
        <v>25.487760000000002</v>
      </c>
      <c r="D23">
        <v>25.487760000000002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4.25">
      <c r="A24" s="1" t="s">
        <v>53</v>
      </c>
      <c r="B24">
        <v>792.7</v>
      </c>
      <c r="C24">
        <v>25.752420000000001</v>
      </c>
      <c r="D24">
        <v>25.752420000000001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4.25">
      <c r="A25" s="1" t="s">
        <v>54</v>
      </c>
      <c r="B25">
        <v>566.4</v>
      </c>
      <c r="C25">
        <v>12.258559999999999</v>
      </c>
      <c r="D25">
        <v>12.258559999999999</v>
      </c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2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23" ht="14.25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23" ht="14.25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23" ht="14.25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Q27" sqref="Q27"/>
    </sheetView>
  </sheetViews>
  <sheetFormatPr defaultRowHeight="13.5"/>
  <sheetData>
    <row r="1" spans="1:9">
      <c r="A1" t="s">
        <v>180</v>
      </c>
    </row>
    <row r="2" spans="1:9" ht="16.5">
      <c r="A2" t="s">
        <v>138</v>
      </c>
    </row>
    <row r="3" spans="1:9" ht="15">
      <c r="B3" t="s">
        <v>178</v>
      </c>
    </row>
    <row r="5" spans="1:9" ht="14.25">
      <c r="A5" t="s">
        <v>0</v>
      </c>
      <c r="B5">
        <v>0.04</v>
      </c>
      <c r="C5">
        <v>0.04</v>
      </c>
      <c r="D5">
        <v>0.05</v>
      </c>
      <c r="E5">
        <v>0.03</v>
      </c>
      <c r="F5">
        <v>0.05</v>
      </c>
      <c r="H5" s="1" t="s">
        <v>1</v>
      </c>
    </row>
    <row r="6" spans="1:9">
      <c r="A6">
        <v>58</v>
      </c>
      <c r="B6">
        <v>0.45</v>
      </c>
      <c r="C6">
        <v>0.48</v>
      </c>
      <c r="D6">
        <v>0.35</v>
      </c>
      <c r="E6">
        <v>0.44</v>
      </c>
      <c r="F6">
        <v>0.36</v>
      </c>
    </row>
    <row r="7" spans="1:9">
      <c r="A7">
        <v>37</v>
      </c>
      <c r="B7">
        <v>1.08</v>
      </c>
      <c r="C7">
        <v>1.22</v>
      </c>
      <c r="D7">
        <v>1.07</v>
      </c>
      <c r="E7">
        <v>0.92</v>
      </c>
      <c r="F7">
        <v>0.99</v>
      </c>
    </row>
    <row r="8" spans="1:9">
      <c r="A8">
        <v>54</v>
      </c>
      <c r="B8">
        <v>0.92</v>
      </c>
      <c r="C8">
        <v>0.85</v>
      </c>
      <c r="D8">
        <v>0.93</v>
      </c>
      <c r="E8">
        <v>1.04</v>
      </c>
      <c r="F8">
        <v>1.01</v>
      </c>
    </row>
    <row r="9" spans="1:9">
      <c r="A9">
        <v>24</v>
      </c>
      <c r="B9">
        <v>0.78</v>
      </c>
      <c r="C9">
        <v>0.89</v>
      </c>
      <c r="D9">
        <v>0.82</v>
      </c>
      <c r="E9">
        <v>0.73</v>
      </c>
      <c r="F9">
        <v>0.78</v>
      </c>
    </row>
    <row r="10" spans="1:9">
      <c r="G10" t="s">
        <v>181</v>
      </c>
      <c r="H10" s="10" t="s">
        <v>177</v>
      </c>
      <c r="I10" s="10"/>
    </row>
    <row r="11" spans="1:9" ht="14.25">
      <c r="A11" s="1" t="s">
        <v>30</v>
      </c>
      <c r="B11">
        <f>B5*1000/28/2.5</f>
        <v>0.5714285714285714</v>
      </c>
      <c r="C11">
        <f>C5*1000/28/2.5</f>
        <v>0.5714285714285714</v>
      </c>
      <c r="D11">
        <f>D5*1000/28/2.5</f>
        <v>0.7142857142857143</v>
      </c>
      <c r="E11">
        <f>E5*1000/28/2.5</f>
        <v>0.42857142857142855</v>
      </c>
      <c r="F11">
        <f>F5*1000/28/2.5</f>
        <v>0.7142857142857143</v>
      </c>
      <c r="G11">
        <f>AVERAGE(B11:F11)</f>
        <v>0.6</v>
      </c>
      <c r="H11" s="10">
        <f>STDEV(B11:G11)</f>
        <v>0.10690449676496956</v>
      </c>
      <c r="I11" s="10">
        <v>0.106904</v>
      </c>
    </row>
    <row r="12" spans="1:9" ht="14.25">
      <c r="A12" s="1">
        <v>58</v>
      </c>
      <c r="B12">
        <f>B6*1000/28/2.5</f>
        <v>6.4285714285714288</v>
      </c>
      <c r="C12">
        <f t="shared" ref="B12:F15" si="0">C6*1000/28/2.5</f>
        <v>6.8571428571428568</v>
      </c>
      <c r="D12">
        <f t="shared" si="0"/>
        <v>5</v>
      </c>
      <c r="E12">
        <f t="shared" si="0"/>
        <v>6.2857142857142856</v>
      </c>
      <c r="F12">
        <f t="shared" si="0"/>
        <v>5.1428571428571432</v>
      </c>
      <c r="G12">
        <f>AVERAGE(B12:F12)</f>
        <v>5.9428571428571422</v>
      </c>
      <c r="H12" s="10">
        <f t="shared" ref="H12:H15" si="1">STDEV(B12:G12)</f>
        <v>0.73734216574652267</v>
      </c>
      <c r="I12" s="10">
        <v>0.73734200000000005</v>
      </c>
    </row>
    <row r="13" spans="1:9" ht="14.25">
      <c r="A13" s="1">
        <v>37</v>
      </c>
      <c r="B13">
        <f t="shared" si="0"/>
        <v>15.428571428571427</v>
      </c>
      <c r="C13">
        <f t="shared" si="0"/>
        <v>17.428571428571427</v>
      </c>
      <c r="D13">
        <f t="shared" si="0"/>
        <v>15.285714285714286</v>
      </c>
      <c r="E13">
        <f t="shared" si="0"/>
        <v>13.142857142857142</v>
      </c>
      <c r="F13">
        <f t="shared" si="0"/>
        <v>14.142857142857142</v>
      </c>
      <c r="G13">
        <f>AVERAGE(B13:F13)</f>
        <v>15.085714285714284</v>
      </c>
      <c r="H13" s="10">
        <f t="shared" si="1"/>
        <v>1.4359807855004689</v>
      </c>
      <c r="I13" s="10">
        <v>1.435981</v>
      </c>
    </row>
    <row r="14" spans="1:9" ht="14.25">
      <c r="A14" s="1">
        <v>54</v>
      </c>
      <c r="B14">
        <f t="shared" si="0"/>
        <v>13.142857142857142</v>
      </c>
      <c r="C14">
        <f t="shared" si="0"/>
        <v>12.142857142857142</v>
      </c>
      <c r="D14">
        <f t="shared" si="0"/>
        <v>13.285714285714286</v>
      </c>
      <c r="E14">
        <f t="shared" si="0"/>
        <v>14.857142857142858</v>
      </c>
      <c r="F14">
        <f t="shared" si="0"/>
        <v>14.428571428571427</v>
      </c>
      <c r="G14">
        <f>AVERAGE(B14:F14)</f>
        <v>13.571428571428573</v>
      </c>
      <c r="H14" s="10">
        <f t="shared" si="1"/>
        <v>0.96890428330359346</v>
      </c>
      <c r="I14" s="10">
        <v>0.96890399999999999</v>
      </c>
    </row>
    <row r="15" spans="1:9" ht="14.25">
      <c r="A15" s="1">
        <v>24</v>
      </c>
      <c r="B15">
        <f t="shared" si="0"/>
        <v>11.142857142857142</v>
      </c>
      <c r="C15">
        <f t="shared" si="0"/>
        <v>12.714285714285714</v>
      </c>
      <c r="D15">
        <f t="shared" si="0"/>
        <v>11.714285714285714</v>
      </c>
      <c r="E15">
        <f t="shared" si="0"/>
        <v>10.428571428571429</v>
      </c>
      <c r="F15">
        <f t="shared" si="0"/>
        <v>11.142857142857142</v>
      </c>
      <c r="G15">
        <f>AVERAGE(B15:F15)</f>
        <v>11.428571428571427</v>
      </c>
      <c r="H15" s="10">
        <f t="shared" si="1"/>
        <v>0.76130929111281609</v>
      </c>
      <c r="I15" s="10">
        <v>0.76130900000000001</v>
      </c>
    </row>
    <row r="16" spans="1:9">
      <c r="A16" s="3"/>
    </row>
    <row r="18" spans="2:3" ht="14.25">
      <c r="B18" s="13" t="s">
        <v>30</v>
      </c>
      <c r="C18">
        <v>0.6</v>
      </c>
    </row>
    <row r="19" spans="2:3" ht="14.25">
      <c r="B19" s="13" t="s">
        <v>135</v>
      </c>
      <c r="C19">
        <v>5.9429999999999996</v>
      </c>
    </row>
    <row r="20" spans="2:3" ht="14.25">
      <c r="B20" s="13" t="s">
        <v>136</v>
      </c>
      <c r="C20">
        <v>15.086</v>
      </c>
    </row>
    <row r="21" spans="2:3" ht="14.25">
      <c r="B21" s="13" t="s">
        <v>137</v>
      </c>
      <c r="C21">
        <v>13.571</v>
      </c>
    </row>
  </sheetData>
  <phoneticPr fontId="1" type="noConversion"/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3" sqref="A3"/>
    </sheetView>
  </sheetViews>
  <sheetFormatPr defaultRowHeight="13.5"/>
  <sheetData>
    <row r="1" spans="1:7">
      <c r="A1" t="s">
        <v>179</v>
      </c>
    </row>
    <row r="3" spans="1:7" ht="18.75">
      <c r="A3" s="1" t="s">
        <v>140</v>
      </c>
    </row>
    <row r="4" spans="1:7">
      <c r="E4" t="s">
        <v>181</v>
      </c>
      <c r="F4" t="s">
        <v>182</v>
      </c>
    </row>
    <row r="5" spans="1:7" ht="14.25">
      <c r="A5" s="2" t="s">
        <v>29</v>
      </c>
      <c r="B5">
        <v>0.66</v>
      </c>
      <c r="C5">
        <v>0.68</v>
      </c>
      <c r="D5" s="1">
        <v>0.72</v>
      </c>
      <c r="E5">
        <f>AVERAGE(B5:D5)</f>
        <v>0.68666666666666665</v>
      </c>
      <c r="F5">
        <f>STDEV(B5:D5)</f>
        <v>3.0550504633040886E-2</v>
      </c>
      <c r="G5">
        <v>3.0550999999999998E-2</v>
      </c>
    </row>
    <row r="6" spans="1:7" ht="14.25">
      <c r="A6">
        <v>58</v>
      </c>
      <c r="B6">
        <v>2.66</v>
      </c>
      <c r="C6">
        <v>2.77</v>
      </c>
      <c r="D6" s="1">
        <v>2.42</v>
      </c>
      <c r="E6">
        <f t="shared" ref="E6:E8" si="0">AVERAGE(B6:D6)</f>
        <v>2.6166666666666667</v>
      </c>
      <c r="F6">
        <f t="shared" ref="F6:F8" si="1">STDEV(B6:D6)</f>
        <v>0.17897858344878717</v>
      </c>
      <c r="G6">
        <v>0.178979</v>
      </c>
    </row>
    <row r="7" spans="1:7" ht="14.25">
      <c r="A7">
        <v>37</v>
      </c>
      <c r="B7">
        <v>4.76</v>
      </c>
      <c r="C7">
        <v>4.6100000000000003</v>
      </c>
      <c r="D7" s="1">
        <v>4.87</v>
      </c>
      <c r="E7">
        <f t="shared" si="0"/>
        <v>4.746666666666667</v>
      </c>
      <c r="F7">
        <f t="shared" si="1"/>
        <v>0.13051181300297396</v>
      </c>
      <c r="G7">
        <v>0.13051199999999999</v>
      </c>
    </row>
    <row r="8" spans="1:7" ht="14.25">
      <c r="A8">
        <v>54</v>
      </c>
      <c r="B8">
        <v>5.22</v>
      </c>
      <c r="C8">
        <v>5.91</v>
      </c>
      <c r="D8" s="1">
        <v>5.86</v>
      </c>
      <c r="E8">
        <f t="shared" si="0"/>
        <v>5.6633333333333331</v>
      </c>
      <c r="F8">
        <f t="shared" si="1"/>
        <v>0.38475100173142845</v>
      </c>
      <c r="G8">
        <v>0.38475100000000001</v>
      </c>
    </row>
    <row r="9" spans="1:7" ht="12" customHeight="1">
      <c r="D9" s="1"/>
      <c r="G9" s="1"/>
    </row>
    <row r="11" spans="1:7" ht="14.25">
      <c r="C11" s="1" t="s">
        <v>139</v>
      </c>
      <c r="D11">
        <v>0.68700000000000006</v>
      </c>
      <c r="F11" s="5"/>
    </row>
    <row r="12" spans="1:7">
      <c r="C12" t="s">
        <v>135</v>
      </c>
      <c r="D12">
        <v>2.617</v>
      </c>
    </row>
    <row r="13" spans="1:7">
      <c r="C13" t="s">
        <v>136</v>
      </c>
      <c r="D13">
        <v>4.7469999999999999</v>
      </c>
    </row>
    <row r="14" spans="1:7">
      <c r="C14" t="s">
        <v>137</v>
      </c>
      <c r="D14">
        <v>5.6630000000000003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0"/>
  <sheetViews>
    <sheetView workbookViewId="0"/>
  </sheetViews>
  <sheetFormatPr defaultRowHeight="13.5"/>
  <sheetData>
    <row r="1" spans="1:19">
      <c r="A1" t="s">
        <v>188</v>
      </c>
    </row>
    <row r="2" spans="1:19">
      <c r="A2" t="s">
        <v>189</v>
      </c>
    </row>
    <row r="3" spans="1:19">
      <c r="A3" t="s">
        <v>97</v>
      </c>
      <c r="C3" t="s">
        <v>98</v>
      </c>
    </row>
    <row r="4" spans="1:19">
      <c r="B4" t="s">
        <v>19</v>
      </c>
      <c r="F4" t="s">
        <v>20</v>
      </c>
      <c r="J4" t="s">
        <v>21</v>
      </c>
      <c r="N4" t="s">
        <v>22</v>
      </c>
    </row>
    <row r="5" spans="1:19">
      <c r="E5" t="s">
        <v>181</v>
      </c>
      <c r="I5" t="s">
        <v>167</v>
      </c>
      <c r="M5" t="s">
        <v>167</v>
      </c>
      <c r="Q5" t="s">
        <v>167</v>
      </c>
    </row>
    <row r="6" spans="1:19">
      <c r="A6" t="s">
        <v>12</v>
      </c>
      <c r="B6">
        <v>38</v>
      </c>
      <c r="C6">
        <v>37.6</v>
      </c>
      <c r="D6">
        <v>39.200000000000003</v>
      </c>
      <c r="E6">
        <f>AVERAGE(B6:D6)</f>
        <v>38.266666666666666</v>
      </c>
      <c r="F6">
        <v>61.5</v>
      </c>
      <c r="G6">
        <v>63.9</v>
      </c>
      <c r="H6">
        <v>65.2</v>
      </c>
      <c r="I6">
        <f>AVERAGE(F6:H6)</f>
        <v>63.533333333333339</v>
      </c>
      <c r="J6">
        <v>18.2</v>
      </c>
      <c r="K6">
        <v>19.5</v>
      </c>
      <c r="L6">
        <v>18.600000000000001</v>
      </c>
      <c r="M6">
        <f>AVERAGE(J6:L6)</f>
        <v>18.766666666666669</v>
      </c>
      <c r="N6">
        <v>40.799999999999997</v>
      </c>
      <c r="O6">
        <v>42.6</v>
      </c>
      <c r="P6">
        <v>41.3</v>
      </c>
      <c r="Q6">
        <f>AVERAGE(N6:P6)</f>
        <v>41.56666666666667</v>
      </c>
    </row>
    <row r="7" spans="1:19">
      <c r="A7" t="s">
        <v>8</v>
      </c>
      <c r="B7">
        <v>9.1</v>
      </c>
      <c r="C7">
        <v>8.6</v>
      </c>
      <c r="D7">
        <v>9.6999999999999993</v>
      </c>
      <c r="E7">
        <f t="shared" ref="E7:E11" si="0">AVERAGE(B7:D7)</f>
        <v>9.1333333333333329</v>
      </c>
      <c r="F7">
        <v>28.7</v>
      </c>
      <c r="G7">
        <v>29.2</v>
      </c>
      <c r="H7">
        <v>27.6</v>
      </c>
      <c r="I7">
        <f t="shared" ref="I7:I11" si="1">AVERAGE(F7:H7)</f>
        <v>28.5</v>
      </c>
      <c r="J7">
        <v>3.1</v>
      </c>
      <c r="K7">
        <v>3.3</v>
      </c>
      <c r="L7">
        <v>3.5</v>
      </c>
      <c r="M7">
        <f t="shared" ref="M7:M11" si="2">AVERAGE(J7:L7)</f>
        <v>3.3000000000000003</v>
      </c>
      <c r="N7">
        <v>3.3</v>
      </c>
      <c r="O7">
        <v>3.5</v>
      </c>
      <c r="P7">
        <v>3.6</v>
      </c>
      <c r="Q7">
        <f t="shared" ref="Q7:Q11" si="3">AVERAGE(N7:P7)</f>
        <v>3.4666666666666668</v>
      </c>
    </row>
    <row r="8" spans="1:19">
      <c r="A8" t="s">
        <v>13</v>
      </c>
      <c r="B8">
        <v>9.6</v>
      </c>
      <c r="C8">
        <v>9.3000000000000007</v>
      </c>
      <c r="D8">
        <v>10.199999999999999</v>
      </c>
      <c r="E8">
        <f t="shared" si="0"/>
        <v>9.6999999999999993</v>
      </c>
      <c r="F8">
        <v>32.799999999999997</v>
      </c>
      <c r="G8">
        <v>30.8</v>
      </c>
      <c r="H8">
        <v>29.2</v>
      </c>
      <c r="I8">
        <f t="shared" si="1"/>
        <v>30.933333333333334</v>
      </c>
      <c r="J8">
        <v>5.6</v>
      </c>
      <c r="K8">
        <v>4.8</v>
      </c>
      <c r="L8">
        <v>6.2</v>
      </c>
      <c r="M8">
        <f t="shared" si="2"/>
        <v>5.5333333333333323</v>
      </c>
      <c r="N8">
        <v>7.2</v>
      </c>
      <c r="O8">
        <v>6.4</v>
      </c>
      <c r="P8">
        <v>5.6</v>
      </c>
      <c r="Q8">
        <f t="shared" si="3"/>
        <v>6.4000000000000012</v>
      </c>
    </row>
    <row r="9" spans="1:19">
      <c r="A9" t="s">
        <v>5</v>
      </c>
      <c r="B9">
        <v>18.2</v>
      </c>
      <c r="C9">
        <v>16.3</v>
      </c>
      <c r="D9">
        <v>16.7</v>
      </c>
      <c r="E9">
        <f t="shared" si="0"/>
        <v>17.066666666666666</v>
      </c>
      <c r="F9">
        <v>34.4</v>
      </c>
      <c r="G9">
        <v>35.6</v>
      </c>
      <c r="H9">
        <v>33.299999999999997</v>
      </c>
      <c r="I9">
        <f t="shared" si="1"/>
        <v>34.43333333333333</v>
      </c>
      <c r="J9">
        <v>14.2</v>
      </c>
      <c r="K9">
        <v>12.4</v>
      </c>
      <c r="L9">
        <v>14.5</v>
      </c>
      <c r="M9">
        <f t="shared" si="2"/>
        <v>13.700000000000001</v>
      </c>
      <c r="N9">
        <v>14.6</v>
      </c>
      <c r="O9">
        <v>14.3</v>
      </c>
      <c r="P9">
        <v>15.2</v>
      </c>
      <c r="Q9">
        <f t="shared" si="3"/>
        <v>14.699999999999998</v>
      </c>
    </row>
    <row r="10" spans="1:19">
      <c r="A10" t="s">
        <v>7</v>
      </c>
      <c r="B10">
        <v>13.9</v>
      </c>
      <c r="C10">
        <v>14.2</v>
      </c>
      <c r="D10">
        <v>15.8</v>
      </c>
      <c r="E10">
        <f t="shared" si="0"/>
        <v>14.633333333333335</v>
      </c>
      <c r="F10">
        <v>33.6</v>
      </c>
      <c r="G10">
        <v>32.799999999999997</v>
      </c>
      <c r="H10">
        <v>31.6</v>
      </c>
      <c r="I10">
        <f t="shared" si="1"/>
        <v>32.666666666666664</v>
      </c>
      <c r="J10">
        <v>5.0999999999999996</v>
      </c>
      <c r="K10">
        <v>5.3</v>
      </c>
      <c r="L10">
        <v>5.6</v>
      </c>
      <c r="M10">
        <f t="shared" si="2"/>
        <v>5.333333333333333</v>
      </c>
      <c r="N10">
        <v>8.5</v>
      </c>
      <c r="O10">
        <v>7.4</v>
      </c>
      <c r="P10">
        <v>5.9</v>
      </c>
      <c r="Q10">
        <f t="shared" si="3"/>
        <v>7.2666666666666666</v>
      </c>
    </row>
    <row r="11" spans="1:19">
      <c r="A11" t="s">
        <v>23</v>
      </c>
      <c r="B11">
        <v>8.6999999999999993</v>
      </c>
      <c r="C11">
        <v>10.1</v>
      </c>
      <c r="D11">
        <v>8.6999999999999993</v>
      </c>
      <c r="E11">
        <f t="shared" si="0"/>
        <v>9.1666666666666661</v>
      </c>
      <c r="F11">
        <v>22.8</v>
      </c>
      <c r="G11">
        <v>24.6</v>
      </c>
      <c r="H11">
        <v>25.1</v>
      </c>
      <c r="I11">
        <f t="shared" si="1"/>
        <v>24.166666666666668</v>
      </c>
      <c r="J11">
        <v>5.6</v>
      </c>
      <c r="K11">
        <v>5.2</v>
      </c>
      <c r="L11">
        <v>3.4</v>
      </c>
      <c r="M11">
        <f t="shared" si="2"/>
        <v>4.7333333333333334</v>
      </c>
      <c r="N11">
        <v>10.8</v>
      </c>
      <c r="O11">
        <v>5.3</v>
      </c>
      <c r="P11">
        <v>6.8</v>
      </c>
      <c r="Q11">
        <f t="shared" si="3"/>
        <v>7.6333333333333337</v>
      </c>
    </row>
    <row r="14" spans="1:19">
      <c r="D14" t="s">
        <v>19</v>
      </c>
      <c r="E14" t="s">
        <v>20</v>
      </c>
      <c r="F14" t="s">
        <v>21</v>
      </c>
      <c r="G14" t="s">
        <v>22</v>
      </c>
      <c r="I14" t="s">
        <v>190</v>
      </c>
      <c r="J14" s="10"/>
      <c r="L14" t="s">
        <v>191</v>
      </c>
      <c r="M14" s="10"/>
      <c r="O14" t="s">
        <v>192</v>
      </c>
      <c r="P14" s="10"/>
      <c r="R14" s="10" t="s">
        <v>193</v>
      </c>
      <c r="S14" s="10"/>
    </row>
    <row r="15" spans="1:19">
      <c r="C15" t="s">
        <v>28</v>
      </c>
      <c r="D15">
        <v>38.299999999999997</v>
      </c>
      <c r="E15">
        <v>63.5</v>
      </c>
      <c r="F15">
        <v>18.8</v>
      </c>
      <c r="G15">
        <v>41.6</v>
      </c>
      <c r="I15">
        <f>STDEV(B6:D6)</f>
        <v>0.8326663997866206</v>
      </c>
      <c r="J15">
        <v>0.83266600000000002</v>
      </c>
      <c r="L15">
        <f>STDEV(F6:H6)</f>
        <v>1.8770544300397154</v>
      </c>
      <c r="M15">
        <v>1.877054</v>
      </c>
      <c r="O15">
        <f>STDEV(J6:L6)</f>
        <v>0.66583281184789267</v>
      </c>
      <c r="P15">
        <v>0.66583300000000001</v>
      </c>
      <c r="R15">
        <f>STDEV(N6:P6)</f>
        <v>0.92915732431770148</v>
      </c>
      <c r="S15">
        <v>0.92915700000000001</v>
      </c>
    </row>
    <row r="16" spans="1:19">
      <c r="C16" t="s">
        <v>8</v>
      </c>
      <c r="D16">
        <v>9.1</v>
      </c>
      <c r="E16">
        <v>28.5</v>
      </c>
      <c r="F16">
        <v>3.3</v>
      </c>
      <c r="G16">
        <v>3.5</v>
      </c>
      <c r="I16">
        <f>STDEV(B7:D7)</f>
        <v>0.55075705472860492</v>
      </c>
      <c r="J16">
        <v>0.55075700000000005</v>
      </c>
      <c r="L16">
        <f>STDEV(F7:H7)</f>
        <v>0.81853527718728947</v>
      </c>
      <c r="M16">
        <v>0.81853500000000001</v>
      </c>
      <c r="O16">
        <f>STDEV(J7:L7)</f>
        <v>0.19999999999999787</v>
      </c>
      <c r="P16">
        <v>0.2</v>
      </c>
      <c r="R16">
        <f>STDEV(N7:P7)</f>
        <v>0.15275252316519497</v>
      </c>
      <c r="S16">
        <v>0.152753</v>
      </c>
    </row>
    <row r="17" spans="3:19">
      <c r="C17" t="s">
        <v>13</v>
      </c>
      <c r="D17">
        <v>9.6999999999999993</v>
      </c>
      <c r="E17">
        <v>30.9</v>
      </c>
      <c r="F17">
        <v>5.5</v>
      </c>
      <c r="G17">
        <v>6.4</v>
      </c>
      <c r="I17">
        <f>STDEV(B8:D8)</f>
        <v>0.45825756949562368</v>
      </c>
      <c r="J17">
        <v>0.458258</v>
      </c>
      <c r="L17">
        <f>STDEV(F8:H8)</f>
        <v>1.8036999011291568</v>
      </c>
      <c r="M17">
        <v>1.8037000000000001</v>
      </c>
      <c r="O17">
        <f>STDEV(J8:L8)</f>
        <v>0.70237691685685866</v>
      </c>
      <c r="P17">
        <v>0.70237700000000003</v>
      </c>
      <c r="R17">
        <f>STDEV(N8:P8)</f>
        <v>0.7999999999999915</v>
      </c>
      <c r="S17">
        <v>0.8</v>
      </c>
    </row>
    <row r="18" spans="3:19">
      <c r="C18" t="s">
        <v>5</v>
      </c>
      <c r="D18">
        <v>17.100000000000001</v>
      </c>
      <c r="E18">
        <v>34.4</v>
      </c>
      <c r="F18">
        <v>13.7</v>
      </c>
      <c r="G18">
        <v>14.7</v>
      </c>
      <c r="I18">
        <f>STDEV(B9:D9)</f>
        <v>1.001665280087723</v>
      </c>
      <c r="J18">
        <v>1.001665</v>
      </c>
      <c r="L18">
        <f>STDEV(F9:H9)</f>
        <v>1.1503622617825631</v>
      </c>
      <c r="M18">
        <v>1.1503620000000001</v>
      </c>
      <c r="O18">
        <f>STDEV(J9:L9)</f>
        <v>1.1357816691600386</v>
      </c>
      <c r="P18">
        <v>1.1357820000000001</v>
      </c>
      <c r="R18">
        <f>STDEV(N9:P9)</f>
        <v>0.45825756949562368</v>
      </c>
      <c r="S18">
        <v>0.458258</v>
      </c>
    </row>
    <row r="19" spans="3:19">
      <c r="C19" t="s">
        <v>7</v>
      </c>
      <c r="D19">
        <v>14.6</v>
      </c>
      <c r="E19">
        <v>32.700000000000003</v>
      </c>
      <c r="F19">
        <v>5.3</v>
      </c>
      <c r="G19">
        <v>7.3</v>
      </c>
      <c r="I19">
        <f>STDEV(B10:D10)</f>
        <v>1.0214368964029237</v>
      </c>
      <c r="J19">
        <v>1.0214369999999999</v>
      </c>
      <c r="L19">
        <f>STDEV(F10:H10)</f>
        <v>1.0066445913694273</v>
      </c>
      <c r="M19">
        <v>1.006645</v>
      </c>
      <c r="O19">
        <f>STDEV(J10:L10)</f>
        <v>0.25166114784237092</v>
      </c>
      <c r="P19">
        <v>0.25166100000000002</v>
      </c>
      <c r="R19">
        <f>STDEV(N10:P10)</f>
        <v>1.305118130030126</v>
      </c>
      <c r="S19">
        <v>1.305118</v>
      </c>
    </row>
    <row r="20" spans="3:19">
      <c r="C20" t="s">
        <v>23</v>
      </c>
      <c r="D20">
        <v>9.1999999999999993</v>
      </c>
      <c r="E20">
        <v>24.2</v>
      </c>
      <c r="F20">
        <v>4.7</v>
      </c>
      <c r="G20">
        <v>7.6</v>
      </c>
      <c r="I20">
        <f>STDEV(B11:D11)</f>
        <v>0.80829037686549532</v>
      </c>
      <c r="J20">
        <v>0.80828999999999995</v>
      </c>
      <c r="L20">
        <f>STDEV(F11:H11)</f>
        <v>1.209683154108331</v>
      </c>
      <c r="M20">
        <v>1.2096830000000001</v>
      </c>
      <c r="O20">
        <f>STDEV(J11:L11)</f>
        <v>1.1718930554164577</v>
      </c>
      <c r="P20">
        <v>1.1718930000000001</v>
      </c>
      <c r="R20">
        <f>STDEV(N11:P11)</f>
        <v>2.8431203515386625</v>
      </c>
      <c r="S20">
        <v>2.8431199999999999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25" sqref="L25"/>
    </sheetView>
  </sheetViews>
  <sheetFormatPr defaultRowHeight="13.5"/>
  <sheetData>
    <row r="1" spans="1:10">
      <c r="A1" t="s">
        <v>194</v>
      </c>
    </row>
    <row r="2" spans="1:10">
      <c r="A2" t="s">
        <v>196</v>
      </c>
    </row>
    <row r="4" spans="1:10">
      <c r="B4" t="s">
        <v>103</v>
      </c>
      <c r="G4" t="s">
        <v>102</v>
      </c>
    </row>
    <row r="5" spans="1:10">
      <c r="E5" t="s">
        <v>181</v>
      </c>
      <c r="J5" t="s">
        <v>167</v>
      </c>
    </row>
    <row r="6" spans="1:10">
      <c r="A6" t="s">
        <v>28</v>
      </c>
      <c r="B6">
        <v>0.87</v>
      </c>
      <c r="C6">
        <v>0.89</v>
      </c>
      <c r="D6">
        <v>0.81</v>
      </c>
      <c r="E6">
        <f>AVERAGE(B6:D6)</f>
        <v>0.8566666666666668</v>
      </c>
      <c r="G6">
        <v>1.37</v>
      </c>
      <c r="H6">
        <v>1.42</v>
      </c>
      <c r="I6">
        <v>1.35</v>
      </c>
      <c r="J6">
        <f>AVERAGE(G6:I6)</f>
        <v>1.3800000000000001</v>
      </c>
    </row>
    <row r="7" spans="1:10">
      <c r="A7" t="s">
        <v>4</v>
      </c>
      <c r="B7">
        <v>1.1399999999999999</v>
      </c>
      <c r="C7">
        <v>1.1200000000000001</v>
      </c>
      <c r="D7">
        <v>1.2</v>
      </c>
      <c r="E7">
        <f>AVERAGE(B7:D7)</f>
        <v>1.1533333333333333</v>
      </c>
      <c r="G7">
        <v>1.35</v>
      </c>
      <c r="H7">
        <v>1.28</v>
      </c>
      <c r="I7">
        <v>1.38</v>
      </c>
      <c r="J7">
        <f>AVERAGE(G7:I7)</f>
        <v>1.3366666666666667</v>
      </c>
    </row>
    <row r="8" spans="1:10">
      <c r="A8" t="s">
        <v>5</v>
      </c>
      <c r="B8">
        <v>1.28</v>
      </c>
      <c r="C8">
        <v>1.21</v>
      </c>
      <c r="D8">
        <v>1.1599999999999999</v>
      </c>
      <c r="E8">
        <f>AVERAGE(B8:D8)</f>
        <v>1.2166666666666668</v>
      </c>
      <c r="G8">
        <v>1.4</v>
      </c>
      <c r="H8">
        <v>1.41</v>
      </c>
      <c r="I8">
        <v>1.43</v>
      </c>
      <c r="J8">
        <f>AVERAGE(G8:I8)</f>
        <v>1.4133333333333331</v>
      </c>
    </row>
    <row r="9" spans="1:10">
      <c r="A9" t="s">
        <v>7</v>
      </c>
      <c r="B9">
        <v>1.03</v>
      </c>
      <c r="C9">
        <v>1.05</v>
      </c>
      <c r="D9">
        <v>1.1100000000000001</v>
      </c>
      <c r="E9">
        <f>AVERAGE(B9:D9)</f>
        <v>1.0633333333333335</v>
      </c>
      <c r="G9">
        <v>1.31</v>
      </c>
      <c r="H9">
        <v>1.34</v>
      </c>
      <c r="I9">
        <v>1.33</v>
      </c>
      <c r="J9">
        <f>AVERAGE(G9:I9)</f>
        <v>1.3266666666666669</v>
      </c>
    </row>
    <row r="12" spans="1:10">
      <c r="B12">
        <v>30</v>
      </c>
      <c r="C12">
        <v>200</v>
      </c>
    </row>
    <row r="13" spans="1:10">
      <c r="A13" t="s">
        <v>148</v>
      </c>
      <c r="B13">
        <v>0.86</v>
      </c>
      <c r="C13">
        <v>1.38</v>
      </c>
    </row>
    <row r="14" spans="1:10">
      <c r="A14" t="s">
        <v>4</v>
      </c>
      <c r="B14">
        <v>1.1499999999999999</v>
      </c>
      <c r="C14">
        <v>1.34</v>
      </c>
    </row>
    <row r="15" spans="1:10">
      <c r="A15" t="s">
        <v>5</v>
      </c>
      <c r="B15">
        <v>1.22</v>
      </c>
      <c r="C15">
        <v>1.41</v>
      </c>
    </row>
    <row r="16" spans="1:10">
      <c r="A16" t="s">
        <v>7</v>
      </c>
      <c r="B16">
        <v>1.06</v>
      </c>
      <c r="C16">
        <v>1.33</v>
      </c>
    </row>
    <row r="18" spans="3:7">
      <c r="C18" s="10" t="s">
        <v>197</v>
      </c>
      <c r="D18" s="10"/>
      <c r="F18" s="10" t="s">
        <v>198</v>
      </c>
      <c r="G18" s="10"/>
    </row>
    <row r="19" spans="3:7">
      <c r="C19">
        <f>STDEV(B6:D6)</f>
        <v>4.1633319989317692E-2</v>
      </c>
      <c r="D19">
        <v>4.1633000000000003E-2</v>
      </c>
      <c r="F19">
        <f>STDEV(G6:I6)</f>
        <v>3.60555127546398E-2</v>
      </c>
      <c r="G19">
        <v>3.6055999999999998E-2</v>
      </c>
    </row>
    <row r="20" spans="3:7">
      <c r="C20">
        <f t="shared" ref="C20:C22" si="0">STDEV(B7:D7)</f>
        <v>4.1633319989323028E-2</v>
      </c>
      <c r="D20">
        <v>4.1633000000000003E-2</v>
      </c>
      <c r="F20">
        <f t="shared" ref="F20:F22" si="1">STDEV(G7:I7)</f>
        <v>5.1316014394472503E-2</v>
      </c>
      <c r="G20">
        <v>5.1316000000000001E-2</v>
      </c>
    </row>
    <row r="21" spans="3:7">
      <c r="C21">
        <f t="shared" si="0"/>
        <v>6.0277137733411923E-2</v>
      </c>
      <c r="D21">
        <v>6.0276999999999997E-2</v>
      </c>
      <c r="F21">
        <f t="shared" si="1"/>
        <v>1.527525231651948E-2</v>
      </c>
      <c r="G21">
        <v>1.5275E-2</v>
      </c>
    </row>
    <row r="22" spans="3:7">
      <c r="C22">
        <f t="shared" si="0"/>
        <v>4.1633319989320364E-2</v>
      </c>
      <c r="D22">
        <v>4.1633000000000003E-2</v>
      </c>
      <c r="F22">
        <f t="shared" si="1"/>
        <v>1.527525231651948E-2</v>
      </c>
      <c r="G22">
        <v>1.5275E-2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13" sqref="F13:J13"/>
    </sheetView>
  </sheetViews>
  <sheetFormatPr defaultRowHeight="13.5"/>
  <sheetData>
    <row r="1" spans="1:10">
      <c r="A1" t="s">
        <v>200</v>
      </c>
    </row>
    <row r="2" spans="1:10">
      <c r="A2" t="s">
        <v>195</v>
      </c>
    </row>
    <row r="4" spans="1:10">
      <c r="A4" s="3"/>
    </row>
    <row r="5" spans="1:10">
      <c r="D5" t="s">
        <v>101</v>
      </c>
      <c r="H5" t="s">
        <v>102</v>
      </c>
    </row>
    <row r="6" spans="1:10">
      <c r="F6" t="s">
        <v>181</v>
      </c>
      <c r="J6" t="s">
        <v>167</v>
      </c>
    </row>
    <row r="7" spans="1:10">
      <c r="A7" t="s">
        <v>14</v>
      </c>
      <c r="B7" t="s">
        <v>28</v>
      </c>
      <c r="C7">
        <f>0.74</f>
        <v>0.74</v>
      </c>
      <c r="D7">
        <v>0.72</v>
      </c>
      <c r="E7">
        <v>0.78</v>
      </c>
      <c r="F7">
        <f>AVERAGE(C7:E7)</f>
        <v>0.7466666666666667</v>
      </c>
      <c r="G7">
        <f>11.4/10</f>
        <v>1.1400000000000001</v>
      </c>
      <c r="H7">
        <v>1.21</v>
      </c>
      <c r="I7">
        <v>1.0900000000000001</v>
      </c>
      <c r="J7">
        <f>AVERAGE(G7:I7)</f>
        <v>1.1466666666666667</v>
      </c>
    </row>
    <row r="8" spans="1:10">
      <c r="B8" t="s">
        <v>8</v>
      </c>
      <c r="C8">
        <v>1.2</v>
      </c>
      <c r="D8">
        <v>1.25</v>
      </c>
      <c r="E8">
        <v>1.18</v>
      </c>
      <c r="F8">
        <f>AVERAGE(C8:E8)</f>
        <v>1.21</v>
      </c>
      <c r="G8">
        <v>1.36</v>
      </c>
      <c r="H8">
        <v>1.28</v>
      </c>
      <c r="I8">
        <v>1.37</v>
      </c>
      <c r="J8">
        <f>AVERAGE(G8:I8)</f>
        <v>1.3366666666666667</v>
      </c>
    </row>
    <row r="9" spans="1:10">
      <c r="B9" t="s">
        <v>5</v>
      </c>
      <c r="C9">
        <v>1.24</v>
      </c>
      <c r="D9">
        <v>1.28</v>
      </c>
      <c r="E9">
        <v>1.22</v>
      </c>
      <c r="F9">
        <f>AVERAGE(C9:E9)</f>
        <v>1.2466666666666668</v>
      </c>
      <c r="G9">
        <v>1.38</v>
      </c>
      <c r="H9">
        <v>1.42</v>
      </c>
      <c r="I9">
        <v>1.33</v>
      </c>
      <c r="J9">
        <f>AVERAGE(G9:I9)</f>
        <v>1.3766666666666667</v>
      </c>
    </row>
    <row r="10" spans="1:10">
      <c r="B10" t="s">
        <v>7</v>
      </c>
      <c r="C10">
        <v>1.17</v>
      </c>
      <c r="D10">
        <v>1.1599999999999999</v>
      </c>
      <c r="E10">
        <v>1.22</v>
      </c>
      <c r="F10">
        <f>AVERAGE(C10:E10)</f>
        <v>1.1833333333333333</v>
      </c>
      <c r="G10">
        <v>1.33</v>
      </c>
      <c r="H10">
        <v>1.36</v>
      </c>
      <c r="I10">
        <v>1.31</v>
      </c>
      <c r="J10">
        <f>AVERAGE(G10:I10)</f>
        <v>1.3333333333333333</v>
      </c>
    </row>
    <row r="11" spans="1:10" ht="9.75" customHeight="1"/>
    <row r="13" spans="1:10">
      <c r="F13" s="10" t="s">
        <v>197</v>
      </c>
      <c r="G13" s="10"/>
      <c r="I13" s="10" t="s">
        <v>198</v>
      </c>
      <c r="J13" s="10"/>
    </row>
    <row r="14" spans="1:10">
      <c r="A14" t="s">
        <v>14</v>
      </c>
      <c r="B14" t="s">
        <v>28</v>
      </c>
      <c r="C14">
        <f>7.5/10</f>
        <v>0.75</v>
      </c>
      <c r="D14">
        <f>11.5/10</f>
        <v>1.1499999999999999</v>
      </c>
      <c r="F14">
        <f>STDEV(C7:E7)</f>
        <v>3.0550504633035436E-2</v>
      </c>
      <c r="G14">
        <v>3.0550999999999998E-2</v>
      </c>
      <c r="I14">
        <f>STDEV(G7:I7)</f>
        <v>6.0277137733415607E-2</v>
      </c>
      <c r="J14">
        <v>6.0276999999999997E-2</v>
      </c>
    </row>
    <row r="15" spans="1:10">
      <c r="B15" t="s">
        <v>8</v>
      </c>
      <c r="C15">
        <v>1.21</v>
      </c>
      <c r="D15">
        <v>1.34</v>
      </c>
      <c r="F15">
        <f>STDEV(C8:E8)</f>
        <v>3.6055512754640986E-2</v>
      </c>
      <c r="G15">
        <v>3.6055999999999998E-2</v>
      </c>
      <c r="I15">
        <f>STDEV(G8:I8)</f>
        <v>4.932882862316651E-2</v>
      </c>
      <c r="J15">
        <v>4.9328999999999998E-2</v>
      </c>
    </row>
    <row r="16" spans="1:10">
      <c r="B16" t="s">
        <v>5</v>
      </c>
      <c r="C16">
        <v>1.25</v>
      </c>
      <c r="D16">
        <v>1.38</v>
      </c>
      <c r="F16">
        <f>STDEV(C9:E9)</f>
        <v>3.0550504633038961E-2</v>
      </c>
      <c r="G16">
        <v>3.0550999999999998E-2</v>
      </c>
      <c r="I16">
        <f>STDEV(G9:I9)</f>
        <v>4.5092497528233848E-2</v>
      </c>
      <c r="J16">
        <v>4.5092E-2</v>
      </c>
    </row>
    <row r="17" spans="2:10">
      <c r="B17" t="s">
        <v>7</v>
      </c>
      <c r="C17">
        <v>1.18</v>
      </c>
      <c r="D17">
        <v>1.33</v>
      </c>
      <c r="F17">
        <f>STDEV(C10:E10)</f>
        <v>3.2145502536643208E-2</v>
      </c>
      <c r="G17">
        <v>3.2146000000000001E-2</v>
      </c>
      <c r="I17">
        <f>STDEV(G10:I10)</f>
        <v>2.5166114784235857E-2</v>
      </c>
      <c r="J17">
        <v>2.5166000000000001E-2</v>
      </c>
    </row>
    <row r="18" spans="2:10">
      <c r="C18" s="10"/>
      <c r="D18" s="10"/>
      <c r="F18" s="10"/>
      <c r="G18" s="1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Figure 3D</vt:lpstr>
      <vt:lpstr>Figure 3E</vt:lpstr>
      <vt:lpstr>Figure 3F</vt:lpstr>
      <vt:lpstr>Figure3G</vt:lpstr>
      <vt:lpstr>Figure 3H</vt:lpstr>
      <vt:lpstr>Figure 3I</vt:lpstr>
      <vt:lpstr>Figure4B</vt:lpstr>
      <vt:lpstr>Figure4D-1</vt:lpstr>
      <vt:lpstr>Figure4D-2</vt:lpstr>
      <vt:lpstr>Figure4D-3</vt:lpstr>
      <vt:lpstr>Figure5D</vt:lpstr>
      <vt:lpstr>Sheet5E</vt:lpstr>
      <vt:lpstr>Figure5F</vt:lpstr>
      <vt:lpstr>Figure5H</vt:lpstr>
      <vt:lpstr>Figure5I</vt:lpstr>
      <vt:lpstr>Figure5J</vt:lpstr>
      <vt:lpstr>Figure S3C,S3D,S3E</vt:lpstr>
      <vt:lpstr>Figure S4</vt:lpstr>
      <vt:lpstr>Figure S5C</vt:lpstr>
      <vt:lpstr>Figure S6B</vt:lpstr>
      <vt:lpstr>Figure S6C</vt:lpstr>
      <vt:lpstr>Figure S7a</vt:lpstr>
      <vt:lpstr>Figure S7b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2021-05-05T04:24:57Z</dcterms:modified>
</cp:coreProperties>
</file>