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AUV document\documents Anastassia\Projets et articles avec Gleb\ANR RADICALS 2016\Sulfur in Magmas\"/>
    </mc:Choice>
  </mc:AlternateContent>
  <bookViews>
    <workbookView xWindow="0" yWindow="0" windowWidth="19200" windowHeight="6470"/>
  </bookViews>
  <sheets>
    <sheet name="Table S1" sheetId="7" r:id="rId1"/>
    <sheet name="Table S2" sheetId="2" r:id="rId2"/>
    <sheet name="Table S3" sheetId="3" r:id="rId3"/>
    <sheet name="Table S4" sheetId="9" r:id="rId4"/>
    <sheet name="Table S5" sheetId="6" r:id="rId5"/>
  </sheets>
  <externalReferences>
    <externalReference r:id="rId6"/>
    <externalReference r:id="rId7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9" l="1"/>
  <c r="D6" i="9"/>
  <c r="E6" i="9"/>
  <c r="H6" i="9"/>
  <c r="J6" i="9"/>
  <c r="K6" i="9"/>
  <c r="N6" i="9"/>
  <c r="P6" i="9" s="1"/>
  <c r="Q6" i="9" s="1"/>
  <c r="T6" i="9"/>
  <c r="X6" i="9"/>
  <c r="B7" i="9"/>
  <c r="D7" i="9"/>
  <c r="E7" i="9"/>
  <c r="H7" i="9"/>
  <c r="J7" i="9"/>
  <c r="K7" i="9"/>
  <c r="N7" i="9"/>
  <c r="P7" i="9"/>
  <c r="Q7" i="9"/>
  <c r="R7" i="9"/>
  <c r="T7" i="9"/>
  <c r="X7" i="9" s="1"/>
  <c r="B8" i="9"/>
  <c r="D8" i="9"/>
  <c r="E8" i="9"/>
  <c r="H8" i="9"/>
  <c r="J8" i="9"/>
  <c r="K8" i="9"/>
  <c r="N8" i="9"/>
  <c r="P8" i="9" s="1"/>
  <c r="Q8" i="9" s="1"/>
  <c r="T8" i="9"/>
  <c r="X8" i="9"/>
  <c r="B9" i="9"/>
  <c r="D9" i="9"/>
  <c r="E9" i="9"/>
  <c r="H9" i="9"/>
  <c r="J9" i="9"/>
  <c r="K9" i="9"/>
  <c r="N9" i="9"/>
  <c r="P9" i="9"/>
  <c r="Q9" i="9"/>
  <c r="R9" i="9"/>
  <c r="T9" i="9"/>
  <c r="X9" i="9" s="1"/>
  <c r="B10" i="9"/>
  <c r="D10" i="9"/>
  <c r="E10" i="9"/>
  <c r="H10" i="9"/>
  <c r="J10" i="9"/>
  <c r="K10" i="9"/>
  <c r="N10" i="9"/>
  <c r="P10" i="9" s="1"/>
  <c r="Q10" i="9" s="1"/>
  <c r="T10" i="9"/>
  <c r="X10" i="9"/>
  <c r="N34" i="6"/>
  <c r="M34" i="6"/>
  <c r="G77" i="6"/>
  <c r="G76" i="6"/>
  <c r="G73" i="6"/>
  <c r="G72" i="6"/>
  <c r="G71" i="6"/>
  <c r="G70" i="6"/>
  <c r="H70" i="6" s="1"/>
  <c r="I70" i="6" s="1"/>
  <c r="J70" i="6" s="1"/>
  <c r="N33" i="6"/>
  <c r="N32" i="6"/>
  <c r="N31" i="6"/>
  <c r="N30" i="6"/>
  <c r="M33" i="6"/>
  <c r="M32" i="6"/>
  <c r="M31" i="6"/>
  <c r="M30" i="6"/>
  <c r="G67" i="6"/>
  <c r="G66" i="6"/>
  <c r="G60" i="6" s="1"/>
  <c r="H60" i="6" s="1"/>
  <c r="I60" i="6" s="1"/>
  <c r="J60" i="6" s="1"/>
  <c r="G63" i="6"/>
  <c r="G62" i="6"/>
  <c r="G61" i="6"/>
  <c r="G57" i="6"/>
  <c r="G56" i="6"/>
  <c r="G50" i="6" s="1"/>
  <c r="H50" i="6" s="1"/>
  <c r="I50" i="6" s="1"/>
  <c r="J50" i="6" s="1"/>
  <c r="G53" i="6"/>
  <c r="G52" i="6"/>
  <c r="G51" i="6"/>
  <c r="G46" i="6"/>
  <c r="G36" i="6"/>
  <c r="G30" i="6" s="1"/>
  <c r="H30" i="6" s="1"/>
  <c r="G40" i="6"/>
  <c r="H40" i="6" s="1"/>
  <c r="I40" i="6" s="1"/>
  <c r="J40" i="6" s="1"/>
  <c r="G47" i="6"/>
  <c r="G43" i="6"/>
  <c r="G42" i="6"/>
  <c r="G41" i="6"/>
  <c r="G37" i="6"/>
  <c r="G33" i="6"/>
  <c r="G32" i="6"/>
  <c r="R10" i="9" l="1"/>
  <c r="R8" i="9"/>
  <c r="R6" i="9"/>
  <c r="G31" i="6"/>
  <c r="I30" i="6" s="1"/>
  <c r="J30" i="6" s="1"/>
  <c r="AD33" i="3"/>
  <c r="AD21" i="3"/>
  <c r="C13" i="2"/>
  <c r="X88" i="3" l="1"/>
  <c r="Z88" i="3" s="1"/>
  <c r="X87" i="3"/>
  <c r="Z87" i="3" s="1"/>
  <c r="X86" i="3"/>
  <c r="Y86" i="3" s="1"/>
  <c r="X85" i="3"/>
  <c r="Y85" i="3" s="1"/>
  <c r="X84" i="3"/>
  <c r="Y84" i="3" s="1"/>
  <c r="X83" i="3"/>
  <c r="Z83" i="3" s="1"/>
  <c r="X82" i="3"/>
  <c r="Z82" i="3" s="1"/>
  <c r="X81" i="3"/>
  <c r="Z81" i="3" s="1"/>
  <c r="X80" i="3"/>
  <c r="Z80" i="3" s="1"/>
  <c r="X79" i="3"/>
  <c r="Z79" i="3" s="1"/>
  <c r="X78" i="3"/>
  <c r="Y78" i="3" s="1"/>
  <c r="X77" i="3"/>
  <c r="Z77" i="3" s="1"/>
  <c r="X76" i="3"/>
  <c r="Y76" i="3" s="1"/>
  <c r="X75" i="3"/>
  <c r="Z75" i="3" s="1"/>
  <c r="X74" i="3"/>
  <c r="Y74" i="3" s="1"/>
  <c r="X73" i="3"/>
  <c r="Z73" i="3" s="1"/>
  <c r="X72" i="3"/>
  <c r="Z72" i="3" s="1"/>
  <c r="X71" i="3"/>
  <c r="Z71" i="3" s="1"/>
  <c r="X70" i="3"/>
  <c r="Y70" i="3" s="1"/>
  <c r="X69" i="3"/>
  <c r="Y69" i="3" s="1"/>
  <c r="X68" i="3"/>
  <c r="Z68" i="3" s="1"/>
  <c r="X67" i="3"/>
  <c r="Z67" i="3" s="1"/>
  <c r="X66" i="3"/>
  <c r="Y66" i="3" s="1"/>
  <c r="X65" i="3"/>
  <c r="Z65" i="3" s="1"/>
  <c r="X64" i="3"/>
  <c r="Z64" i="3" s="1"/>
  <c r="X63" i="3"/>
  <c r="Z63" i="3" s="1"/>
  <c r="X62" i="3"/>
  <c r="Y62" i="3" s="1"/>
  <c r="X61" i="3"/>
  <c r="Z61" i="3" s="1"/>
  <c r="X60" i="3"/>
  <c r="Y60" i="3" s="1"/>
  <c r="X59" i="3"/>
  <c r="Z59" i="3" s="1"/>
  <c r="X58" i="3"/>
  <c r="Y58" i="3" s="1"/>
  <c r="X57" i="3"/>
  <c r="Z57" i="3" s="1"/>
  <c r="X56" i="3"/>
  <c r="Z56" i="3" s="1"/>
  <c r="X55" i="3"/>
  <c r="Z55" i="3" s="1"/>
  <c r="X54" i="3"/>
  <c r="Y54" i="3" s="1"/>
  <c r="X53" i="3"/>
  <c r="Z53" i="3" s="1"/>
  <c r="X52" i="3"/>
  <c r="Z52" i="3" s="1"/>
  <c r="X51" i="3"/>
  <c r="Y51" i="3" s="1"/>
  <c r="X50" i="3"/>
  <c r="Z50" i="3" s="1"/>
  <c r="X49" i="3"/>
  <c r="Z49" i="3" s="1"/>
  <c r="X48" i="3"/>
  <c r="Y48" i="3" s="1"/>
  <c r="X47" i="3"/>
  <c r="Z47" i="3" s="1"/>
  <c r="X46" i="3"/>
  <c r="Y46" i="3" s="1"/>
  <c r="X45" i="3"/>
  <c r="Y45" i="3" s="1"/>
  <c r="X44" i="3"/>
  <c r="Z44" i="3" s="1"/>
  <c r="X43" i="3"/>
  <c r="Z43" i="3" s="1"/>
  <c r="X42" i="3"/>
  <c r="Y42" i="3" s="1"/>
  <c r="X41" i="3"/>
  <c r="Y41" i="3" s="1"/>
  <c r="X40" i="3"/>
  <c r="Y40" i="3" s="1"/>
  <c r="X39" i="3"/>
  <c r="Z39" i="3" s="1"/>
  <c r="X38" i="3"/>
  <c r="Y38" i="3" s="1"/>
  <c r="X37" i="3"/>
  <c r="Z37" i="3" s="1"/>
  <c r="X36" i="3"/>
  <c r="Y36" i="3" s="1"/>
  <c r="X35" i="3"/>
  <c r="Z35" i="3" s="1"/>
  <c r="X34" i="3"/>
  <c r="Z34" i="3" s="1"/>
  <c r="X33" i="3"/>
  <c r="Z33" i="3" s="1"/>
  <c r="X32" i="3"/>
  <c r="Z32" i="3" s="1"/>
  <c r="X31" i="3"/>
  <c r="Z31" i="3" s="1"/>
  <c r="X30" i="3"/>
  <c r="Y30" i="3" s="1"/>
  <c r="X29" i="3"/>
  <c r="Z29" i="3" s="1"/>
  <c r="X28" i="3"/>
  <c r="Z28" i="3" s="1"/>
  <c r="X27" i="3"/>
  <c r="Z27" i="3" s="1"/>
  <c r="X26" i="3"/>
  <c r="Z26" i="3" s="1"/>
  <c r="X25" i="3"/>
  <c r="Z25" i="3" s="1"/>
  <c r="X24" i="3"/>
  <c r="Z24" i="3" s="1"/>
  <c r="X23" i="3"/>
  <c r="Z23" i="3" s="1"/>
  <c r="X22" i="3"/>
  <c r="Z22" i="3" s="1"/>
  <c r="X21" i="3"/>
  <c r="Y21" i="3" s="1"/>
  <c r="AC24" i="3"/>
  <c r="X20" i="3"/>
  <c r="Y20" i="3" s="1"/>
  <c r="X19" i="3"/>
  <c r="Z19" i="3" s="1"/>
  <c r="X18" i="3"/>
  <c r="Y18" i="3" s="1"/>
  <c r="X17" i="3"/>
  <c r="Y17" i="3" s="1"/>
  <c r="X16" i="3"/>
  <c r="Z16" i="3" s="1"/>
  <c r="X15" i="3"/>
  <c r="Y15" i="3" s="1"/>
  <c r="X14" i="3"/>
  <c r="Y14" i="3" s="1"/>
  <c r="X13" i="3"/>
  <c r="Y13" i="3" s="1"/>
  <c r="X12" i="3"/>
  <c r="Z12" i="3" s="1"/>
  <c r="X11" i="3"/>
  <c r="Y11" i="3" s="1"/>
  <c r="X10" i="3"/>
  <c r="Z10" i="3" s="1"/>
  <c r="X9" i="3"/>
  <c r="Y9" i="3" s="1"/>
  <c r="X8" i="3"/>
  <c r="Z8" i="3" s="1"/>
  <c r="X7" i="3"/>
  <c r="Y7" i="3" s="1"/>
  <c r="X6" i="3"/>
  <c r="Y6" i="3" s="1"/>
  <c r="X5" i="3"/>
  <c r="Y5" i="3" s="1"/>
  <c r="X4" i="3"/>
  <c r="Z4" i="3" s="1"/>
  <c r="X3" i="3"/>
  <c r="Y3" i="3" s="1"/>
  <c r="X2" i="3"/>
  <c r="Z2" i="3" s="1"/>
  <c r="Y53" i="3" l="1"/>
  <c r="Z69" i="3"/>
  <c r="Y88" i="3"/>
  <c r="Z40" i="3"/>
  <c r="Z48" i="3"/>
  <c r="Z21" i="3"/>
  <c r="Z85" i="3"/>
  <c r="Z3" i="3"/>
  <c r="Y25" i="3"/>
  <c r="Y29" i="3"/>
  <c r="Z41" i="3"/>
  <c r="Y77" i="3"/>
  <c r="Z9" i="3"/>
  <c r="Z17" i="3"/>
  <c r="Y26" i="3"/>
  <c r="Z11" i="3"/>
  <c r="Y49" i="3"/>
  <c r="Y61" i="3"/>
  <c r="Z30" i="3"/>
  <c r="Z45" i="3"/>
  <c r="Y19" i="3"/>
  <c r="Y33" i="3"/>
  <c r="Y37" i="3"/>
  <c r="Y56" i="3"/>
  <c r="Y64" i="3"/>
  <c r="Y72" i="3"/>
  <c r="Y80" i="3"/>
  <c r="Z38" i="3"/>
  <c r="Y34" i="3"/>
  <c r="Y57" i="3"/>
  <c r="Y73" i="3"/>
  <c r="Y81" i="3"/>
  <c r="Y2" i="3"/>
  <c r="Z6" i="3"/>
  <c r="Z14" i="3"/>
  <c r="Y24" i="3"/>
  <c r="Z46" i="3"/>
  <c r="Z18" i="3"/>
  <c r="Y32" i="3"/>
  <c r="Z42" i="3"/>
  <c r="Y50" i="3"/>
  <c r="Z54" i="3"/>
  <c r="Z62" i="3"/>
  <c r="Z70" i="3"/>
  <c r="Z78" i="3"/>
  <c r="Z20" i="3"/>
  <c r="Y65" i="3"/>
  <c r="Y10" i="3"/>
  <c r="Z86" i="3"/>
  <c r="Z7" i="3"/>
  <c r="Z15" i="3"/>
  <c r="Z58" i="3"/>
  <c r="Z66" i="3"/>
  <c r="Z74" i="3"/>
  <c r="Y4" i="3"/>
  <c r="Y12" i="3"/>
  <c r="Y22" i="3"/>
  <c r="Y27" i="3"/>
  <c r="Y35" i="3"/>
  <c r="Y43" i="3"/>
  <c r="Y59" i="3"/>
  <c r="Y67" i="3"/>
  <c r="Y75" i="3"/>
  <c r="Y83" i="3"/>
  <c r="Z51" i="3"/>
  <c r="Y28" i="3"/>
  <c r="Y44" i="3"/>
  <c r="Y52" i="3"/>
  <c r="Y68" i="3"/>
  <c r="Z5" i="3"/>
  <c r="Y8" i="3"/>
  <c r="Z13" i="3"/>
  <c r="Y16" i="3"/>
  <c r="Y23" i="3"/>
  <c r="Y31" i="3"/>
  <c r="Z36" i="3"/>
  <c r="Y39" i="3"/>
  <c r="Y47" i="3"/>
  <c r="Y55" i="3"/>
  <c r="Z60" i="3"/>
  <c r="Y63" i="3"/>
  <c r="Y71" i="3"/>
  <c r="Z76" i="3"/>
  <c r="Y79" i="3"/>
  <c r="Z84" i="3"/>
  <c r="Y87" i="3"/>
  <c r="Y82" i="3"/>
  <c r="B16" i="2" l="1"/>
  <c r="D9" i="2"/>
  <c r="E9" i="2" s="1"/>
  <c r="D8" i="2"/>
  <c r="E8" i="2" s="1"/>
  <c r="D7" i="2"/>
  <c r="E7" i="2" s="1"/>
  <c r="D6" i="2"/>
  <c r="E6" i="2" s="1"/>
  <c r="D5" i="2"/>
  <c r="E5" i="2" s="1"/>
  <c r="D4" i="2"/>
  <c r="E4" i="2" s="1"/>
  <c r="D3" i="2"/>
  <c r="E3" i="2" s="1"/>
  <c r="G6" i="2" l="1"/>
  <c r="F6" i="2"/>
  <c r="F3" i="2"/>
  <c r="G3" i="2"/>
  <c r="F4" i="2"/>
  <c r="G4" i="2"/>
  <c r="G5" i="2"/>
  <c r="F5" i="2"/>
  <c r="F7" i="2"/>
  <c r="G7" i="2"/>
  <c r="G8" i="2"/>
  <c r="F8" i="2"/>
  <c r="G9" i="2"/>
  <c r="F9" i="2"/>
</calcChain>
</file>

<file path=xl/sharedStrings.xml><?xml version="1.0" encoding="utf-8"?>
<sst xmlns="http://schemas.openxmlformats.org/spreadsheetml/2006/main" count="795" uniqueCount="319">
  <si>
    <t>R J/mol K</t>
  </si>
  <si>
    <t>T K</t>
  </si>
  <si>
    <t>T °C</t>
  </si>
  <si>
    <t>Sulphur (high fO2):</t>
  </si>
  <si>
    <t>Sulphur (low fO2):</t>
  </si>
  <si>
    <t>Water :</t>
  </si>
  <si>
    <t>Lierenfeld et al (2018)</t>
  </si>
  <si>
    <t>Ni &amp; Zhang (2008)</t>
  </si>
  <si>
    <t>D(H2O) um2/s</t>
  </si>
  <si>
    <t>10000/T (K)</t>
  </si>
  <si>
    <t>Sulfur (my data)</t>
  </si>
  <si>
    <t>Borisova et al., (2022)</t>
  </si>
  <si>
    <t>distance, microns</t>
  </si>
  <si>
    <t>RSO4/RreseauSilicaté</t>
  </si>
  <si>
    <t>S, ppm</t>
  </si>
  <si>
    <t>1-Cx/Co</t>
  </si>
  <si>
    <t>erf (1-Cx/Co)</t>
  </si>
  <si>
    <t>erf-1 (1-Cx/Co)</t>
  </si>
  <si>
    <t>PS3-7</t>
  </si>
  <si>
    <t>PS3-1</t>
  </si>
  <si>
    <t>PS3-2</t>
  </si>
  <si>
    <t>PS3-3</t>
  </si>
  <si>
    <t>PS3-5</t>
  </si>
  <si>
    <t>PS3-6</t>
  </si>
  <si>
    <t>PS3-4</t>
  </si>
  <si>
    <t>m=1/(4 Dt)^0,5 [microns^(-1)]=</t>
  </si>
  <si>
    <t>"slope"</t>
  </si>
  <si>
    <t>D=1/m2*4*t =[m2/sec]=</t>
  </si>
  <si>
    <t>1000/T=</t>
  </si>
  <si>
    <t>Comment</t>
  </si>
  <si>
    <t>Al2O3</t>
  </si>
  <si>
    <t>SiO2</t>
  </si>
  <si>
    <t>SO3</t>
  </si>
  <si>
    <t>K2O</t>
  </si>
  <si>
    <t>Cl</t>
  </si>
  <si>
    <t>CaO</t>
  </si>
  <si>
    <t>FeO</t>
  </si>
  <si>
    <t>Na2O</t>
  </si>
  <si>
    <t>MgO</t>
  </si>
  <si>
    <t>Total</t>
  </si>
  <si>
    <t>X</t>
  </si>
  <si>
    <t>Y</t>
  </si>
  <si>
    <t>Z</t>
  </si>
  <si>
    <t>Beam X</t>
  </si>
  <si>
    <t>Beam Y</t>
  </si>
  <si>
    <t>Distance (µ)</t>
  </si>
  <si>
    <t>Mean Z</t>
  </si>
  <si>
    <t>Point#</t>
  </si>
  <si>
    <t>Date</t>
  </si>
  <si>
    <t xml:space="preserve"> </t>
  </si>
  <si>
    <t xml:space="preserve">5 / 1 . </t>
  </si>
  <si>
    <t>PS3-</t>
  </si>
  <si>
    <t>31/03/2017 16:19:24</t>
  </si>
  <si>
    <t xml:space="preserve">5 / 2 . </t>
  </si>
  <si>
    <t>31/03/2017 16:21:51</t>
  </si>
  <si>
    <t xml:space="preserve">5 / 3 . </t>
  </si>
  <si>
    <t>31/03/2017 16:24:19</t>
  </si>
  <si>
    <t xml:space="preserve">5 / 4 . </t>
  </si>
  <si>
    <t>31/03/2017 16:26:46</t>
  </si>
  <si>
    <t xml:space="preserve">5 / 5 . </t>
  </si>
  <si>
    <t>31/03/2017 16:29:14</t>
  </si>
  <si>
    <t xml:space="preserve">5 / 7 . </t>
  </si>
  <si>
    <t>31/03/2017 16:34:12</t>
  </si>
  <si>
    <t xml:space="preserve">5 / 8 . </t>
  </si>
  <si>
    <t>31/03/2017 16:36:39</t>
  </si>
  <si>
    <t xml:space="preserve">5 / 9 . </t>
  </si>
  <si>
    <t>31/03/2017 16:39:06</t>
  </si>
  <si>
    <t xml:space="preserve">5 / 10 . </t>
  </si>
  <si>
    <t>31/03/2017 16:41:33</t>
  </si>
  <si>
    <t xml:space="preserve">5 / 12 . </t>
  </si>
  <si>
    <t>31/03/2017 16:46:35</t>
  </si>
  <si>
    <t xml:space="preserve">5 / 14 . </t>
  </si>
  <si>
    <t>31/03/2017 16:51:30</t>
  </si>
  <si>
    <t xml:space="preserve">5 / 15 . </t>
  </si>
  <si>
    <t>31/03/2017 16:53:56</t>
  </si>
  <si>
    <t xml:space="preserve">5 / 16 . </t>
  </si>
  <si>
    <t>31/03/2017 16:56:24</t>
  </si>
  <si>
    <t xml:space="preserve">5 / 17 . </t>
  </si>
  <si>
    <t>31/03/2017 16:58:51</t>
  </si>
  <si>
    <t xml:space="preserve">5 / 18 . </t>
  </si>
  <si>
    <t>31/03/2017 17:01:18</t>
  </si>
  <si>
    <t xml:space="preserve">5 / 19 . </t>
  </si>
  <si>
    <t>31/03/2017 17:03:46</t>
  </si>
  <si>
    <t xml:space="preserve">5 / 20 . </t>
  </si>
  <si>
    <t>31/03/2017 17:06:14</t>
  </si>
  <si>
    <t xml:space="preserve">5 / 22 . </t>
  </si>
  <si>
    <t>31/03/2017 17:11:13</t>
  </si>
  <si>
    <t xml:space="preserve">5 / 23 . </t>
  </si>
  <si>
    <t>31/03/2017 17:13:42</t>
  </si>
  <si>
    <t xml:space="preserve">5 / 24 . </t>
  </si>
  <si>
    <t>31/03/2017 17:16:09</t>
  </si>
  <si>
    <t xml:space="preserve">5 / 26 . </t>
  </si>
  <si>
    <t>31/03/2017 17:21:06</t>
  </si>
  <si>
    <t xml:space="preserve">5 / 29 . </t>
  </si>
  <si>
    <t>31/03/2017 17:28:26</t>
  </si>
  <si>
    <t xml:space="preserve">5 / 30 . </t>
  </si>
  <si>
    <t>31/03/2017 17:30:55</t>
  </si>
  <si>
    <t xml:space="preserve">5 / 33 . </t>
  </si>
  <si>
    <t>31/03/2017 17:38:25</t>
  </si>
  <si>
    <t xml:space="preserve">5 / 34 . </t>
  </si>
  <si>
    <t>31/03/2017 17:40:53</t>
  </si>
  <si>
    <t xml:space="preserve">5 / 35 . </t>
  </si>
  <si>
    <t>31/03/2017 17:43:20</t>
  </si>
  <si>
    <t xml:space="preserve">5 / 36 . </t>
  </si>
  <si>
    <t>31/03/2017 17:45:47</t>
  </si>
  <si>
    <t xml:space="preserve">5 / 38 . </t>
  </si>
  <si>
    <t>31/03/2017 17:50:43</t>
  </si>
  <si>
    <t xml:space="preserve">5 / 40 . </t>
  </si>
  <si>
    <t>31/03/2017 17:55:38</t>
  </si>
  <si>
    <t xml:space="preserve">5 / 41 . </t>
  </si>
  <si>
    <t>31/03/2017 17:58:13</t>
  </si>
  <si>
    <t xml:space="preserve">5 / 42 . </t>
  </si>
  <si>
    <t>31/03/2017 18:00:40</t>
  </si>
  <si>
    <t xml:space="preserve">5 / 43 . </t>
  </si>
  <si>
    <t>31/03/2017 18:03:08</t>
  </si>
  <si>
    <t xml:space="preserve">5 / 45 . </t>
  </si>
  <si>
    <t>31/03/2017 18:08:02</t>
  </si>
  <si>
    <t xml:space="preserve">5 / 46 . </t>
  </si>
  <si>
    <t>31/03/2017 18:10:30</t>
  </si>
  <si>
    <t xml:space="preserve">5 / 47 . </t>
  </si>
  <si>
    <t>31/03/2017 18:12:57</t>
  </si>
  <si>
    <t xml:space="preserve">5 / 48 . </t>
  </si>
  <si>
    <t>31/03/2017 18:15:24</t>
  </si>
  <si>
    <t xml:space="preserve">5 / 49 . </t>
  </si>
  <si>
    <t>31/03/2017 18:17:52</t>
  </si>
  <si>
    <t xml:space="preserve">5 / 50 . </t>
  </si>
  <si>
    <t>31/03/2017 18:20:20</t>
  </si>
  <si>
    <t xml:space="preserve">5 / 51 . </t>
  </si>
  <si>
    <t>31/03/2017 18:22:55</t>
  </si>
  <si>
    <t xml:space="preserve">5 / 52 . </t>
  </si>
  <si>
    <t>31/03/2017 18:25:23</t>
  </si>
  <si>
    <t xml:space="preserve">5 / 53 . </t>
  </si>
  <si>
    <t>31/03/2017 18:27:50</t>
  </si>
  <si>
    <t xml:space="preserve">5 / 54 . </t>
  </si>
  <si>
    <t>31/03/2017 18:30:17</t>
  </si>
  <si>
    <t xml:space="preserve">5 / 55 . </t>
  </si>
  <si>
    <t>31/03/2017 18:32:45</t>
  </si>
  <si>
    <t xml:space="preserve">5 / 56 . </t>
  </si>
  <si>
    <t>31/03/2017 18:35:12</t>
  </si>
  <si>
    <t xml:space="preserve">5 / 57 . </t>
  </si>
  <si>
    <t>31/03/2017 18:37:39</t>
  </si>
  <si>
    <t xml:space="preserve">5 / 58 . </t>
  </si>
  <si>
    <t>31/03/2017 18:40:06</t>
  </si>
  <si>
    <t xml:space="preserve">5 / 59 . </t>
  </si>
  <si>
    <t>31/03/2017 18:42:34</t>
  </si>
  <si>
    <t xml:space="preserve">5 / 60 . </t>
  </si>
  <si>
    <t>31/03/2017 18:45:01</t>
  </si>
  <si>
    <t xml:space="preserve">5 / 61 . </t>
  </si>
  <si>
    <t>31/03/2017 18:47:37</t>
  </si>
  <si>
    <t xml:space="preserve">5 / 62 . </t>
  </si>
  <si>
    <t>31/03/2017 18:50:05</t>
  </si>
  <si>
    <t xml:space="preserve">5 / 63 . </t>
  </si>
  <si>
    <t>31/03/2017 18:52:33</t>
  </si>
  <si>
    <t xml:space="preserve">5 / 64 . </t>
  </si>
  <si>
    <t>31/03/2017 18:55:01</t>
  </si>
  <si>
    <t xml:space="preserve">5 / 65 . </t>
  </si>
  <si>
    <t>31/03/2017 18:57:28</t>
  </si>
  <si>
    <t xml:space="preserve">5 / 66 . </t>
  </si>
  <si>
    <t>31/03/2017 18:59:55</t>
  </si>
  <si>
    <t xml:space="preserve">5 / 67 . </t>
  </si>
  <si>
    <t>31/03/2017 19:02:22</t>
  </si>
  <si>
    <t xml:space="preserve">5 / 68 . </t>
  </si>
  <si>
    <t>31/03/2017 19:04:50</t>
  </si>
  <si>
    <t xml:space="preserve">5 / 69 . </t>
  </si>
  <si>
    <t>31/03/2017 19:07:19</t>
  </si>
  <si>
    <t xml:space="preserve">5 / 70 . </t>
  </si>
  <si>
    <t>31/03/2017 19:09:47</t>
  </si>
  <si>
    <t xml:space="preserve">5 / 71 . </t>
  </si>
  <si>
    <t>31/03/2017 19:12:22</t>
  </si>
  <si>
    <t xml:space="preserve">5 / 72 . </t>
  </si>
  <si>
    <t>31/03/2017 19:14:50</t>
  </si>
  <si>
    <t xml:space="preserve">5 / 73 . </t>
  </si>
  <si>
    <t>31/03/2017 19:17:17</t>
  </si>
  <si>
    <t xml:space="preserve">5 / 74 . </t>
  </si>
  <si>
    <t>31/03/2017 19:19:44</t>
  </si>
  <si>
    <t xml:space="preserve">5 / 75 . </t>
  </si>
  <si>
    <t>31/03/2017 19:22:11</t>
  </si>
  <si>
    <t xml:space="preserve">5 / 76 . </t>
  </si>
  <si>
    <t>31/03/2017 19:24:39</t>
  </si>
  <si>
    <t xml:space="preserve">5 / 77 . </t>
  </si>
  <si>
    <t>31/03/2017 19:27:06</t>
  </si>
  <si>
    <t xml:space="preserve">5 / 78 . </t>
  </si>
  <si>
    <t>31/03/2017 19:29:33</t>
  </si>
  <si>
    <t xml:space="preserve">5 / 79 . </t>
  </si>
  <si>
    <t>31/03/2017 19:32:01</t>
  </si>
  <si>
    <t xml:space="preserve">5 / 80 . </t>
  </si>
  <si>
    <t>31/03/2017 19:34:30</t>
  </si>
  <si>
    <t xml:space="preserve">5 / 82 . </t>
  </si>
  <si>
    <t>31/03/2017 19:39:33</t>
  </si>
  <si>
    <t xml:space="preserve">5 / 83 . </t>
  </si>
  <si>
    <t>31/03/2017 19:42:00</t>
  </si>
  <si>
    <t xml:space="preserve">5 / 84 . </t>
  </si>
  <si>
    <t>31/03/2017 19:44:28</t>
  </si>
  <si>
    <t xml:space="preserve">5 / 85 . </t>
  </si>
  <si>
    <t>31/03/2017 19:46:55</t>
  </si>
  <si>
    <t xml:space="preserve">5 / 86 . </t>
  </si>
  <si>
    <t>31/03/2017 19:49:24</t>
  </si>
  <si>
    <t xml:space="preserve">5 / 87 . </t>
  </si>
  <si>
    <t>31/03/2017 19:51:53</t>
  </si>
  <si>
    <t xml:space="preserve">5 / 88 . </t>
  </si>
  <si>
    <t>31/03/2017 19:54:21</t>
  </si>
  <si>
    <t xml:space="preserve">5 / 89 . </t>
  </si>
  <si>
    <t>31/03/2017 19:56:48</t>
  </si>
  <si>
    <t xml:space="preserve">5 / 90 . </t>
  </si>
  <si>
    <t>31/03/2017 19:59:16</t>
  </si>
  <si>
    <t xml:space="preserve">5 / 91 . </t>
  </si>
  <si>
    <t>31/03/2017 20:01:50</t>
  </si>
  <si>
    <t xml:space="preserve">5 / 92 . </t>
  </si>
  <si>
    <t>31/03/2017 20:04:19</t>
  </si>
  <si>
    <t xml:space="preserve">5 / 93 . </t>
  </si>
  <si>
    <t>31/03/2017 20:06:46</t>
  </si>
  <si>
    <t xml:space="preserve">5 / 94 . </t>
  </si>
  <si>
    <t>31/03/2017 20:09:14</t>
  </si>
  <si>
    <t xml:space="preserve">5 / 95 . </t>
  </si>
  <si>
    <t>31/03/2017 20:11:42</t>
  </si>
  <si>
    <t xml:space="preserve">5 / 96 . </t>
  </si>
  <si>
    <t>31/03/2017 20:14:09</t>
  </si>
  <si>
    <t xml:space="preserve">5 / 97 . </t>
  </si>
  <si>
    <t>31/03/2017 20:16:36</t>
  </si>
  <si>
    <t xml:space="preserve">5 / 98 . </t>
  </si>
  <si>
    <t>31/03/2017 20:19:04</t>
  </si>
  <si>
    <t xml:space="preserve">5 / 99 . </t>
  </si>
  <si>
    <t>31/03/2017 20:21:32</t>
  </si>
  <si>
    <t xml:space="preserve">5 / 100 . </t>
  </si>
  <si>
    <t>31/03/2017 20:23:59</t>
  </si>
  <si>
    <t>m=1/(4 Dt)^0,5 [microns*(s-1)]=</t>
  </si>
  <si>
    <t>t=</t>
  </si>
  <si>
    <t>h</t>
  </si>
  <si>
    <r>
      <t>Lierenfeld (2018) D(S, high f</t>
    </r>
    <r>
      <rPr>
        <b/>
        <vertAlign val="subscript"/>
        <sz val="11"/>
        <color theme="1"/>
        <rFont val="Times New Roman"/>
        <family val="1"/>
      </rPr>
      <t>O2</t>
    </r>
    <r>
      <rPr>
        <b/>
        <sz val="11"/>
        <color theme="1"/>
        <rFont val="Times New Roman"/>
        <family val="1"/>
      </rPr>
      <t>) m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/s</t>
    </r>
  </si>
  <si>
    <r>
      <t>Ni &amp; Zhang (2008) D(H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O) m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/s</t>
    </r>
  </si>
  <si>
    <r>
      <t>this work D(S, EPMA, this work) m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/s</t>
    </r>
  </si>
  <si>
    <r>
      <t>this work D(S, Raman, this work) m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/s</t>
    </r>
  </si>
  <si>
    <r>
      <t>Lierenfeld (2018) D(S, low f</t>
    </r>
    <r>
      <rPr>
        <b/>
        <vertAlign val="subscript"/>
        <sz val="11"/>
        <color theme="1"/>
        <rFont val="Times New Roman"/>
        <family val="1"/>
      </rPr>
      <t>O2</t>
    </r>
    <r>
      <rPr>
        <b/>
        <sz val="11"/>
        <color theme="1"/>
        <rFont val="Times New Roman"/>
        <family val="1"/>
      </rPr>
      <t>) m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/s</t>
    </r>
  </si>
  <si>
    <r>
      <t>SO</t>
    </r>
    <r>
      <rPr>
        <b/>
        <vertAlign val="subscript"/>
        <sz val="11"/>
        <color theme="1"/>
        <rFont val="Times New Roman"/>
        <family val="1"/>
      </rPr>
      <t>4</t>
    </r>
    <r>
      <rPr>
        <b/>
        <sz val="11"/>
        <color theme="1"/>
        <rFont val="Times New Roman"/>
        <family val="1"/>
      </rPr>
      <t xml:space="preserve"> diffusion:</t>
    </r>
  </si>
  <si>
    <r>
      <t>Fe</t>
    </r>
    <r>
      <rPr>
        <b/>
        <u/>
        <vertAlign val="superscript"/>
        <sz val="11"/>
        <color theme="1"/>
        <rFont val="Times New Roman"/>
        <family val="1"/>
      </rPr>
      <t>2+</t>
    </r>
    <r>
      <rPr>
        <b/>
        <u/>
        <sz val="11"/>
        <color theme="1"/>
        <rFont val="Times New Roman"/>
        <family val="1"/>
      </rPr>
      <t xml:space="preserve"> diffusion</t>
    </r>
  </si>
  <si>
    <t>Sample</t>
  </si>
  <si>
    <t>Starting materials</t>
  </si>
  <si>
    <t>Conditions and duration</t>
  </si>
  <si>
    <t>(T °C</t>
  </si>
  <si>
    <t>P GPa)</t>
  </si>
  <si>
    <t>Resulting phases</t>
  </si>
  <si>
    <t xml:space="preserve">and </t>
  </si>
  <si>
    <t>Diffusion coefficients</t>
  </si>
  <si>
    <t>PS1</t>
  </si>
  <si>
    <t>MAC - FeS(po)</t>
  </si>
  <si>
    <t>900°C</t>
  </si>
  <si>
    <t>0.5 GPa</t>
  </si>
  <si>
    <t>~30 min</t>
  </si>
  <si>
    <t>10.1 (bulk)</t>
  </si>
  <si>
    <t>N.A.</t>
  </si>
  <si>
    <t>PS2</t>
  </si>
  <si>
    <t>MBA - FeS(po)</t>
  </si>
  <si>
    <t>1000°C</t>
  </si>
  <si>
    <t>10.3 (bulk)</t>
  </si>
  <si>
    <t>PS3</t>
  </si>
  <si>
    <t>1 GPa</t>
  </si>
  <si>
    <t>32.5min</t>
  </si>
  <si>
    <t>FeS dissolution</t>
  </si>
  <si>
    <t>reaction</t>
  </si>
  <si>
    <t>8.1 (bulk)</t>
  </si>
  <si>
    <t>8.9 (melt)</t>
  </si>
  <si>
    <t>PS4</t>
  </si>
  <si>
    <t>7.8 (bulk)</t>
  </si>
  <si>
    <t>MAC – macusanite obsidian rhyolite glass (Borisova et al., 2010); MBA – natural re-melted basaltic andesite ash from the 2010 Merapi eruption (Borisova et al., 2012); FeS(po) – natural pyrrhotite mineral (BA-1881-59, Vikentiev et al., 2021).</t>
  </si>
  <si>
    <t>* H2S – H2S↑ liberated due to the dissolution reaction. Experimental capsule opening upon the run and smelling of H2S due to the reactions (1,2).</t>
  </si>
  <si>
    <r>
      <t>H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 xml:space="preserve">O wt% (bulk) </t>
    </r>
  </si>
  <si>
    <r>
      <t>(m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/s)</t>
    </r>
  </si>
  <si>
    <r>
      <t>H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O wt% (melt)</t>
    </r>
  </si>
  <si>
    <r>
      <t>FeS dissolution reaction and H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S↑*</t>
    </r>
  </si>
  <si>
    <r>
      <t>[SO</t>
    </r>
    <r>
      <rPr>
        <vertAlign val="sub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] (1.06 ×10</t>
    </r>
    <r>
      <rPr>
        <vertAlign val="superscript"/>
        <sz val="11"/>
        <color theme="1"/>
        <rFont val="Times New Roman"/>
        <family val="1"/>
      </rPr>
      <t>-10</t>
    </r>
    <r>
      <rPr>
        <sz val="11"/>
        <color theme="1"/>
        <rFont val="Times New Roman"/>
        <family val="1"/>
      </rPr>
      <t>)</t>
    </r>
  </si>
  <si>
    <r>
      <t>SO</t>
    </r>
    <r>
      <rPr>
        <vertAlign val="sub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 (2.62 ×10</t>
    </r>
    <r>
      <rPr>
        <vertAlign val="superscript"/>
        <sz val="11"/>
        <color theme="1"/>
        <rFont val="Times New Roman"/>
        <family val="1"/>
      </rPr>
      <t>-10</t>
    </r>
    <r>
      <rPr>
        <sz val="11"/>
        <color theme="1"/>
        <rFont val="Times New Roman"/>
        <family val="1"/>
      </rPr>
      <t>)</t>
    </r>
  </si>
  <si>
    <r>
      <t>FeO (8.01 × 10</t>
    </r>
    <r>
      <rPr>
        <vertAlign val="superscript"/>
        <sz val="11"/>
        <color theme="1"/>
        <rFont val="Times New Roman"/>
        <family val="1"/>
      </rPr>
      <t>-10</t>
    </r>
    <r>
      <rPr>
        <sz val="11"/>
        <color theme="1"/>
        <rFont val="Times New Roman"/>
        <family val="1"/>
      </rPr>
      <t>)</t>
    </r>
  </si>
  <si>
    <t>Table S3: EPMA data</t>
  </si>
  <si>
    <t>Table S2: micro-Raman data</t>
  </si>
  <si>
    <t>HCH program results:</t>
  </si>
  <si>
    <t xml:space="preserve">              pK of reaction "FeS to FeO with S3-"</t>
  </si>
  <si>
    <t xml:space="preserve">                  pK of reaction "H2toO2_H2O"</t>
  </si>
  <si>
    <t xml:space="preserve">                        pK of reaction "NNO"</t>
  </si>
  <si>
    <t xml:space="preserve">                  pK of reaction "H2O = H+ + OH-"</t>
  </si>
  <si>
    <t xml:space="preserve">                           Option: 1 bar</t>
  </si>
  <si>
    <t xml:space="preserve">             P   r   e   s   s   u   r   e       (   b   a   r   )</t>
  </si>
  <si>
    <t xml:space="preserve">  t(°C)</t>
  </si>
  <si>
    <t xml:space="preserve">      Sat  </t>
  </si>
  <si>
    <t xml:space="preserve">      ---  </t>
  </si>
  <si>
    <t>mol/kg H2O</t>
  </si>
  <si>
    <t>mol S/kg H2O</t>
  </si>
  <si>
    <t>wt% S in water fluid</t>
  </si>
  <si>
    <t>log a S3- = log K +pH - 2,5 log H2 + 3 log FeO</t>
  </si>
  <si>
    <t>log H2 = log Kw-0,5 log O2</t>
  </si>
  <si>
    <t>log O2 NNO = 2*log K</t>
  </si>
  <si>
    <t>NNO+2.5=</t>
  </si>
  <si>
    <t xml:space="preserve">pH = </t>
  </si>
  <si>
    <t>wt% FeO in melt</t>
  </si>
  <si>
    <t>andesite</t>
  </si>
  <si>
    <t>log FeO in melt</t>
  </si>
  <si>
    <t>pH of neutrality of water=</t>
  </si>
  <si>
    <t>Reactant</t>
  </si>
  <si>
    <t>Coefficient</t>
  </si>
  <si>
    <t>S3-</t>
  </si>
  <si>
    <t>FeS to FeO with S3- (eq. 4)</t>
  </si>
  <si>
    <t>H+</t>
  </si>
  <si>
    <t>Hydrogen, gas 0</t>
  </si>
  <si>
    <t>Trolite FeS</t>
  </si>
  <si>
    <t>H2O</t>
  </si>
  <si>
    <t>H2 + O2 = H2O</t>
  </si>
  <si>
    <t>Oxygen, gas</t>
  </si>
  <si>
    <t>NiNiO</t>
  </si>
  <si>
    <t>Nickel</t>
  </si>
  <si>
    <t>Oxygen</t>
  </si>
  <si>
    <t>NiO</t>
  </si>
  <si>
    <t>Example 1</t>
  </si>
  <si>
    <t>Example 2</t>
  </si>
  <si>
    <t>Example 3</t>
  </si>
  <si>
    <t>Example 4</t>
  </si>
  <si>
    <t>FeO melt</t>
  </si>
  <si>
    <t>Example 5</t>
  </si>
  <si>
    <t>Table S1 Experimental conditions, starting material, resulting phases and diffusion coefficients</t>
  </si>
  <si>
    <t>Table S4: All data on diffusion coefficients</t>
  </si>
  <si>
    <t>Table S5: Thermodynamic modeling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</si>
</sst>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-* #,##0.000\ _€_-;\-* #,##0.000\ _€_-;_-* &quot;-&quot;???\ _€_-;_-@_-"/>
    <numFmt numFmtId="165" formatCode="0.000"/>
    <numFmt numFmtId="166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/>
      <vertAlign val="superscript"/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11" fontId="2" fillId="0" borderId="0" xfId="1" applyNumberFormat="1" applyFont="1"/>
    <xf numFmtId="11" fontId="2" fillId="0" borderId="0" xfId="0" applyNumberFormat="1" applyFont="1"/>
    <xf numFmtId="164" fontId="2" fillId="0" borderId="0" xfId="1" applyNumberFormat="1" applyFont="1"/>
    <xf numFmtId="0" fontId="3" fillId="0" borderId="0" xfId="0" applyFont="1"/>
    <xf numFmtId="11" fontId="3" fillId="0" borderId="0" xfId="0" applyNumberFormat="1" applyFont="1"/>
    <xf numFmtId="43" fontId="3" fillId="0" borderId="0" xfId="1" applyFont="1"/>
    <xf numFmtId="43" fontId="2" fillId="0" borderId="0" xfId="1" applyFont="1"/>
    <xf numFmtId="164" fontId="3" fillId="0" borderId="0" xfId="1" applyNumberFormat="1" applyFont="1"/>
    <xf numFmtId="11" fontId="3" fillId="0" borderId="0" xfId="1" applyNumberFormat="1" applyFont="1"/>
    <xf numFmtId="0" fontId="6" fillId="0" borderId="0" xfId="0" applyFont="1"/>
    <xf numFmtId="0" fontId="8" fillId="0" borderId="0" xfId="0" applyFont="1"/>
    <xf numFmtId="0" fontId="3" fillId="0" borderId="4" xfId="0" applyFont="1" applyBorder="1" applyAlignment="1">
      <alignment horizontal="center" vertical="center" wrapText="1"/>
    </xf>
    <xf numFmtId="0" fontId="0" fillId="0" borderId="0" xfId="0" applyFont="1"/>
    <xf numFmtId="0" fontId="3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top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11" fillId="0" borderId="0" xfId="0" applyFont="1" applyFill="1"/>
    <xf numFmtId="2" fontId="2" fillId="0" borderId="0" xfId="0" applyNumberFormat="1" applyFont="1"/>
    <xf numFmtId="165" fontId="2" fillId="0" borderId="0" xfId="0" applyNumberFormat="1" applyFont="1"/>
    <xf numFmtId="166" fontId="2" fillId="0" borderId="0" xfId="0" applyNumberFormat="1" applyFo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836088148261246"/>
          <c:y val="5.6500069070313581E-2"/>
          <c:w val="0.63143789851753296"/>
          <c:h val="0.77510263848597871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12"/>
            <c:spPr>
              <a:solidFill>
                <a:srgbClr val="FF0000"/>
              </a:solidFill>
              <a:ln w="12700">
                <a:solidFill>
                  <a:schemeClr val="tx1"/>
                </a:solidFill>
              </a:ln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13957095914191828"/>
                  <c:y val="0.34792700254573439"/>
                </c:manualLayout>
              </c:layout>
              <c:numFmt formatCode="General" sourceLinked="0"/>
            </c:trendlineLbl>
          </c:trendline>
          <c:trendline>
            <c:spPr>
              <a:ln>
                <a:prstDash val="dash"/>
              </a:ln>
            </c:spPr>
            <c:trendlineType val="linear"/>
            <c:dispRSqr val="0"/>
            <c:dispEq val="0"/>
          </c:trendline>
          <c:errBars>
            <c:errDir val="y"/>
            <c:errBarType val="both"/>
            <c:errValType val="fixedVal"/>
            <c:noEndCap val="0"/>
            <c:val val="0.4"/>
          </c:errBars>
          <c:xVal>
            <c:numRef>
              <c:f>[1]Feuil1!$B$3:$B$9</c:f>
              <c:numCache>
                <c:formatCode>General</c:formatCode>
                <c:ptCount val="7"/>
                <c:pt idx="0">
                  <c:v>38</c:v>
                </c:pt>
                <c:pt idx="1">
                  <c:v>38</c:v>
                </c:pt>
                <c:pt idx="2">
                  <c:v>188</c:v>
                </c:pt>
                <c:pt idx="3">
                  <c:v>434</c:v>
                </c:pt>
                <c:pt idx="4">
                  <c:v>1014</c:v>
                </c:pt>
                <c:pt idx="5">
                  <c:v>1332</c:v>
                </c:pt>
                <c:pt idx="6">
                  <c:v>1783</c:v>
                </c:pt>
              </c:numCache>
            </c:numRef>
          </c:xVal>
          <c:yVal>
            <c:numRef>
              <c:f>[1]Feuil1!$G$3:$G$9</c:f>
              <c:numCache>
                <c:formatCode>General</c:formatCode>
                <c:ptCount val="7"/>
                <c:pt idx="0">
                  <c:v>8.6982345600329108E-2</c:v>
                </c:pt>
                <c:pt idx="1">
                  <c:v>0</c:v>
                </c:pt>
                <c:pt idx="2">
                  <c:v>0.16892262541185435</c:v>
                </c:pt>
                <c:pt idx="3">
                  <c:v>0.31366195685427434</c:v>
                </c:pt>
                <c:pt idx="4">
                  <c:v>0.69069740190328166</c:v>
                </c:pt>
                <c:pt idx="5">
                  <c:v>1.1241325897916599</c:v>
                </c:pt>
                <c:pt idx="6">
                  <c:v>2.1780033545473909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E17-48E8-A482-4A3503B21B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2369696"/>
        <c:axId val="232381456"/>
      </c:scatterChart>
      <c:valAx>
        <c:axId val="232369696"/>
        <c:scaling>
          <c:orientation val="minMax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microns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b="0"/>
            </a:pPr>
            <a:endParaRPr lang="fr-FR"/>
          </a:p>
        </c:txPr>
        <c:crossAx val="232381456"/>
        <c:crosses val="autoZero"/>
        <c:crossBetween val="midCat"/>
      </c:valAx>
      <c:valAx>
        <c:axId val="232381456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erf-1(1-Cx/Co)</a:t>
                </a:r>
              </a:p>
            </c:rich>
          </c:tx>
          <c:layout>
            <c:manualLayout>
              <c:xMode val="edge"/>
              <c:yMode val="edge"/>
              <c:x val="4.3028624192059092E-2"/>
              <c:y val="0.24541069208454203"/>
            </c:manualLayout>
          </c:layout>
          <c:overlay val="0"/>
        </c:title>
        <c:numFmt formatCode="0.0E+0" sourceLinked="0"/>
        <c:majorTickMark val="out"/>
        <c:minorTickMark val="none"/>
        <c:tickLblPos val="nextTo"/>
        <c:txPr>
          <a:bodyPr/>
          <a:lstStyle/>
          <a:p>
            <a:pPr>
              <a:defRPr b="0"/>
            </a:pPr>
            <a:endParaRPr lang="fr-FR"/>
          </a:p>
        </c:txPr>
        <c:crossAx val="232369696"/>
        <c:crosses val="autoZero"/>
        <c:crossBetween val="midCat"/>
      </c:valAx>
    </c:plotArea>
    <c:plotVisOnly val="1"/>
    <c:dispBlanksAs val="gap"/>
    <c:showDLblsOverMax val="0"/>
  </c:chart>
  <c:spPr>
    <a:ln>
      <a:solidFill>
        <a:schemeClr val="bg1"/>
      </a:solidFill>
    </a:ln>
  </c:spPr>
  <c:txPr>
    <a:bodyPr/>
    <a:lstStyle/>
    <a:p>
      <a:pPr>
        <a:defRPr sz="1600"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7660677699136438"/>
          <c:y val="8.0210526315789468E-2"/>
          <c:w val="0.64425716597508986"/>
          <c:h val="0.755836441497444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12"/>
            <c:spPr>
              <a:solidFill>
                <a:srgbClr val="FF0000"/>
              </a:solidFill>
              <a:ln w="12700">
                <a:solidFill>
                  <a:schemeClr val="tx1"/>
                </a:solidFill>
              </a:ln>
            </c:spPr>
          </c:marker>
          <c:trendline>
            <c:trendlineType val="log"/>
            <c:dispRSqr val="0"/>
            <c:dispEq val="0"/>
          </c:trendline>
          <c:errBars>
            <c:errDir val="x"/>
            <c:errBarType val="both"/>
            <c:errValType val="fixedVal"/>
            <c:noEndCap val="0"/>
            <c:val val="10"/>
          </c:errBars>
          <c:errBars>
            <c:errDir val="y"/>
            <c:errBarType val="both"/>
            <c:errValType val="fixedVal"/>
            <c:noEndCap val="0"/>
            <c:val val="3.0000000000000009E-3"/>
          </c:errBars>
          <c:xVal>
            <c:numRef>
              <c:f>[1]Feuil1!$B$3:$B$9</c:f>
              <c:numCache>
                <c:formatCode>General</c:formatCode>
                <c:ptCount val="7"/>
                <c:pt idx="0">
                  <c:v>38</c:v>
                </c:pt>
                <c:pt idx="1">
                  <c:v>38</c:v>
                </c:pt>
                <c:pt idx="2">
                  <c:v>188</c:v>
                </c:pt>
                <c:pt idx="3">
                  <c:v>434</c:v>
                </c:pt>
                <c:pt idx="4">
                  <c:v>1014</c:v>
                </c:pt>
                <c:pt idx="5">
                  <c:v>1332</c:v>
                </c:pt>
                <c:pt idx="6">
                  <c:v>1783</c:v>
                </c:pt>
              </c:numCache>
            </c:numRef>
          </c:xVal>
          <c:yVal>
            <c:numRef>
              <c:f>[1]Feuil1!$C$3:$C$9</c:f>
              <c:numCache>
                <c:formatCode>General</c:formatCode>
                <c:ptCount val="7"/>
                <c:pt idx="0">
                  <c:v>1.29E-2</c:v>
                </c:pt>
                <c:pt idx="1">
                  <c:v>1.43E-2</c:v>
                </c:pt>
                <c:pt idx="2">
                  <c:v>1.1599999999999999E-2</c:v>
                </c:pt>
                <c:pt idx="3">
                  <c:v>9.4000000000000004E-3</c:v>
                </c:pt>
                <c:pt idx="4">
                  <c:v>4.7000000000000002E-3</c:v>
                </c:pt>
                <c:pt idx="5">
                  <c:v>1.6000000000000001E-3</c:v>
                </c:pt>
                <c:pt idx="6">
                  <c:v>2.9584999999999999E-5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EC8-4600-82DC-0E9636ED72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3070832"/>
        <c:axId val="173066912"/>
      </c:scatterChart>
      <c:valAx>
        <c:axId val="173070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microns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b="0"/>
            </a:pPr>
            <a:endParaRPr lang="fr-FR"/>
          </a:p>
        </c:txPr>
        <c:crossAx val="173066912"/>
        <c:crosses val="autoZero"/>
        <c:crossBetween val="midCat"/>
      </c:valAx>
      <c:valAx>
        <c:axId val="173066912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R[SO</a:t>
                </a:r>
                <a:r>
                  <a:rPr lang="fr-FR" baseline="-25000"/>
                  <a:t>4</a:t>
                </a:r>
                <a:r>
                  <a:rPr lang="fr-FR"/>
                  <a:t>] / R[background]</a:t>
                </a:r>
              </a:p>
            </c:rich>
          </c:tx>
          <c:layout>
            <c:manualLayout>
              <c:xMode val="edge"/>
              <c:yMode val="edge"/>
              <c:x val="4.787839718261843E-2"/>
              <c:y val="0.127198784362481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b="0"/>
            </a:pPr>
            <a:endParaRPr lang="fr-FR"/>
          </a:p>
        </c:txPr>
        <c:crossAx val="173070832"/>
        <c:crosses val="autoZero"/>
        <c:crossBetween val="midCat"/>
      </c:valAx>
    </c:plotArea>
    <c:plotVisOnly val="1"/>
    <c:dispBlanksAs val="gap"/>
    <c:showDLblsOverMax val="0"/>
  </c:chart>
  <c:spPr>
    <a:solidFill>
      <a:sysClr val="window" lastClr="FFFFFF"/>
    </a:solidFill>
    <a:ln>
      <a:solidFill>
        <a:schemeClr val="bg1"/>
      </a:solidFill>
    </a:ln>
  </c:spPr>
  <c:txPr>
    <a:bodyPr/>
    <a:lstStyle/>
    <a:p>
      <a:pPr>
        <a:defRPr sz="1600"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'[2]Calculs de diffusion'!$Z$1</c:f>
              <c:strCache>
                <c:ptCount val="1"/>
                <c:pt idx="0">
                  <c:v>erf-1 (1-Cx/Co)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ysClr val="windowText" lastClr="000000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5.4746281714785651E-4"/>
                  <c:y val="0.2994900116652085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 b="1" baseline="0">
                        <a:solidFill>
                          <a:sysClr val="windowText" lastClr="000000"/>
                        </a:solidFill>
                      </a:rPr>
                      <a:t>y = 0,0007x - 0,0319</a:t>
                    </a:r>
                    <a:br>
                      <a:rPr lang="en-US" b="1" baseline="0">
                        <a:solidFill>
                          <a:sysClr val="windowText" lastClr="000000"/>
                        </a:solidFill>
                      </a:rPr>
                    </a:br>
                    <a:r>
                      <a:rPr lang="en-US" b="1" baseline="0">
                        <a:solidFill>
                          <a:sysClr val="windowText" lastClr="000000"/>
                        </a:solidFill>
                      </a:rPr>
                      <a:t>R² = 0,9553</a:t>
                    </a:r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fr-FR"/>
                </a:p>
              </c:txPr>
            </c:trendlineLbl>
          </c:trendline>
          <c:errBars>
            <c:errDir val="x"/>
            <c:errBarType val="both"/>
            <c:errValType val="fixedVal"/>
            <c:noEndCap val="0"/>
            <c:val val="1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fixedVal"/>
            <c:noEndCap val="0"/>
            <c:val val="0.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'[2]Calculs de diffusion'!$S$2:$S$25</c:f>
              <c:numCache>
                <c:formatCode>General</c:formatCode>
                <c:ptCount val="24"/>
                <c:pt idx="0">
                  <c:v>0</c:v>
                </c:pt>
                <c:pt idx="1">
                  <c:v>50.58</c:v>
                </c:pt>
                <c:pt idx="2">
                  <c:v>101.15</c:v>
                </c:pt>
                <c:pt idx="3">
                  <c:v>151.72999999999999</c:v>
                </c:pt>
                <c:pt idx="4">
                  <c:v>202.3</c:v>
                </c:pt>
                <c:pt idx="5">
                  <c:v>252.88</c:v>
                </c:pt>
                <c:pt idx="6">
                  <c:v>303.45</c:v>
                </c:pt>
                <c:pt idx="7">
                  <c:v>354.03</c:v>
                </c:pt>
                <c:pt idx="8">
                  <c:v>404.61</c:v>
                </c:pt>
                <c:pt idx="9">
                  <c:v>455.18</c:v>
                </c:pt>
                <c:pt idx="10">
                  <c:v>505.76</c:v>
                </c:pt>
                <c:pt idx="11">
                  <c:v>556.33000000000004</c:v>
                </c:pt>
                <c:pt idx="12">
                  <c:v>606.91</c:v>
                </c:pt>
                <c:pt idx="13">
                  <c:v>657.49</c:v>
                </c:pt>
                <c:pt idx="14">
                  <c:v>708.06</c:v>
                </c:pt>
                <c:pt idx="15">
                  <c:v>758.64</c:v>
                </c:pt>
                <c:pt idx="16">
                  <c:v>809.21</c:v>
                </c:pt>
                <c:pt idx="17">
                  <c:v>859.79</c:v>
                </c:pt>
                <c:pt idx="18">
                  <c:v>910.36</c:v>
                </c:pt>
                <c:pt idx="19">
                  <c:v>960.94</c:v>
                </c:pt>
                <c:pt idx="20">
                  <c:v>1011.52</c:v>
                </c:pt>
                <c:pt idx="21">
                  <c:v>1062.0899999999999</c:v>
                </c:pt>
                <c:pt idx="22">
                  <c:v>1112.67</c:v>
                </c:pt>
                <c:pt idx="23">
                  <c:v>1163.24</c:v>
                </c:pt>
              </c:numCache>
            </c:numRef>
          </c:xVal>
          <c:yVal>
            <c:numRef>
              <c:f>'[2]Calculs de diffusion'!$Z$2:$Z$25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8.3561030107521639E-2</c:v>
                </c:pt>
                <c:pt idx="3">
                  <c:v>5.0788736028392324E-2</c:v>
                </c:pt>
                <c:pt idx="4">
                  <c:v>9.6350551001828516E-2</c:v>
                </c:pt>
                <c:pt idx="6">
                  <c:v>0.11651390414242781</c:v>
                </c:pt>
                <c:pt idx="7">
                  <c:v>0.23438768021095246</c:v>
                </c:pt>
                <c:pt idx="8">
                  <c:v>0.33468091749594447</c:v>
                </c:pt>
                <c:pt idx="9">
                  <c:v>0.19641565517188439</c:v>
                </c:pt>
                <c:pt idx="11">
                  <c:v>0.3367094285777269</c:v>
                </c:pt>
                <c:pt idx="13">
                  <c:v>0.5011072747295926</c:v>
                </c:pt>
                <c:pt idx="14">
                  <c:v>0.47352896922855625</c:v>
                </c:pt>
                <c:pt idx="15">
                  <c:v>0.55623822972965686</c:v>
                </c:pt>
                <c:pt idx="16">
                  <c:v>0.5104699455943823</c:v>
                </c:pt>
                <c:pt idx="17">
                  <c:v>0.56867190950379942</c:v>
                </c:pt>
                <c:pt idx="18">
                  <c:v>0.56119086814375063</c:v>
                </c:pt>
                <c:pt idx="19">
                  <c:v>0.6018577649310769</c:v>
                </c:pt>
                <c:pt idx="21">
                  <c:v>0.70759949291736757</c:v>
                </c:pt>
                <c:pt idx="22">
                  <c:v>0.67830552385383625</c:v>
                </c:pt>
                <c:pt idx="23">
                  <c:v>0.92633452027860541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EE2-4172-9A7F-2F7970E520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7513215"/>
        <c:axId val="597498655"/>
      </c:scatterChart>
      <c:valAx>
        <c:axId val="597513215"/>
        <c:scaling>
          <c:orientation val="minMax"/>
          <c:max val="12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fr-FR" b="1"/>
                  <a:t>Microns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r-FR"/>
          </a:p>
        </c:txPr>
        <c:crossAx val="597498655"/>
        <c:crosses val="autoZero"/>
        <c:crossBetween val="midCat"/>
      </c:valAx>
      <c:valAx>
        <c:axId val="597498655"/>
        <c:scaling>
          <c:orientation val="minMax"/>
          <c:max val="1.2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fr-FR" b="1"/>
                  <a:t>erf</a:t>
                </a:r>
                <a:r>
                  <a:rPr lang="fr-FR" b="1" baseline="30000"/>
                  <a:t>-1</a:t>
                </a:r>
                <a:r>
                  <a:rPr lang="fr-FR" b="1"/>
                  <a:t> (1- C</a:t>
                </a:r>
                <a:r>
                  <a:rPr lang="fr-FR" b="1" baseline="-25000"/>
                  <a:t>x</a:t>
                </a:r>
                <a:r>
                  <a:rPr lang="fr-FR" b="1"/>
                  <a:t>/C</a:t>
                </a:r>
                <a:r>
                  <a:rPr lang="fr-FR" b="1" baseline="-25000"/>
                  <a:t>o</a:t>
                </a:r>
                <a:r>
                  <a:rPr lang="fr-FR" b="1"/>
                  <a:t>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fr-FR"/>
            </a:p>
          </c:txPr>
        </c:title>
        <c:numFmt formatCode="0.0E+0" sourceLinked="0"/>
        <c:majorTickMark val="in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r-FR"/>
          </a:p>
        </c:txPr>
        <c:crossAx val="59751321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58611111111111"/>
          <c:y val="5.3912219305920092E-2"/>
          <c:w val="0.74024999999999996"/>
          <c:h val="0.71590259550889468"/>
        </c:manualLayout>
      </c:layout>
      <c:scatterChart>
        <c:scatterStyle val="lineMarker"/>
        <c:varyColors val="0"/>
        <c:ser>
          <c:idx val="0"/>
          <c:order val="0"/>
          <c:tx>
            <c:strRef>
              <c:f>'[2]Calculs de diffusion'!$E$1</c:f>
              <c:strCache>
                <c:ptCount val="1"/>
                <c:pt idx="0">
                  <c:v>SO3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1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fixedVal"/>
            <c:noEndCap val="0"/>
            <c:val val="5.000000000000001E-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'[2]Calculs de diffusion'!$S$2:$S$52</c:f>
              <c:numCache>
                <c:formatCode>General</c:formatCode>
                <c:ptCount val="51"/>
                <c:pt idx="0">
                  <c:v>0</c:v>
                </c:pt>
                <c:pt idx="1">
                  <c:v>50.58</c:v>
                </c:pt>
                <c:pt idx="2">
                  <c:v>101.15</c:v>
                </c:pt>
                <c:pt idx="3">
                  <c:v>151.72999999999999</c:v>
                </c:pt>
                <c:pt idx="4">
                  <c:v>202.3</c:v>
                </c:pt>
                <c:pt idx="5">
                  <c:v>252.88</c:v>
                </c:pt>
                <c:pt idx="6">
                  <c:v>303.45</c:v>
                </c:pt>
                <c:pt idx="7">
                  <c:v>354.03</c:v>
                </c:pt>
                <c:pt idx="8">
                  <c:v>404.61</c:v>
                </c:pt>
                <c:pt idx="9">
                  <c:v>455.18</c:v>
                </c:pt>
                <c:pt idx="10">
                  <c:v>505.76</c:v>
                </c:pt>
                <c:pt idx="11">
                  <c:v>556.33000000000004</c:v>
                </c:pt>
                <c:pt idx="12">
                  <c:v>606.91</c:v>
                </c:pt>
                <c:pt idx="13">
                  <c:v>657.49</c:v>
                </c:pt>
                <c:pt idx="14">
                  <c:v>708.06</c:v>
                </c:pt>
                <c:pt idx="15">
                  <c:v>758.64</c:v>
                </c:pt>
                <c:pt idx="16">
                  <c:v>809.21</c:v>
                </c:pt>
                <c:pt idx="17">
                  <c:v>859.79</c:v>
                </c:pt>
                <c:pt idx="18">
                  <c:v>910.36</c:v>
                </c:pt>
                <c:pt idx="19">
                  <c:v>960.94</c:v>
                </c:pt>
                <c:pt idx="20">
                  <c:v>1011.52</c:v>
                </c:pt>
                <c:pt idx="21">
                  <c:v>1062.0899999999999</c:v>
                </c:pt>
                <c:pt idx="22">
                  <c:v>1112.67</c:v>
                </c:pt>
                <c:pt idx="23">
                  <c:v>1163.24</c:v>
                </c:pt>
                <c:pt idx="24">
                  <c:v>1213.82</c:v>
                </c:pt>
                <c:pt idx="25">
                  <c:v>1264.4000000000001</c:v>
                </c:pt>
                <c:pt idx="26">
                  <c:v>1314.97</c:v>
                </c:pt>
                <c:pt idx="27">
                  <c:v>1365.55</c:v>
                </c:pt>
                <c:pt idx="28">
                  <c:v>1416.12</c:v>
                </c:pt>
                <c:pt idx="29">
                  <c:v>1466.7</c:v>
                </c:pt>
                <c:pt idx="30">
                  <c:v>1517.27</c:v>
                </c:pt>
                <c:pt idx="31">
                  <c:v>1567.85</c:v>
                </c:pt>
                <c:pt idx="32">
                  <c:v>1618.43</c:v>
                </c:pt>
                <c:pt idx="33">
                  <c:v>1669</c:v>
                </c:pt>
                <c:pt idx="34">
                  <c:v>1719.58</c:v>
                </c:pt>
                <c:pt idx="35">
                  <c:v>1770.15</c:v>
                </c:pt>
                <c:pt idx="36">
                  <c:v>1820.73</c:v>
                </c:pt>
                <c:pt idx="37">
                  <c:v>1871.3</c:v>
                </c:pt>
                <c:pt idx="38">
                  <c:v>1921.88</c:v>
                </c:pt>
                <c:pt idx="39">
                  <c:v>1972.46</c:v>
                </c:pt>
                <c:pt idx="40">
                  <c:v>2023.03</c:v>
                </c:pt>
                <c:pt idx="41">
                  <c:v>2073.61</c:v>
                </c:pt>
                <c:pt idx="42">
                  <c:v>2124.1799999999998</c:v>
                </c:pt>
                <c:pt idx="43">
                  <c:v>2174.7600000000002</c:v>
                </c:pt>
                <c:pt idx="44">
                  <c:v>2225.33</c:v>
                </c:pt>
                <c:pt idx="45">
                  <c:v>2275.91</c:v>
                </c:pt>
                <c:pt idx="46">
                  <c:v>2326.4899999999998</c:v>
                </c:pt>
                <c:pt idx="47">
                  <c:v>2377.06</c:v>
                </c:pt>
                <c:pt idx="48">
                  <c:v>2427.64</c:v>
                </c:pt>
                <c:pt idx="49">
                  <c:v>2478.21</c:v>
                </c:pt>
                <c:pt idx="50">
                  <c:v>2528.79</c:v>
                </c:pt>
              </c:numCache>
            </c:numRef>
          </c:xVal>
          <c:yVal>
            <c:numRef>
              <c:f>'[2]Calculs de diffusion'!$E$2:$E$52</c:f>
              <c:numCache>
                <c:formatCode>General</c:formatCode>
                <c:ptCount val="51"/>
                <c:pt idx="0">
                  <c:v>0.48899999999999999</c:v>
                </c:pt>
                <c:pt idx="1">
                  <c:v>0.48899999999999999</c:v>
                </c:pt>
                <c:pt idx="2">
                  <c:v>0.443</c:v>
                </c:pt>
                <c:pt idx="3">
                  <c:v>0.46100000000000002</c:v>
                </c:pt>
                <c:pt idx="4">
                  <c:v>0.436</c:v>
                </c:pt>
                <c:pt idx="6">
                  <c:v>0.42499999999999999</c:v>
                </c:pt>
                <c:pt idx="7">
                  <c:v>0.36199999999999999</c:v>
                </c:pt>
                <c:pt idx="8">
                  <c:v>0.311</c:v>
                </c:pt>
                <c:pt idx="9">
                  <c:v>0.38200000000000001</c:v>
                </c:pt>
                <c:pt idx="11">
                  <c:v>0.31</c:v>
                </c:pt>
                <c:pt idx="13">
                  <c:v>0.23400000000000001</c:v>
                </c:pt>
                <c:pt idx="14">
                  <c:v>0.246</c:v>
                </c:pt>
                <c:pt idx="15">
                  <c:v>0.21099999999999999</c:v>
                </c:pt>
                <c:pt idx="16">
                  <c:v>0.23</c:v>
                </c:pt>
                <c:pt idx="17">
                  <c:v>0.20599999999999999</c:v>
                </c:pt>
                <c:pt idx="18">
                  <c:v>0.20899999999999999</c:v>
                </c:pt>
                <c:pt idx="19">
                  <c:v>0.193</c:v>
                </c:pt>
                <c:pt idx="21">
                  <c:v>0.155</c:v>
                </c:pt>
                <c:pt idx="22">
                  <c:v>0.16500000000000001</c:v>
                </c:pt>
                <c:pt idx="23">
                  <c:v>9.2999999999999999E-2</c:v>
                </c:pt>
                <c:pt idx="25">
                  <c:v>0.11600000000000001</c:v>
                </c:pt>
                <c:pt idx="28">
                  <c:v>8.6999999999999994E-2</c:v>
                </c:pt>
                <c:pt idx="29">
                  <c:v>0.112</c:v>
                </c:pt>
                <c:pt idx="32">
                  <c:v>0.11700000000000001</c:v>
                </c:pt>
                <c:pt idx="33">
                  <c:v>0.121</c:v>
                </c:pt>
                <c:pt idx="34">
                  <c:v>0.126</c:v>
                </c:pt>
                <c:pt idx="35">
                  <c:v>0.109</c:v>
                </c:pt>
                <c:pt idx="37">
                  <c:v>0.13400000000000001</c:v>
                </c:pt>
                <c:pt idx="39">
                  <c:v>9.2999999999999999E-2</c:v>
                </c:pt>
                <c:pt idx="40">
                  <c:v>0.11899999999999999</c:v>
                </c:pt>
                <c:pt idx="41">
                  <c:v>9.1999999999999998E-2</c:v>
                </c:pt>
                <c:pt idx="42">
                  <c:v>0.113</c:v>
                </c:pt>
                <c:pt idx="44">
                  <c:v>9.6000000000000002E-2</c:v>
                </c:pt>
                <c:pt idx="45">
                  <c:v>9.7000000000000003E-2</c:v>
                </c:pt>
                <c:pt idx="46">
                  <c:v>8.4000000000000005E-2</c:v>
                </c:pt>
                <c:pt idx="47">
                  <c:v>0.13700000000000001</c:v>
                </c:pt>
                <c:pt idx="48">
                  <c:v>0.106</c:v>
                </c:pt>
                <c:pt idx="49">
                  <c:v>7.8E-2</c:v>
                </c:pt>
                <c:pt idx="50">
                  <c:v>8.3000000000000004E-2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7D6-4407-B633-CCEE658B66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7513215"/>
        <c:axId val="597498655"/>
      </c:scatterChart>
      <c:valAx>
        <c:axId val="597513215"/>
        <c:scaling>
          <c:orientation val="minMax"/>
          <c:max val="12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fr-FR" b="1"/>
                  <a:t>Microns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r-FR"/>
          </a:p>
        </c:txPr>
        <c:crossAx val="597498655"/>
        <c:crosses val="autoZero"/>
        <c:crossBetween val="midCat"/>
        <c:majorUnit val="200"/>
      </c:valAx>
      <c:valAx>
        <c:axId val="597498655"/>
        <c:scaling>
          <c:orientation val="minMax"/>
          <c:max val="0.60000000000000009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fr-FR" b="1">
                    <a:solidFill>
                      <a:sysClr val="windowText" lastClr="000000"/>
                    </a:solidFill>
                  </a:rPr>
                  <a:t>SO</a:t>
                </a:r>
                <a:r>
                  <a:rPr lang="fr-FR" b="1" baseline="-25000">
                    <a:solidFill>
                      <a:sysClr val="windowText" lastClr="000000"/>
                    </a:solidFill>
                  </a:rPr>
                  <a:t>3</a:t>
                </a:r>
                <a:r>
                  <a:rPr lang="fr-FR" b="1">
                    <a:solidFill>
                      <a:sysClr val="windowText" lastClr="000000"/>
                    </a:solidFill>
                  </a:rPr>
                  <a:t>, wt%</a:t>
                </a:r>
              </a:p>
            </c:rich>
          </c:tx>
          <c:layout>
            <c:manualLayout>
              <c:xMode val="edge"/>
              <c:yMode val="edge"/>
              <c:x val="7.2222222222222215E-2"/>
              <c:y val="0.284267415137701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r-FR"/>
          </a:p>
        </c:txPr>
        <c:crossAx val="597513215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'[2]Calculs de diffusion'!$I$1</c:f>
              <c:strCache>
                <c:ptCount val="1"/>
                <c:pt idx="0">
                  <c:v>FeO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x"/>
            <c:errBarType val="both"/>
            <c:errValType val="fixedVal"/>
            <c:noEndCap val="0"/>
            <c:val val="1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fixedVal"/>
            <c:noEndCap val="0"/>
            <c:val val="0.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'[2]Calculs de diffusion'!$S$2:$S$52</c:f>
              <c:numCache>
                <c:formatCode>General</c:formatCode>
                <c:ptCount val="51"/>
                <c:pt idx="0">
                  <c:v>0</c:v>
                </c:pt>
                <c:pt idx="1">
                  <c:v>50.58</c:v>
                </c:pt>
                <c:pt idx="2">
                  <c:v>101.15</c:v>
                </c:pt>
                <c:pt idx="3">
                  <c:v>151.72999999999999</c:v>
                </c:pt>
                <c:pt idx="4">
                  <c:v>202.3</c:v>
                </c:pt>
                <c:pt idx="5">
                  <c:v>252.88</c:v>
                </c:pt>
                <c:pt idx="6">
                  <c:v>303.45</c:v>
                </c:pt>
                <c:pt idx="7">
                  <c:v>354.03</c:v>
                </c:pt>
                <c:pt idx="8">
                  <c:v>404.61</c:v>
                </c:pt>
                <c:pt idx="9">
                  <c:v>455.18</c:v>
                </c:pt>
                <c:pt idx="10">
                  <c:v>505.76</c:v>
                </c:pt>
                <c:pt idx="11">
                  <c:v>556.33000000000004</c:v>
                </c:pt>
                <c:pt idx="12">
                  <c:v>606.91</c:v>
                </c:pt>
                <c:pt idx="13">
                  <c:v>657.49</c:v>
                </c:pt>
                <c:pt idx="14">
                  <c:v>708.06</c:v>
                </c:pt>
                <c:pt idx="15">
                  <c:v>758.64</c:v>
                </c:pt>
                <c:pt idx="16">
                  <c:v>809.21</c:v>
                </c:pt>
                <c:pt idx="17">
                  <c:v>859.79</c:v>
                </c:pt>
                <c:pt idx="18">
                  <c:v>910.36</c:v>
                </c:pt>
                <c:pt idx="19">
                  <c:v>960.94</c:v>
                </c:pt>
                <c:pt idx="20">
                  <c:v>1011.52</c:v>
                </c:pt>
                <c:pt idx="21">
                  <c:v>1062.0899999999999</c:v>
                </c:pt>
                <c:pt idx="22">
                  <c:v>1112.67</c:v>
                </c:pt>
                <c:pt idx="23">
                  <c:v>1163.24</c:v>
                </c:pt>
                <c:pt idx="24">
                  <c:v>1213.82</c:v>
                </c:pt>
                <c:pt idx="25">
                  <c:v>1264.4000000000001</c:v>
                </c:pt>
                <c:pt idx="26">
                  <c:v>1314.97</c:v>
                </c:pt>
                <c:pt idx="27">
                  <c:v>1365.55</c:v>
                </c:pt>
                <c:pt idx="28">
                  <c:v>1416.12</c:v>
                </c:pt>
                <c:pt idx="29">
                  <c:v>1466.7</c:v>
                </c:pt>
                <c:pt idx="30">
                  <c:v>1517.27</c:v>
                </c:pt>
                <c:pt idx="31">
                  <c:v>1567.85</c:v>
                </c:pt>
                <c:pt idx="32">
                  <c:v>1618.43</c:v>
                </c:pt>
                <c:pt idx="33">
                  <c:v>1669</c:v>
                </c:pt>
                <c:pt idx="34">
                  <c:v>1719.58</c:v>
                </c:pt>
                <c:pt idx="35">
                  <c:v>1770.15</c:v>
                </c:pt>
                <c:pt idx="36">
                  <c:v>1820.73</c:v>
                </c:pt>
                <c:pt idx="37">
                  <c:v>1871.3</c:v>
                </c:pt>
                <c:pt idx="38">
                  <c:v>1921.88</c:v>
                </c:pt>
                <c:pt idx="39">
                  <c:v>1972.46</c:v>
                </c:pt>
                <c:pt idx="40">
                  <c:v>2023.03</c:v>
                </c:pt>
                <c:pt idx="41">
                  <c:v>2073.61</c:v>
                </c:pt>
                <c:pt idx="42">
                  <c:v>2124.1799999999998</c:v>
                </c:pt>
                <c:pt idx="43">
                  <c:v>2174.7600000000002</c:v>
                </c:pt>
                <c:pt idx="44">
                  <c:v>2225.33</c:v>
                </c:pt>
                <c:pt idx="45">
                  <c:v>2275.91</c:v>
                </c:pt>
                <c:pt idx="46">
                  <c:v>2326.4899999999998</c:v>
                </c:pt>
                <c:pt idx="47">
                  <c:v>2377.06</c:v>
                </c:pt>
                <c:pt idx="48">
                  <c:v>2427.64</c:v>
                </c:pt>
                <c:pt idx="49">
                  <c:v>2478.21</c:v>
                </c:pt>
                <c:pt idx="50">
                  <c:v>2528.79</c:v>
                </c:pt>
              </c:numCache>
            </c:numRef>
          </c:xVal>
          <c:yVal>
            <c:numRef>
              <c:f>'[2]Calculs de diffusion'!$I$2:$I$52</c:f>
              <c:numCache>
                <c:formatCode>General</c:formatCode>
                <c:ptCount val="51"/>
                <c:pt idx="0">
                  <c:v>1.294</c:v>
                </c:pt>
                <c:pt idx="1">
                  <c:v>1.2569999999999999</c:v>
                </c:pt>
                <c:pt idx="2">
                  <c:v>1.2709999999999999</c:v>
                </c:pt>
                <c:pt idx="3">
                  <c:v>1.107</c:v>
                </c:pt>
                <c:pt idx="4">
                  <c:v>1.111</c:v>
                </c:pt>
                <c:pt idx="6">
                  <c:v>1.0920000000000001</c:v>
                </c:pt>
                <c:pt idx="7">
                  <c:v>1.0720000000000001</c:v>
                </c:pt>
                <c:pt idx="8">
                  <c:v>0.94799999999999995</c:v>
                </c:pt>
                <c:pt idx="9">
                  <c:v>0.89</c:v>
                </c:pt>
                <c:pt idx="11">
                  <c:v>0.86599999999999999</c:v>
                </c:pt>
                <c:pt idx="14">
                  <c:v>0.78500000000000003</c:v>
                </c:pt>
                <c:pt idx="15">
                  <c:v>0.72699999999999998</c:v>
                </c:pt>
                <c:pt idx="16">
                  <c:v>0.71799999999999997</c:v>
                </c:pt>
                <c:pt idx="17">
                  <c:v>0.69699999999999995</c:v>
                </c:pt>
                <c:pt idx="18">
                  <c:v>0.71599999999999997</c:v>
                </c:pt>
                <c:pt idx="19">
                  <c:v>0.72399999999999998</c:v>
                </c:pt>
                <c:pt idx="21">
                  <c:v>0.72499999999999998</c:v>
                </c:pt>
                <c:pt idx="22">
                  <c:v>0.68600000000000005</c:v>
                </c:pt>
                <c:pt idx="23">
                  <c:v>0.61599999999999999</c:v>
                </c:pt>
                <c:pt idx="24">
                  <c:v>0.70199999999999996</c:v>
                </c:pt>
                <c:pt idx="25">
                  <c:v>0.624</c:v>
                </c:pt>
                <c:pt idx="27">
                  <c:v>0.67400000000000004</c:v>
                </c:pt>
                <c:pt idx="28">
                  <c:v>0.70299999999999996</c:v>
                </c:pt>
                <c:pt idx="29">
                  <c:v>0.67</c:v>
                </c:pt>
                <c:pt idx="31">
                  <c:v>0.69299999999999995</c:v>
                </c:pt>
                <c:pt idx="32">
                  <c:v>0.55700000000000005</c:v>
                </c:pt>
                <c:pt idx="33">
                  <c:v>0.65500000000000003</c:v>
                </c:pt>
                <c:pt idx="34">
                  <c:v>0.60399999999999998</c:v>
                </c:pt>
                <c:pt idx="35">
                  <c:v>0.63400000000000001</c:v>
                </c:pt>
                <c:pt idx="36">
                  <c:v>0.72299999999999998</c:v>
                </c:pt>
                <c:pt idx="37">
                  <c:v>0.72699999999999998</c:v>
                </c:pt>
                <c:pt idx="38">
                  <c:v>0.70399999999999996</c:v>
                </c:pt>
                <c:pt idx="39">
                  <c:v>0.63100000000000001</c:v>
                </c:pt>
                <c:pt idx="40">
                  <c:v>0.629</c:v>
                </c:pt>
                <c:pt idx="41">
                  <c:v>0.65600000000000003</c:v>
                </c:pt>
                <c:pt idx="42">
                  <c:v>0.63400000000000001</c:v>
                </c:pt>
                <c:pt idx="43">
                  <c:v>0.70699999999999996</c:v>
                </c:pt>
                <c:pt idx="44">
                  <c:v>0.746</c:v>
                </c:pt>
                <c:pt idx="45">
                  <c:v>0.69</c:v>
                </c:pt>
                <c:pt idx="46">
                  <c:v>0.64600000000000002</c:v>
                </c:pt>
                <c:pt idx="47">
                  <c:v>0.61899999999999999</c:v>
                </c:pt>
                <c:pt idx="48">
                  <c:v>0.56100000000000005</c:v>
                </c:pt>
                <c:pt idx="49">
                  <c:v>0.55800000000000005</c:v>
                </c:pt>
                <c:pt idx="50">
                  <c:v>0.56499999999999995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14-4DFD-B046-68D2DD6CD7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7513215"/>
        <c:axId val="597498655"/>
      </c:scatterChart>
      <c:valAx>
        <c:axId val="597513215"/>
        <c:scaling>
          <c:orientation val="minMax"/>
          <c:max val="12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fr-FR" b="1"/>
                  <a:t>Microns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r-FR"/>
          </a:p>
        </c:txPr>
        <c:crossAx val="597498655"/>
        <c:crosses val="autoZero"/>
        <c:crossBetween val="midCat"/>
      </c:valAx>
      <c:valAx>
        <c:axId val="597498655"/>
        <c:scaling>
          <c:orientation val="minMax"/>
          <c:max val="1.5"/>
          <c:min val="0.4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fr-FR" b="1"/>
                  <a:t>FeO, wt%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r-FR"/>
          </a:p>
        </c:txPr>
        <c:crossAx val="597513215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'[2]Calculs de diffusion'!$AC$1</c:f>
              <c:strCache>
                <c:ptCount val="1"/>
                <c:pt idx="0">
                  <c:v>erf-1 (1-Cx/Co)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FF0000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ysClr val="windowText" lastClr="00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2.9382983377077867E-2"/>
                  <c:y val="0.4784951881014873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fr-FR"/>
                </a:p>
              </c:txPr>
            </c:trendlineLbl>
          </c:trendline>
          <c:errBars>
            <c:errDir val="x"/>
            <c:errBarType val="both"/>
            <c:errValType val="fixedVal"/>
            <c:noEndCap val="0"/>
            <c:val val="1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fixedVal"/>
            <c:noEndCap val="0"/>
            <c:val val="5.000000000000001E-2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'[2]Calculs de diffusion'!$S$2:$S$25</c:f>
              <c:numCache>
                <c:formatCode>General</c:formatCode>
                <c:ptCount val="24"/>
                <c:pt idx="0">
                  <c:v>0</c:v>
                </c:pt>
                <c:pt idx="1">
                  <c:v>50.58</c:v>
                </c:pt>
                <c:pt idx="2">
                  <c:v>101.15</c:v>
                </c:pt>
                <c:pt idx="3">
                  <c:v>151.72999999999999</c:v>
                </c:pt>
                <c:pt idx="4">
                  <c:v>202.3</c:v>
                </c:pt>
                <c:pt idx="5">
                  <c:v>252.88</c:v>
                </c:pt>
                <c:pt idx="6">
                  <c:v>303.45</c:v>
                </c:pt>
                <c:pt idx="7">
                  <c:v>354.03</c:v>
                </c:pt>
                <c:pt idx="8">
                  <c:v>404.61</c:v>
                </c:pt>
                <c:pt idx="9">
                  <c:v>455.18</c:v>
                </c:pt>
                <c:pt idx="10">
                  <c:v>505.76</c:v>
                </c:pt>
                <c:pt idx="11">
                  <c:v>556.33000000000004</c:v>
                </c:pt>
                <c:pt idx="12">
                  <c:v>606.91</c:v>
                </c:pt>
                <c:pt idx="13">
                  <c:v>657.49</c:v>
                </c:pt>
                <c:pt idx="14">
                  <c:v>708.06</c:v>
                </c:pt>
                <c:pt idx="15">
                  <c:v>758.64</c:v>
                </c:pt>
                <c:pt idx="16">
                  <c:v>809.21</c:v>
                </c:pt>
                <c:pt idx="17">
                  <c:v>859.79</c:v>
                </c:pt>
                <c:pt idx="18">
                  <c:v>910.36</c:v>
                </c:pt>
                <c:pt idx="19">
                  <c:v>960.94</c:v>
                </c:pt>
                <c:pt idx="20">
                  <c:v>1011.52</c:v>
                </c:pt>
                <c:pt idx="21">
                  <c:v>1062.0899999999999</c:v>
                </c:pt>
                <c:pt idx="22">
                  <c:v>1112.67</c:v>
                </c:pt>
                <c:pt idx="23">
                  <c:v>1163.24</c:v>
                </c:pt>
              </c:numCache>
            </c:numRef>
          </c:xVal>
          <c:yVal>
            <c:numRef>
              <c:f>'[2]Calculs de diffusion'!$AC$2:$AC$25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1.575340453287076E-2</c:v>
                </c:pt>
                <c:pt idx="3">
                  <c:v>0.12877981068534591</c:v>
                </c:pt>
                <c:pt idx="4">
                  <c:v>0.12599549489478651</c:v>
                </c:pt>
                <c:pt idx="6">
                  <c:v>0.13923916889146346</c:v>
                </c:pt>
                <c:pt idx="7">
                  <c:v>0.15323294188496769</c:v>
                </c:pt>
                <c:pt idx="8">
                  <c:v>0.24158514441384241</c:v>
                </c:pt>
                <c:pt idx="9">
                  <c:v>0.28415530157680863</c:v>
                </c:pt>
                <c:pt idx="11">
                  <c:v>0.30206728167501617</c:v>
                </c:pt>
                <c:pt idx="14">
                  <c:v>0.36406584960109095</c:v>
                </c:pt>
                <c:pt idx="15">
                  <c:v>0.41021716244503748</c:v>
                </c:pt>
                <c:pt idx="16">
                  <c:v>0.41753269277805788</c:v>
                </c:pt>
                <c:pt idx="17">
                  <c:v>0.43477949598710686</c:v>
                </c:pt>
                <c:pt idx="18">
                  <c:v>0.41916442539906479</c:v>
                </c:pt>
                <c:pt idx="19">
                  <c:v>0.41265075865536421</c:v>
                </c:pt>
                <c:pt idx="21">
                  <c:v>0.41183901813773321</c:v>
                </c:pt>
                <c:pt idx="22">
                  <c:v>0.44391717183459439</c:v>
                </c:pt>
                <c:pt idx="23">
                  <c:v>0.50394145320981265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199-4FED-9530-1CEF7197A3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7513215"/>
        <c:axId val="597498655"/>
      </c:scatterChart>
      <c:valAx>
        <c:axId val="597513215"/>
        <c:scaling>
          <c:orientation val="minMax"/>
          <c:max val="12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fr-FR" b="1"/>
                  <a:t>Microns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r-FR"/>
          </a:p>
        </c:txPr>
        <c:crossAx val="597498655"/>
        <c:crosses val="autoZero"/>
        <c:crossBetween val="midCat"/>
      </c:valAx>
      <c:valAx>
        <c:axId val="597498655"/>
        <c:scaling>
          <c:orientation val="minMax"/>
          <c:max val="0.60000000000000009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fr-FR" b="1"/>
                  <a:t>erf</a:t>
                </a:r>
                <a:r>
                  <a:rPr lang="fr-FR" b="1" baseline="30000"/>
                  <a:t>-1</a:t>
                </a:r>
                <a:r>
                  <a:rPr lang="fr-FR" b="1"/>
                  <a:t> (1- C</a:t>
                </a:r>
                <a:r>
                  <a:rPr lang="fr-FR" b="1" baseline="-25000"/>
                  <a:t>x</a:t>
                </a:r>
                <a:r>
                  <a:rPr lang="fr-FR" b="1"/>
                  <a:t>/C</a:t>
                </a:r>
                <a:r>
                  <a:rPr lang="fr-FR" b="1" baseline="-25000"/>
                  <a:t>o</a:t>
                </a:r>
                <a:r>
                  <a:rPr lang="fr-FR" b="1"/>
                  <a:t>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fr-FR"/>
            </a:p>
          </c:txPr>
        </c:title>
        <c:numFmt formatCode="0.0E+0" sourceLinked="0"/>
        <c:majorTickMark val="in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r-FR"/>
          </a:p>
        </c:txPr>
        <c:crossAx val="59751321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4"/>
          <c:order val="0"/>
          <c:tx>
            <c:strRef>
              <c:f>'Table S4'!$D$5</c:f>
              <c:strCache>
                <c:ptCount val="1"/>
                <c:pt idx="0">
                  <c:v>Lierenfeld (2018) D(S, high fO2) m2/s</c:v>
                </c:pt>
              </c:strCache>
            </c:strRef>
          </c:tx>
          <c:spPr>
            <a:ln w="25400" cap="rnd">
              <a:noFill/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1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5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'Table S4'!$E$6:$E$10</c:f>
              <c:numCache>
                <c:formatCode>0.00E+00</c:formatCode>
                <c:ptCount val="5"/>
                <c:pt idx="0">
                  <c:v>9.3196644920782852</c:v>
                </c:pt>
                <c:pt idx="1">
                  <c:v>8.5251491901108274</c:v>
                </c:pt>
                <c:pt idx="2">
                  <c:v>7.8554595443833461</c:v>
                </c:pt>
                <c:pt idx="3">
                  <c:v>7.2833211944646763</c:v>
                </c:pt>
                <c:pt idx="4">
                  <c:v>6.7888662593346911</c:v>
                </c:pt>
              </c:numCache>
            </c:numRef>
          </c:xVal>
          <c:yVal>
            <c:numRef>
              <c:f>'Table S4'!$D$6:$D$10</c:f>
              <c:numCache>
                <c:formatCode>0.00E+00</c:formatCode>
                <c:ptCount val="5"/>
                <c:pt idx="0">
                  <c:v>2.4763262583037163E-13</c:v>
                </c:pt>
                <c:pt idx="1">
                  <c:v>9.2005908412157112E-13</c:v>
                </c:pt>
                <c:pt idx="2">
                  <c:v>2.7814425851497208E-12</c:v>
                </c:pt>
                <c:pt idx="3">
                  <c:v>7.1571218297466955E-12</c:v>
                </c:pt>
                <c:pt idx="4">
                  <c:v>1.6198486226972894E-11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556-4802-AD9E-714250C86BA6}"/>
            </c:ext>
          </c:extLst>
        </c:ser>
        <c:ser>
          <c:idx val="3"/>
          <c:order val="1"/>
          <c:tx>
            <c:strRef>
              <c:f>'Table S4'!$J$5</c:f>
              <c:strCache>
                <c:ptCount val="1"/>
                <c:pt idx="0">
                  <c:v>Lierenfeld (2018) D(S, low fO2) m2/s</c:v>
                </c:pt>
              </c:strCache>
            </c:strRef>
          </c:tx>
          <c:spPr>
            <a:ln w="25400" cap="rnd">
              <a:noFill/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1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4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'Table S4'!$K$6:$K$10</c:f>
              <c:numCache>
                <c:formatCode>0.00E+00</c:formatCode>
                <c:ptCount val="5"/>
                <c:pt idx="0">
                  <c:v>9.3196644920782852</c:v>
                </c:pt>
                <c:pt idx="1">
                  <c:v>8.5251491901108274</c:v>
                </c:pt>
                <c:pt idx="2">
                  <c:v>7.8554595443833461</c:v>
                </c:pt>
                <c:pt idx="3">
                  <c:v>7.2833211944646763</c:v>
                </c:pt>
                <c:pt idx="4">
                  <c:v>6.7888662593346911</c:v>
                </c:pt>
              </c:numCache>
            </c:numRef>
          </c:xVal>
          <c:yVal>
            <c:numRef>
              <c:f>'Table S4'!$J$6:$J$10</c:f>
              <c:numCache>
                <c:formatCode>0.00E+00</c:formatCode>
                <c:ptCount val="5"/>
                <c:pt idx="0">
                  <c:v>4.9969040206479315E-12</c:v>
                </c:pt>
                <c:pt idx="1">
                  <c:v>1.6616933397261735E-11</c:v>
                </c:pt>
                <c:pt idx="2">
                  <c:v>4.5752343016120315E-11</c:v>
                </c:pt>
                <c:pt idx="3">
                  <c:v>1.0869325843564484E-10</c:v>
                </c:pt>
                <c:pt idx="4">
                  <c:v>2.2959806065220827E-10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556-4802-AD9E-714250C86BA6}"/>
            </c:ext>
          </c:extLst>
        </c:ser>
        <c:ser>
          <c:idx val="2"/>
          <c:order val="2"/>
          <c:tx>
            <c:strRef>
              <c:f>'Table S4'!$Q$5</c:f>
              <c:strCache>
                <c:ptCount val="1"/>
                <c:pt idx="0">
                  <c:v>Ni &amp; Zhang (2008) D(H2O) m2/s</c:v>
                </c:pt>
              </c:strCache>
            </c:strRef>
          </c:tx>
          <c:spPr>
            <a:ln w="25400" cap="rnd">
              <a:noFill/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1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3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'Table S4'!$R$6:$R$10</c:f>
              <c:numCache>
                <c:formatCode>0.00E+00</c:formatCode>
                <c:ptCount val="5"/>
                <c:pt idx="0">
                  <c:v>9.3196644920782852</c:v>
                </c:pt>
                <c:pt idx="1">
                  <c:v>8.5251491901108274</c:v>
                </c:pt>
                <c:pt idx="2">
                  <c:v>7.8554595443833461</c:v>
                </c:pt>
                <c:pt idx="3">
                  <c:v>7.2833211944646763</c:v>
                </c:pt>
                <c:pt idx="4">
                  <c:v>6.7888662593346911</c:v>
                </c:pt>
              </c:numCache>
            </c:numRef>
          </c:xVal>
          <c:yVal>
            <c:numRef>
              <c:f>'Table S4'!$Q$6:$Q$10</c:f>
              <c:numCache>
                <c:formatCode>0.00E+00</c:formatCode>
                <c:ptCount val="5"/>
                <c:pt idx="0">
                  <c:v>2.3840427131363538E-11</c:v>
                </c:pt>
                <c:pt idx="1">
                  <c:v>4.8645318895547781E-11</c:v>
                </c:pt>
                <c:pt idx="2">
                  <c:v>8.8737484950575245E-11</c:v>
                </c:pt>
                <c:pt idx="3">
                  <c:v>1.4830118348035473E-10</c:v>
                </c:pt>
                <c:pt idx="4">
                  <c:v>2.3115254679277603E-10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556-4802-AD9E-714250C86BA6}"/>
            </c:ext>
          </c:extLst>
        </c:ser>
        <c:ser>
          <c:idx val="1"/>
          <c:order val="3"/>
          <c:tx>
            <c:strRef>
              <c:f>'Table S4'!$V$5</c:f>
              <c:strCache>
                <c:ptCount val="1"/>
                <c:pt idx="0">
                  <c:v>this work D(S, EPMA, this work) m2/s</c:v>
                </c:pt>
              </c:strCache>
            </c:strRef>
          </c:tx>
          <c:spPr>
            <a:ln w="25400" cap="rnd">
              <a:solidFill>
                <a:schemeClr val="bg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1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22225" cap="rnd">
                <a:solidFill>
                  <a:srgbClr val="FF0000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errBars>
            <c:errDir val="x"/>
            <c:errBarType val="both"/>
            <c:errValType val="percentage"/>
            <c:noEndCap val="0"/>
            <c:val val="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5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'Table S4'!$X$6:$X$10</c:f>
              <c:numCache>
                <c:formatCode>0.00E+00</c:formatCode>
                <c:ptCount val="5"/>
                <c:pt idx="0">
                  <c:v>9.3196644920782852</c:v>
                </c:pt>
                <c:pt idx="1">
                  <c:v>8.5251491901108274</c:v>
                </c:pt>
                <c:pt idx="2">
                  <c:v>7.8554595443833461</c:v>
                </c:pt>
                <c:pt idx="3">
                  <c:v>7.2833211944646763</c:v>
                </c:pt>
                <c:pt idx="4">
                  <c:v>6.7888662593346911</c:v>
                </c:pt>
              </c:numCache>
            </c:numRef>
          </c:xVal>
          <c:yVal>
            <c:numRef>
              <c:f>'Table S4'!$V$6:$V$10</c:f>
              <c:numCache>
                <c:formatCode>0.00E+00</c:formatCode>
                <c:ptCount val="5"/>
                <c:pt idx="1">
                  <c:v>2.6200000000000003E-10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556-4802-AD9E-714250C86BA6}"/>
            </c:ext>
          </c:extLst>
        </c:ser>
        <c:ser>
          <c:idx val="0"/>
          <c:order val="4"/>
          <c:tx>
            <c:strRef>
              <c:f>'Table S4'!$W$5</c:f>
              <c:strCache>
                <c:ptCount val="1"/>
                <c:pt idx="0">
                  <c:v>this work D(S, Raman, this work) m2/s</c:v>
                </c:pt>
              </c:strCache>
            </c:strRef>
          </c:tx>
          <c:spPr>
            <a:ln w="25400" cap="rnd">
              <a:noFill/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10"/>
            <c:spPr>
              <a:solidFill>
                <a:srgbClr val="FF0000"/>
              </a:solidFill>
              <a:ln w="22225" cap="rnd">
                <a:solidFill>
                  <a:schemeClr val="tx1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errBars>
            <c:errDir val="x"/>
            <c:errBarType val="both"/>
            <c:errValType val="percentage"/>
            <c:noEndCap val="0"/>
            <c:val val="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0"/>
            <c:val val="3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'Table S4'!$X$6:$X$10</c:f>
              <c:numCache>
                <c:formatCode>0.00E+00</c:formatCode>
                <c:ptCount val="5"/>
                <c:pt idx="0">
                  <c:v>9.3196644920782852</c:v>
                </c:pt>
                <c:pt idx="1">
                  <c:v>8.5251491901108274</c:v>
                </c:pt>
                <c:pt idx="2">
                  <c:v>7.8554595443833461</c:v>
                </c:pt>
                <c:pt idx="3">
                  <c:v>7.2833211944646763</c:v>
                </c:pt>
                <c:pt idx="4">
                  <c:v>6.7888662593346911</c:v>
                </c:pt>
              </c:numCache>
            </c:numRef>
          </c:xVal>
          <c:yVal>
            <c:numRef>
              <c:f>'Table S4'!$W$6:$W$10</c:f>
              <c:numCache>
                <c:formatCode>0.00E+00</c:formatCode>
                <c:ptCount val="5"/>
                <c:pt idx="1">
                  <c:v>1.15E-10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556-4802-AD9E-714250C86B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611120"/>
        <c:axId val="117595728"/>
      </c:scatterChart>
      <c:valAx>
        <c:axId val="117611120"/>
        <c:scaling>
          <c:orientation val="minMax"/>
          <c:max val="10"/>
          <c:min val="6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fr-FR"/>
                  <a:t>10000/T (K)</a:t>
                </a:r>
              </a:p>
            </c:rich>
          </c:tx>
          <c:layout>
            <c:manualLayout>
              <c:xMode val="edge"/>
              <c:yMode val="edge"/>
              <c:x val="0.30757220255724915"/>
              <c:y val="0.9128081749222957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fr-FR"/>
            </a:p>
          </c:txPr>
        </c:title>
        <c:numFmt formatCode="General" sourceLinked="0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r-FR"/>
          </a:p>
        </c:txPr>
        <c:crossAx val="117595728"/>
        <c:crosses val="autoZero"/>
        <c:crossBetween val="midCat"/>
      </c:valAx>
      <c:valAx>
        <c:axId val="117595728"/>
        <c:scaling>
          <c:logBase val="10"/>
          <c:orientation val="minMax"/>
          <c:max val="3.0000000000000012E-9"/>
          <c:min val="1.0000000000000007E-13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fr-FR"/>
                  <a:t>D (m</a:t>
                </a:r>
                <a:r>
                  <a:rPr lang="fr-FR" baseline="30000"/>
                  <a:t>2</a:t>
                </a:r>
                <a:r>
                  <a:rPr lang="fr-FR"/>
                  <a:t>/s)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fr-FR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r-FR"/>
          </a:p>
        </c:txPr>
        <c:crossAx val="117611120"/>
        <c:crossesAt val="6"/>
        <c:crossBetween val="midCat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6522026741731175"/>
          <c:y val="0.22770085414655003"/>
          <c:w val="0.33090781140042225"/>
          <c:h val="0.5598506084232877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 sz="1400" b="1"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fr-FR"/>
    </a:p>
  </c:txPr>
  <c:printSettings>
    <c:headerFooter/>
    <c:pageMargins b="0.75" l="0.7" r="0.7" t="0.75" header="0.3" footer="0.3"/>
    <c:pageSetup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'Table S5'!$N$29</c:f>
              <c:strCache>
                <c:ptCount val="1"/>
                <c:pt idx="0">
                  <c:v>wt% S in water fluid</c:v>
                </c:pt>
              </c:strCache>
            </c:strRef>
          </c:tx>
          <c:spPr>
            <a:ln w="95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1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xVal>
            <c:numRef>
              <c:f>'Table S5'!$M$30:$M$34</c:f>
              <c:numCache>
                <c:formatCode>General</c:formatCode>
                <c:ptCount val="5"/>
                <c:pt idx="0">
                  <c:v>5.5</c:v>
                </c:pt>
                <c:pt idx="1">
                  <c:v>5</c:v>
                </c:pt>
                <c:pt idx="2">
                  <c:v>4.5</c:v>
                </c:pt>
                <c:pt idx="3">
                  <c:v>4</c:v>
                </c:pt>
                <c:pt idx="4">
                  <c:v>3.5</c:v>
                </c:pt>
              </c:numCache>
            </c:numRef>
          </c:xVal>
          <c:yVal>
            <c:numRef>
              <c:f>'Table S5'!$N$30:$N$34</c:f>
              <c:numCache>
                <c:formatCode>0.00</c:formatCode>
                <c:ptCount val="5"/>
                <c:pt idx="0">
                  <c:v>26.221606847202519</c:v>
                </c:pt>
                <c:pt idx="1">
                  <c:v>19.700681327725409</c:v>
                </c:pt>
                <c:pt idx="2">
                  <c:v>14.361796687911824</c:v>
                </c:pt>
                <c:pt idx="3">
                  <c:v>10.086748839795419</c:v>
                </c:pt>
                <c:pt idx="4">
                  <c:v>6.7573336954098178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8F3-40DA-A420-899B2B01AC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9086496"/>
        <c:axId val="2069088992"/>
      </c:scatterChart>
      <c:valAx>
        <c:axId val="2069086496"/>
        <c:scaling>
          <c:orientation val="minMax"/>
          <c:min val="3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fr-FR" sz="1400"/>
                  <a:t>FeO melt wt%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r-FR"/>
          </a:p>
        </c:txPr>
        <c:crossAx val="2069088992"/>
        <c:crosses val="autoZero"/>
        <c:crossBetween val="midCat"/>
      </c:valAx>
      <c:valAx>
        <c:axId val="2069088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fr-FR" sz="1400"/>
                  <a:t>S in water fluid wt%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fr-FR"/>
          </a:p>
        </c:txPr>
        <c:crossAx val="20690864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742951</xdr:colOff>
      <xdr:row>20</xdr:row>
      <xdr:rowOff>9525</xdr:rowOff>
    </xdr:from>
    <xdr:to>
      <xdr:col>17</xdr:col>
      <xdr:colOff>1</xdr:colOff>
      <xdr:row>39</xdr:row>
      <xdr:rowOff>9525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752475</xdr:colOff>
      <xdr:row>0</xdr:row>
      <xdr:rowOff>114300</xdr:rowOff>
    </xdr:from>
    <xdr:to>
      <xdr:col>16</xdr:col>
      <xdr:colOff>752474</xdr:colOff>
      <xdr:row>19</xdr:row>
      <xdr:rowOff>114300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3175</xdr:colOff>
      <xdr:row>16</xdr:row>
      <xdr:rowOff>180975</xdr:rowOff>
    </xdr:from>
    <xdr:to>
      <xdr:col>38</xdr:col>
      <xdr:colOff>3175</xdr:colOff>
      <xdr:row>31</xdr:row>
      <xdr:rowOff>161925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32</xdr:col>
      <xdr:colOff>12700</xdr:colOff>
      <xdr:row>1</xdr:row>
      <xdr:rowOff>12700</xdr:rowOff>
    </xdr:from>
    <xdr:to>
      <xdr:col>38</xdr:col>
      <xdr:colOff>12700</xdr:colOff>
      <xdr:row>15</xdr:row>
      <xdr:rowOff>177800</xdr:rowOff>
    </xdr:to>
    <xdr:graphicFrame macro="">
      <xdr:nvGraphicFramePr>
        <xdr:cNvPr id="4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38</xdr:col>
      <xdr:colOff>158750</xdr:colOff>
      <xdr:row>1</xdr:row>
      <xdr:rowOff>6350</xdr:rowOff>
    </xdr:from>
    <xdr:to>
      <xdr:col>44</xdr:col>
      <xdr:colOff>158750</xdr:colOff>
      <xdr:row>16</xdr:row>
      <xdr:rowOff>82550</xdr:rowOff>
    </xdr:to>
    <xdr:graphicFrame macro="">
      <xdr:nvGraphicFramePr>
        <xdr:cNvPr id="8" name="Graphique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38</xdr:col>
      <xdr:colOff>152400</xdr:colOff>
      <xdr:row>16</xdr:row>
      <xdr:rowOff>114300</xdr:rowOff>
    </xdr:from>
    <xdr:to>
      <xdr:col>44</xdr:col>
      <xdr:colOff>152400</xdr:colOff>
      <xdr:row>32</xdr:row>
      <xdr:rowOff>12700</xdr:rowOff>
    </xdr:to>
    <xdr:graphicFrame macro="">
      <xdr:nvGraphicFramePr>
        <xdr:cNvPr id="9" name="Graphique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615950</xdr:colOff>
      <xdr:row>10</xdr:row>
      <xdr:rowOff>130174</xdr:rowOff>
    </xdr:from>
    <xdr:to>
      <xdr:col>10</xdr:col>
      <xdr:colOff>298450</xdr:colOff>
      <xdr:row>35</xdr:row>
      <xdr:rowOff>76200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0.00352</cdr:x>
      <cdr:y>0</cdr:y>
    </cdr:from>
    <cdr:to>
      <cdr:x>0.05841</cdr:x>
      <cdr:y>0.14299</cdr:y>
    </cdr:to>
    <cdr:sp macro="" textlink="">
      <cdr:nvSpPr>
        <cdr:cNvPr id="2" name="ZoneTexte 1"/>
        <cdr:cNvSpPr txBox="1"/>
      </cdr:nvSpPr>
      <cdr:spPr>
        <a:xfrm xmlns:a="http://schemas.openxmlformats.org/drawingml/2006/main">
          <a:off x="31750" y="0"/>
          <a:ext cx="495300" cy="4762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2000" b="1">
              <a:latin typeface="Times New Roman" panose="02020603050405020304" pitchFamily="18" charset="0"/>
              <a:cs typeface="Times New Roman" panose="02020603050405020304" pitchFamily="18" charset="0"/>
            </a:rPr>
            <a:t>(B)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720724</xdr:colOff>
      <xdr:row>24</xdr:row>
      <xdr:rowOff>130174</xdr:rowOff>
    </xdr:from>
    <xdr:to>
      <xdr:col>21</xdr:col>
      <xdr:colOff>755649</xdr:colOff>
      <xdr:row>41</xdr:row>
      <xdr:rowOff>114299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nastassia_Aurelia_PS3_profile_Raman_new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Anastassia-auto-S-170331_PS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Feuil2"/>
      <sheetName val="Feuil3"/>
    </sheetNames>
    <sheetDataSet>
      <sheetData sheetId="0">
        <row r="3">
          <cell r="B3">
            <v>38</v>
          </cell>
          <cell r="C3">
            <v>1.29E-2</v>
          </cell>
          <cell r="G3">
            <v>8.6982345600329108E-2</v>
          </cell>
        </row>
        <row r="4">
          <cell r="B4">
            <v>38</v>
          </cell>
          <cell r="C4">
            <v>1.43E-2</v>
          </cell>
          <cell r="G4">
            <v>0</v>
          </cell>
        </row>
        <row r="5">
          <cell r="B5">
            <v>188</v>
          </cell>
          <cell r="C5">
            <v>1.1599999999999999E-2</v>
          </cell>
          <cell r="G5">
            <v>0.16892262541185435</v>
          </cell>
        </row>
        <row r="6">
          <cell r="B6">
            <v>434</v>
          </cell>
          <cell r="C6">
            <v>9.4000000000000004E-3</v>
          </cell>
          <cell r="G6">
            <v>0.31366195685427434</v>
          </cell>
        </row>
        <row r="7">
          <cell r="B7">
            <v>1014</v>
          </cell>
          <cell r="C7">
            <v>4.7000000000000002E-3</v>
          </cell>
          <cell r="G7">
            <v>0.69069740190328166</v>
          </cell>
        </row>
        <row r="8">
          <cell r="B8">
            <v>1332</v>
          </cell>
          <cell r="C8">
            <v>1.6000000000000001E-3</v>
          </cell>
          <cell r="G8">
            <v>1.1241325897916599</v>
          </cell>
        </row>
        <row r="9">
          <cell r="B9">
            <v>1783</v>
          </cell>
          <cell r="C9">
            <v>2.9584999999999999E-5</v>
          </cell>
          <cell r="G9">
            <v>2.1780033545473909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stassia-auto-S-170331_0"/>
      <sheetName val="Calculs de diffusion"/>
    </sheetNames>
    <sheetDataSet>
      <sheetData sheetId="0"/>
      <sheetData sheetId="1">
        <row r="1">
          <cell r="E1" t="str">
            <v>SO3</v>
          </cell>
          <cell r="I1" t="str">
            <v>FeO</v>
          </cell>
          <cell r="Z1" t="str">
            <v>erf-1 (1-Cx/Co)</v>
          </cell>
          <cell r="AC1" t="str">
            <v>erf-1 (1-Cx/Co)</v>
          </cell>
        </row>
        <row r="2">
          <cell r="E2">
            <v>0.48899999999999999</v>
          </cell>
          <cell r="I2">
            <v>1.294</v>
          </cell>
          <cell r="S2">
            <v>0</v>
          </cell>
          <cell r="Z2">
            <v>0</v>
          </cell>
          <cell r="AC2">
            <v>0</v>
          </cell>
        </row>
        <row r="3">
          <cell r="E3">
            <v>0.48899999999999999</v>
          </cell>
          <cell r="I3">
            <v>1.2569999999999999</v>
          </cell>
          <cell r="S3">
            <v>50.58</v>
          </cell>
          <cell r="Z3">
            <v>0</v>
          </cell>
          <cell r="AC3">
            <v>0</v>
          </cell>
        </row>
        <row r="4">
          <cell r="E4">
            <v>0.443</v>
          </cell>
          <cell r="I4">
            <v>1.2709999999999999</v>
          </cell>
          <cell r="S4">
            <v>101.15</v>
          </cell>
          <cell r="Z4">
            <v>8.3561030107521639E-2</v>
          </cell>
          <cell r="AC4">
            <v>1.575340453287076E-2</v>
          </cell>
        </row>
        <row r="5">
          <cell r="E5">
            <v>0.46100000000000002</v>
          </cell>
          <cell r="I5">
            <v>1.107</v>
          </cell>
          <cell r="S5">
            <v>151.72999999999999</v>
          </cell>
          <cell r="Z5">
            <v>5.0788736028392324E-2</v>
          </cell>
          <cell r="AC5">
            <v>0.12877981068534591</v>
          </cell>
        </row>
        <row r="6">
          <cell r="E6">
            <v>0.436</v>
          </cell>
          <cell r="I6">
            <v>1.111</v>
          </cell>
          <cell r="S6">
            <v>202.3</v>
          </cell>
          <cell r="Z6">
            <v>9.6350551001828516E-2</v>
          </cell>
          <cell r="AC6">
            <v>0.12599549489478651</v>
          </cell>
        </row>
        <row r="7">
          <cell r="S7">
            <v>252.88</v>
          </cell>
          <cell r="Z7"/>
          <cell r="AC7"/>
        </row>
        <row r="8">
          <cell r="E8">
            <v>0.42499999999999999</v>
          </cell>
          <cell r="I8">
            <v>1.0920000000000001</v>
          </cell>
          <cell r="S8">
            <v>303.45</v>
          </cell>
          <cell r="Z8">
            <v>0.11651390414242781</v>
          </cell>
          <cell r="AC8">
            <v>0.13923916889146346</v>
          </cell>
        </row>
        <row r="9">
          <cell r="E9">
            <v>0.36199999999999999</v>
          </cell>
          <cell r="I9">
            <v>1.0720000000000001</v>
          </cell>
          <cell r="S9">
            <v>354.03</v>
          </cell>
          <cell r="Z9">
            <v>0.23438768021095246</v>
          </cell>
          <cell r="AC9">
            <v>0.15323294188496769</v>
          </cell>
        </row>
        <row r="10">
          <cell r="E10">
            <v>0.311</v>
          </cell>
          <cell r="I10">
            <v>0.94799999999999995</v>
          </cell>
          <cell r="S10">
            <v>404.61</v>
          </cell>
          <cell r="Z10">
            <v>0.33468091749594447</v>
          </cell>
          <cell r="AC10">
            <v>0.24158514441384241</v>
          </cell>
        </row>
        <row r="11">
          <cell r="E11">
            <v>0.38200000000000001</v>
          </cell>
          <cell r="I11">
            <v>0.89</v>
          </cell>
          <cell r="S11">
            <v>455.18</v>
          </cell>
          <cell r="Z11">
            <v>0.19641565517188439</v>
          </cell>
          <cell r="AC11">
            <v>0.28415530157680863</v>
          </cell>
        </row>
        <row r="12">
          <cell r="S12">
            <v>505.76</v>
          </cell>
          <cell r="Z12"/>
          <cell r="AC12"/>
        </row>
        <row r="13">
          <cell r="E13">
            <v>0.31</v>
          </cell>
          <cell r="I13">
            <v>0.86599999999999999</v>
          </cell>
          <cell r="S13">
            <v>556.33000000000004</v>
          </cell>
          <cell r="Z13">
            <v>0.3367094285777269</v>
          </cell>
          <cell r="AC13">
            <v>0.30206728167501617</v>
          </cell>
        </row>
        <row r="14">
          <cell r="S14">
            <v>606.91</v>
          </cell>
          <cell r="Z14"/>
          <cell r="AC14"/>
        </row>
        <row r="15">
          <cell r="E15">
            <v>0.23400000000000001</v>
          </cell>
          <cell r="S15">
            <v>657.49</v>
          </cell>
          <cell r="Z15">
            <v>0.5011072747295926</v>
          </cell>
          <cell r="AC15"/>
        </row>
        <row r="16">
          <cell r="E16">
            <v>0.246</v>
          </cell>
          <cell r="I16">
            <v>0.78500000000000003</v>
          </cell>
          <cell r="S16">
            <v>708.06</v>
          </cell>
          <cell r="Z16">
            <v>0.47352896922855625</v>
          </cell>
          <cell r="AC16">
            <v>0.36406584960109095</v>
          </cell>
        </row>
        <row r="17">
          <cell r="E17">
            <v>0.21099999999999999</v>
          </cell>
          <cell r="I17">
            <v>0.72699999999999998</v>
          </cell>
          <cell r="S17">
            <v>758.64</v>
          </cell>
          <cell r="Z17">
            <v>0.55623822972965686</v>
          </cell>
          <cell r="AC17">
            <v>0.41021716244503748</v>
          </cell>
        </row>
        <row r="18">
          <cell r="E18">
            <v>0.23</v>
          </cell>
          <cell r="I18">
            <v>0.71799999999999997</v>
          </cell>
          <cell r="S18">
            <v>809.21</v>
          </cell>
          <cell r="Z18">
            <v>0.5104699455943823</v>
          </cell>
          <cell r="AC18">
            <v>0.41753269277805788</v>
          </cell>
        </row>
        <row r="19">
          <cell r="E19">
            <v>0.20599999999999999</v>
          </cell>
          <cell r="I19">
            <v>0.69699999999999995</v>
          </cell>
          <cell r="S19">
            <v>859.79</v>
          </cell>
          <cell r="Z19">
            <v>0.56867190950379942</v>
          </cell>
          <cell r="AC19">
            <v>0.43477949598710686</v>
          </cell>
        </row>
        <row r="20">
          <cell r="E20">
            <v>0.20899999999999999</v>
          </cell>
          <cell r="I20">
            <v>0.71599999999999997</v>
          </cell>
          <cell r="S20">
            <v>910.36</v>
          </cell>
          <cell r="Z20">
            <v>0.56119086814375063</v>
          </cell>
          <cell r="AC20">
            <v>0.41916442539906479</v>
          </cell>
        </row>
        <row r="21">
          <cell r="E21">
            <v>0.193</v>
          </cell>
          <cell r="I21">
            <v>0.72399999999999998</v>
          </cell>
          <cell r="S21">
            <v>960.94</v>
          </cell>
          <cell r="Z21">
            <v>0.6018577649310769</v>
          </cell>
          <cell r="AC21">
            <v>0.41265075865536421</v>
          </cell>
        </row>
        <row r="22">
          <cell r="S22">
            <v>1011.52</v>
          </cell>
          <cell r="Z22"/>
          <cell r="AC22"/>
        </row>
        <row r="23">
          <cell r="E23">
            <v>0.155</v>
          </cell>
          <cell r="I23">
            <v>0.72499999999999998</v>
          </cell>
          <cell r="S23">
            <v>1062.0899999999999</v>
          </cell>
          <cell r="Z23">
            <v>0.70759949291736757</v>
          </cell>
          <cell r="AC23">
            <v>0.41183901813773321</v>
          </cell>
        </row>
        <row r="24">
          <cell r="E24">
            <v>0.16500000000000001</v>
          </cell>
          <cell r="I24">
            <v>0.68600000000000005</v>
          </cell>
          <cell r="S24">
            <v>1112.67</v>
          </cell>
          <cell r="Z24">
            <v>0.67830552385383625</v>
          </cell>
          <cell r="AC24">
            <v>0.44391717183459439</v>
          </cell>
        </row>
        <row r="25">
          <cell r="E25">
            <v>9.2999999999999999E-2</v>
          </cell>
          <cell r="I25">
            <v>0.61599999999999999</v>
          </cell>
          <cell r="S25">
            <v>1163.24</v>
          </cell>
          <cell r="Z25">
            <v>0.92633452027860541</v>
          </cell>
          <cell r="AC25">
            <v>0.50394145320981265</v>
          </cell>
        </row>
        <row r="26">
          <cell r="I26">
            <v>0.70199999999999996</v>
          </cell>
          <cell r="S26">
            <v>1213.82</v>
          </cell>
        </row>
        <row r="27">
          <cell r="E27">
            <v>0.11600000000000001</v>
          </cell>
          <cell r="I27">
            <v>0.624</v>
          </cell>
          <cell r="S27">
            <v>1264.4000000000001</v>
          </cell>
        </row>
        <row r="28">
          <cell r="S28">
            <v>1314.97</v>
          </cell>
        </row>
        <row r="29">
          <cell r="I29">
            <v>0.67400000000000004</v>
          </cell>
          <cell r="S29">
            <v>1365.55</v>
          </cell>
        </row>
        <row r="30">
          <cell r="E30">
            <v>8.6999999999999994E-2</v>
          </cell>
          <cell r="I30">
            <v>0.70299999999999996</v>
          </cell>
          <cell r="S30">
            <v>1416.12</v>
          </cell>
        </row>
        <row r="31">
          <cell r="E31">
            <v>0.112</v>
          </cell>
          <cell r="I31">
            <v>0.67</v>
          </cell>
          <cell r="S31">
            <v>1466.7</v>
          </cell>
        </row>
        <row r="32">
          <cell r="S32">
            <v>1517.27</v>
          </cell>
        </row>
        <row r="33">
          <cell r="I33">
            <v>0.69299999999999995</v>
          </cell>
          <cell r="S33">
            <v>1567.85</v>
          </cell>
        </row>
        <row r="34">
          <cell r="E34">
            <v>0.11700000000000001</v>
          </cell>
          <cell r="I34">
            <v>0.55700000000000005</v>
          </cell>
          <cell r="S34">
            <v>1618.43</v>
          </cell>
        </row>
        <row r="35">
          <cell r="E35">
            <v>0.121</v>
          </cell>
          <cell r="I35">
            <v>0.65500000000000003</v>
          </cell>
          <cell r="S35">
            <v>1669</v>
          </cell>
        </row>
        <row r="36">
          <cell r="E36">
            <v>0.126</v>
          </cell>
          <cell r="I36">
            <v>0.60399999999999998</v>
          </cell>
          <cell r="S36">
            <v>1719.58</v>
          </cell>
        </row>
        <row r="37">
          <cell r="E37">
            <v>0.109</v>
          </cell>
          <cell r="I37">
            <v>0.63400000000000001</v>
          </cell>
          <cell r="S37">
            <v>1770.15</v>
          </cell>
        </row>
        <row r="38">
          <cell r="I38">
            <v>0.72299999999999998</v>
          </cell>
          <cell r="S38">
            <v>1820.73</v>
          </cell>
        </row>
        <row r="39">
          <cell r="E39">
            <v>0.13400000000000001</v>
          </cell>
          <cell r="I39">
            <v>0.72699999999999998</v>
          </cell>
          <cell r="S39">
            <v>1871.3</v>
          </cell>
        </row>
        <row r="40">
          <cell r="I40">
            <v>0.70399999999999996</v>
          </cell>
          <cell r="S40">
            <v>1921.88</v>
          </cell>
        </row>
        <row r="41">
          <cell r="E41">
            <v>9.2999999999999999E-2</v>
          </cell>
          <cell r="I41">
            <v>0.63100000000000001</v>
          </cell>
          <cell r="S41">
            <v>1972.46</v>
          </cell>
        </row>
        <row r="42">
          <cell r="E42">
            <v>0.11899999999999999</v>
          </cell>
          <cell r="I42">
            <v>0.629</v>
          </cell>
          <cell r="S42">
            <v>2023.03</v>
          </cell>
        </row>
        <row r="43">
          <cell r="E43">
            <v>9.1999999999999998E-2</v>
          </cell>
          <cell r="I43">
            <v>0.65600000000000003</v>
          </cell>
          <cell r="S43">
            <v>2073.61</v>
          </cell>
        </row>
        <row r="44">
          <cell r="E44">
            <v>0.113</v>
          </cell>
          <cell r="I44">
            <v>0.63400000000000001</v>
          </cell>
          <cell r="S44">
            <v>2124.1799999999998</v>
          </cell>
        </row>
        <row r="45">
          <cell r="I45">
            <v>0.70699999999999996</v>
          </cell>
          <cell r="S45">
            <v>2174.7600000000002</v>
          </cell>
        </row>
        <row r="46">
          <cell r="E46">
            <v>9.6000000000000002E-2</v>
          </cell>
          <cell r="I46">
            <v>0.746</v>
          </cell>
          <cell r="S46">
            <v>2225.33</v>
          </cell>
        </row>
        <row r="47">
          <cell r="E47">
            <v>9.7000000000000003E-2</v>
          </cell>
          <cell r="I47">
            <v>0.69</v>
          </cell>
          <cell r="S47">
            <v>2275.91</v>
          </cell>
        </row>
        <row r="48">
          <cell r="E48">
            <v>8.4000000000000005E-2</v>
          </cell>
          <cell r="I48">
            <v>0.64600000000000002</v>
          </cell>
          <cell r="S48">
            <v>2326.4899999999998</v>
          </cell>
        </row>
        <row r="49">
          <cell r="E49">
            <v>0.13700000000000001</v>
          </cell>
          <cell r="I49">
            <v>0.61899999999999999</v>
          </cell>
          <cell r="S49">
            <v>2377.06</v>
          </cell>
        </row>
        <row r="50">
          <cell r="E50">
            <v>0.106</v>
          </cell>
          <cell r="I50">
            <v>0.56100000000000005</v>
          </cell>
          <cell r="S50">
            <v>2427.64</v>
          </cell>
        </row>
        <row r="51">
          <cell r="E51">
            <v>7.8E-2</v>
          </cell>
          <cell r="I51">
            <v>0.55800000000000005</v>
          </cell>
          <cell r="S51">
            <v>2478.21</v>
          </cell>
        </row>
        <row r="52">
          <cell r="E52">
            <v>8.3000000000000004E-2</v>
          </cell>
          <cell r="I52">
            <v>0.56499999999999995</v>
          </cell>
          <cell r="S52">
            <v>2528.79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A2" sqref="A2:A5"/>
    </sheetView>
  </sheetViews>
  <sheetFormatPr baseColWidth="10" defaultRowHeight="14.5" x14ac:dyDescent="0.35"/>
  <cols>
    <col min="1" max="5" width="10.90625" style="14"/>
    <col min="6" max="6" width="17.36328125" style="14" customWidth="1"/>
    <col min="7" max="16384" width="10.90625" style="14"/>
  </cols>
  <sheetData>
    <row r="1" spans="1:6" s="12" customFormat="1" ht="15" thickBot="1" x14ac:dyDescent="0.4">
      <c r="A1" s="5" t="s">
        <v>316</v>
      </c>
    </row>
    <row r="2" spans="1:6" ht="42" x14ac:dyDescent="0.35">
      <c r="A2" s="27" t="s">
        <v>235</v>
      </c>
      <c r="B2" s="27" t="s">
        <v>236</v>
      </c>
      <c r="C2" s="13" t="s">
        <v>237</v>
      </c>
      <c r="D2" s="27" t="s">
        <v>240</v>
      </c>
      <c r="E2" s="13" t="s">
        <v>265</v>
      </c>
      <c r="F2" s="13" t="s">
        <v>242</v>
      </c>
    </row>
    <row r="3" spans="1:6" ht="16.5" x14ac:dyDescent="0.35">
      <c r="A3" s="28"/>
      <c r="B3" s="28"/>
      <c r="C3" s="15" t="s">
        <v>238</v>
      </c>
      <c r="D3" s="28"/>
      <c r="E3" s="15" t="s">
        <v>241</v>
      </c>
      <c r="F3" s="15" t="s">
        <v>266</v>
      </c>
    </row>
    <row r="4" spans="1:6" ht="30" x14ac:dyDescent="0.35">
      <c r="A4" s="28"/>
      <c r="B4" s="28"/>
      <c r="C4" s="15" t="s">
        <v>239</v>
      </c>
      <c r="D4" s="28"/>
      <c r="E4" s="15" t="s">
        <v>267</v>
      </c>
      <c r="F4" s="16"/>
    </row>
    <row r="5" spans="1:6" ht="15" thickBot="1" x14ac:dyDescent="0.4">
      <c r="A5" s="29"/>
      <c r="B5" s="29"/>
      <c r="C5" s="17"/>
      <c r="D5" s="29"/>
      <c r="E5" s="18"/>
      <c r="F5" s="18"/>
    </row>
    <row r="6" spans="1:6" ht="32.5" customHeight="1" x14ac:dyDescent="0.35">
      <c r="A6" s="30" t="s">
        <v>243</v>
      </c>
      <c r="B6" s="30" t="s">
        <v>244</v>
      </c>
      <c r="C6" s="19" t="s">
        <v>245</v>
      </c>
      <c r="D6" s="30" t="s">
        <v>268</v>
      </c>
      <c r="E6" s="30" t="s">
        <v>248</v>
      </c>
      <c r="F6" s="30" t="s">
        <v>249</v>
      </c>
    </row>
    <row r="7" spans="1:6" x14ac:dyDescent="0.35">
      <c r="A7" s="31"/>
      <c r="B7" s="31"/>
      <c r="C7" s="19" t="s">
        <v>246</v>
      </c>
      <c r="D7" s="31"/>
      <c r="E7" s="31"/>
      <c r="F7" s="31"/>
    </row>
    <row r="8" spans="1:6" ht="15" thickBot="1" x14ac:dyDescent="0.4">
      <c r="A8" s="32"/>
      <c r="B8" s="32"/>
      <c r="C8" s="20" t="s">
        <v>247</v>
      </c>
      <c r="D8" s="32"/>
      <c r="E8" s="32"/>
      <c r="F8" s="32"/>
    </row>
    <row r="9" spans="1:6" ht="32.5" customHeight="1" x14ac:dyDescent="0.35">
      <c r="A9" s="30" t="s">
        <v>250</v>
      </c>
      <c r="B9" s="30" t="s">
        <v>251</v>
      </c>
      <c r="C9" s="19" t="s">
        <v>252</v>
      </c>
      <c r="D9" s="30" t="s">
        <v>268</v>
      </c>
      <c r="E9" s="30" t="s">
        <v>253</v>
      </c>
      <c r="F9" s="30" t="s">
        <v>249</v>
      </c>
    </row>
    <row r="10" spans="1:6" x14ac:dyDescent="0.35">
      <c r="A10" s="31"/>
      <c r="B10" s="31"/>
      <c r="C10" s="19" t="s">
        <v>246</v>
      </c>
      <c r="D10" s="31"/>
      <c r="E10" s="31"/>
      <c r="F10" s="31"/>
    </row>
    <row r="11" spans="1:6" ht="15" thickBot="1" x14ac:dyDescent="0.4">
      <c r="A11" s="32"/>
      <c r="B11" s="32"/>
      <c r="C11" s="20" t="s">
        <v>247</v>
      </c>
      <c r="D11" s="32"/>
      <c r="E11" s="32"/>
      <c r="F11" s="32"/>
    </row>
    <row r="12" spans="1:6" ht="28" x14ac:dyDescent="0.35">
      <c r="A12" s="30" t="s">
        <v>254</v>
      </c>
      <c r="B12" s="30" t="s">
        <v>244</v>
      </c>
      <c r="C12" s="19" t="s">
        <v>245</v>
      </c>
      <c r="D12" s="21" t="s">
        <v>257</v>
      </c>
      <c r="E12" s="21" t="s">
        <v>259</v>
      </c>
      <c r="F12" s="21" t="s">
        <v>269</v>
      </c>
    </row>
    <row r="13" spans="1:6" ht="17.5" x14ac:dyDescent="0.35">
      <c r="A13" s="31"/>
      <c r="B13" s="31"/>
      <c r="C13" s="19" t="s">
        <v>255</v>
      </c>
      <c r="D13" s="21" t="s">
        <v>258</v>
      </c>
      <c r="E13" s="21" t="s">
        <v>260</v>
      </c>
      <c r="F13" s="21" t="s">
        <v>270</v>
      </c>
    </row>
    <row r="14" spans="1:6" ht="16.5" thickBot="1" x14ac:dyDescent="0.4">
      <c r="A14" s="32"/>
      <c r="B14" s="32"/>
      <c r="C14" s="20" t="s">
        <v>256</v>
      </c>
      <c r="D14" s="18"/>
      <c r="E14" s="18"/>
      <c r="F14" s="22" t="s">
        <v>271</v>
      </c>
    </row>
    <row r="15" spans="1:6" ht="28" x14ac:dyDescent="0.35">
      <c r="A15" s="30" t="s">
        <v>261</v>
      </c>
      <c r="B15" s="30" t="s">
        <v>251</v>
      </c>
      <c r="C15" s="19" t="s">
        <v>252</v>
      </c>
      <c r="D15" s="21" t="s">
        <v>257</v>
      </c>
      <c r="E15" s="30" t="s">
        <v>262</v>
      </c>
      <c r="F15" s="30" t="s">
        <v>249</v>
      </c>
    </row>
    <row r="16" spans="1:6" x14ac:dyDescent="0.35">
      <c r="A16" s="31"/>
      <c r="B16" s="31"/>
      <c r="C16" s="19" t="s">
        <v>255</v>
      </c>
      <c r="D16" s="21" t="s">
        <v>258</v>
      </c>
      <c r="E16" s="31"/>
      <c r="F16" s="31"/>
    </row>
    <row r="17" spans="1:6" ht="15" thickBot="1" x14ac:dyDescent="0.4">
      <c r="A17" s="32"/>
      <c r="B17" s="32"/>
      <c r="C17" s="20" t="s">
        <v>247</v>
      </c>
      <c r="D17" s="18"/>
      <c r="E17" s="32"/>
      <c r="F17" s="32"/>
    </row>
    <row r="19" spans="1:6" x14ac:dyDescent="0.35">
      <c r="A19" s="5" t="s">
        <v>263</v>
      </c>
    </row>
    <row r="20" spans="1:6" x14ac:dyDescent="0.35">
      <c r="A20" s="5" t="s">
        <v>264</v>
      </c>
    </row>
  </sheetData>
  <mergeCells count="19">
    <mergeCell ref="A15:A17"/>
    <mergeCell ref="B15:B17"/>
    <mergeCell ref="E15:E17"/>
    <mergeCell ref="F15:F17"/>
    <mergeCell ref="E6:E8"/>
    <mergeCell ref="F6:F8"/>
    <mergeCell ref="A9:A11"/>
    <mergeCell ref="B9:B11"/>
    <mergeCell ref="D9:D11"/>
    <mergeCell ref="E9:E11"/>
    <mergeCell ref="F9:F11"/>
    <mergeCell ref="A12:A14"/>
    <mergeCell ref="B12:B14"/>
    <mergeCell ref="A2:A5"/>
    <mergeCell ref="B2:B5"/>
    <mergeCell ref="D2:D5"/>
    <mergeCell ref="A6:A8"/>
    <mergeCell ref="B6:B8"/>
    <mergeCell ref="D6:D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A2" sqref="A2"/>
    </sheetView>
  </sheetViews>
  <sheetFormatPr baseColWidth="10" defaultColWidth="11.453125" defaultRowHeight="14" x14ac:dyDescent="0.3"/>
  <cols>
    <col min="1" max="1" width="11.453125" style="1"/>
    <col min="2" max="2" width="18.26953125" style="1" customWidth="1"/>
    <col min="3" max="16384" width="11.453125" style="1"/>
  </cols>
  <sheetData>
    <row r="1" spans="1:7" x14ac:dyDescent="0.3">
      <c r="A1" s="5" t="s">
        <v>273</v>
      </c>
    </row>
    <row r="2" spans="1:7" x14ac:dyDescent="0.3">
      <c r="A2" s="5"/>
      <c r="B2" s="5" t="s">
        <v>12</v>
      </c>
      <c r="C2" s="5" t="s">
        <v>13</v>
      </c>
      <c r="D2" s="5" t="s">
        <v>14</v>
      </c>
      <c r="E2" s="9" t="s">
        <v>15</v>
      </c>
      <c r="F2" s="9" t="s">
        <v>16</v>
      </c>
      <c r="G2" s="9" t="s">
        <v>17</v>
      </c>
    </row>
    <row r="3" spans="1:7" x14ac:dyDescent="0.3">
      <c r="A3" s="5" t="s">
        <v>18</v>
      </c>
      <c r="B3" s="1">
        <v>38</v>
      </c>
      <c r="C3" s="1">
        <v>1.29E-2</v>
      </c>
      <c r="D3" s="1">
        <f>C3/(32.06+15.999*4)*32.06*10000</f>
        <v>43.055509286249688</v>
      </c>
      <c r="E3" s="1">
        <f>1-D3/$D$4</f>
        <v>9.7902097902097918E-2</v>
      </c>
      <c r="F3" s="4">
        <f t="shared" ref="F3:F9" si="0">ERF(E3)</f>
        <v>0.11011875300934652</v>
      </c>
      <c r="G3" s="2">
        <f t="shared" ref="G3:G9" si="1">SQRT(GAMMAINV(E3,0.5,1))</f>
        <v>8.6982345600329108E-2</v>
      </c>
    </row>
    <row r="4" spans="1:7" x14ac:dyDescent="0.3">
      <c r="A4" s="5" t="s">
        <v>19</v>
      </c>
      <c r="B4" s="1">
        <v>38</v>
      </c>
      <c r="C4" s="1">
        <v>1.43E-2</v>
      </c>
      <c r="D4" s="1">
        <f t="shared" ref="D4:D9" si="2">C4/(32.06+15.999*4)*32.06*10000</f>
        <v>47.728200216540351</v>
      </c>
      <c r="E4" s="1">
        <f t="shared" ref="E4:E9" si="3">1-D4/$D$4</f>
        <v>0</v>
      </c>
      <c r="F4" s="4">
        <f t="shared" si="0"/>
        <v>0</v>
      </c>
      <c r="G4" s="2">
        <f t="shared" si="1"/>
        <v>0</v>
      </c>
    </row>
    <row r="5" spans="1:7" x14ac:dyDescent="0.3">
      <c r="A5" s="5" t="s">
        <v>20</v>
      </c>
      <c r="B5" s="1">
        <v>188</v>
      </c>
      <c r="C5" s="1">
        <v>1.1599999999999999E-2</v>
      </c>
      <c r="D5" s="1">
        <f t="shared" si="2"/>
        <v>38.716581993836925</v>
      </c>
      <c r="E5" s="1">
        <f t="shared" si="3"/>
        <v>0.18881118881118886</v>
      </c>
      <c r="F5" s="4">
        <f t="shared" si="0"/>
        <v>0.21054573264969675</v>
      </c>
      <c r="G5" s="2">
        <f t="shared" si="1"/>
        <v>0.16892262541185435</v>
      </c>
    </row>
    <row r="6" spans="1:7" x14ac:dyDescent="0.3">
      <c r="A6" s="5" t="s">
        <v>21</v>
      </c>
      <c r="B6" s="1">
        <v>434</v>
      </c>
      <c r="C6" s="1">
        <v>9.4000000000000004E-3</v>
      </c>
      <c r="D6" s="1">
        <f t="shared" si="2"/>
        <v>31.373781960523029</v>
      </c>
      <c r="E6" s="1">
        <f t="shared" si="3"/>
        <v>0.3426573426573426</v>
      </c>
      <c r="F6" s="4">
        <f t="shared" si="0"/>
        <v>0.37203326052707675</v>
      </c>
      <c r="G6" s="2">
        <f t="shared" si="1"/>
        <v>0.31366195685427434</v>
      </c>
    </row>
    <row r="7" spans="1:7" x14ac:dyDescent="0.3">
      <c r="A7" s="5" t="s">
        <v>22</v>
      </c>
      <c r="B7" s="1">
        <v>1014</v>
      </c>
      <c r="C7" s="1">
        <v>4.7000000000000002E-3</v>
      </c>
      <c r="D7" s="1">
        <f t="shared" si="2"/>
        <v>15.686890980261515</v>
      </c>
      <c r="E7" s="1">
        <f t="shared" si="3"/>
        <v>0.67132867132867124</v>
      </c>
      <c r="F7" s="4">
        <f t="shared" si="0"/>
        <v>0.65758386328471863</v>
      </c>
      <c r="G7" s="2">
        <f t="shared" si="1"/>
        <v>0.69069740190328166</v>
      </c>
    </row>
    <row r="8" spans="1:7" x14ac:dyDescent="0.3">
      <c r="A8" s="5" t="s">
        <v>23</v>
      </c>
      <c r="B8" s="1">
        <v>1332</v>
      </c>
      <c r="C8" s="1">
        <v>1.6000000000000001E-3</v>
      </c>
      <c r="D8" s="1">
        <f t="shared" si="2"/>
        <v>5.3402182060464725</v>
      </c>
      <c r="E8" s="1">
        <f t="shared" si="3"/>
        <v>0.88811188811188813</v>
      </c>
      <c r="F8" s="4">
        <f t="shared" si="0"/>
        <v>0.79087673401060254</v>
      </c>
      <c r="G8" s="2">
        <f t="shared" si="1"/>
        <v>1.1241325897916599</v>
      </c>
    </row>
    <row r="9" spans="1:7" x14ac:dyDescent="0.3">
      <c r="A9" s="5" t="s">
        <v>24</v>
      </c>
      <c r="B9" s="1">
        <v>1783</v>
      </c>
      <c r="C9" s="3">
        <v>2.9584999999999999E-5</v>
      </c>
      <c r="D9" s="1">
        <f t="shared" si="2"/>
        <v>9.8743972266178051E-2</v>
      </c>
      <c r="E9" s="1">
        <f t="shared" si="3"/>
        <v>0.99793111888111885</v>
      </c>
      <c r="F9" s="4">
        <f t="shared" si="0"/>
        <v>0.84184020689016781</v>
      </c>
      <c r="G9" s="2">
        <f t="shared" si="1"/>
        <v>2.1780033545473909</v>
      </c>
    </row>
    <row r="11" spans="1:7" x14ac:dyDescent="0.3">
      <c r="A11" s="5" t="s">
        <v>25</v>
      </c>
      <c r="B11" s="5"/>
      <c r="C11" s="5">
        <v>1.1000000000000001E-3</v>
      </c>
      <c r="D11" s="5"/>
      <c r="E11" s="5" t="s">
        <v>26</v>
      </c>
      <c r="F11" s="5"/>
    </row>
    <row r="12" spans="1:7" x14ac:dyDescent="0.3">
      <c r="A12" s="5"/>
      <c r="B12" s="5"/>
      <c r="C12" s="5"/>
      <c r="D12" s="5"/>
      <c r="E12" s="5"/>
      <c r="F12" s="5"/>
    </row>
    <row r="13" spans="1:7" x14ac:dyDescent="0.3">
      <c r="A13" s="5" t="s">
        <v>27</v>
      </c>
      <c r="B13" s="5"/>
      <c r="C13" s="6">
        <f>1/((C11*10^6)^2*4*0.54167*3600)</f>
        <v>1.0595399938458526E-10</v>
      </c>
      <c r="D13" s="6"/>
      <c r="E13" s="5"/>
      <c r="F13" s="5"/>
    </row>
    <row r="14" spans="1:7" x14ac:dyDescent="0.3">
      <c r="A14" s="5"/>
      <c r="B14" s="5"/>
      <c r="C14" s="5"/>
      <c r="D14" s="5"/>
      <c r="E14" s="5"/>
      <c r="F14" s="5"/>
    </row>
    <row r="15" spans="1:7" x14ac:dyDescent="0.3">
      <c r="A15" s="5"/>
      <c r="B15" s="5"/>
      <c r="C15" s="5"/>
      <c r="D15" s="5"/>
      <c r="E15" s="5"/>
      <c r="F15" s="5"/>
    </row>
    <row r="16" spans="1:7" x14ac:dyDescent="0.3">
      <c r="A16" s="5" t="s">
        <v>28</v>
      </c>
      <c r="B16" s="7">
        <f>1000/(900+273.15)</f>
        <v>0.85240591569705482</v>
      </c>
      <c r="C16" s="5"/>
      <c r="D16" s="5"/>
      <c r="E16" s="5"/>
      <c r="F16" s="5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8"/>
  <sheetViews>
    <sheetView workbookViewId="0">
      <selection activeCell="AS24" sqref="AS24"/>
    </sheetView>
  </sheetViews>
  <sheetFormatPr baseColWidth="10" defaultRowHeight="14" x14ac:dyDescent="0.3"/>
  <cols>
    <col min="1" max="1" width="22.7265625" style="1" customWidth="1"/>
    <col min="2" max="23" width="10.90625" style="1"/>
    <col min="24" max="24" width="10.90625" style="8"/>
    <col min="25" max="29" width="10.90625" style="1"/>
    <col min="30" max="30" width="11.81640625" style="1" bestFit="1" customWidth="1"/>
    <col min="31" max="16384" width="10.90625" style="1"/>
  </cols>
  <sheetData>
    <row r="1" spans="1:26" s="5" customFormat="1" x14ac:dyDescent="0.3">
      <c r="A1" s="5" t="s">
        <v>272</v>
      </c>
      <c r="B1" s="5" t="s">
        <v>29</v>
      </c>
      <c r="C1" s="5" t="s">
        <v>31</v>
      </c>
      <c r="D1" s="5" t="s">
        <v>30</v>
      </c>
      <c r="E1" s="5" t="s">
        <v>32</v>
      </c>
      <c r="F1" s="5" t="s">
        <v>33</v>
      </c>
      <c r="G1" s="5" t="s">
        <v>34</v>
      </c>
      <c r="H1" s="5" t="s">
        <v>35</v>
      </c>
      <c r="I1" s="5" t="s">
        <v>36</v>
      </c>
      <c r="J1" s="5" t="s">
        <v>37</v>
      </c>
      <c r="K1" s="5" t="s">
        <v>38</v>
      </c>
      <c r="L1" s="5" t="s">
        <v>39</v>
      </c>
      <c r="M1" s="5" t="s">
        <v>40</v>
      </c>
      <c r="N1" s="5" t="s">
        <v>41</v>
      </c>
      <c r="O1" s="5" t="s">
        <v>42</v>
      </c>
      <c r="P1" s="5" t="s">
        <v>43</v>
      </c>
      <c r="Q1" s="5" t="s">
        <v>44</v>
      </c>
      <c r="R1" s="5" t="s">
        <v>29</v>
      </c>
      <c r="S1" s="5" t="s">
        <v>45</v>
      </c>
      <c r="T1" s="5" t="s">
        <v>46</v>
      </c>
      <c r="U1" s="5" t="s">
        <v>47</v>
      </c>
      <c r="V1" s="5" t="s">
        <v>48</v>
      </c>
      <c r="X1" s="7" t="s">
        <v>15</v>
      </c>
      <c r="Y1" s="9" t="s">
        <v>16</v>
      </c>
      <c r="Z1" s="9" t="s">
        <v>17</v>
      </c>
    </row>
    <row r="2" spans="1:26" x14ac:dyDescent="0.3">
      <c r="A2" s="1" t="s">
        <v>50</v>
      </c>
      <c r="B2" s="1" t="s">
        <v>51</v>
      </c>
      <c r="C2" s="1">
        <v>68.162000000000006</v>
      </c>
      <c r="D2" s="1">
        <v>14.66</v>
      </c>
      <c r="E2" s="1">
        <v>0.48899999999999999</v>
      </c>
      <c r="F2" s="1">
        <v>0.626</v>
      </c>
      <c r="G2" s="1">
        <v>2.1999999999999999E-2</v>
      </c>
      <c r="H2" s="1">
        <v>0.23499999999999999</v>
      </c>
      <c r="I2" s="1">
        <v>1.294</v>
      </c>
      <c r="J2" s="1">
        <v>0.48699999999999999</v>
      </c>
      <c r="K2" s="1">
        <v>1.4999999999999999E-2</v>
      </c>
      <c r="L2" s="1">
        <v>85.988</v>
      </c>
      <c r="M2" s="1">
        <v>-10845</v>
      </c>
      <c r="N2" s="1">
        <v>-26377</v>
      </c>
      <c r="O2" s="1">
        <v>-24</v>
      </c>
      <c r="P2" s="1" t="s">
        <v>49</v>
      </c>
      <c r="Q2" s="1" t="s">
        <v>49</v>
      </c>
      <c r="R2" s="1" t="s">
        <v>51</v>
      </c>
      <c r="S2" s="1">
        <v>0</v>
      </c>
      <c r="T2" s="1">
        <v>9.4659999999999993</v>
      </c>
      <c r="U2" s="1">
        <v>5</v>
      </c>
      <c r="V2" s="1" t="s">
        <v>52</v>
      </c>
      <c r="X2" s="8">
        <f t="shared" ref="X2:X11" si="0">1-E2/$E$2</f>
        <v>0</v>
      </c>
      <c r="Y2" s="4">
        <f t="shared" ref="Y2:Y53" si="1">ERF(X2)</f>
        <v>0</v>
      </c>
      <c r="Z2" s="2">
        <f t="shared" ref="Z2" si="2">SQRT(GAMMAINV(X2,0.5,1))</f>
        <v>0</v>
      </c>
    </row>
    <row r="3" spans="1:26" x14ac:dyDescent="0.3">
      <c r="A3" s="1" t="s">
        <v>53</v>
      </c>
      <c r="B3" s="1" t="s">
        <v>51</v>
      </c>
      <c r="C3" s="1">
        <v>67.251000000000005</v>
      </c>
      <c r="D3" s="1">
        <v>14.765000000000001</v>
      </c>
      <c r="E3" s="1">
        <v>0.48899999999999999</v>
      </c>
      <c r="F3" s="1">
        <v>0.95799999999999996</v>
      </c>
      <c r="G3" s="1">
        <v>3.3000000000000002E-2</v>
      </c>
      <c r="H3" s="1">
        <v>0.222</v>
      </c>
      <c r="I3" s="1">
        <v>1.2569999999999999</v>
      </c>
      <c r="J3" s="1">
        <v>1.21</v>
      </c>
      <c r="K3" s="1">
        <v>2.5999999999999999E-2</v>
      </c>
      <c r="L3" s="1">
        <v>86.212000000000003</v>
      </c>
      <c r="M3" s="1">
        <v>-10895.6</v>
      </c>
      <c r="N3" s="1">
        <v>-26377</v>
      </c>
      <c r="O3" s="1">
        <v>-24</v>
      </c>
      <c r="P3" s="1" t="s">
        <v>49</v>
      </c>
      <c r="Q3" s="1" t="s">
        <v>49</v>
      </c>
      <c r="R3" s="1" t="s">
        <v>51</v>
      </c>
      <c r="S3" s="1">
        <v>50.58</v>
      </c>
      <c r="T3" s="1">
        <v>9.5020000000000007</v>
      </c>
      <c r="U3" s="1">
        <v>6</v>
      </c>
      <c r="V3" s="1" t="s">
        <v>54</v>
      </c>
      <c r="X3" s="8">
        <f t="shared" si="0"/>
        <v>0</v>
      </c>
      <c r="Y3" s="4">
        <f t="shared" si="1"/>
        <v>0</v>
      </c>
      <c r="Z3" s="2">
        <f t="shared" ref="Z3:Z11" si="3">SQRT(GAMMAINV(X3,0.5,1))</f>
        <v>0</v>
      </c>
    </row>
    <row r="4" spans="1:26" x14ac:dyDescent="0.3">
      <c r="A4" s="1" t="s">
        <v>55</v>
      </c>
      <c r="B4" s="1" t="s">
        <v>51</v>
      </c>
      <c r="C4" s="1">
        <v>67.11</v>
      </c>
      <c r="D4" s="1">
        <v>14.948</v>
      </c>
      <c r="E4" s="1">
        <v>0.443</v>
      </c>
      <c r="F4" s="1">
        <v>0.98299999999999998</v>
      </c>
      <c r="G4" s="1">
        <v>2.5000000000000001E-2</v>
      </c>
      <c r="H4" s="1">
        <v>0.20799999999999999</v>
      </c>
      <c r="I4" s="1">
        <v>1.2709999999999999</v>
      </c>
      <c r="J4" s="1">
        <v>1.4159999999999999</v>
      </c>
      <c r="K4" s="1">
        <v>1.7999999999999999E-2</v>
      </c>
      <c r="L4" s="1">
        <v>86.421999999999997</v>
      </c>
      <c r="M4" s="1">
        <v>-10946.2</v>
      </c>
      <c r="N4" s="1">
        <v>-26377</v>
      </c>
      <c r="O4" s="1">
        <v>-24</v>
      </c>
      <c r="P4" s="1" t="s">
        <v>49</v>
      </c>
      <c r="Q4" s="1" t="s">
        <v>49</v>
      </c>
      <c r="R4" s="1" t="s">
        <v>51</v>
      </c>
      <c r="S4" s="1">
        <v>101.15</v>
      </c>
      <c r="T4" s="1">
        <v>9.5250000000000004</v>
      </c>
      <c r="U4" s="1">
        <v>7</v>
      </c>
      <c r="V4" s="1" t="s">
        <v>56</v>
      </c>
      <c r="X4" s="8">
        <f t="shared" si="0"/>
        <v>9.4069529652351713E-2</v>
      </c>
      <c r="Y4" s="4">
        <f t="shared" si="1"/>
        <v>0.10583382865005043</v>
      </c>
      <c r="Z4" s="2">
        <f t="shared" si="3"/>
        <v>8.3561030107521639E-2</v>
      </c>
    </row>
    <row r="5" spans="1:26" x14ac:dyDescent="0.3">
      <c r="A5" s="1" t="s">
        <v>57</v>
      </c>
      <c r="B5" s="1" t="s">
        <v>51</v>
      </c>
      <c r="C5" s="1">
        <v>66.727000000000004</v>
      </c>
      <c r="D5" s="1">
        <v>14.804</v>
      </c>
      <c r="E5" s="1">
        <v>0.46100000000000002</v>
      </c>
      <c r="F5" s="1">
        <v>1.028</v>
      </c>
      <c r="G5" s="1">
        <v>3.7999999999999999E-2</v>
      </c>
      <c r="H5" s="1">
        <v>0.23699999999999999</v>
      </c>
      <c r="I5" s="1">
        <v>1.107</v>
      </c>
      <c r="J5" s="1">
        <v>1.26</v>
      </c>
      <c r="K5" s="1">
        <v>2.1999999999999999E-2</v>
      </c>
      <c r="L5" s="1">
        <v>85.683999999999997</v>
      </c>
      <c r="M5" s="1">
        <v>-10996.7</v>
      </c>
      <c r="N5" s="1">
        <v>-26377</v>
      </c>
      <c r="O5" s="1">
        <v>-24</v>
      </c>
      <c r="P5" s="1" t="s">
        <v>49</v>
      </c>
      <c r="Q5" s="1" t="s">
        <v>49</v>
      </c>
      <c r="R5" s="1" t="s">
        <v>51</v>
      </c>
      <c r="S5" s="1">
        <v>151.72999999999999</v>
      </c>
      <c r="T5" s="1">
        <v>9.4339999999999993</v>
      </c>
      <c r="U5" s="1">
        <v>8</v>
      </c>
      <c r="V5" s="1" t="s">
        <v>58</v>
      </c>
      <c r="X5" s="8">
        <f t="shared" si="0"/>
        <v>5.7259713701431458E-2</v>
      </c>
      <c r="Y5" s="4">
        <f t="shared" si="1"/>
        <v>6.4540124998278589E-2</v>
      </c>
      <c r="Z5" s="2">
        <f t="shared" si="3"/>
        <v>5.0788736028392324E-2</v>
      </c>
    </row>
    <row r="6" spans="1:26" x14ac:dyDescent="0.3">
      <c r="A6" s="1" t="s">
        <v>59</v>
      </c>
      <c r="B6" s="1" t="s">
        <v>51</v>
      </c>
      <c r="C6" s="1">
        <v>67.272999999999996</v>
      </c>
      <c r="D6" s="1">
        <v>15.066000000000001</v>
      </c>
      <c r="E6" s="1">
        <v>0.436</v>
      </c>
      <c r="F6" s="1">
        <v>0.73399999999999999</v>
      </c>
      <c r="G6" s="1">
        <v>4.2000000000000003E-2</v>
      </c>
      <c r="H6" s="1">
        <v>0.22</v>
      </c>
      <c r="I6" s="1">
        <v>1.111</v>
      </c>
      <c r="J6" s="1">
        <v>1.413</v>
      </c>
      <c r="K6" s="1">
        <v>1.7999999999999999E-2</v>
      </c>
      <c r="L6" s="1">
        <v>86.313999999999993</v>
      </c>
      <c r="M6" s="1">
        <v>-11047.3</v>
      </c>
      <c r="N6" s="1">
        <v>-26377</v>
      </c>
      <c r="O6" s="1">
        <v>-24</v>
      </c>
      <c r="P6" s="1" t="s">
        <v>49</v>
      </c>
      <c r="Q6" s="1" t="s">
        <v>49</v>
      </c>
      <c r="R6" s="1" t="s">
        <v>51</v>
      </c>
      <c r="S6" s="1">
        <v>202.3</v>
      </c>
      <c r="T6" s="1">
        <v>9.4819999999999993</v>
      </c>
      <c r="U6" s="1">
        <v>9</v>
      </c>
      <c r="V6" s="1" t="s">
        <v>60</v>
      </c>
      <c r="X6" s="8">
        <f t="shared" si="0"/>
        <v>0.10838445807770958</v>
      </c>
      <c r="Y6" s="4">
        <f t="shared" si="1"/>
        <v>0.12182155853033072</v>
      </c>
      <c r="Z6" s="2">
        <f t="shared" si="3"/>
        <v>9.6350551001828516E-2</v>
      </c>
    </row>
    <row r="7" spans="1:26" x14ac:dyDescent="0.3">
      <c r="A7" s="1" t="s">
        <v>61</v>
      </c>
      <c r="B7" s="1" t="s">
        <v>51</v>
      </c>
      <c r="C7" s="1">
        <v>67.355000000000004</v>
      </c>
      <c r="D7" s="1">
        <v>14.83</v>
      </c>
      <c r="E7" s="1">
        <v>0.42499999999999999</v>
      </c>
      <c r="F7" s="1">
        <v>0.91800000000000004</v>
      </c>
      <c r="G7" s="1">
        <v>3.6999999999999998E-2</v>
      </c>
      <c r="H7" s="1">
        <v>0.222</v>
      </c>
      <c r="I7" s="1">
        <v>1.0920000000000001</v>
      </c>
      <c r="J7" s="1">
        <v>1.355</v>
      </c>
      <c r="K7" s="1">
        <v>7.0000000000000001E-3</v>
      </c>
      <c r="L7" s="1">
        <v>86.24</v>
      </c>
      <c r="M7" s="1">
        <v>-11148.5</v>
      </c>
      <c r="N7" s="1">
        <v>-26377</v>
      </c>
      <c r="O7" s="1">
        <v>-24</v>
      </c>
      <c r="P7" s="1" t="s">
        <v>49</v>
      </c>
      <c r="Q7" s="1" t="s">
        <v>49</v>
      </c>
      <c r="R7" s="1" t="s">
        <v>51</v>
      </c>
      <c r="S7" s="1">
        <v>303.45</v>
      </c>
      <c r="T7" s="1">
        <v>9.4830000000000005</v>
      </c>
      <c r="U7" s="1">
        <v>11</v>
      </c>
      <c r="V7" s="1" t="s">
        <v>62</v>
      </c>
      <c r="X7" s="8">
        <f t="shared" si="0"/>
        <v>0.13087934560327197</v>
      </c>
      <c r="Y7" s="4">
        <f t="shared" si="1"/>
        <v>0.14684261045110791</v>
      </c>
      <c r="Z7" s="2">
        <f t="shared" si="3"/>
        <v>0.11651390414242781</v>
      </c>
    </row>
    <row r="8" spans="1:26" x14ac:dyDescent="0.3">
      <c r="A8" s="1" t="s">
        <v>63</v>
      </c>
      <c r="B8" s="1" t="s">
        <v>51</v>
      </c>
      <c r="C8" s="1">
        <v>66.692999999999998</v>
      </c>
      <c r="D8" s="1">
        <v>14.699</v>
      </c>
      <c r="E8" s="1">
        <v>0.36199999999999999</v>
      </c>
      <c r="F8" s="1">
        <v>0.90800000000000003</v>
      </c>
      <c r="G8" s="1">
        <v>2.5000000000000001E-2</v>
      </c>
      <c r="H8" s="1">
        <v>0.20699999999999999</v>
      </c>
      <c r="I8" s="1">
        <v>1.0720000000000001</v>
      </c>
      <c r="J8" s="1">
        <v>1.194</v>
      </c>
      <c r="K8" s="1">
        <v>2.7E-2</v>
      </c>
      <c r="L8" s="1">
        <v>85.186999999999998</v>
      </c>
      <c r="M8" s="1">
        <v>-11199</v>
      </c>
      <c r="N8" s="1">
        <v>-26377</v>
      </c>
      <c r="O8" s="1">
        <v>-24</v>
      </c>
      <c r="P8" s="1" t="s">
        <v>49</v>
      </c>
      <c r="Q8" s="1" t="s">
        <v>49</v>
      </c>
      <c r="R8" s="1" t="s">
        <v>51</v>
      </c>
      <c r="S8" s="1">
        <v>354.03</v>
      </c>
      <c r="T8" s="1">
        <v>9.3659999999999997</v>
      </c>
      <c r="U8" s="1">
        <v>12</v>
      </c>
      <c r="V8" s="1" t="s">
        <v>64</v>
      </c>
      <c r="X8" s="8">
        <f t="shared" si="0"/>
        <v>0.25971370143149286</v>
      </c>
      <c r="Y8" s="4">
        <f t="shared" si="1"/>
        <v>0.2865977640302223</v>
      </c>
      <c r="Z8" s="2">
        <f t="shared" si="3"/>
        <v>0.23438768021095246</v>
      </c>
    </row>
    <row r="9" spans="1:26" x14ac:dyDescent="0.3">
      <c r="A9" s="1" t="s">
        <v>65</v>
      </c>
      <c r="B9" s="1" t="s">
        <v>51</v>
      </c>
      <c r="C9" s="1">
        <v>53.863999999999997</v>
      </c>
      <c r="D9" s="1">
        <v>11.869</v>
      </c>
      <c r="E9" s="1">
        <v>0.311</v>
      </c>
      <c r="F9" s="1">
        <v>1.3640000000000001</v>
      </c>
      <c r="G9" s="1">
        <v>2.1000000000000001E-2</v>
      </c>
      <c r="H9" s="1">
        <v>0.20699999999999999</v>
      </c>
      <c r="I9" s="1">
        <v>0.94799999999999995</v>
      </c>
      <c r="J9" s="1">
        <v>1.498</v>
      </c>
      <c r="K9" s="1">
        <v>0</v>
      </c>
      <c r="L9" s="1">
        <v>70.081999999999994</v>
      </c>
      <c r="M9" s="1">
        <v>-11249.6</v>
      </c>
      <c r="N9" s="1">
        <v>-26377</v>
      </c>
      <c r="O9" s="1">
        <v>-24</v>
      </c>
      <c r="P9" s="1" t="s">
        <v>49</v>
      </c>
      <c r="Q9" s="1" t="s">
        <v>49</v>
      </c>
      <c r="R9" s="1" t="s">
        <v>51</v>
      </c>
      <c r="S9" s="1">
        <v>404.61</v>
      </c>
      <c r="T9" s="1">
        <v>7.7510000000000003</v>
      </c>
      <c r="U9" s="1">
        <v>13</v>
      </c>
      <c r="V9" s="1" t="s">
        <v>66</v>
      </c>
      <c r="X9" s="8">
        <f t="shared" si="0"/>
        <v>0.36400817995910018</v>
      </c>
      <c r="Y9" s="4">
        <f t="shared" si="1"/>
        <v>0.3932969447487743</v>
      </c>
      <c r="Z9" s="2">
        <f t="shared" si="3"/>
        <v>0.33468091749594447</v>
      </c>
    </row>
    <row r="10" spans="1:26" x14ac:dyDescent="0.3">
      <c r="A10" s="1" t="s">
        <v>67</v>
      </c>
      <c r="B10" s="1" t="s">
        <v>51</v>
      </c>
      <c r="C10" s="1">
        <v>66.861000000000004</v>
      </c>
      <c r="D10" s="1">
        <v>14.449</v>
      </c>
      <c r="E10" s="1">
        <v>0.38200000000000001</v>
      </c>
      <c r="F10" s="1">
        <v>0.84799999999999998</v>
      </c>
      <c r="G10" s="1">
        <v>2.3E-2</v>
      </c>
      <c r="H10" s="1">
        <v>0.23</v>
      </c>
      <c r="I10" s="1">
        <v>0.89</v>
      </c>
      <c r="J10" s="1">
        <v>1.3839999999999999</v>
      </c>
      <c r="K10" s="1">
        <v>3.5000000000000003E-2</v>
      </c>
      <c r="L10" s="1">
        <v>85.100999999999999</v>
      </c>
      <c r="M10" s="1">
        <v>-11300.2</v>
      </c>
      <c r="N10" s="1">
        <v>-26377</v>
      </c>
      <c r="O10" s="1">
        <v>-24</v>
      </c>
      <c r="P10" s="1" t="s">
        <v>49</v>
      </c>
      <c r="Q10" s="1" t="s">
        <v>49</v>
      </c>
      <c r="R10" s="1" t="s">
        <v>51</v>
      </c>
      <c r="S10" s="1">
        <v>455.18</v>
      </c>
      <c r="T10" s="1">
        <v>9.3330000000000002</v>
      </c>
      <c r="U10" s="1">
        <v>14</v>
      </c>
      <c r="V10" s="1" t="s">
        <v>68</v>
      </c>
      <c r="X10" s="8">
        <f t="shared" si="0"/>
        <v>0.21881390593047034</v>
      </c>
      <c r="Y10" s="4">
        <f t="shared" si="1"/>
        <v>0.24302044976643608</v>
      </c>
      <c r="Z10" s="2">
        <f t="shared" si="3"/>
        <v>0.19641565517188439</v>
      </c>
    </row>
    <row r="11" spans="1:26" x14ac:dyDescent="0.3">
      <c r="A11" s="1" t="s">
        <v>69</v>
      </c>
      <c r="B11" s="1" t="s">
        <v>51</v>
      </c>
      <c r="C11" s="1">
        <v>67.323999999999998</v>
      </c>
      <c r="D11" s="1">
        <v>14.88</v>
      </c>
      <c r="E11" s="1">
        <v>0.31</v>
      </c>
      <c r="F11" s="1">
        <v>1.1160000000000001</v>
      </c>
      <c r="G11" s="1">
        <v>2.5999999999999999E-2</v>
      </c>
      <c r="H11" s="1">
        <v>0.21299999999999999</v>
      </c>
      <c r="I11" s="1">
        <v>0.86599999999999999</v>
      </c>
      <c r="J11" s="1">
        <v>1.613</v>
      </c>
      <c r="K11" s="1">
        <v>0</v>
      </c>
      <c r="L11" s="1">
        <v>86.347999999999999</v>
      </c>
      <c r="M11" s="1">
        <v>-11401.3</v>
      </c>
      <c r="N11" s="1">
        <v>-26377</v>
      </c>
      <c r="O11" s="1">
        <v>-25</v>
      </c>
      <c r="P11" s="1" t="s">
        <v>49</v>
      </c>
      <c r="Q11" s="1" t="s">
        <v>49</v>
      </c>
      <c r="R11" s="1" t="s">
        <v>51</v>
      </c>
      <c r="S11" s="1">
        <v>556.33000000000004</v>
      </c>
      <c r="T11" s="1">
        <v>9.4789999999999992</v>
      </c>
      <c r="U11" s="1">
        <v>16</v>
      </c>
      <c r="V11" s="1" t="s">
        <v>70</v>
      </c>
      <c r="X11" s="8">
        <f t="shared" si="0"/>
        <v>0.36605316973415136</v>
      </c>
      <c r="Y11" s="4">
        <f t="shared" si="1"/>
        <v>0.3953166011083879</v>
      </c>
      <c r="Z11" s="2">
        <f t="shared" si="3"/>
        <v>0.3367094285777269</v>
      </c>
    </row>
    <row r="12" spans="1:26" x14ac:dyDescent="0.3">
      <c r="A12" s="1" t="s">
        <v>71</v>
      </c>
      <c r="B12" s="1" t="s">
        <v>51</v>
      </c>
      <c r="C12" s="1">
        <v>68.433000000000007</v>
      </c>
      <c r="D12" s="1">
        <v>14.962999999999999</v>
      </c>
      <c r="E12" s="1">
        <v>0.23400000000000001</v>
      </c>
      <c r="F12" s="1">
        <v>0.86699999999999999</v>
      </c>
      <c r="G12" s="1">
        <v>2.9000000000000001E-2</v>
      </c>
      <c r="H12" s="1">
        <v>0.23300000000000001</v>
      </c>
      <c r="I12" s="1">
        <v>0.89100000000000001</v>
      </c>
      <c r="J12" s="1">
        <v>1.6120000000000001</v>
      </c>
      <c r="K12" s="1">
        <v>2.7E-2</v>
      </c>
      <c r="L12" s="1">
        <v>87.289000000000001</v>
      </c>
      <c r="M12" s="1">
        <v>-11502.5</v>
      </c>
      <c r="N12" s="1">
        <v>-26377</v>
      </c>
      <c r="O12" s="1">
        <v>-25</v>
      </c>
      <c r="P12" s="1" t="s">
        <v>49</v>
      </c>
      <c r="Q12" s="1" t="s">
        <v>49</v>
      </c>
      <c r="R12" s="1" t="s">
        <v>51</v>
      </c>
      <c r="S12" s="1">
        <v>657.49</v>
      </c>
      <c r="T12" s="1">
        <v>9.5690000000000008</v>
      </c>
      <c r="U12" s="1">
        <v>18</v>
      </c>
      <c r="V12" s="1" t="s">
        <v>72</v>
      </c>
      <c r="X12" s="8">
        <f t="shared" ref="X12:X18" si="4">1-E12/$E$2</f>
        <v>0.5214723926380368</v>
      </c>
      <c r="Y12" s="4">
        <f t="shared" si="1"/>
        <v>0.53916544397750155</v>
      </c>
      <c r="Z12" s="2">
        <f t="shared" ref="Z12:Z18" si="5">SQRT(GAMMAINV(X12,0.5,1))</f>
        <v>0.5011072747295926</v>
      </c>
    </row>
    <row r="13" spans="1:26" x14ac:dyDescent="0.3">
      <c r="A13" s="1" t="s">
        <v>73</v>
      </c>
      <c r="B13" s="1" t="s">
        <v>51</v>
      </c>
      <c r="C13" s="1">
        <v>67.540999999999997</v>
      </c>
      <c r="D13" s="1">
        <v>14.625</v>
      </c>
      <c r="E13" s="1">
        <v>0.246</v>
      </c>
      <c r="F13" s="1">
        <v>1.3759999999999999</v>
      </c>
      <c r="G13" s="1">
        <v>3.2000000000000001E-2</v>
      </c>
      <c r="H13" s="1">
        <v>0.22</v>
      </c>
      <c r="I13" s="1">
        <v>0.78500000000000003</v>
      </c>
      <c r="J13" s="1">
        <v>1.341</v>
      </c>
      <c r="K13" s="1">
        <v>1.0999999999999999E-2</v>
      </c>
      <c r="L13" s="1">
        <v>86.177999999999997</v>
      </c>
      <c r="M13" s="1">
        <v>-11553.1</v>
      </c>
      <c r="N13" s="1">
        <v>-26377</v>
      </c>
      <c r="O13" s="1">
        <v>-25</v>
      </c>
      <c r="P13" s="1" t="s">
        <v>49</v>
      </c>
      <c r="Q13" s="1" t="s">
        <v>49</v>
      </c>
      <c r="R13" s="1" t="s">
        <v>51</v>
      </c>
      <c r="S13" s="1">
        <v>708.06</v>
      </c>
      <c r="T13" s="1">
        <v>9.4710000000000001</v>
      </c>
      <c r="U13" s="1">
        <v>19</v>
      </c>
      <c r="V13" s="1" t="s">
        <v>74</v>
      </c>
      <c r="X13" s="8">
        <f t="shared" si="4"/>
        <v>0.49693251533742333</v>
      </c>
      <c r="Y13" s="4">
        <f t="shared" si="1"/>
        <v>0.51780009553835993</v>
      </c>
      <c r="Z13" s="2">
        <f t="shared" si="5"/>
        <v>0.47352896922855625</v>
      </c>
    </row>
    <row r="14" spans="1:26" x14ac:dyDescent="0.3">
      <c r="A14" s="1" t="s">
        <v>75</v>
      </c>
      <c r="B14" s="1" t="s">
        <v>51</v>
      </c>
      <c r="C14" s="1">
        <v>67.400000000000006</v>
      </c>
      <c r="D14" s="1">
        <v>14.68</v>
      </c>
      <c r="E14" s="1">
        <v>0.21099999999999999</v>
      </c>
      <c r="F14" s="1">
        <v>1.3580000000000001</v>
      </c>
      <c r="G14" s="1">
        <v>3.5000000000000003E-2</v>
      </c>
      <c r="H14" s="1">
        <v>0.221</v>
      </c>
      <c r="I14" s="1">
        <v>0.72699999999999998</v>
      </c>
      <c r="J14" s="1">
        <v>1.33</v>
      </c>
      <c r="K14" s="1">
        <v>0</v>
      </c>
      <c r="L14" s="1">
        <v>85.962000000000003</v>
      </c>
      <c r="M14" s="1">
        <v>-11603.6</v>
      </c>
      <c r="N14" s="1">
        <v>-26377</v>
      </c>
      <c r="O14" s="1">
        <v>-25</v>
      </c>
      <c r="P14" s="1" t="s">
        <v>49</v>
      </c>
      <c r="Q14" s="1" t="s">
        <v>49</v>
      </c>
      <c r="R14" s="1" t="s">
        <v>51</v>
      </c>
      <c r="S14" s="1">
        <v>758.64</v>
      </c>
      <c r="T14" s="1">
        <v>9.44</v>
      </c>
      <c r="U14" s="1">
        <v>20</v>
      </c>
      <c r="V14" s="1" t="s">
        <v>76</v>
      </c>
      <c r="X14" s="8">
        <f t="shared" si="4"/>
        <v>0.56850715746421265</v>
      </c>
      <c r="Y14" s="4">
        <f t="shared" si="1"/>
        <v>0.57859755716623917</v>
      </c>
      <c r="Z14" s="2">
        <f t="shared" si="5"/>
        <v>0.55623822972965686</v>
      </c>
    </row>
    <row r="15" spans="1:26" x14ac:dyDescent="0.3">
      <c r="A15" s="1" t="s">
        <v>77</v>
      </c>
      <c r="B15" s="1" t="s">
        <v>51</v>
      </c>
      <c r="C15" s="1">
        <v>66.94</v>
      </c>
      <c r="D15" s="1">
        <v>14.750999999999999</v>
      </c>
      <c r="E15" s="1">
        <v>0.23</v>
      </c>
      <c r="F15" s="1">
        <v>1.008</v>
      </c>
      <c r="G15" s="1">
        <v>3.4000000000000002E-2</v>
      </c>
      <c r="H15" s="1">
        <v>0.22</v>
      </c>
      <c r="I15" s="1">
        <v>0.71799999999999997</v>
      </c>
      <c r="J15" s="1">
        <v>1.2470000000000001</v>
      </c>
      <c r="K15" s="1">
        <v>0</v>
      </c>
      <c r="L15" s="1">
        <v>85.147999999999996</v>
      </c>
      <c r="M15" s="1">
        <v>-11654.2</v>
      </c>
      <c r="N15" s="1">
        <v>-26377</v>
      </c>
      <c r="O15" s="1">
        <v>-25</v>
      </c>
      <c r="P15" s="1" t="s">
        <v>49</v>
      </c>
      <c r="Q15" s="1" t="s">
        <v>49</v>
      </c>
      <c r="R15" s="1" t="s">
        <v>51</v>
      </c>
      <c r="S15" s="1">
        <v>809.21</v>
      </c>
      <c r="T15" s="1">
        <v>9.3290000000000006</v>
      </c>
      <c r="U15" s="1">
        <v>21</v>
      </c>
      <c r="V15" s="1" t="s">
        <v>78</v>
      </c>
      <c r="X15" s="8">
        <f t="shared" si="4"/>
        <v>0.52965235173824121</v>
      </c>
      <c r="Y15" s="4">
        <f t="shared" si="1"/>
        <v>0.54616783093996779</v>
      </c>
      <c r="Z15" s="2">
        <f t="shared" si="5"/>
        <v>0.5104699455943823</v>
      </c>
    </row>
    <row r="16" spans="1:26" x14ac:dyDescent="0.3">
      <c r="A16" s="1" t="s">
        <v>79</v>
      </c>
      <c r="B16" s="1" t="s">
        <v>51</v>
      </c>
      <c r="C16" s="1">
        <v>67.435000000000002</v>
      </c>
      <c r="D16" s="1">
        <v>14.45</v>
      </c>
      <c r="E16" s="1">
        <v>0.20599999999999999</v>
      </c>
      <c r="F16" s="1">
        <v>1.3779999999999999</v>
      </c>
      <c r="G16" s="1">
        <v>3.4000000000000002E-2</v>
      </c>
      <c r="H16" s="1">
        <v>0.23100000000000001</v>
      </c>
      <c r="I16" s="1">
        <v>0.69699999999999995</v>
      </c>
      <c r="J16" s="1">
        <v>1.2729999999999999</v>
      </c>
      <c r="K16" s="1">
        <v>0.03</v>
      </c>
      <c r="L16" s="1">
        <v>85.733000000000004</v>
      </c>
      <c r="M16" s="1">
        <v>-11704.8</v>
      </c>
      <c r="N16" s="1">
        <v>-26377</v>
      </c>
      <c r="O16" s="1">
        <v>-25</v>
      </c>
      <c r="P16" s="1" t="s">
        <v>49</v>
      </c>
      <c r="Q16" s="1" t="s">
        <v>49</v>
      </c>
      <c r="R16" s="1" t="s">
        <v>51</v>
      </c>
      <c r="S16" s="1">
        <v>859.79</v>
      </c>
      <c r="T16" s="1">
        <v>9.4139999999999997</v>
      </c>
      <c r="U16" s="1">
        <v>22</v>
      </c>
      <c r="V16" s="1" t="s">
        <v>80</v>
      </c>
      <c r="X16" s="8">
        <f t="shared" si="4"/>
        <v>0.57873210633946837</v>
      </c>
      <c r="Y16" s="4">
        <f t="shared" si="1"/>
        <v>0.58690017177651232</v>
      </c>
      <c r="Z16" s="2">
        <f t="shared" si="5"/>
        <v>0.56867190950379942</v>
      </c>
    </row>
    <row r="17" spans="1:32" x14ac:dyDescent="0.3">
      <c r="A17" s="1" t="s">
        <v>81</v>
      </c>
      <c r="B17" s="1" t="s">
        <v>51</v>
      </c>
      <c r="C17" s="1">
        <v>66.965000000000003</v>
      </c>
      <c r="D17" s="1">
        <v>14.747999999999999</v>
      </c>
      <c r="E17" s="1">
        <v>0.20899999999999999</v>
      </c>
      <c r="F17" s="1">
        <v>1.4890000000000001</v>
      </c>
      <c r="G17" s="1">
        <v>2.7E-2</v>
      </c>
      <c r="H17" s="1">
        <v>0.248</v>
      </c>
      <c r="I17" s="1">
        <v>0.71599999999999997</v>
      </c>
      <c r="J17" s="1">
        <v>1.2749999999999999</v>
      </c>
      <c r="K17" s="1">
        <v>3.5000000000000003E-2</v>
      </c>
      <c r="L17" s="1">
        <v>85.712000000000003</v>
      </c>
      <c r="M17" s="1">
        <v>-11755.4</v>
      </c>
      <c r="N17" s="1">
        <v>-26377</v>
      </c>
      <c r="O17" s="1">
        <v>-25</v>
      </c>
      <c r="P17" s="1" t="s">
        <v>49</v>
      </c>
      <c r="Q17" s="1" t="s">
        <v>49</v>
      </c>
      <c r="R17" s="1" t="s">
        <v>51</v>
      </c>
      <c r="S17" s="1">
        <v>910.36</v>
      </c>
      <c r="T17" s="1">
        <v>9.4209999999999994</v>
      </c>
      <c r="U17" s="1">
        <v>23</v>
      </c>
      <c r="V17" s="1" t="s">
        <v>82</v>
      </c>
      <c r="X17" s="8">
        <f t="shared" si="4"/>
        <v>0.57259713701431492</v>
      </c>
      <c r="Y17" s="4">
        <f t="shared" si="1"/>
        <v>0.58193028776819089</v>
      </c>
      <c r="Z17" s="2">
        <f t="shared" si="5"/>
        <v>0.56119086814375063</v>
      </c>
    </row>
    <row r="18" spans="1:32" ht="16" x14ac:dyDescent="0.4">
      <c r="A18" s="1" t="s">
        <v>83</v>
      </c>
      <c r="B18" s="1" t="s">
        <v>51</v>
      </c>
      <c r="C18" s="1">
        <v>66.837000000000003</v>
      </c>
      <c r="D18" s="1">
        <v>14.532999999999999</v>
      </c>
      <c r="E18" s="1">
        <v>0.193</v>
      </c>
      <c r="F18" s="1">
        <v>1.5</v>
      </c>
      <c r="G18" s="1">
        <v>3.9E-2</v>
      </c>
      <c r="H18" s="1">
        <v>0.23699999999999999</v>
      </c>
      <c r="I18" s="1">
        <v>0.72399999999999998</v>
      </c>
      <c r="J18" s="1">
        <v>1.319</v>
      </c>
      <c r="K18" s="1">
        <v>4.1000000000000002E-2</v>
      </c>
      <c r="L18" s="1">
        <v>85.424000000000007</v>
      </c>
      <c r="M18" s="1">
        <v>-11805.9</v>
      </c>
      <c r="N18" s="1">
        <v>-26377</v>
      </c>
      <c r="O18" s="1">
        <v>-25</v>
      </c>
      <c r="P18" s="1" t="s">
        <v>49</v>
      </c>
      <c r="Q18" s="1" t="s">
        <v>49</v>
      </c>
      <c r="R18" s="1" t="s">
        <v>51</v>
      </c>
      <c r="S18" s="1">
        <v>960.94</v>
      </c>
      <c r="T18" s="1">
        <v>9.3919999999999995</v>
      </c>
      <c r="U18" s="1">
        <v>24</v>
      </c>
      <c r="V18" s="1" t="s">
        <v>84</v>
      </c>
      <c r="X18" s="8">
        <f t="shared" si="4"/>
        <v>0.60531697341513291</v>
      </c>
      <c r="Y18" s="4">
        <f t="shared" si="1"/>
        <v>0.60802847902408863</v>
      </c>
      <c r="Z18" s="2">
        <f t="shared" si="5"/>
        <v>0.6018577649310769</v>
      </c>
      <c r="AB18" s="5" t="s">
        <v>233</v>
      </c>
    </row>
    <row r="19" spans="1:32" x14ac:dyDescent="0.3">
      <c r="A19" s="1" t="s">
        <v>85</v>
      </c>
      <c r="B19" s="1" t="s">
        <v>51</v>
      </c>
      <c r="C19" s="1">
        <v>68.141000000000005</v>
      </c>
      <c r="D19" s="1">
        <v>14.821</v>
      </c>
      <c r="E19" s="1">
        <v>0.155</v>
      </c>
      <c r="F19" s="1">
        <v>1.349</v>
      </c>
      <c r="G19" s="1">
        <v>4.1000000000000002E-2</v>
      </c>
      <c r="H19" s="1">
        <v>0.21199999999999999</v>
      </c>
      <c r="I19" s="1">
        <v>0.72499999999999998</v>
      </c>
      <c r="J19" s="1">
        <v>1.575</v>
      </c>
      <c r="K19" s="1">
        <v>2.1999999999999999E-2</v>
      </c>
      <c r="L19" s="1">
        <v>87.040999999999997</v>
      </c>
      <c r="M19" s="1">
        <v>-11907.1</v>
      </c>
      <c r="N19" s="1">
        <v>-26377</v>
      </c>
      <c r="O19" s="1">
        <v>-22</v>
      </c>
      <c r="P19" s="1" t="s">
        <v>49</v>
      </c>
      <c r="Q19" s="1" t="s">
        <v>49</v>
      </c>
      <c r="R19" s="1" t="s">
        <v>51</v>
      </c>
      <c r="S19" s="1">
        <v>1062.0899999999999</v>
      </c>
      <c r="T19" s="1">
        <v>9.5540000000000003</v>
      </c>
      <c r="U19" s="1">
        <v>26</v>
      </c>
      <c r="V19" s="1" t="s">
        <v>86</v>
      </c>
      <c r="X19" s="8">
        <f t="shared" ref="X19:X33" si="6">1-E19/$E$2</f>
        <v>0.68302658486707568</v>
      </c>
      <c r="Y19" s="4">
        <f t="shared" si="1"/>
        <v>0.6659285269163242</v>
      </c>
      <c r="Z19" s="2">
        <f t="shared" ref="Z19:Z33" si="7">SQRT(GAMMAINV(X19,0.5,1))</f>
        <v>0.70759949291736757</v>
      </c>
      <c r="AB19" s="5" t="s">
        <v>225</v>
      </c>
      <c r="AC19" s="5"/>
      <c r="AD19" s="5">
        <v>6.9999999999999999E-4</v>
      </c>
      <c r="AE19" s="5" t="s">
        <v>26</v>
      </c>
      <c r="AF19" s="5"/>
    </row>
    <row r="20" spans="1:32" x14ac:dyDescent="0.3">
      <c r="A20" s="1" t="s">
        <v>87</v>
      </c>
      <c r="B20" s="1" t="s">
        <v>51</v>
      </c>
      <c r="C20" s="1">
        <v>67.055999999999997</v>
      </c>
      <c r="D20" s="1">
        <v>14.542999999999999</v>
      </c>
      <c r="E20" s="1">
        <v>0.16500000000000001</v>
      </c>
      <c r="F20" s="1">
        <v>1.1000000000000001</v>
      </c>
      <c r="G20" s="1">
        <v>0.04</v>
      </c>
      <c r="H20" s="1">
        <v>0.22500000000000001</v>
      </c>
      <c r="I20" s="1">
        <v>0.68600000000000005</v>
      </c>
      <c r="J20" s="1">
        <v>1.321</v>
      </c>
      <c r="K20" s="1">
        <v>2E-3</v>
      </c>
      <c r="L20" s="1">
        <v>85.138000000000005</v>
      </c>
      <c r="M20" s="1">
        <v>-11957.7</v>
      </c>
      <c r="N20" s="1">
        <v>-26377</v>
      </c>
      <c r="O20" s="1">
        <v>-22</v>
      </c>
      <c r="P20" s="1" t="s">
        <v>49</v>
      </c>
      <c r="Q20" s="1" t="s">
        <v>49</v>
      </c>
      <c r="R20" s="1" t="s">
        <v>51</v>
      </c>
      <c r="S20" s="1">
        <v>1112.67</v>
      </c>
      <c r="T20" s="1">
        <v>9.3309999999999995</v>
      </c>
      <c r="U20" s="1">
        <v>27</v>
      </c>
      <c r="V20" s="1" t="s">
        <v>88</v>
      </c>
      <c r="X20" s="8">
        <f t="shared" si="6"/>
        <v>0.66257668711656437</v>
      </c>
      <c r="Y20" s="4">
        <f t="shared" si="1"/>
        <v>0.65125426926186347</v>
      </c>
      <c r="Z20" s="2">
        <f t="shared" si="7"/>
        <v>0.67830552385383625</v>
      </c>
      <c r="AB20" s="5"/>
      <c r="AC20" s="5"/>
      <c r="AD20" s="5"/>
      <c r="AE20" s="5"/>
      <c r="AF20" s="5"/>
    </row>
    <row r="21" spans="1:32" x14ac:dyDescent="0.3">
      <c r="A21" s="1" t="s">
        <v>89</v>
      </c>
      <c r="B21" s="1" t="s">
        <v>51</v>
      </c>
      <c r="C21" s="1">
        <v>67.748999999999995</v>
      </c>
      <c r="D21" s="1">
        <v>14.625</v>
      </c>
      <c r="E21" s="1">
        <v>9.2999999999999999E-2</v>
      </c>
      <c r="F21" s="1">
        <v>1.349</v>
      </c>
      <c r="G21" s="1">
        <v>4.3999999999999997E-2</v>
      </c>
      <c r="H21" s="1">
        <v>0.23899999999999999</v>
      </c>
      <c r="I21" s="1">
        <v>0.61599999999999999</v>
      </c>
      <c r="J21" s="1">
        <v>1.3440000000000001</v>
      </c>
      <c r="K21" s="1">
        <v>1E-3</v>
      </c>
      <c r="L21" s="1">
        <v>86.061999999999998</v>
      </c>
      <c r="M21" s="1">
        <v>-12008.2</v>
      </c>
      <c r="N21" s="1">
        <v>-26377</v>
      </c>
      <c r="O21" s="1">
        <v>-22</v>
      </c>
      <c r="P21" s="1" t="s">
        <v>49</v>
      </c>
      <c r="Q21" s="1" t="s">
        <v>49</v>
      </c>
      <c r="R21" s="1" t="s">
        <v>51</v>
      </c>
      <c r="S21" s="1">
        <v>1163.24</v>
      </c>
      <c r="T21" s="1">
        <v>9.4390000000000001</v>
      </c>
      <c r="U21" s="1">
        <v>28</v>
      </c>
      <c r="V21" s="1" t="s">
        <v>90</v>
      </c>
      <c r="X21" s="8">
        <f t="shared" si="6"/>
        <v>0.80981595092024539</v>
      </c>
      <c r="Y21" s="4">
        <f t="shared" si="1"/>
        <v>0.7478955068858002</v>
      </c>
      <c r="Z21" s="2">
        <f t="shared" si="7"/>
        <v>0.92633452027860541</v>
      </c>
      <c r="AB21" s="5" t="s">
        <v>27</v>
      </c>
      <c r="AC21" s="5"/>
      <c r="AD21" s="6">
        <f>1/((AD19*10^6)^2*4*0.54167*3600)</f>
        <v>2.6164150868438402E-10</v>
      </c>
      <c r="AE21" s="5"/>
      <c r="AF21" s="5"/>
    </row>
    <row r="22" spans="1:32" x14ac:dyDescent="0.3">
      <c r="A22" s="1" t="s">
        <v>91</v>
      </c>
      <c r="B22" s="1" t="s">
        <v>51</v>
      </c>
      <c r="C22" s="1">
        <v>66.873999999999995</v>
      </c>
      <c r="D22" s="1">
        <v>14.709</v>
      </c>
      <c r="E22" s="1">
        <v>0.11600000000000001</v>
      </c>
      <c r="F22" s="1">
        <v>0.99099999999999999</v>
      </c>
      <c r="G22" s="1">
        <v>4.7E-2</v>
      </c>
      <c r="H22" s="1">
        <v>0.217</v>
      </c>
      <c r="I22" s="1">
        <v>0.624</v>
      </c>
      <c r="J22" s="1">
        <v>1.345</v>
      </c>
      <c r="K22" s="1">
        <v>2.3E-2</v>
      </c>
      <c r="L22" s="1">
        <v>84.944000000000003</v>
      </c>
      <c r="M22" s="1">
        <v>-12109.4</v>
      </c>
      <c r="N22" s="1">
        <v>-26377</v>
      </c>
      <c r="O22" s="1">
        <v>-22</v>
      </c>
      <c r="P22" s="1" t="s">
        <v>49</v>
      </c>
      <c r="Q22" s="1" t="s">
        <v>49</v>
      </c>
      <c r="R22" s="1" t="s">
        <v>51</v>
      </c>
      <c r="S22" s="1">
        <v>1264.4000000000001</v>
      </c>
      <c r="T22" s="1">
        <v>9.2949999999999999</v>
      </c>
      <c r="U22" s="1">
        <v>30</v>
      </c>
      <c r="V22" s="1" t="s">
        <v>92</v>
      </c>
      <c r="X22" s="8">
        <f t="shared" si="6"/>
        <v>0.76278118609406953</v>
      </c>
      <c r="Y22" s="4">
        <f t="shared" si="1"/>
        <v>0.71929434393393044</v>
      </c>
      <c r="Z22" s="2">
        <f t="shared" si="7"/>
        <v>0.83577684735286706</v>
      </c>
      <c r="AB22" s="5"/>
      <c r="AC22" s="5"/>
      <c r="AD22" s="5"/>
      <c r="AE22" s="5"/>
      <c r="AF22" s="5"/>
    </row>
    <row r="23" spans="1:32" x14ac:dyDescent="0.3">
      <c r="A23" s="1" t="s">
        <v>93</v>
      </c>
      <c r="B23" s="1" t="s">
        <v>51</v>
      </c>
      <c r="C23" s="1">
        <v>67.11</v>
      </c>
      <c r="D23" s="1">
        <v>14.15</v>
      </c>
      <c r="E23" s="1">
        <v>8.6999999999999994E-2</v>
      </c>
      <c r="F23" s="1">
        <v>1.1080000000000001</v>
      </c>
      <c r="G23" s="1">
        <v>4.9000000000000002E-2</v>
      </c>
      <c r="H23" s="1">
        <v>0.20200000000000001</v>
      </c>
      <c r="I23" s="1">
        <v>0.70299999999999996</v>
      </c>
      <c r="J23" s="1">
        <v>1.454</v>
      </c>
      <c r="K23" s="1">
        <v>2.5999999999999999E-2</v>
      </c>
      <c r="L23" s="1">
        <v>84.888999999999996</v>
      </c>
      <c r="M23" s="1">
        <v>-12261.1</v>
      </c>
      <c r="N23" s="1">
        <v>-26377</v>
      </c>
      <c r="O23" s="1">
        <v>-22</v>
      </c>
      <c r="P23" s="1" t="s">
        <v>49</v>
      </c>
      <c r="Q23" s="1" t="s">
        <v>49</v>
      </c>
      <c r="R23" s="1" t="s">
        <v>51</v>
      </c>
      <c r="S23" s="1">
        <v>1416.12</v>
      </c>
      <c r="T23" s="1">
        <v>9.3049999999999997</v>
      </c>
      <c r="U23" s="1">
        <v>33</v>
      </c>
      <c r="V23" s="1" t="s">
        <v>94</v>
      </c>
      <c r="X23" s="8">
        <f t="shared" si="6"/>
        <v>0.82208588957055218</v>
      </c>
      <c r="Y23" s="4">
        <f t="shared" si="1"/>
        <v>0.75501020464738389</v>
      </c>
      <c r="Z23" s="2">
        <f t="shared" si="7"/>
        <v>0.95261802754923763</v>
      </c>
      <c r="AB23" s="5" t="s">
        <v>226</v>
      </c>
      <c r="AC23" s="5">
        <v>0.54166999999999998</v>
      </c>
      <c r="AD23" s="5" t="s">
        <v>227</v>
      </c>
      <c r="AE23" s="5"/>
      <c r="AF23" s="5"/>
    </row>
    <row r="24" spans="1:32" x14ac:dyDescent="0.3">
      <c r="A24" s="1" t="s">
        <v>95</v>
      </c>
      <c r="B24" s="1" t="s">
        <v>51</v>
      </c>
      <c r="C24" s="1">
        <v>68.179000000000002</v>
      </c>
      <c r="D24" s="1">
        <v>14.6</v>
      </c>
      <c r="E24" s="1">
        <v>0.112</v>
      </c>
      <c r="F24" s="1">
        <v>1.1659999999999999</v>
      </c>
      <c r="G24" s="1">
        <v>3.7999999999999999E-2</v>
      </c>
      <c r="H24" s="1">
        <v>0.215</v>
      </c>
      <c r="I24" s="1">
        <v>0.67</v>
      </c>
      <c r="J24" s="1">
        <v>1.321</v>
      </c>
      <c r="K24" s="1">
        <v>2.3E-2</v>
      </c>
      <c r="L24" s="1">
        <v>86.323999999999998</v>
      </c>
      <c r="M24" s="1">
        <v>-12311.7</v>
      </c>
      <c r="N24" s="1">
        <v>-26377</v>
      </c>
      <c r="O24" s="1">
        <v>-22</v>
      </c>
      <c r="P24" s="1" t="s">
        <v>49</v>
      </c>
      <c r="Q24" s="1" t="s">
        <v>49</v>
      </c>
      <c r="R24" s="1" t="s">
        <v>51</v>
      </c>
      <c r="S24" s="1">
        <v>1466.7</v>
      </c>
      <c r="T24" s="1">
        <v>9.4600000000000009</v>
      </c>
      <c r="U24" s="1">
        <v>34</v>
      </c>
      <c r="V24" s="1" t="s">
        <v>96</v>
      </c>
      <c r="X24" s="8">
        <f t="shared" si="6"/>
        <v>0.77096114519427406</v>
      </c>
      <c r="Y24" s="4">
        <f t="shared" si="1"/>
        <v>0.72442061745428354</v>
      </c>
      <c r="Z24" s="2">
        <f t="shared" si="7"/>
        <v>0.85053520199556187</v>
      </c>
      <c r="AB24" s="5" t="s">
        <v>28</v>
      </c>
      <c r="AC24" s="7">
        <f>1000/(900+273.15)</f>
        <v>0.85240591569705482</v>
      </c>
      <c r="AD24" s="5"/>
      <c r="AE24" s="5"/>
      <c r="AF24" s="5"/>
    </row>
    <row r="25" spans="1:32" x14ac:dyDescent="0.3">
      <c r="A25" s="1" t="s">
        <v>97</v>
      </c>
      <c r="B25" s="1" t="s">
        <v>51</v>
      </c>
      <c r="C25" s="1">
        <v>67.096000000000004</v>
      </c>
      <c r="D25" s="1">
        <v>14.446999999999999</v>
      </c>
      <c r="E25" s="1">
        <v>0.11700000000000001</v>
      </c>
      <c r="F25" s="1">
        <v>1.0089999999999999</v>
      </c>
      <c r="G25" s="1">
        <v>3.7999999999999999E-2</v>
      </c>
      <c r="H25" s="1">
        <v>0.223</v>
      </c>
      <c r="I25" s="1">
        <v>0.55700000000000005</v>
      </c>
      <c r="J25" s="1">
        <v>1.0580000000000001</v>
      </c>
      <c r="K25" s="1">
        <v>0</v>
      </c>
      <c r="L25" s="1">
        <v>84.543999999999997</v>
      </c>
      <c r="M25" s="1">
        <v>-12463.4</v>
      </c>
      <c r="N25" s="1">
        <v>-26377</v>
      </c>
      <c r="O25" s="1">
        <v>-22</v>
      </c>
      <c r="P25" s="1" t="s">
        <v>49</v>
      </c>
      <c r="Q25" s="1" t="s">
        <v>49</v>
      </c>
      <c r="R25" s="1" t="s">
        <v>51</v>
      </c>
      <c r="S25" s="1">
        <v>1618.43</v>
      </c>
      <c r="T25" s="1">
        <v>9.2469999999999999</v>
      </c>
      <c r="U25" s="1">
        <v>37</v>
      </c>
      <c r="V25" s="1" t="s">
        <v>98</v>
      </c>
      <c r="X25" s="8">
        <f t="shared" si="6"/>
        <v>0.76073619631901845</v>
      </c>
      <c r="Y25" s="4">
        <f t="shared" si="1"/>
        <v>0.71800272195127457</v>
      </c>
      <c r="Z25" s="2">
        <f t="shared" si="7"/>
        <v>0.83214369801540689</v>
      </c>
    </row>
    <row r="26" spans="1:32" x14ac:dyDescent="0.3">
      <c r="A26" s="1" t="s">
        <v>99</v>
      </c>
      <c r="B26" s="1" t="s">
        <v>51</v>
      </c>
      <c r="C26" s="1">
        <v>67.680999999999997</v>
      </c>
      <c r="D26" s="1">
        <v>14.505000000000001</v>
      </c>
      <c r="E26" s="1">
        <v>0.121</v>
      </c>
      <c r="F26" s="1">
        <v>1.1000000000000001</v>
      </c>
      <c r="G26" s="1">
        <v>4.7E-2</v>
      </c>
      <c r="H26" s="1">
        <v>0.214</v>
      </c>
      <c r="I26" s="1">
        <v>0.65500000000000003</v>
      </c>
      <c r="J26" s="1">
        <v>1.2969999999999999</v>
      </c>
      <c r="K26" s="1">
        <v>4.0000000000000001E-3</v>
      </c>
      <c r="L26" s="1">
        <v>85.623999999999995</v>
      </c>
      <c r="M26" s="1">
        <v>-12514</v>
      </c>
      <c r="N26" s="1">
        <v>-26377</v>
      </c>
      <c r="O26" s="1">
        <v>-22</v>
      </c>
      <c r="P26" s="1" t="s">
        <v>49</v>
      </c>
      <c r="Q26" s="1" t="s">
        <v>49</v>
      </c>
      <c r="R26" s="1" t="s">
        <v>51</v>
      </c>
      <c r="S26" s="1">
        <v>1669</v>
      </c>
      <c r="T26" s="1">
        <v>9.3789999999999996</v>
      </c>
      <c r="U26" s="1">
        <v>38</v>
      </c>
      <c r="V26" s="1" t="s">
        <v>100</v>
      </c>
      <c r="X26" s="8">
        <f t="shared" si="6"/>
        <v>0.75255623721881393</v>
      </c>
      <c r="Y26" s="4">
        <f t="shared" si="1"/>
        <v>0.71279596758375818</v>
      </c>
      <c r="Z26" s="2">
        <f t="shared" si="7"/>
        <v>0.81782596676773489</v>
      </c>
    </row>
    <row r="27" spans="1:32" x14ac:dyDescent="0.3">
      <c r="A27" s="1" t="s">
        <v>101</v>
      </c>
      <c r="B27" s="1" t="s">
        <v>51</v>
      </c>
      <c r="C27" s="1">
        <v>66.986000000000004</v>
      </c>
      <c r="D27" s="1">
        <v>14.47</v>
      </c>
      <c r="E27" s="1">
        <v>0.126</v>
      </c>
      <c r="F27" s="1">
        <v>1.077</v>
      </c>
      <c r="G27" s="1">
        <v>4.2000000000000003E-2</v>
      </c>
      <c r="H27" s="1">
        <v>0.218</v>
      </c>
      <c r="I27" s="1">
        <v>0.60399999999999998</v>
      </c>
      <c r="J27" s="1">
        <v>1.028</v>
      </c>
      <c r="K27" s="1">
        <v>3.3000000000000002E-2</v>
      </c>
      <c r="L27" s="1">
        <v>84.584999999999994</v>
      </c>
      <c r="M27" s="1">
        <v>-12564.6</v>
      </c>
      <c r="N27" s="1">
        <v>-26377</v>
      </c>
      <c r="O27" s="1">
        <v>-22</v>
      </c>
      <c r="P27" s="1" t="s">
        <v>49</v>
      </c>
      <c r="Q27" s="1" t="s">
        <v>49</v>
      </c>
      <c r="R27" s="1" t="s">
        <v>51</v>
      </c>
      <c r="S27" s="1">
        <v>1719.58</v>
      </c>
      <c r="T27" s="1">
        <v>9.2609999999999992</v>
      </c>
      <c r="U27" s="1">
        <v>39</v>
      </c>
      <c r="V27" s="1" t="s">
        <v>102</v>
      </c>
      <c r="X27" s="8">
        <f t="shared" si="6"/>
        <v>0.74233128834355822</v>
      </c>
      <c r="Y27" s="4">
        <f t="shared" si="1"/>
        <v>0.70619681144325575</v>
      </c>
      <c r="Z27" s="2">
        <f t="shared" si="7"/>
        <v>0.80038722774604465</v>
      </c>
      <c r="AB27" s="5"/>
      <c r="AD27" s="3"/>
      <c r="AE27" s="5"/>
    </row>
    <row r="28" spans="1:32" x14ac:dyDescent="0.3">
      <c r="A28" s="1" t="s">
        <v>103</v>
      </c>
      <c r="B28" s="1" t="s">
        <v>51</v>
      </c>
      <c r="C28" s="1">
        <v>68.501999999999995</v>
      </c>
      <c r="D28" s="1">
        <v>14.814</v>
      </c>
      <c r="E28" s="1">
        <v>0.109</v>
      </c>
      <c r="F28" s="1">
        <v>1.04</v>
      </c>
      <c r="G28" s="1">
        <v>4.9000000000000002E-2</v>
      </c>
      <c r="H28" s="1">
        <v>0.224</v>
      </c>
      <c r="I28" s="1">
        <v>0.63400000000000001</v>
      </c>
      <c r="J28" s="1">
        <v>1.645</v>
      </c>
      <c r="K28" s="1">
        <v>5.0000000000000001E-3</v>
      </c>
      <c r="L28" s="1">
        <v>87.022000000000006</v>
      </c>
      <c r="M28" s="1">
        <v>-12615.2</v>
      </c>
      <c r="N28" s="1">
        <v>-26377</v>
      </c>
      <c r="O28" s="1">
        <v>-22</v>
      </c>
      <c r="P28" s="1" t="s">
        <v>49</v>
      </c>
      <c r="Q28" s="1" t="s">
        <v>49</v>
      </c>
      <c r="R28" s="1" t="s">
        <v>51</v>
      </c>
      <c r="S28" s="1">
        <v>1770.15</v>
      </c>
      <c r="T28" s="1">
        <v>9.5220000000000002</v>
      </c>
      <c r="U28" s="1">
        <v>40</v>
      </c>
      <c r="V28" s="1" t="s">
        <v>104</v>
      </c>
      <c r="X28" s="8">
        <f t="shared" si="6"/>
        <v>0.77709611451942739</v>
      </c>
      <c r="Y28" s="4">
        <f t="shared" si="1"/>
        <v>0.72822315119246483</v>
      </c>
      <c r="Z28" s="2">
        <f t="shared" si="7"/>
        <v>0.86185196774369066</v>
      </c>
    </row>
    <row r="29" spans="1:32" x14ac:dyDescent="0.3">
      <c r="A29" s="1" t="s">
        <v>105</v>
      </c>
      <c r="B29" s="1" t="s">
        <v>51</v>
      </c>
      <c r="C29" s="1">
        <v>67.537999999999997</v>
      </c>
      <c r="D29" s="1">
        <v>14.335000000000001</v>
      </c>
      <c r="E29" s="1">
        <v>0.13400000000000001</v>
      </c>
      <c r="F29" s="1">
        <v>0.92900000000000005</v>
      </c>
      <c r="G29" s="1">
        <v>2.7E-2</v>
      </c>
      <c r="H29" s="1">
        <v>0.22500000000000001</v>
      </c>
      <c r="I29" s="1">
        <v>0.72699999999999998</v>
      </c>
      <c r="J29" s="1">
        <v>1.319</v>
      </c>
      <c r="K29" s="1">
        <v>2.1999999999999999E-2</v>
      </c>
      <c r="L29" s="1">
        <v>85.254999999999995</v>
      </c>
      <c r="M29" s="1">
        <v>-12716.3</v>
      </c>
      <c r="N29" s="1">
        <v>-26377</v>
      </c>
      <c r="O29" s="1">
        <v>-22</v>
      </c>
      <c r="P29" s="1" t="s">
        <v>49</v>
      </c>
      <c r="Q29" s="1" t="s">
        <v>49</v>
      </c>
      <c r="R29" s="1" t="s">
        <v>51</v>
      </c>
      <c r="S29" s="1">
        <v>1871.3</v>
      </c>
      <c r="T29" s="1">
        <v>9.3360000000000003</v>
      </c>
      <c r="U29" s="1">
        <v>42</v>
      </c>
      <c r="V29" s="1" t="s">
        <v>106</v>
      </c>
      <c r="X29" s="8">
        <f t="shared" si="6"/>
        <v>0.72597137014314927</v>
      </c>
      <c r="Y29" s="4">
        <f t="shared" si="1"/>
        <v>0.69542815069768615</v>
      </c>
      <c r="Z29" s="2">
        <f t="shared" si="7"/>
        <v>0.77345608405887689</v>
      </c>
    </row>
    <row r="30" spans="1:32" ht="16.5" x14ac:dyDescent="0.3">
      <c r="A30" s="1" t="s">
        <v>107</v>
      </c>
      <c r="B30" s="1" t="s">
        <v>51</v>
      </c>
      <c r="C30" s="1">
        <v>64.278000000000006</v>
      </c>
      <c r="D30" s="1">
        <v>13.823</v>
      </c>
      <c r="E30" s="1">
        <v>9.2999999999999999E-2</v>
      </c>
      <c r="F30" s="1">
        <v>1.147</v>
      </c>
      <c r="G30" s="1">
        <v>3.7999999999999999E-2</v>
      </c>
      <c r="H30" s="1">
        <v>0.21199999999999999</v>
      </c>
      <c r="I30" s="1">
        <v>0.63100000000000001</v>
      </c>
      <c r="J30" s="1">
        <v>1.0169999999999999</v>
      </c>
      <c r="K30" s="1">
        <v>2.4E-2</v>
      </c>
      <c r="L30" s="1">
        <v>81.262</v>
      </c>
      <c r="M30" s="1">
        <v>-12817.5</v>
      </c>
      <c r="N30" s="1">
        <v>-26377</v>
      </c>
      <c r="O30" s="1">
        <v>-22</v>
      </c>
      <c r="P30" s="1" t="s">
        <v>49</v>
      </c>
      <c r="Q30" s="1" t="s">
        <v>49</v>
      </c>
      <c r="R30" s="1" t="s">
        <v>51</v>
      </c>
      <c r="S30" s="1">
        <v>1972.46</v>
      </c>
      <c r="T30" s="1">
        <v>8.91</v>
      </c>
      <c r="U30" s="1">
        <v>44</v>
      </c>
      <c r="V30" s="1" t="s">
        <v>108</v>
      </c>
      <c r="X30" s="8">
        <f t="shared" si="6"/>
        <v>0.80981595092024539</v>
      </c>
      <c r="Y30" s="4">
        <f t="shared" si="1"/>
        <v>0.7478955068858002</v>
      </c>
      <c r="Z30" s="2">
        <f t="shared" si="7"/>
        <v>0.92633452027860541</v>
      </c>
      <c r="AB30" s="11" t="s">
        <v>234</v>
      </c>
    </row>
    <row r="31" spans="1:32" x14ac:dyDescent="0.3">
      <c r="A31" s="1" t="s">
        <v>109</v>
      </c>
      <c r="B31" s="1" t="s">
        <v>51</v>
      </c>
      <c r="C31" s="1">
        <v>68.900000000000006</v>
      </c>
      <c r="D31" s="1">
        <v>15.944000000000001</v>
      </c>
      <c r="E31" s="1">
        <v>0.11899999999999999</v>
      </c>
      <c r="F31" s="1">
        <v>1.2909999999999999</v>
      </c>
      <c r="G31" s="1">
        <v>5.2999999999999999E-2</v>
      </c>
      <c r="H31" s="1">
        <v>0.223</v>
      </c>
      <c r="I31" s="1">
        <v>0.629</v>
      </c>
      <c r="J31" s="1">
        <v>1.3380000000000001</v>
      </c>
      <c r="K31" s="1">
        <v>0</v>
      </c>
      <c r="L31" s="1">
        <v>88.497</v>
      </c>
      <c r="M31" s="1">
        <v>-12868</v>
      </c>
      <c r="N31" s="1">
        <v>-26377</v>
      </c>
      <c r="O31" s="1">
        <v>-25</v>
      </c>
      <c r="P31" s="1" t="s">
        <v>49</v>
      </c>
      <c r="Q31" s="1" t="s">
        <v>49</v>
      </c>
      <c r="R31" s="1" t="s">
        <v>51</v>
      </c>
      <c r="S31" s="1">
        <v>2023.03</v>
      </c>
      <c r="T31" s="1">
        <v>9.6969999999999992</v>
      </c>
      <c r="U31" s="1">
        <v>45</v>
      </c>
      <c r="V31" s="1" t="s">
        <v>110</v>
      </c>
      <c r="X31" s="8">
        <f t="shared" si="6"/>
        <v>0.75664621676891619</v>
      </c>
      <c r="Y31" s="4">
        <f t="shared" si="1"/>
        <v>0.71540740130623526</v>
      </c>
      <c r="Z31" s="2">
        <f t="shared" si="7"/>
        <v>0.82494255451578891</v>
      </c>
      <c r="AB31" s="5" t="s">
        <v>225</v>
      </c>
      <c r="AC31" s="5"/>
      <c r="AD31" s="5">
        <v>4.0000000000000002E-4</v>
      </c>
      <c r="AE31" s="5" t="s">
        <v>26</v>
      </c>
      <c r="AF31" s="5"/>
    </row>
    <row r="32" spans="1:32" x14ac:dyDescent="0.3">
      <c r="A32" s="1" t="s">
        <v>111</v>
      </c>
      <c r="B32" s="1" t="s">
        <v>51</v>
      </c>
      <c r="C32" s="1">
        <v>67.265000000000001</v>
      </c>
      <c r="D32" s="1">
        <v>14.256</v>
      </c>
      <c r="E32" s="1">
        <v>9.1999999999999998E-2</v>
      </c>
      <c r="F32" s="1">
        <v>0.92500000000000004</v>
      </c>
      <c r="G32" s="1">
        <v>4.2000000000000003E-2</v>
      </c>
      <c r="H32" s="1">
        <v>0.214</v>
      </c>
      <c r="I32" s="1">
        <v>0.65600000000000003</v>
      </c>
      <c r="J32" s="1">
        <v>1.1279999999999999</v>
      </c>
      <c r="K32" s="1">
        <v>1.4E-2</v>
      </c>
      <c r="L32" s="1">
        <v>84.590999999999994</v>
      </c>
      <c r="M32" s="1">
        <v>-12918.6</v>
      </c>
      <c r="N32" s="1">
        <v>-26377</v>
      </c>
      <c r="O32" s="1">
        <v>-25</v>
      </c>
      <c r="P32" s="1" t="s">
        <v>49</v>
      </c>
      <c r="Q32" s="1" t="s">
        <v>49</v>
      </c>
      <c r="R32" s="1" t="s">
        <v>51</v>
      </c>
      <c r="S32" s="1">
        <v>2073.61</v>
      </c>
      <c r="T32" s="1">
        <v>9.2579999999999991</v>
      </c>
      <c r="U32" s="1">
        <v>46</v>
      </c>
      <c r="V32" s="1" t="s">
        <v>112</v>
      </c>
      <c r="X32" s="8">
        <f t="shared" si="6"/>
        <v>0.81186094069529657</v>
      </c>
      <c r="Y32" s="4">
        <f t="shared" si="1"/>
        <v>0.74909118818967935</v>
      </c>
      <c r="Z32" s="2">
        <f t="shared" si="7"/>
        <v>0.9306262302473064</v>
      </c>
      <c r="AB32" s="5"/>
      <c r="AC32" s="5"/>
      <c r="AD32" s="5"/>
      <c r="AE32" s="5"/>
      <c r="AF32" s="5"/>
    </row>
    <row r="33" spans="1:32" x14ac:dyDescent="0.3">
      <c r="A33" s="1" t="s">
        <v>113</v>
      </c>
      <c r="B33" s="1" t="s">
        <v>51</v>
      </c>
      <c r="C33" s="1">
        <v>67.677999999999997</v>
      </c>
      <c r="D33" s="1">
        <v>14.388999999999999</v>
      </c>
      <c r="E33" s="1">
        <v>0.113</v>
      </c>
      <c r="F33" s="1">
        <v>1.1779999999999999</v>
      </c>
      <c r="G33" s="1">
        <v>4.4999999999999998E-2</v>
      </c>
      <c r="H33" s="1">
        <v>0.224</v>
      </c>
      <c r="I33" s="1">
        <v>0.63400000000000001</v>
      </c>
      <c r="J33" s="1">
        <v>1.2849999999999999</v>
      </c>
      <c r="K33" s="1">
        <v>1.4999999999999999E-2</v>
      </c>
      <c r="L33" s="1">
        <v>85.561999999999998</v>
      </c>
      <c r="M33" s="1">
        <v>-12969.2</v>
      </c>
      <c r="N33" s="1">
        <v>-26377</v>
      </c>
      <c r="O33" s="1">
        <v>-25</v>
      </c>
      <c r="P33" s="1" t="s">
        <v>49</v>
      </c>
      <c r="Q33" s="1" t="s">
        <v>49</v>
      </c>
      <c r="R33" s="1" t="s">
        <v>51</v>
      </c>
      <c r="S33" s="1">
        <v>2124.1799999999998</v>
      </c>
      <c r="T33" s="1">
        <v>9.3759999999999994</v>
      </c>
      <c r="U33" s="1">
        <v>47</v>
      </c>
      <c r="V33" s="1" t="s">
        <v>114</v>
      </c>
      <c r="X33" s="8">
        <f t="shared" si="6"/>
        <v>0.76891615541922287</v>
      </c>
      <c r="Y33" s="4">
        <f t="shared" si="1"/>
        <v>0.72314507752031498</v>
      </c>
      <c r="Z33" s="2">
        <f t="shared" si="7"/>
        <v>0.84681098709691571</v>
      </c>
      <c r="AB33" s="5" t="s">
        <v>27</v>
      </c>
      <c r="AC33" s="5"/>
      <c r="AD33" s="6">
        <f>1/((AD31*10^6)^2*4*0.54167*3600)</f>
        <v>8.0127712034592604E-10</v>
      </c>
      <c r="AE33" s="5"/>
      <c r="AF33" s="5"/>
    </row>
    <row r="34" spans="1:32" x14ac:dyDescent="0.3">
      <c r="A34" s="1" t="s">
        <v>115</v>
      </c>
      <c r="B34" s="1" t="s">
        <v>51</v>
      </c>
      <c r="C34" s="1">
        <v>67.849000000000004</v>
      </c>
      <c r="D34" s="1">
        <v>14.382999999999999</v>
      </c>
      <c r="E34" s="1">
        <v>9.6000000000000002E-2</v>
      </c>
      <c r="F34" s="1">
        <v>1.4239999999999999</v>
      </c>
      <c r="G34" s="1">
        <v>5.3999999999999999E-2</v>
      </c>
      <c r="H34" s="1">
        <v>0.24099999999999999</v>
      </c>
      <c r="I34" s="1">
        <v>0.746</v>
      </c>
      <c r="J34" s="1">
        <v>1.5049999999999999</v>
      </c>
      <c r="K34" s="1">
        <v>2.7E-2</v>
      </c>
      <c r="L34" s="1">
        <v>86.325000000000003</v>
      </c>
      <c r="M34" s="1">
        <v>-13070.3</v>
      </c>
      <c r="N34" s="1">
        <v>-26377</v>
      </c>
      <c r="O34" s="1">
        <v>-25</v>
      </c>
      <c r="P34" s="1" t="s">
        <v>49</v>
      </c>
      <c r="Q34" s="1" t="s">
        <v>49</v>
      </c>
      <c r="R34" s="1" t="s">
        <v>51</v>
      </c>
      <c r="S34" s="1">
        <v>2225.33</v>
      </c>
      <c r="T34" s="1">
        <v>9.4870000000000001</v>
      </c>
      <c r="U34" s="1">
        <v>49</v>
      </c>
      <c r="V34" s="1" t="s">
        <v>116</v>
      </c>
      <c r="X34" s="8">
        <f t="shared" ref="X34:X69" si="8">1-E34/$E$2</f>
        <v>0.80368098159509205</v>
      </c>
      <c r="Y34" s="4">
        <f t="shared" si="1"/>
        <v>0.74428464976326913</v>
      </c>
      <c r="Z34" s="2">
        <f t="shared" ref="Z34:Z69" si="9">SQRT(GAMMAINV(X34,0.5,1))</f>
        <v>0.91365981427788245</v>
      </c>
      <c r="AB34" s="5"/>
      <c r="AC34" s="5"/>
      <c r="AD34" s="5"/>
      <c r="AE34" s="5"/>
      <c r="AF34" s="5"/>
    </row>
    <row r="35" spans="1:32" x14ac:dyDescent="0.3">
      <c r="A35" s="1" t="s">
        <v>117</v>
      </c>
      <c r="B35" s="1" t="s">
        <v>51</v>
      </c>
      <c r="C35" s="1">
        <v>68.111999999999995</v>
      </c>
      <c r="D35" s="1">
        <v>15.099</v>
      </c>
      <c r="E35" s="1">
        <v>9.7000000000000003E-2</v>
      </c>
      <c r="F35" s="1">
        <v>1.1100000000000001</v>
      </c>
      <c r="G35" s="1">
        <v>3.9E-2</v>
      </c>
      <c r="H35" s="1">
        <v>0.223</v>
      </c>
      <c r="I35" s="1">
        <v>0.69</v>
      </c>
      <c r="J35" s="1">
        <v>1.3089999999999999</v>
      </c>
      <c r="K35" s="1">
        <v>1.2E-2</v>
      </c>
      <c r="L35" s="1">
        <v>86.691000000000003</v>
      </c>
      <c r="M35" s="1">
        <v>-13120.9</v>
      </c>
      <c r="N35" s="1">
        <v>-26377</v>
      </c>
      <c r="O35" s="1">
        <v>-25</v>
      </c>
      <c r="P35" s="1" t="s">
        <v>49</v>
      </c>
      <c r="Q35" s="1" t="s">
        <v>49</v>
      </c>
      <c r="R35" s="1" t="s">
        <v>51</v>
      </c>
      <c r="S35" s="1">
        <v>2275.91</v>
      </c>
      <c r="T35" s="1">
        <v>9.4979999999999993</v>
      </c>
      <c r="U35" s="1">
        <v>50</v>
      </c>
      <c r="V35" s="1" t="s">
        <v>118</v>
      </c>
      <c r="X35" s="8">
        <f t="shared" si="8"/>
        <v>0.80163599182004086</v>
      </c>
      <c r="Y35" s="4">
        <f t="shared" si="1"/>
        <v>0.74307308286223017</v>
      </c>
      <c r="Z35" s="2">
        <f t="shared" si="9"/>
        <v>0.90949951471564283</v>
      </c>
      <c r="AB35" s="5" t="s">
        <v>226</v>
      </c>
      <c r="AC35" s="5">
        <v>0.54166999999999998</v>
      </c>
      <c r="AD35" s="5" t="s">
        <v>227</v>
      </c>
      <c r="AE35" s="5"/>
      <c r="AF35" s="5"/>
    </row>
    <row r="36" spans="1:32" x14ac:dyDescent="0.3">
      <c r="A36" s="1" t="s">
        <v>119</v>
      </c>
      <c r="B36" s="1" t="s">
        <v>51</v>
      </c>
      <c r="C36" s="1">
        <v>67.504999999999995</v>
      </c>
      <c r="D36" s="1">
        <v>14.72</v>
      </c>
      <c r="E36" s="1">
        <v>8.4000000000000005E-2</v>
      </c>
      <c r="F36" s="1">
        <v>1.258</v>
      </c>
      <c r="G36" s="1">
        <v>3.2000000000000001E-2</v>
      </c>
      <c r="H36" s="1">
        <v>0.22700000000000001</v>
      </c>
      <c r="I36" s="1">
        <v>0.64600000000000002</v>
      </c>
      <c r="J36" s="1">
        <v>1.286</v>
      </c>
      <c r="K36" s="1">
        <v>7.0000000000000001E-3</v>
      </c>
      <c r="L36" s="1">
        <v>85.765000000000001</v>
      </c>
      <c r="M36" s="1">
        <v>-13171.5</v>
      </c>
      <c r="N36" s="1">
        <v>-26377</v>
      </c>
      <c r="O36" s="1">
        <v>-25</v>
      </c>
      <c r="P36" s="1" t="s">
        <v>49</v>
      </c>
      <c r="Q36" s="1" t="s">
        <v>49</v>
      </c>
      <c r="R36" s="1" t="s">
        <v>51</v>
      </c>
      <c r="S36" s="1">
        <v>2326.4899999999998</v>
      </c>
      <c r="T36" s="1">
        <v>9.4030000000000005</v>
      </c>
      <c r="U36" s="1">
        <v>51</v>
      </c>
      <c r="V36" s="1" t="s">
        <v>120</v>
      </c>
      <c r="X36" s="8">
        <f t="shared" si="8"/>
        <v>0.82822085889570551</v>
      </c>
      <c r="Y36" s="4">
        <f t="shared" si="1"/>
        <v>0.75851422282044156</v>
      </c>
      <c r="Z36" s="2">
        <f t="shared" si="9"/>
        <v>0.96626804391632726</v>
      </c>
      <c r="AB36" s="5"/>
      <c r="AC36" s="7"/>
      <c r="AD36" s="5"/>
      <c r="AE36" s="5"/>
      <c r="AF36" s="5"/>
    </row>
    <row r="37" spans="1:32" x14ac:dyDescent="0.3">
      <c r="A37" s="1" t="s">
        <v>121</v>
      </c>
      <c r="B37" s="1" t="s">
        <v>51</v>
      </c>
      <c r="C37" s="1">
        <v>67.616</v>
      </c>
      <c r="D37" s="1">
        <v>14.260999999999999</v>
      </c>
      <c r="E37" s="1">
        <v>0.13700000000000001</v>
      </c>
      <c r="F37" s="1">
        <v>1.26</v>
      </c>
      <c r="G37" s="1">
        <v>2.9000000000000001E-2</v>
      </c>
      <c r="H37" s="1">
        <v>0.22900000000000001</v>
      </c>
      <c r="I37" s="1">
        <v>0.61899999999999999</v>
      </c>
      <c r="J37" s="1">
        <v>1.33</v>
      </c>
      <c r="K37" s="1">
        <v>8.9999999999999993E-3</v>
      </c>
      <c r="L37" s="1">
        <v>85.489000000000004</v>
      </c>
      <c r="M37" s="1">
        <v>-13222.1</v>
      </c>
      <c r="N37" s="1">
        <v>-26377</v>
      </c>
      <c r="O37" s="1">
        <v>-25</v>
      </c>
      <c r="P37" s="1" t="s">
        <v>49</v>
      </c>
      <c r="Q37" s="1" t="s">
        <v>49</v>
      </c>
      <c r="R37" s="1" t="s">
        <v>51</v>
      </c>
      <c r="S37" s="1">
        <v>2377.06</v>
      </c>
      <c r="T37" s="1">
        <v>9.3710000000000004</v>
      </c>
      <c r="U37" s="1">
        <v>52</v>
      </c>
      <c r="V37" s="1" t="s">
        <v>122</v>
      </c>
      <c r="X37" s="8">
        <f t="shared" si="8"/>
        <v>0.71983640081799583</v>
      </c>
      <c r="Y37" s="4">
        <f t="shared" si="1"/>
        <v>0.69132318482255894</v>
      </c>
      <c r="Z37" s="2">
        <f t="shared" si="9"/>
        <v>0.76364131314486694</v>
      </c>
    </row>
    <row r="38" spans="1:32" x14ac:dyDescent="0.3">
      <c r="A38" s="1" t="s">
        <v>123</v>
      </c>
      <c r="B38" s="1" t="s">
        <v>51</v>
      </c>
      <c r="C38" s="1">
        <v>67.406999999999996</v>
      </c>
      <c r="D38" s="1">
        <v>14.474</v>
      </c>
      <c r="E38" s="1">
        <v>0.106</v>
      </c>
      <c r="F38" s="1">
        <v>1.3520000000000001</v>
      </c>
      <c r="G38" s="1">
        <v>3.9E-2</v>
      </c>
      <c r="H38" s="1">
        <v>0.218</v>
      </c>
      <c r="I38" s="1">
        <v>0.56100000000000005</v>
      </c>
      <c r="J38" s="1">
        <v>1.286</v>
      </c>
      <c r="K38" s="1">
        <v>4.0000000000000001E-3</v>
      </c>
      <c r="L38" s="1">
        <v>85.445999999999998</v>
      </c>
      <c r="M38" s="1">
        <v>-13272.6</v>
      </c>
      <c r="N38" s="1">
        <v>-26377</v>
      </c>
      <c r="O38" s="1">
        <v>-25</v>
      </c>
      <c r="P38" s="1" t="s">
        <v>49</v>
      </c>
      <c r="Q38" s="1" t="s">
        <v>49</v>
      </c>
      <c r="R38" s="1" t="s">
        <v>51</v>
      </c>
      <c r="S38" s="1">
        <v>2427.64</v>
      </c>
      <c r="T38" s="1">
        <v>9.3650000000000002</v>
      </c>
      <c r="U38" s="1">
        <v>53</v>
      </c>
      <c r="V38" s="1" t="s">
        <v>124</v>
      </c>
      <c r="X38" s="8">
        <f t="shared" si="8"/>
        <v>0.78323108384458084</v>
      </c>
      <c r="Y38" s="4">
        <f t="shared" si="1"/>
        <v>0.73198960059975082</v>
      </c>
      <c r="Z38" s="2">
        <f t="shared" si="9"/>
        <v>0.87339390113038118</v>
      </c>
    </row>
    <row r="39" spans="1:32" x14ac:dyDescent="0.3">
      <c r="A39" s="1" t="s">
        <v>125</v>
      </c>
      <c r="B39" s="1" t="s">
        <v>51</v>
      </c>
      <c r="C39" s="1">
        <v>66.296000000000006</v>
      </c>
      <c r="D39" s="1">
        <v>14.327999999999999</v>
      </c>
      <c r="E39" s="1">
        <v>7.8E-2</v>
      </c>
      <c r="F39" s="1">
        <v>1.6379999999999999</v>
      </c>
      <c r="G39" s="1">
        <v>4.1000000000000002E-2</v>
      </c>
      <c r="H39" s="1">
        <v>0.23400000000000001</v>
      </c>
      <c r="I39" s="1">
        <v>0.55800000000000005</v>
      </c>
      <c r="J39" s="1">
        <v>1.4810000000000001</v>
      </c>
      <c r="K39" s="1">
        <v>7.0000000000000001E-3</v>
      </c>
      <c r="L39" s="1">
        <v>84.661000000000001</v>
      </c>
      <c r="M39" s="1">
        <v>-13323.2</v>
      </c>
      <c r="N39" s="1">
        <v>-26377</v>
      </c>
      <c r="O39" s="1">
        <v>-25</v>
      </c>
      <c r="P39" s="1" t="s">
        <v>49</v>
      </c>
      <c r="Q39" s="1" t="s">
        <v>49</v>
      </c>
      <c r="R39" s="1" t="s">
        <v>51</v>
      </c>
      <c r="S39" s="1">
        <v>2478.21</v>
      </c>
      <c r="T39" s="1">
        <v>9.298</v>
      </c>
      <c r="U39" s="1">
        <v>54</v>
      </c>
      <c r="V39" s="1" t="s">
        <v>126</v>
      </c>
      <c r="X39" s="8">
        <f t="shared" si="8"/>
        <v>0.8404907975460123</v>
      </c>
      <c r="Y39" s="4">
        <f t="shared" si="1"/>
        <v>0.76541607474101725</v>
      </c>
      <c r="Z39" s="2">
        <f t="shared" si="9"/>
        <v>0.99470418396680638</v>
      </c>
    </row>
    <row r="40" spans="1:32" x14ac:dyDescent="0.3">
      <c r="A40" s="1" t="s">
        <v>127</v>
      </c>
      <c r="B40" s="1" t="s">
        <v>51</v>
      </c>
      <c r="C40" s="1">
        <v>67.352000000000004</v>
      </c>
      <c r="D40" s="1">
        <v>14.433</v>
      </c>
      <c r="E40" s="1">
        <v>8.3000000000000004E-2</v>
      </c>
      <c r="F40" s="1">
        <v>1.2509999999999999</v>
      </c>
      <c r="G40" s="1">
        <v>3.6999999999999998E-2</v>
      </c>
      <c r="H40" s="1">
        <v>0.20499999999999999</v>
      </c>
      <c r="I40" s="1">
        <v>0.56499999999999995</v>
      </c>
      <c r="J40" s="1">
        <v>1.1759999999999999</v>
      </c>
      <c r="K40" s="1">
        <v>0</v>
      </c>
      <c r="L40" s="1">
        <v>85.100999999999999</v>
      </c>
      <c r="M40" s="1">
        <v>-13373.8</v>
      </c>
      <c r="N40" s="1">
        <v>-26377</v>
      </c>
      <c r="O40" s="1">
        <v>-27</v>
      </c>
      <c r="P40" s="1" t="s">
        <v>49</v>
      </c>
      <c r="Q40" s="1" t="s">
        <v>49</v>
      </c>
      <c r="R40" s="1" t="s">
        <v>51</v>
      </c>
      <c r="S40" s="1">
        <v>2528.79</v>
      </c>
      <c r="T40" s="1">
        <v>9.3219999999999992</v>
      </c>
      <c r="U40" s="1">
        <v>55</v>
      </c>
      <c r="V40" s="1" t="s">
        <v>128</v>
      </c>
      <c r="X40" s="8">
        <f t="shared" si="8"/>
        <v>0.83026584867075659</v>
      </c>
      <c r="Y40" s="4">
        <f t="shared" si="1"/>
        <v>0.75967435113863924</v>
      </c>
      <c r="Z40" s="2">
        <f t="shared" si="9"/>
        <v>0.97089899851357098</v>
      </c>
    </row>
    <row r="41" spans="1:32" x14ac:dyDescent="0.3">
      <c r="A41" s="1" t="s">
        <v>129</v>
      </c>
      <c r="B41" s="1" t="s">
        <v>51</v>
      </c>
      <c r="C41" s="1">
        <v>65.819000000000003</v>
      </c>
      <c r="D41" s="1">
        <v>16.677</v>
      </c>
      <c r="E41" s="1">
        <v>0.27500000000000002</v>
      </c>
      <c r="F41" s="1">
        <v>1.125</v>
      </c>
      <c r="G41" s="1">
        <v>4.4999999999999998E-2</v>
      </c>
      <c r="H41" s="1">
        <v>0.23499999999999999</v>
      </c>
      <c r="I41" s="1">
        <v>0.83299999999999996</v>
      </c>
      <c r="J41" s="1">
        <v>1.1919999999999999</v>
      </c>
      <c r="K41" s="1">
        <v>0</v>
      </c>
      <c r="L41" s="1">
        <v>86.201999999999998</v>
      </c>
      <c r="M41" s="1">
        <v>-13424.4</v>
      </c>
      <c r="N41" s="1">
        <v>-26377</v>
      </c>
      <c r="O41" s="1">
        <v>-27</v>
      </c>
      <c r="P41" s="1" t="s">
        <v>49</v>
      </c>
      <c r="Q41" s="1" t="s">
        <v>49</v>
      </c>
      <c r="R41" s="1" t="s">
        <v>51</v>
      </c>
      <c r="S41" s="1">
        <v>2579.37</v>
      </c>
      <c r="T41" s="1">
        <v>9.4619999999999997</v>
      </c>
      <c r="U41" s="1">
        <v>56</v>
      </c>
      <c r="V41" s="1" t="s">
        <v>130</v>
      </c>
      <c r="X41" s="8">
        <f t="shared" si="8"/>
        <v>0.43762781186094069</v>
      </c>
      <c r="Y41" s="4">
        <f t="shared" si="1"/>
        <v>0.4640172257382017</v>
      </c>
      <c r="Z41" s="2">
        <f t="shared" si="9"/>
        <v>0.4096422374936548</v>
      </c>
    </row>
    <row r="42" spans="1:32" x14ac:dyDescent="0.3">
      <c r="A42" s="1" t="s">
        <v>131</v>
      </c>
      <c r="B42" s="1" t="s">
        <v>51</v>
      </c>
      <c r="C42" s="1">
        <v>67.352000000000004</v>
      </c>
      <c r="D42" s="1">
        <v>15.16</v>
      </c>
      <c r="E42" s="1">
        <v>0.122</v>
      </c>
      <c r="F42" s="1">
        <v>1.036</v>
      </c>
      <c r="G42" s="1">
        <v>3.6999999999999998E-2</v>
      </c>
      <c r="H42" s="1">
        <v>0.214</v>
      </c>
      <c r="I42" s="1">
        <v>0.57699999999999996</v>
      </c>
      <c r="J42" s="1">
        <v>1.351</v>
      </c>
      <c r="K42" s="1">
        <v>0.02</v>
      </c>
      <c r="L42" s="1">
        <v>85.867999999999995</v>
      </c>
      <c r="M42" s="1">
        <v>-13474.9</v>
      </c>
      <c r="N42" s="1">
        <v>-26377</v>
      </c>
      <c r="O42" s="1">
        <v>-27</v>
      </c>
      <c r="P42" s="1" t="s">
        <v>49</v>
      </c>
      <c r="Q42" s="1" t="s">
        <v>49</v>
      </c>
      <c r="R42" s="1" t="s">
        <v>51</v>
      </c>
      <c r="S42" s="1">
        <v>2629.94</v>
      </c>
      <c r="T42" s="1">
        <v>9.391</v>
      </c>
      <c r="U42" s="1">
        <v>57</v>
      </c>
      <c r="V42" s="1" t="s">
        <v>132</v>
      </c>
      <c r="X42" s="8">
        <f t="shared" si="8"/>
        <v>0.75051124744376274</v>
      </c>
      <c r="Y42" s="4">
        <f t="shared" si="1"/>
        <v>0.71148420448867256</v>
      </c>
      <c r="Z42" s="2">
        <f t="shared" si="9"/>
        <v>0.81429854293705839</v>
      </c>
    </row>
    <row r="43" spans="1:32" x14ac:dyDescent="0.3">
      <c r="A43" s="1" t="s">
        <v>133</v>
      </c>
      <c r="B43" s="1" t="s">
        <v>51</v>
      </c>
      <c r="C43" s="1">
        <v>67.486000000000004</v>
      </c>
      <c r="D43" s="1">
        <v>14.641999999999999</v>
      </c>
      <c r="E43" s="1">
        <v>8.6999999999999994E-2</v>
      </c>
      <c r="F43" s="1">
        <v>1.0640000000000001</v>
      </c>
      <c r="G43" s="1">
        <v>0.04</v>
      </c>
      <c r="H43" s="1">
        <v>0.221</v>
      </c>
      <c r="I43" s="1">
        <v>0.56499999999999995</v>
      </c>
      <c r="J43" s="1">
        <v>1.2050000000000001</v>
      </c>
      <c r="K43" s="1">
        <v>1.0999999999999999E-2</v>
      </c>
      <c r="L43" s="1">
        <v>85.32</v>
      </c>
      <c r="M43" s="1">
        <v>-13525.5</v>
      </c>
      <c r="N43" s="1">
        <v>-26377</v>
      </c>
      <c r="O43" s="1">
        <v>-27</v>
      </c>
      <c r="P43" s="1" t="s">
        <v>49</v>
      </c>
      <c r="Q43" s="1" t="s">
        <v>49</v>
      </c>
      <c r="R43" s="1" t="s">
        <v>51</v>
      </c>
      <c r="S43" s="1">
        <v>2680.52</v>
      </c>
      <c r="T43" s="1">
        <v>9.3339999999999996</v>
      </c>
      <c r="U43" s="1">
        <v>58</v>
      </c>
      <c r="V43" s="1" t="s">
        <v>134</v>
      </c>
      <c r="X43" s="8">
        <f t="shared" si="8"/>
        <v>0.82208588957055218</v>
      </c>
      <c r="Y43" s="4">
        <f t="shared" si="1"/>
        <v>0.75501020464738389</v>
      </c>
      <c r="Z43" s="2">
        <f t="shared" si="9"/>
        <v>0.95261802754923763</v>
      </c>
    </row>
    <row r="44" spans="1:32" x14ac:dyDescent="0.3">
      <c r="A44" s="1" t="s">
        <v>135</v>
      </c>
      <c r="B44" s="1" t="s">
        <v>51</v>
      </c>
      <c r="C44" s="1">
        <v>67.787000000000006</v>
      </c>
      <c r="D44" s="1">
        <v>14.547000000000001</v>
      </c>
      <c r="E44" s="1">
        <v>9.8000000000000004E-2</v>
      </c>
      <c r="F44" s="1">
        <v>1.3</v>
      </c>
      <c r="G44" s="1">
        <v>5.0999999999999997E-2</v>
      </c>
      <c r="H44" s="1">
        <v>0.23599999999999999</v>
      </c>
      <c r="I44" s="1">
        <v>0.58899999999999997</v>
      </c>
      <c r="J44" s="1">
        <v>1.2889999999999999</v>
      </c>
      <c r="K44" s="1">
        <v>0</v>
      </c>
      <c r="L44" s="1">
        <v>85.896000000000001</v>
      </c>
      <c r="M44" s="1">
        <v>-13576.1</v>
      </c>
      <c r="N44" s="1">
        <v>-26377</v>
      </c>
      <c r="O44" s="1">
        <v>-27</v>
      </c>
      <c r="P44" s="1" t="s">
        <v>49</v>
      </c>
      <c r="Q44" s="1" t="s">
        <v>49</v>
      </c>
      <c r="R44" s="1" t="s">
        <v>51</v>
      </c>
      <c r="S44" s="1">
        <v>2731.09</v>
      </c>
      <c r="T44" s="1">
        <v>9.4149999999999991</v>
      </c>
      <c r="U44" s="1">
        <v>59</v>
      </c>
      <c r="V44" s="1" t="s">
        <v>136</v>
      </c>
      <c r="X44" s="8">
        <f t="shared" si="8"/>
        <v>0.79959100204498978</v>
      </c>
      <c r="Y44" s="4">
        <f t="shared" si="1"/>
        <v>0.74185753711096791</v>
      </c>
      <c r="Z44" s="2">
        <f t="shared" si="9"/>
        <v>0.90537046250628583</v>
      </c>
    </row>
    <row r="45" spans="1:32" x14ac:dyDescent="0.3">
      <c r="A45" s="1" t="s">
        <v>137</v>
      </c>
      <c r="B45" s="1" t="s">
        <v>51</v>
      </c>
      <c r="C45" s="1">
        <v>67.712000000000003</v>
      </c>
      <c r="D45" s="1">
        <v>14.273999999999999</v>
      </c>
      <c r="E45" s="1">
        <v>7.8E-2</v>
      </c>
      <c r="F45" s="1">
        <v>0.94099999999999995</v>
      </c>
      <c r="G45" s="1">
        <v>5.2999999999999999E-2</v>
      </c>
      <c r="H45" s="1">
        <v>0.23899999999999999</v>
      </c>
      <c r="I45" s="1">
        <v>0.502</v>
      </c>
      <c r="J45" s="1">
        <v>1.123</v>
      </c>
      <c r="K45" s="1">
        <v>7.0000000000000001E-3</v>
      </c>
      <c r="L45" s="1">
        <v>84.927999999999997</v>
      </c>
      <c r="M45" s="1">
        <v>-13626.7</v>
      </c>
      <c r="N45" s="1">
        <v>-26377</v>
      </c>
      <c r="O45" s="1">
        <v>-27</v>
      </c>
      <c r="P45" s="1" t="s">
        <v>49</v>
      </c>
      <c r="Q45" s="1" t="s">
        <v>49</v>
      </c>
      <c r="R45" s="1" t="s">
        <v>51</v>
      </c>
      <c r="S45" s="1">
        <v>2781.67</v>
      </c>
      <c r="T45" s="1">
        <v>9.2799999999999994</v>
      </c>
      <c r="U45" s="1">
        <v>60</v>
      </c>
      <c r="V45" s="1" t="s">
        <v>138</v>
      </c>
      <c r="X45" s="8">
        <f t="shared" si="8"/>
        <v>0.8404907975460123</v>
      </c>
      <c r="Y45" s="4">
        <f t="shared" si="1"/>
        <v>0.76541607474101725</v>
      </c>
      <c r="Z45" s="2">
        <f t="shared" si="9"/>
        <v>0.99470418396680638</v>
      </c>
    </row>
    <row r="46" spans="1:32" x14ac:dyDescent="0.3">
      <c r="A46" s="1" t="s">
        <v>139</v>
      </c>
      <c r="B46" s="1" t="s">
        <v>51</v>
      </c>
      <c r="C46" s="1">
        <v>67.052999999999997</v>
      </c>
      <c r="D46" s="1">
        <v>14.747</v>
      </c>
      <c r="E46" s="1">
        <v>0.105</v>
      </c>
      <c r="F46" s="1">
        <v>1.294</v>
      </c>
      <c r="G46" s="1">
        <v>4.2000000000000003E-2</v>
      </c>
      <c r="H46" s="1">
        <v>0.217</v>
      </c>
      <c r="I46" s="1">
        <v>0.56899999999999995</v>
      </c>
      <c r="J46" s="1">
        <v>1.3240000000000001</v>
      </c>
      <c r="K46" s="1">
        <v>4.0000000000000001E-3</v>
      </c>
      <c r="L46" s="1">
        <v>85.353999999999999</v>
      </c>
      <c r="M46" s="1">
        <v>-13677.2</v>
      </c>
      <c r="N46" s="1">
        <v>-26377</v>
      </c>
      <c r="O46" s="1">
        <v>-27</v>
      </c>
      <c r="P46" s="1" t="s">
        <v>49</v>
      </c>
      <c r="Q46" s="1" t="s">
        <v>49</v>
      </c>
      <c r="R46" s="1" t="s">
        <v>51</v>
      </c>
      <c r="S46" s="1">
        <v>2832.24</v>
      </c>
      <c r="T46" s="1">
        <v>9.3520000000000003</v>
      </c>
      <c r="U46" s="1">
        <v>61</v>
      </c>
      <c r="V46" s="1" t="s">
        <v>140</v>
      </c>
      <c r="X46" s="8">
        <f t="shared" si="8"/>
        <v>0.78527607361963192</v>
      </c>
      <c r="Y46" s="4">
        <f t="shared" si="1"/>
        <v>0.733237075503967</v>
      </c>
      <c r="Z46" s="2">
        <f t="shared" si="9"/>
        <v>0.87729335435233102</v>
      </c>
    </row>
    <row r="47" spans="1:32" x14ac:dyDescent="0.3">
      <c r="A47" s="1" t="s">
        <v>141</v>
      </c>
      <c r="B47" s="1" t="s">
        <v>51</v>
      </c>
      <c r="C47" s="1">
        <v>67.509</v>
      </c>
      <c r="D47" s="1">
        <v>14.58</v>
      </c>
      <c r="E47" s="1">
        <v>0.11899999999999999</v>
      </c>
      <c r="F47" s="1">
        <v>1.1890000000000001</v>
      </c>
      <c r="G47" s="1">
        <v>4.8000000000000001E-2</v>
      </c>
      <c r="H47" s="1">
        <v>0.221</v>
      </c>
      <c r="I47" s="1">
        <v>0.57499999999999996</v>
      </c>
      <c r="J47" s="1">
        <v>1.25</v>
      </c>
      <c r="K47" s="1">
        <v>2.4E-2</v>
      </c>
      <c r="L47" s="1">
        <v>85.515000000000001</v>
      </c>
      <c r="M47" s="1">
        <v>-13727.8</v>
      </c>
      <c r="N47" s="1">
        <v>-26377</v>
      </c>
      <c r="O47" s="1">
        <v>-27</v>
      </c>
      <c r="P47" s="1" t="s">
        <v>49</v>
      </c>
      <c r="Q47" s="1" t="s">
        <v>49</v>
      </c>
      <c r="R47" s="1" t="s">
        <v>51</v>
      </c>
      <c r="S47" s="1">
        <v>2882.82</v>
      </c>
      <c r="T47" s="1">
        <v>9.3650000000000002</v>
      </c>
      <c r="U47" s="1">
        <v>62</v>
      </c>
      <c r="V47" s="1" t="s">
        <v>142</v>
      </c>
      <c r="X47" s="8">
        <f t="shared" si="8"/>
        <v>0.75664621676891619</v>
      </c>
      <c r="Y47" s="4">
        <f t="shared" si="1"/>
        <v>0.71540740130623526</v>
      </c>
      <c r="Z47" s="2">
        <f t="shared" si="9"/>
        <v>0.82494255451578891</v>
      </c>
    </row>
    <row r="48" spans="1:32" x14ac:dyDescent="0.3">
      <c r="A48" s="1" t="s">
        <v>143</v>
      </c>
      <c r="B48" s="1" t="s">
        <v>51</v>
      </c>
      <c r="C48" s="1">
        <v>68.475999999999999</v>
      </c>
      <c r="D48" s="1">
        <v>14.984999999999999</v>
      </c>
      <c r="E48" s="1">
        <v>4.5999999999999999E-2</v>
      </c>
      <c r="F48" s="1">
        <v>1.1919999999999999</v>
      </c>
      <c r="G48" s="1">
        <v>0.04</v>
      </c>
      <c r="H48" s="1">
        <v>0.23300000000000001</v>
      </c>
      <c r="I48" s="1">
        <v>0.60699999999999998</v>
      </c>
      <c r="J48" s="1">
        <v>1.5249999999999999</v>
      </c>
      <c r="K48" s="1">
        <v>1.4999999999999999E-2</v>
      </c>
      <c r="L48" s="1">
        <v>87.12</v>
      </c>
      <c r="M48" s="1">
        <v>-13778.4</v>
      </c>
      <c r="N48" s="1">
        <v>-26377</v>
      </c>
      <c r="O48" s="1">
        <v>-27</v>
      </c>
      <c r="P48" s="1" t="s">
        <v>49</v>
      </c>
      <c r="Q48" s="1" t="s">
        <v>49</v>
      </c>
      <c r="R48" s="1" t="s">
        <v>51</v>
      </c>
      <c r="S48" s="1">
        <v>2933.4</v>
      </c>
      <c r="T48" s="1">
        <v>9.5399999999999991</v>
      </c>
      <c r="U48" s="1">
        <v>63</v>
      </c>
      <c r="V48" s="1" t="s">
        <v>144</v>
      </c>
      <c r="X48" s="8">
        <f t="shared" si="8"/>
        <v>0.90593047034764829</v>
      </c>
      <c r="Y48" s="4">
        <f t="shared" si="1"/>
        <v>0.79986925490623295</v>
      </c>
      <c r="Z48" s="2">
        <f t="shared" si="9"/>
        <v>1.183916532742129</v>
      </c>
    </row>
    <row r="49" spans="1:26" x14ac:dyDescent="0.3">
      <c r="A49" s="1" t="s">
        <v>145</v>
      </c>
      <c r="B49" s="1" t="s">
        <v>51</v>
      </c>
      <c r="C49" s="1">
        <v>61.604999999999997</v>
      </c>
      <c r="D49" s="1">
        <v>21.995000000000001</v>
      </c>
      <c r="E49" s="1">
        <v>0.23400000000000001</v>
      </c>
      <c r="F49" s="1">
        <v>0.89600000000000002</v>
      </c>
      <c r="G49" s="1">
        <v>2.4E-2</v>
      </c>
      <c r="H49" s="1">
        <v>0.26700000000000002</v>
      </c>
      <c r="I49" s="1">
        <v>0.60299999999999998</v>
      </c>
      <c r="J49" s="1">
        <v>1.3879999999999999</v>
      </c>
      <c r="K49" s="1">
        <v>3.2000000000000001E-2</v>
      </c>
      <c r="L49" s="1">
        <v>87.043999999999997</v>
      </c>
      <c r="M49" s="1">
        <v>-13829</v>
      </c>
      <c r="N49" s="1">
        <v>-26377</v>
      </c>
      <c r="O49" s="1">
        <v>-27</v>
      </c>
      <c r="P49" s="1" t="s">
        <v>49</v>
      </c>
      <c r="Q49" s="1" t="s">
        <v>49</v>
      </c>
      <c r="R49" s="1" t="s">
        <v>51</v>
      </c>
      <c r="S49" s="1">
        <v>2983.97</v>
      </c>
      <c r="T49" s="1">
        <v>9.5039999999999996</v>
      </c>
      <c r="U49" s="1">
        <v>64</v>
      </c>
      <c r="V49" s="1" t="s">
        <v>146</v>
      </c>
      <c r="X49" s="8">
        <f t="shared" si="8"/>
        <v>0.5214723926380368</v>
      </c>
      <c r="Y49" s="4">
        <f t="shared" si="1"/>
        <v>0.53916544397750155</v>
      </c>
      <c r="Z49" s="2">
        <f t="shared" si="9"/>
        <v>0.5011072747295926</v>
      </c>
    </row>
    <row r="50" spans="1:26" x14ac:dyDescent="0.3">
      <c r="A50" s="1" t="s">
        <v>147</v>
      </c>
      <c r="B50" s="1" t="s">
        <v>51</v>
      </c>
      <c r="C50" s="1">
        <v>67.484999999999999</v>
      </c>
      <c r="D50" s="1">
        <v>14.492000000000001</v>
      </c>
      <c r="E50" s="1">
        <v>5.2999999999999999E-2</v>
      </c>
      <c r="F50" s="1">
        <v>1.331</v>
      </c>
      <c r="G50" s="1">
        <v>4.2000000000000003E-2</v>
      </c>
      <c r="H50" s="1">
        <v>0.24099999999999999</v>
      </c>
      <c r="I50" s="1">
        <v>0.58099999999999996</v>
      </c>
      <c r="J50" s="1">
        <v>1.323</v>
      </c>
      <c r="K50" s="1">
        <v>1.4E-2</v>
      </c>
      <c r="L50" s="1">
        <v>85.56</v>
      </c>
      <c r="M50" s="1">
        <v>-13879.5</v>
      </c>
      <c r="N50" s="1">
        <v>-26377</v>
      </c>
      <c r="O50" s="1">
        <v>-26</v>
      </c>
      <c r="P50" s="1" t="s">
        <v>49</v>
      </c>
      <c r="Q50" s="1" t="s">
        <v>49</v>
      </c>
      <c r="R50" s="1" t="s">
        <v>51</v>
      </c>
      <c r="S50" s="1">
        <v>3034.55</v>
      </c>
      <c r="T50" s="1">
        <v>9.3800000000000008</v>
      </c>
      <c r="U50" s="1">
        <v>65</v>
      </c>
      <c r="V50" s="1" t="s">
        <v>148</v>
      </c>
      <c r="X50" s="8">
        <f t="shared" si="8"/>
        <v>0.89161554192229042</v>
      </c>
      <c r="Y50" s="4">
        <f t="shared" si="1"/>
        <v>0.7926676581636517</v>
      </c>
      <c r="Z50" s="2">
        <f t="shared" si="9"/>
        <v>1.135257863439866</v>
      </c>
    </row>
    <row r="51" spans="1:26" x14ac:dyDescent="0.3">
      <c r="A51" s="1" t="s">
        <v>149</v>
      </c>
      <c r="B51" s="1" t="s">
        <v>51</v>
      </c>
      <c r="C51" s="1">
        <v>67.632999999999996</v>
      </c>
      <c r="D51" s="1">
        <v>14.175000000000001</v>
      </c>
      <c r="E51" s="1">
        <v>7.8E-2</v>
      </c>
      <c r="F51" s="1">
        <v>0.98799999999999999</v>
      </c>
      <c r="G51" s="1">
        <v>4.3999999999999997E-2</v>
      </c>
      <c r="H51" s="1">
        <v>0.20799999999999999</v>
      </c>
      <c r="I51" s="1">
        <v>0.52500000000000002</v>
      </c>
      <c r="J51" s="1">
        <v>1.3029999999999999</v>
      </c>
      <c r="K51" s="1">
        <v>1.7999999999999999E-2</v>
      </c>
      <c r="L51" s="1">
        <v>84.971999999999994</v>
      </c>
      <c r="M51" s="1">
        <v>-13930.1</v>
      </c>
      <c r="N51" s="1">
        <v>-26377</v>
      </c>
      <c r="O51" s="1">
        <v>-26</v>
      </c>
      <c r="P51" s="1" t="s">
        <v>49</v>
      </c>
      <c r="Q51" s="1" t="s">
        <v>49</v>
      </c>
      <c r="R51" s="1" t="s">
        <v>51</v>
      </c>
      <c r="S51" s="1">
        <v>3085.12</v>
      </c>
      <c r="T51" s="1">
        <v>9.2870000000000008</v>
      </c>
      <c r="U51" s="1">
        <v>66</v>
      </c>
      <c r="V51" s="1" t="s">
        <v>150</v>
      </c>
      <c r="X51" s="8">
        <f t="shared" si="8"/>
        <v>0.8404907975460123</v>
      </c>
      <c r="Y51" s="4">
        <f t="shared" si="1"/>
        <v>0.76541607474101725</v>
      </c>
      <c r="Z51" s="2">
        <f t="shared" si="9"/>
        <v>0.99470418396680638</v>
      </c>
    </row>
    <row r="52" spans="1:26" x14ac:dyDescent="0.3">
      <c r="A52" s="1" t="s">
        <v>151</v>
      </c>
      <c r="B52" s="1" t="s">
        <v>51</v>
      </c>
      <c r="C52" s="1">
        <v>67.983000000000004</v>
      </c>
      <c r="D52" s="1">
        <v>14.526</v>
      </c>
      <c r="E52" s="1">
        <v>5.2999999999999999E-2</v>
      </c>
      <c r="F52" s="1">
        <v>1.109</v>
      </c>
      <c r="G52" s="1">
        <v>5.0999999999999997E-2</v>
      </c>
      <c r="H52" s="1">
        <v>0.20799999999999999</v>
      </c>
      <c r="I52" s="1">
        <v>0.499</v>
      </c>
      <c r="J52" s="1">
        <v>1.343</v>
      </c>
      <c r="K52" s="1">
        <v>5.0000000000000001E-3</v>
      </c>
      <c r="L52" s="1">
        <v>85.777000000000001</v>
      </c>
      <c r="M52" s="1">
        <v>-13980.7</v>
      </c>
      <c r="N52" s="1">
        <v>-26377</v>
      </c>
      <c r="O52" s="1">
        <v>-26</v>
      </c>
      <c r="P52" s="1" t="s">
        <v>49</v>
      </c>
      <c r="Q52" s="1" t="s">
        <v>49</v>
      </c>
      <c r="R52" s="1" t="s">
        <v>51</v>
      </c>
      <c r="S52" s="1">
        <v>3135.7</v>
      </c>
      <c r="T52" s="1">
        <v>9.3780000000000001</v>
      </c>
      <c r="U52" s="1">
        <v>67</v>
      </c>
      <c r="V52" s="1" t="s">
        <v>152</v>
      </c>
      <c r="X52" s="8">
        <f t="shared" si="8"/>
        <v>0.89161554192229042</v>
      </c>
      <c r="Y52" s="4">
        <f t="shared" si="1"/>
        <v>0.7926676581636517</v>
      </c>
      <c r="Z52" s="2">
        <f t="shared" si="9"/>
        <v>1.135257863439866</v>
      </c>
    </row>
    <row r="53" spans="1:26" x14ac:dyDescent="0.3">
      <c r="A53" s="1" t="s">
        <v>153</v>
      </c>
      <c r="B53" s="1" t="s">
        <v>51</v>
      </c>
      <c r="C53" s="1">
        <v>67.765000000000001</v>
      </c>
      <c r="D53" s="1">
        <v>14.712</v>
      </c>
      <c r="E53" s="1">
        <v>5.5E-2</v>
      </c>
      <c r="F53" s="1">
        <v>1.224</v>
      </c>
      <c r="G53" s="1">
        <v>3.5999999999999997E-2</v>
      </c>
      <c r="H53" s="1">
        <v>0.21199999999999999</v>
      </c>
      <c r="I53" s="1">
        <v>0.56200000000000006</v>
      </c>
      <c r="J53" s="1">
        <v>1.286</v>
      </c>
      <c r="K53" s="1">
        <v>2E-3</v>
      </c>
      <c r="L53" s="1">
        <v>85.853999999999999</v>
      </c>
      <c r="M53" s="1">
        <v>-14031.3</v>
      </c>
      <c r="N53" s="1">
        <v>-26377</v>
      </c>
      <c r="O53" s="1">
        <v>-26</v>
      </c>
      <c r="P53" s="1" t="s">
        <v>49</v>
      </c>
      <c r="Q53" s="1" t="s">
        <v>49</v>
      </c>
      <c r="R53" s="1" t="s">
        <v>51</v>
      </c>
      <c r="S53" s="1">
        <v>3186.27</v>
      </c>
      <c r="T53" s="1">
        <v>9.4</v>
      </c>
      <c r="U53" s="1">
        <v>68</v>
      </c>
      <c r="V53" s="1" t="s">
        <v>154</v>
      </c>
      <c r="X53" s="8">
        <f t="shared" si="8"/>
        <v>0.88752556237218816</v>
      </c>
      <c r="Y53" s="4">
        <f t="shared" si="1"/>
        <v>0.79057593699509021</v>
      </c>
      <c r="Z53" s="2">
        <f t="shared" si="9"/>
        <v>1.1222977633517857</v>
      </c>
    </row>
    <row r="54" spans="1:26" x14ac:dyDescent="0.3">
      <c r="A54" s="1" t="s">
        <v>155</v>
      </c>
      <c r="B54" s="1" t="s">
        <v>51</v>
      </c>
      <c r="C54" s="1">
        <v>68.081999999999994</v>
      </c>
      <c r="D54" s="1">
        <v>14.603</v>
      </c>
      <c r="E54" s="1">
        <v>2.8000000000000001E-2</v>
      </c>
      <c r="F54" s="1">
        <v>1.181</v>
      </c>
      <c r="G54" s="1">
        <v>3.1E-2</v>
      </c>
      <c r="H54" s="1">
        <v>0.22600000000000001</v>
      </c>
      <c r="I54" s="1">
        <v>0.53400000000000003</v>
      </c>
      <c r="J54" s="1">
        <v>1.4770000000000001</v>
      </c>
      <c r="K54" s="1">
        <v>0.02</v>
      </c>
      <c r="L54" s="1">
        <v>86.183000000000007</v>
      </c>
      <c r="M54" s="1">
        <v>-14081.9</v>
      </c>
      <c r="N54" s="1">
        <v>-26377</v>
      </c>
      <c r="O54" s="1">
        <v>-26</v>
      </c>
      <c r="P54" s="1" t="s">
        <v>49</v>
      </c>
      <c r="Q54" s="1" t="s">
        <v>49</v>
      </c>
      <c r="R54" s="1" t="s">
        <v>51</v>
      </c>
      <c r="S54" s="1">
        <v>3236.85</v>
      </c>
      <c r="T54" s="1">
        <v>9.4290000000000003</v>
      </c>
      <c r="U54" s="1">
        <v>69</v>
      </c>
      <c r="V54" s="1" t="s">
        <v>156</v>
      </c>
      <c r="X54" s="8">
        <f t="shared" si="8"/>
        <v>0.94274028629856854</v>
      </c>
      <c r="Y54" s="4">
        <f t="shared" ref="Y54:Y88" si="10">ERF(X54)</f>
        <v>0.8175456635548376</v>
      </c>
      <c r="Z54" s="2">
        <f t="shared" si="9"/>
        <v>1.3444384111911434</v>
      </c>
    </row>
    <row r="55" spans="1:26" x14ac:dyDescent="0.3">
      <c r="A55" s="1" t="s">
        <v>157</v>
      </c>
      <c r="B55" s="1" t="s">
        <v>51</v>
      </c>
      <c r="C55" s="1">
        <v>67.921999999999997</v>
      </c>
      <c r="D55" s="1">
        <v>14.340999999999999</v>
      </c>
      <c r="E55" s="1">
        <v>6.0999999999999999E-2</v>
      </c>
      <c r="F55" s="1">
        <v>1.121</v>
      </c>
      <c r="G55" s="1">
        <v>3.6999999999999998E-2</v>
      </c>
      <c r="H55" s="1">
        <v>0.19900000000000001</v>
      </c>
      <c r="I55" s="1">
        <v>0.52300000000000002</v>
      </c>
      <c r="J55" s="1">
        <v>1.532</v>
      </c>
      <c r="K55" s="1">
        <v>1.9E-2</v>
      </c>
      <c r="L55" s="1">
        <v>85.754999999999995</v>
      </c>
      <c r="M55" s="1">
        <v>-14132.4</v>
      </c>
      <c r="N55" s="1">
        <v>-26377</v>
      </c>
      <c r="O55" s="1">
        <v>-26</v>
      </c>
      <c r="P55" s="1" t="s">
        <v>49</v>
      </c>
      <c r="Q55" s="1" t="s">
        <v>49</v>
      </c>
      <c r="R55" s="1" t="s">
        <v>51</v>
      </c>
      <c r="S55" s="1">
        <v>3287.42</v>
      </c>
      <c r="T55" s="1">
        <v>9.3770000000000007</v>
      </c>
      <c r="U55" s="1">
        <v>70</v>
      </c>
      <c r="V55" s="1" t="s">
        <v>158</v>
      </c>
      <c r="X55" s="8">
        <f t="shared" si="8"/>
        <v>0.87525562372188137</v>
      </c>
      <c r="Y55" s="4">
        <f t="shared" si="10"/>
        <v>0.78420916834034093</v>
      </c>
      <c r="Z55" s="2">
        <f t="shared" si="9"/>
        <v>1.0855224919354942</v>
      </c>
    </row>
    <row r="56" spans="1:26" x14ac:dyDescent="0.3">
      <c r="A56" s="1" t="s">
        <v>159</v>
      </c>
      <c r="B56" s="1" t="s">
        <v>51</v>
      </c>
      <c r="C56" s="1">
        <v>66.977000000000004</v>
      </c>
      <c r="D56" s="1">
        <v>14.612</v>
      </c>
      <c r="E56" s="1">
        <v>9.1999999999999998E-2</v>
      </c>
      <c r="F56" s="1">
        <v>1.2569999999999999</v>
      </c>
      <c r="G56" s="1">
        <v>3.3000000000000002E-2</v>
      </c>
      <c r="H56" s="1">
        <v>0.22</v>
      </c>
      <c r="I56" s="1">
        <v>0.57399999999999995</v>
      </c>
      <c r="J56" s="1">
        <v>1.4330000000000001</v>
      </c>
      <c r="K56" s="1">
        <v>8.9999999999999993E-3</v>
      </c>
      <c r="L56" s="1">
        <v>85.206000000000003</v>
      </c>
      <c r="M56" s="1">
        <v>-14183</v>
      </c>
      <c r="N56" s="1">
        <v>-26377</v>
      </c>
      <c r="O56" s="1">
        <v>-26</v>
      </c>
      <c r="P56" s="1" t="s">
        <v>49</v>
      </c>
      <c r="Q56" s="1" t="s">
        <v>49</v>
      </c>
      <c r="R56" s="1" t="s">
        <v>51</v>
      </c>
      <c r="S56" s="1">
        <v>3338</v>
      </c>
      <c r="T56" s="1">
        <v>9.3339999999999996</v>
      </c>
      <c r="U56" s="1">
        <v>71</v>
      </c>
      <c r="V56" s="1" t="s">
        <v>160</v>
      </c>
      <c r="X56" s="8">
        <f t="shared" si="8"/>
        <v>0.81186094069529657</v>
      </c>
      <c r="Y56" s="4">
        <f t="shared" si="10"/>
        <v>0.74909118818967935</v>
      </c>
      <c r="Z56" s="2">
        <f t="shared" si="9"/>
        <v>0.9306262302473064</v>
      </c>
    </row>
    <row r="57" spans="1:26" x14ac:dyDescent="0.3">
      <c r="A57" s="1" t="s">
        <v>161</v>
      </c>
      <c r="B57" s="1" t="s">
        <v>51</v>
      </c>
      <c r="C57" s="1">
        <v>68.897000000000006</v>
      </c>
      <c r="D57" s="1">
        <v>14.7</v>
      </c>
      <c r="E57" s="1">
        <v>0.10100000000000001</v>
      </c>
      <c r="F57" s="1">
        <v>1.401</v>
      </c>
      <c r="G57" s="1">
        <v>4.3999999999999997E-2</v>
      </c>
      <c r="H57" s="1">
        <v>0.23499999999999999</v>
      </c>
      <c r="I57" s="1">
        <v>0.56299999999999994</v>
      </c>
      <c r="J57" s="1">
        <v>1.4670000000000001</v>
      </c>
      <c r="K57" s="1">
        <v>2.5999999999999999E-2</v>
      </c>
      <c r="L57" s="1">
        <v>87.433999999999997</v>
      </c>
      <c r="M57" s="1">
        <v>-14233.6</v>
      </c>
      <c r="N57" s="1">
        <v>-26377</v>
      </c>
      <c r="O57" s="1">
        <v>-26</v>
      </c>
      <c r="P57" s="1" t="s">
        <v>49</v>
      </c>
      <c r="Q57" s="1" t="s">
        <v>49</v>
      </c>
      <c r="R57" s="1" t="s">
        <v>51</v>
      </c>
      <c r="S57" s="1">
        <v>3388.58</v>
      </c>
      <c r="T57" s="1">
        <v>9.5830000000000002</v>
      </c>
      <c r="U57" s="1">
        <v>72</v>
      </c>
      <c r="V57" s="1" t="s">
        <v>162</v>
      </c>
      <c r="X57" s="8">
        <f t="shared" si="8"/>
        <v>0.79345603271983633</v>
      </c>
      <c r="Y57" s="4">
        <f t="shared" si="10"/>
        <v>0.73818699837638402</v>
      </c>
      <c r="Z57" s="2">
        <f t="shared" si="9"/>
        <v>0.89316483060528051</v>
      </c>
    </row>
    <row r="58" spans="1:26" x14ac:dyDescent="0.3">
      <c r="A58" s="1" t="s">
        <v>163</v>
      </c>
      <c r="B58" s="1" t="s">
        <v>51</v>
      </c>
      <c r="C58" s="1">
        <v>66.628</v>
      </c>
      <c r="D58" s="1">
        <v>14.936</v>
      </c>
      <c r="E58" s="1">
        <v>0.03</v>
      </c>
      <c r="F58" s="1">
        <v>1.292</v>
      </c>
      <c r="G58" s="1">
        <v>2.7E-2</v>
      </c>
      <c r="H58" s="1">
        <v>0.23799999999999999</v>
      </c>
      <c r="I58" s="1">
        <v>0.52400000000000002</v>
      </c>
      <c r="J58" s="1">
        <v>1.2889999999999999</v>
      </c>
      <c r="K58" s="1">
        <v>0</v>
      </c>
      <c r="L58" s="1">
        <v>84.963999999999999</v>
      </c>
      <c r="M58" s="1">
        <v>-14284.2</v>
      </c>
      <c r="N58" s="1">
        <v>-26377</v>
      </c>
      <c r="O58" s="1">
        <v>-26</v>
      </c>
      <c r="P58" s="1" t="s">
        <v>49</v>
      </c>
      <c r="Q58" s="1" t="s">
        <v>49</v>
      </c>
      <c r="R58" s="1" t="s">
        <v>51</v>
      </c>
      <c r="S58" s="1">
        <v>3439.15</v>
      </c>
      <c r="T58" s="1">
        <v>9.3049999999999997</v>
      </c>
      <c r="U58" s="1">
        <v>73</v>
      </c>
      <c r="V58" s="1" t="s">
        <v>164</v>
      </c>
      <c r="X58" s="8">
        <f t="shared" si="8"/>
        <v>0.93865030674846628</v>
      </c>
      <c r="Y58" s="4">
        <f t="shared" si="10"/>
        <v>0.81564078998294454</v>
      </c>
      <c r="Z58" s="2">
        <f t="shared" si="9"/>
        <v>1.3229732589390384</v>
      </c>
    </row>
    <row r="59" spans="1:26" x14ac:dyDescent="0.3">
      <c r="A59" s="1" t="s">
        <v>165</v>
      </c>
      <c r="B59" s="1" t="s">
        <v>51</v>
      </c>
      <c r="C59" s="1">
        <v>67.884</v>
      </c>
      <c r="D59" s="1">
        <v>14.647</v>
      </c>
      <c r="E59" s="1">
        <v>5.8000000000000003E-2</v>
      </c>
      <c r="F59" s="1">
        <v>1.2829999999999999</v>
      </c>
      <c r="G59" s="1">
        <v>3.7999999999999999E-2</v>
      </c>
      <c r="H59" s="1">
        <v>0.20799999999999999</v>
      </c>
      <c r="I59" s="1">
        <v>0.50700000000000001</v>
      </c>
      <c r="J59" s="1">
        <v>1.3440000000000001</v>
      </c>
      <c r="K59" s="1">
        <v>2.5000000000000001E-2</v>
      </c>
      <c r="L59" s="1">
        <v>85.994</v>
      </c>
      <c r="M59" s="1">
        <v>-14334.7</v>
      </c>
      <c r="N59" s="1">
        <v>-26377</v>
      </c>
      <c r="O59" s="1">
        <v>-26</v>
      </c>
      <c r="P59" s="1" t="s">
        <v>49</v>
      </c>
      <c r="Q59" s="1" t="s">
        <v>49</v>
      </c>
      <c r="R59" s="1" t="s">
        <v>51</v>
      </c>
      <c r="S59" s="1">
        <v>3489.73</v>
      </c>
      <c r="T59" s="1">
        <v>9.4130000000000003</v>
      </c>
      <c r="U59" s="1">
        <v>74</v>
      </c>
      <c r="V59" s="1" t="s">
        <v>166</v>
      </c>
      <c r="X59" s="8">
        <f t="shared" si="8"/>
        <v>0.88139059304703471</v>
      </c>
      <c r="Y59" s="4">
        <f t="shared" si="10"/>
        <v>0.78740976591958134</v>
      </c>
      <c r="Z59" s="2">
        <f t="shared" si="9"/>
        <v>1.1035370554558155</v>
      </c>
    </row>
    <row r="60" spans="1:26" x14ac:dyDescent="0.3">
      <c r="A60" s="1" t="s">
        <v>167</v>
      </c>
      <c r="B60" s="1" t="s">
        <v>51</v>
      </c>
      <c r="C60" s="1">
        <v>67.69</v>
      </c>
      <c r="D60" s="1">
        <v>14.609</v>
      </c>
      <c r="E60" s="1">
        <v>1.2999999999999999E-2</v>
      </c>
      <c r="F60" s="1">
        <v>1.2529999999999999</v>
      </c>
      <c r="G60" s="1">
        <v>4.9000000000000002E-2</v>
      </c>
      <c r="H60" s="1">
        <v>0.19700000000000001</v>
      </c>
      <c r="I60" s="1">
        <v>0.52500000000000002</v>
      </c>
      <c r="J60" s="1">
        <v>1.3919999999999999</v>
      </c>
      <c r="K60" s="1">
        <v>2.1000000000000001E-2</v>
      </c>
      <c r="L60" s="1">
        <v>85.75</v>
      </c>
      <c r="M60" s="1">
        <v>-14385.3</v>
      </c>
      <c r="N60" s="1">
        <v>-26377</v>
      </c>
      <c r="O60" s="1">
        <v>-27</v>
      </c>
      <c r="P60" s="1" t="s">
        <v>49</v>
      </c>
      <c r="Q60" s="1" t="s">
        <v>49</v>
      </c>
      <c r="R60" s="1" t="s">
        <v>51</v>
      </c>
      <c r="S60" s="1">
        <v>3540.3</v>
      </c>
      <c r="T60" s="1">
        <v>9.3859999999999992</v>
      </c>
      <c r="U60" s="1">
        <v>75</v>
      </c>
      <c r="V60" s="1" t="s">
        <v>168</v>
      </c>
      <c r="X60" s="8">
        <f t="shared" si="8"/>
        <v>0.97341513292433535</v>
      </c>
      <c r="Y60" s="4">
        <f t="shared" si="10"/>
        <v>0.83136927160494722</v>
      </c>
      <c r="Z60" s="2">
        <f t="shared" si="9"/>
        <v>1.5680515137715747</v>
      </c>
    </row>
    <row r="61" spans="1:26" x14ac:dyDescent="0.3">
      <c r="A61" s="1" t="s">
        <v>169</v>
      </c>
      <c r="B61" s="1" t="s">
        <v>51</v>
      </c>
      <c r="C61" s="1">
        <v>67.509</v>
      </c>
      <c r="D61" s="1">
        <v>14.586</v>
      </c>
      <c r="E61" s="1">
        <v>2.5999999999999999E-2</v>
      </c>
      <c r="F61" s="1">
        <v>1.129</v>
      </c>
      <c r="G61" s="1">
        <v>3.9E-2</v>
      </c>
      <c r="H61" s="1">
        <v>0.253</v>
      </c>
      <c r="I61" s="1">
        <v>0.502</v>
      </c>
      <c r="J61" s="1">
        <v>1.3049999999999999</v>
      </c>
      <c r="K61" s="1">
        <v>6.0000000000000001E-3</v>
      </c>
      <c r="L61" s="1">
        <v>85.355000000000004</v>
      </c>
      <c r="M61" s="1">
        <v>-14435.9</v>
      </c>
      <c r="N61" s="1">
        <v>-26377</v>
      </c>
      <c r="O61" s="1">
        <v>-27</v>
      </c>
      <c r="P61" s="1" t="s">
        <v>49</v>
      </c>
      <c r="Q61" s="1" t="s">
        <v>49</v>
      </c>
      <c r="R61" s="1" t="s">
        <v>51</v>
      </c>
      <c r="S61" s="1">
        <v>3590.88</v>
      </c>
      <c r="T61" s="1">
        <v>9.3360000000000003</v>
      </c>
      <c r="U61" s="1">
        <v>76</v>
      </c>
      <c r="V61" s="1" t="s">
        <v>170</v>
      </c>
      <c r="X61" s="8">
        <f t="shared" si="8"/>
        <v>0.9468302658486708</v>
      </c>
      <c r="Y61" s="4">
        <f t="shared" si="10"/>
        <v>0.81943590408277212</v>
      </c>
      <c r="Z61" s="2">
        <f t="shared" si="9"/>
        <v>1.3672191096404818</v>
      </c>
    </row>
    <row r="62" spans="1:26" x14ac:dyDescent="0.3">
      <c r="A62" s="1" t="s">
        <v>171</v>
      </c>
      <c r="B62" s="1" t="s">
        <v>51</v>
      </c>
      <c r="C62" s="1">
        <v>67.876999999999995</v>
      </c>
      <c r="D62" s="1">
        <v>14.648</v>
      </c>
      <c r="E62" s="1">
        <v>5.6000000000000001E-2</v>
      </c>
      <c r="F62" s="1">
        <v>1.333</v>
      </c>
      <c r="G62" s="1">
        <v>0.04</v>
      </c>
      <c r="H62" s="1">
        <v>0.20499999999999999</v>
      </c>
      <c r="I62" s="1">
        <v>0.499</v>
      </c>
      <c r="J62" s="1">
        <v>1.508</v>
      </c>
      <c r="K62" s="1">
        <v>1.6E-2</v>
      </c>
      <c r="L62" s="1">
        <v>86.183000000000007</v>
      </c>
      <c r="M62" s="1">
        <v>-14486.5</v>
      </c>
      <c r="N62" s="1">
        <v>-26377</v>
      </c>
      <c r="O62" s="1">
        <v>-27</v>
      </c>
      <c r="P62" s="1" t="s">
        <v>49</v>
      </c>
      <c r="Q62" s="1" t="s">
        <v>49</v>
      </c>
      <c r="R62" s="1" t="s">
        <v>51</v>
      </c>
      <c r="S62" s="1">
        <v>3641.46</v>
      </c>
      <c r="T62" s="1">
        <v>9.4339999999999993</v>
      </c>
      <c r="U62" s="1">
        <v>77</v>
      </c>
      <c r="V62" s="1" t="s">
        <v>172</v>
      </c>
      <c r="X62" s="8">
        <f t="shared" si="8"/>
        <v>0.88548057259713697</v>
      </c>
      <c r="Y62" s="4">
        <f t="shared" si="10"/>
        <v>0.78952436357513045</v>
      </c>
      <c r="Z62" s="2">
        <f t="shared" si="9"/>
        <v>1.1159566698117918</v>
      </c>
    </row>
    <row r="63" spans="1:26" x14ac:dyDescent="0.3">
      <c r="A63" s="1" t="s">
        <v>173</v>
      </c>
      <c r="B63" s="1" t="s">
        <v>51</v>
      </c>
      <c r="C63" s="1">
        <v>68.025000000000006</v>
      </c>
      <c r="D63" s="1">
        <v>14.766</v>
      </c>
      <c r="E63" s="1">
        <v>3.5000000000000003E-2</v>
      </c>
      <c r="F63" s="1">
        <v>1.214</v>
      </c>
      <c r="G63" s="1">
        <v>3.9E-2</v>
      </c>
      <c r="H63" s="1">
        <v>0.23100000000000001</v>
      </c>
      <c r="I63" s="1">
        <v>0.55400000000000005</v>
      </c>
      <c r="J63" s="1">
        <v>1.5329999999999999</v>
      </c>
      <c r="K63" s="1">
        <v>2.7E-2</v>
      </c>
      <c r="L63" s="1">
        <v>86.423000000000002</v>
      </c>
      <c r="M63" s="1">
        <v>-14537</v>
      </c>
      <c r="N63" s="1">
        <v>-26377</v>
      </c>
      <c r="O63" s="1">
        <v>-27</v>
      </c>
      <c r="P63" s="1" t="s">
        <v>49</v>
      </c>
      <c r="Q63" s="1" t="s">
        <v>49</v>
      </c>
      <c r="R63" s="1" t="s">
        <v>51</v>
      </c>
      <c r="S63" s="1">
        <v>3692.03</v>
      </c>
      <c r="T63" s="1">
        <v>9.4600000000000009</v>
      </c>
      <c r="U63" s="1">
        <v>78</v>
      </c>
      <c r="V63" s="1" t="s">
        <v>174</v>
      </c>
      <c r="X63" s="8">
        <f t="shared" si="8"/>
        <v>0.92842535787321068</v>
      </c>
      <c r="Y63" s="4">
        <f t="shared" si="10"/>
        <v>0.81081426603847229</v>
      </c>
      <c r="Z63" s="2">
        <f t="shared" si="9"/>
        <v>1.2740750425082301</v>
      </c>
    </row>
    <row r="64" spans="1:26" x14ac:dyDescent="0.3">
      <c r="A64" s="1" t="s">
        <v>175</v>
      </c>
      <c r="B64" s="1" t="s">
        <v>51</v>
      </c>
      <c r="C64" s="1">
        <v>67.555000000000007</v>
      </c>
      <c r="D64" s="1">
        <v>14.760999999999999</v>
      </c>
      <c r="E64" s="1">
        <v>0.04</v>
      </c>
      <c r="F64" s="1">
        <v>1.3140000000000001</v>
      </c>
      <c r="G64" s="1">
        <v>5.0999999999999997E-2</v>
      </c>
      <c r="H64" s="1">
        <v>0.222</v>
      </c>
      <c r="I64" s="1">
        <v>0.503</v>
      </c>
      <c r="J64" s="1">
        <v>1.415</v>
      </c>
      <c r="K64" s="1">
        <v>1.0999999999999999E-2</v>
      </c>
      <c r="L64" s="1">
        <v>85.870999999999995</v>
      </c>
      <c r="M64" s="1">
        <v>-14587.6</v>
      </c>
      <c r="N64" s="1">
        <v>-26377</v>
      </c>
      <c r="O64" s="1">
        <v>-27</v>
      </c>
      <c r="P64" s="1" t="s">
        <v>49</v>
      </c>
      <c r="Q64" s="1" t="s">
        <v>49</v>
      </c>
      <c r="R64" s="1" t="s">
        <v>51</v>
      </c>
      <c r="S64" s="1">
        <v>3742.61</v>
      </c>
      <c r="T64" s="1">
        <v>9.4019999999999992</v>
      </c>
      <c r="U64" s="1">
        <v>79</v>
      </c>
      <c r="V64" s="1" t="s">
        <v>176</v>
      </c>
      <c r="X64" s="8">
        <f t="shared" si="8"/>
        <v>0.91820040899795496</v>
      </c>
      <c r="Y64" s="4">
        <f t="shared" si="10"/>
        <v>0.80589523090029569</v>
      </c>
      <c r="Z64" s="2">
        <f t="shared" si="9"/>
        <v>1.2306051811719263</v>
      </c>
    </row>
    <row r="65" spans="1:26" x14ac:dyDescent="0.3">
      <c r="A65" s="1" t="s">
        <v>177</v>
      </c>
      <c r="B65" s="1" t="s">
        <v>51</v>
      </c>
      <c r="C65" s="1">
        <v>68.900999999999996</v>
      </c>
      <c r="D65" s="1">
        <v>14.699</v>
      </c>
      <c r="E65" s="1">
        <v>5.8999999999999997E-2</v>
      </c>
      <c r="F65" s="1">
        <v>1.304</v>
      </c>
      <c r="G65" s="1">
        <v>0.04</v>
      </c>
      <c r="H65" s="1">
        <v>0.221</v>
      </c>
      <c r="I65" s="1">
        <v>0.57099999999999995</v>
      </c>
      <c r="J65" s="1">
        <v>1.46</v>
      </c>
      <c r="K65" s="1">
        <v>3.0000000000000001E-3</v>
      </c>
      <c r="L65" s="1">
        <v>87.257000000000005</v>
      </c>
      <c r="M65" s="1">
        <v>-14638.2</v>
      </c>
      <c r="N65" s="1">
        <v>-26377</v>
      </c>
      <c r="O65" s="1">
        <v>-27</v>
      </c>
      <c r="P65" s="1" t="s">
        <v>49</v>
      </c>
      <c r="Q65" s="1" t="s">
        <v>49</v>
      </c>
      <c r="R65" s="1" t="s">
        <v>51</v>
      </c>
      <c r="S65" s="1">
        <v>3793.18</v>
      </c>
      <c r="T65" s="1">
        <v>9.5579999999999998</v>
      </c>
      <c r="U65" s="1">
        <v>80</v>
      </c>
      <c r="V65" s="1" t="s">
        <v>178</v>
      </c>
      <c r="X65" s="8">
        <f t="shared" si="8"/>
        <v>0.87934560327198363</v>
      </c>
      <c r="Y65" s="4">
        <f t="shared" si="10"/>
        <v>0.78634673176353154</v>
      </c>
      <c r="Z65" s="2">
        <f t="shared" si="9"/>
        <v>1.0974528550642306</v>
      </c>
    </row>
    <row r="66" spans="1:26" x14ac:dyDescent="0.3">
      <c r="A66" s="1" t="s">
        <v>179</v>
      </c>
      <c r="B66" s="1" t="s">
        <v>51</v>
      </c>
      <c r="C66" s="1">
        <v>67.543999999999997</v>
      </c>
      <c r="D66" s="1">
        <v>14.574</v>
      </c>
      <c r="E66" s="1">
        <v>1.2E-2</v>
      </c>
      <c r="F66" s="1">
        <v>1.2529999999999999</v>
      </c>
      <c r="G66" s="1">
        <v>4.9000000000000002E-2</v>
      </c>
      <c r="H66" s="1">
        <v>0.23400000000000001</v>
      </c>
      <c r="I66" s="1">
        <v>0.52700000000000002</v>
      </c>
      <c r="J66" s="1">
        <v>1.423</v>
      </c>
      <c r="K66" s="1">
        <v>0</v>
      </c>
      <c r="L66" s="1">
        <v>85.616</v>
      </c>
      <c r="M66" s="1">
        <v>-14688.8</v>
      </c>
      <c r="N66" s="1">
        <v>-26377</v>
      </c>
      <c r="O66" s="1">
        <v>-27</v>
      </c>
      <c r="P66" s="1" t="s">
        <v>49</v>
      </c>
      <c r="Q66" s="1" t="s">
        <v>49</v>
      </c>
      <c r="R66" s="1" t="s">
        <v>51</v>
      </c>
      <c r="S66" s="1">
        <v>3843.76</v>
      </c>
      <c r="T66" s="1">
        <v>9.3740000000000006</v>
      </c>
      <c r="U66" s="1">
        <v>81</v>
      </c>
      <c r="V66" s="1" t="s">
        <v>180</v>
      </c>
      <c r="X66" s="8">
        <f t="shared" si="8"/>
        <v>0.97546012269938653</v>
      </c>
      <c r="Y66" s="4">
        <f t="shared" si="10"/>
        <v>0.83226210672599898</v>
      </c>
      <c r="Z66" s="2">
        <f t="shared" si="9"/>
        <v>1.5899789792129875</v>
      </c>
    </row>
    <row r="67" spans="1:26" x14ac:dyDescent="0.3">
      <c r="A67" s="1" t="s">
        <v>181</v>
      </c>
      <c r="B67" s="1" t="s">
        <v>51</v>
      </c>
      <c r="C67" s="1">
        <v>68.912999999999997</v>
      </c>
      <c r="D67" s="1">
        <v>14.667</v>
      </c>
      <c r="E67" s="1">
        <v>5.1999999999999998E-2</v>
      </c>
      <c r="F67" s="1">
        <v>1.9950000000000001</v>
      </c>
      <c r="G67" s="1">
        <v>4.2999999999999997E-2</v>
      </c>
      <c r="H67" s="1">
        <v>0.23699999999999999</v>
      </c>
      <c r="I67" s="1">
        <v>0.51900000000000002</v>
      </c>
      <c r="J67" s="1">
        <v>1.8560000000000001</v>
      </c>
      <c r="K67" s="1">
        <v>3.0000000000000001E-3</v>
      </c>
      <c r="L67" s="1">
        <v>88.284999999999997</v>
      </c>
      <c r="M67" s="1">
        <v>-14739.3</v>
      </c>
      <c r="N67" s="1">
        <v>-26377</v>
      </c>
      <c r="O67" s="1">
        <v>-27</v>
      </c>
      <c r="P67" s="1" t="s">
        <v>49</v>
      </c>
      <c r="Q67" s="1" t="s">
        <v>49</v>
      </c>
      <c r="R67" s="1" t="s">
        <v>51</v>
      </c>
      <c r="S67" s="1">
        <v>3894.33</v>
      </c>
      <c r="T67" s="1">
        <v>9.7059999999999995</v>
      </c>
      <c r="U67" s="1">
        <v>82</v>
      </c>
      <c r="V67" s="1" t="s">
        <v>182</v>
      </c>
      <c r="X67" s="8">
        <f t="shared" si="8"/>
        <v>0.8936605316973415</v>
      </c>
      <c r="Y67" s="4">
        <f t="shared" si="10"/>
        <v>0.79370781610598773</v>
      </c>
      <c r="Z67" s="2">
        <f t="shared" si="9"/>
        <v>1.1418835098197957</v>
      </c>
    </row>
    <row r="68" spans="1:26" x14ac:dyDescent="0.3">
      <c r="A68" s="1" t="s">
        <v>183</v>
      </c>
      <c r="B68" s="1" t="s">
        <v>51</v>
      </c>
      <c r="C68" s="1">
        <v>68.177999999999997</v>
      </c>
      <c r="D68" s="1">
        <v>14.785</v>
      </c>
      <c r="E68" s="1">
        <v>1.4E-2</v>
      </c>
      <c r="F68" s="1">
        <v>1.1639999999999999</v>
      </c>
      <c r="G68" s="1">
        <v>4.4999999999999998E-2</v>
      </c>
      <c r="H68" s="1">
        <v>0.191</v>
      </c>
      <c r="I68" s="1">
        <v>0.49099999999999999</v>
      </c>
      <c r="J68" s="1">
        <v>1.5129999999999999</v>
      </c>
      <c r="K68" s="1">
        <v>0</v>
      </c>
      <c r="L68" s="1">
        <v>86.381</v>
      </c>
      <c r="M68" s="1">
        <v>-14789.9</v>
      </c>
      <c r="N68" s="1">
        <v>-26377</v>
      </c>
      <c r="O68" s="1">
        <v>-27</v>
      </c>
      <c r="P68" s="1" t="s">
        <v>49</v>
      </c>
      <c r="Q68" s="1" t="s">
        <v>49</v>
      </c>
      <c r="R68" s="1" t="s">
        <v>51</v>
      </c>
      <c r="S68" s="1">
        <v>3944.91</v>
      </c>
      <c r="T68" s="1">
        <v>9.4429999999999996</v>
      </c>
      <c r="U68" s="1">
        <v>83</v>
      </c>
      <c r="V68" s="1" t="s">
        <v>184</v>
      </c>
      <c r="X68" s="8">
        <f t="shared" si="8"/>
        <v>0.97137014314928427</v>
      </c>
      <c r="Y68" s="4">
        <f t="shared" si="10"/>
        <v>0.83047287480308618</v>
      </c>
      <c r="Z68" s="2">
        <f t="shared" si="9"/>
        <v>1.5475356933950239</v>
      </c>
    </row>
    <row r="69" spans="1:26" x14ac:dyDescent="0.3">
      <c r="A69" s="1" t="s">
        <v>185</v>
      </c>
      <c r="B69" s="1" t="s">
        <v>51</v>
      </c>
      <c r="C69" s="1">
        <v>67.917000000000002</v>
      </c>
      <c r="D69" s="1">
        <v>14.829000000000001</v>
      </c>
      <c r="E69" s="1">
        <v>2.4E-2</v>
      </c>
      <c r="F69" s="1">
        <v>1.1639999999999999</v>
      </c>
      <c r="G69" s="1">
        <v>5.1999999999999998E-2</v>
      </c>
      <c r="H69" s="1">
        <v>0.224</v>
      </c>
      <c r="I69" s="1">
        <v>0.58799999999999997</v>
      </c>
      <c r="J69" s="1">
        <v>1.42</v>
      </c>
      <c r="K69" s="1">
        <v>1.4E-2</v>
      </c>
      <c r="L69" s="1">
        <v>86.233000000000004</v>
      </c>
      <c r="M69" s="1">
        <v>-14840.5</v>
      </c>
      <c r="N69" s="1">
        <v>-26377</v>
      </c>
      <c r="O69" s="1">
        <v>-27</v>
      </c>
      <c r="P69" s="1" t="s">
        <v>49</v>
      </c>
      <c r="Q69" s="1" t="s">
        <v>49</v>
      </c>
      <c r="R69" s="1" t="s">
        <v>51</v>
      </c>
      <c r="S69" s="1">
        <v>3995.49</v>
      </c>
      <c r="T69" s="1">
        <v>9.4410000000000007</v>
      </c>
      <c r="U69" s="1">
        <v>84</v>
      </c>
      <c r="V69" s="1" t="s">
        <v>186</v>
      </c>
      <c r="X69" s="8">
        <f t="shared" si="8"/>
        <v>0.95092024539877296</v>
      </c>
      <c r="Y69" s="4">
        <f t="shared" si="10"/>
        <v>0.82131156122368765</v>
      </c>
      <c r="Z69" s="2">
        <f t="shared" si="9"/>
        <v>1.3915141457411813</v>
      </c>
    </row>
    <row r="70" spans="1:26" x14ac:dyDescent="0.3">
      <c r="A70" s="1" t="s">
        <v>187</v>
      </c>
      <c r="B70" s="1" t="s">
        <v>51</v>
      </c>
      <c r="C70" s="1">
        <v>62.530999999999999</v>
      </c>
      <c r="D70" s="1">
        <v>12.616</v>
      </c>
      <c r="E70" s="1">
        <v>2.8000000000000001E-2</v>
      </c>
      <c r="F70" s="1">
        <v>1.6739999999999999</v>
      </c>
      <c r="G70" s="1">
        <v>2.5999999999999999E-2</v>
      </c>
      <c r="H70" s="1">
        <v>0.184</v>
      </c>
      <c r="I70" s="1">
        <v>0.55200000000000005</v>
      </c>
      <c r="J70" s="1">
        <v>1.6870000000000001</v>
      </c>
      <c r="K70" s="1">
        <v>0.01</v>
      </c>
      <c r="L70" s="1">
        <v>79.307000000000002</v>
      </c>
      <c r="M70" s="1">
        <v>-14941.6</v>
      </c>
      <c r="N70" s="1">
        <v>-26377</v>
      </c>
      <c r="O70" s="1">
        <v>-25</v>
      </c>
      <c r="P70" s="1" t="s">
        <v>49</v>
      </c>
      <c r="Q70" s="1" t="s">
        <v>49</v>
      </c>
      <c r="R70" s="1" t="s">
        <v>51</v>
      </c>
      <c r="S70" s="1">
        <v>4096.6400000000003</v>
      </c>
      <c r="T70" s="1">
        <v>8.7189999999999994</v>
      </c>
      <c r="U70" s="1">
        <v>86</v>
      </c>
      <c r="V70" s="1" t="s">
        <v>188</v>
      </c>
      <c r="X70" s="8">
        <f t="shared" ref="X70:X88" si="11">1-E70/$E$2</f>
        <v>0.94274028629856854</v>
      </c>
      <c r="Y70" s="4">
        <f t="shared" si="10"/>
        <v>0.8175456635548376</v>
      </c>
      <c r="Z70" s="2">
        <f t="shared" ref="Z70:Z88" si="12">SQRT(GAMMAINV(X70,0.5,1))</f>
        <v>1.3444384111911434</v>
      </c>
    </row>
    <row r="71" spans="1:26" x14ac:dyDescent="0.3">
      <c r="A71" s="1" t="s">
        <v>189</v>
      </c>
      <c r="B71" s="1" t="s">
        <v>51</v>
      </c>
      <c r="C71" s="1">
        <v>67.912999999999997</v>
      </c>
      <c r="D71" s="1">
        <v>14.622999999999999</v>
      </c>
      <c r="E71" s="1">
        <v>4.9000000000000002E-2</v>
      </c>
      <c r="F71" s="1">
        <v>1.1779999999999999</v>
      </c>
      <c r="G71" s="1">
        <v>4.2000000000000003E-2</v>
      </c>
      <c r="H71" s="1">
        <v>0.21299999999999999</v>
      </c>
      <c r="I71" s="1">
        <v>0.53400000000000003</v>
      </c>
      <c r="J71" s="1">
        <v>1.3560000000000001</v>
      </c>
      <c r="K71" s="1">
        <v>1.7999999999999999E-2</v>
      </c>
      <c r="L71" s="1">
        <v>85.926000000000002</v>
      </c>
      <c r="M71" s="1">
        <v>-14992.2</v>
      </c>
      <c r="N71" s="1">
        <v>-26377</v>
      </c>
      <c r="O71" s="1">
        <v>-25</v>
      </c>
      <c r="P71" s="1" t="s">
        <v>49</v>
      </c>
      <c r="Q71" s="1" t="s">
        <v>49</v>
      </c>
      <c r="R71" s="1" t="s">
        <v>51</v>
      </c>
      <c r="S71" s="1">
        <v>4147.21</v>
      </c>
      <c r="T71" s="1">
        <v>9.4019999999999992</v>
      </c>
      <c r="U71" s="1">
        <v>87</v>
      </c>
      <c r="V71" s="1" t="s">
        <v>190</v>
      </c>
      <c r="X71" s="8">
        <f t="shared" si="11"/>
        <v>0.89979550102249484</v>
      </c>
      <c r="Y71" s="4">
        <f t="shared" si="10"/>
        <v>0.79680554146875604</v>
      </c>
      <c r="Z71" s="2">
        <f t="shared" si="12"/>
        <v>1.1623866932848779</v>
      </c>
    </row>
    <row r="72" spans="1:26" x14ac:dyDescent="0.3">
      <c r="A72" s="1" t="s">
        <v>191</v>
      </c>
      <c r="B72" s="1" t="s">
        <v>51</v>
      </c>
      <c r="C72" s="1">
        <v>67.816000000000003</v>
      </c>
      <c r="D72" s="1">
        <v>14.631</v>
      </c>
      <c r="E72" s="1">
        <v>3.5000000000000003E-2</v>
      </c>
      <c r="F72" s="1">
        <v>1.0389999999999999</v>
      </c>
      <c r="G72" s="1">
        <v>0.03</v>
      </c>
      <c r="H72" s="1">
        <v>0.217</v>
      </c>
      <c r="I72" s="1">
        <v>0.55300000000000005</v>
      </c>
      <c r="J72" s="1">
        <v>1.462</v>
      </c>
      <c r="K72" s="1">
        <v>1.4E-2</v>
      </c>
      <c r="L72" s="1">
        <v>85.798000000000002</v>
      </c>
      <c r="M72" s="1">
        <v>-15042.8</v>
      </c>
      <c r="N72" s="1">
        <v>-26377</v>
      </c>
      <c r="O72" s="1">
        <v>-25</v>
      </c>
      <c r="P72" s="1" t="s">
        <v>49</v>
      </c>
      <c r="Q72" s="1" t="s">
        <v>49</v>
      </c>
      <c r="R72" s="1" t="s">
        <v>51</v>
      </c>
      <c r="S72" s="1">
        <v>4197.79</v>
      </c>
      <c r="T72" s="1">
        <v>9.3810000000000002</v>
      </c>
      <c r="U72" s="1">
        <v>88</v>
      </c>
      <c r="V72" s="1" t="s">
        <v>192</v>
      </c>
      <c r="X72" s="8">
        <f t="shared" si="11"/>
        <v>0.92842535787321068</v>
      </c>
      <c r="Y72" s="4">
        <f t="shared" si="10"/>
        <v>0.81081426603847229</v>
      </c>
      <c r="Z72" s="2">
        <f t="shared" si="12"/>
        <v>1.2740750425082301</v>
      </c>
    </row>
    <row r="73" spans="1:26" x14ac:dyDescent="0.3">
      <c r="A73" s="1" t="s">
        <v>193</v>
      </c>
      <c r="B73" s="1" t="s">
        <v>51</v>
      </c>
      <c r="C73" s="1">
        <v>67.537999999999997</v>
      </c>
      <c r="D73" s="1">
        <v>14.545</v>
      </c>
      <c r="E73" s="1">
        <v>4.3999999999999997E-2</v>
      </c>
      <c r="F73" s="1">
        <v>1.07</v>
      </c>
      <c r="G73" s="1">
        <v>4.5999999999999999E-2</v>
      </c>
      <c r="H73" s="1">
        <v>0.20200000000000001</v>
      </c>
      <c r="I73" s="1">
        <v>0.52800000000000002</v>
      </c>
      <c r="J73" s="1">
        <v>1.4690000000000001</v>
      </c>
      <c r="K73" s="1">
        <v>8.0000000000000002E-3</v>
      </c>
      <c r="L73" s="1">
        <v>85.451999999999998</v>
      </c>
      <c r="M73" s="1">
        <v>-15093.4</v>
      </c>
      <c r="N73" s="1">
        <v>-26377</v>
      </c>
      <c r="O73" s="1">
        <v>-25</v>
      </c>
      <c r="P73" s="1" t="s">
        <v>49</v>
      </c>
      <c r="Q73" s="1" t="s">
        <v>49</v>
      </c>
      <c r="R73" s="1" t="s">
        <v>51</v>
      </c>
      <c r="S73" s="1">
        <v>4248.3599999999997</v>
      </c>
      <c r="T73" s="1">
        <v>9.343</v>
      </c>
      <c r="U73" s="1">
        <v>89</v>
      </c>
      <c r="V73" s="1" t="s">
        <v>194</v>
      </c>
      <c r="X73" s="8">
        <f t="shared" si="11"/>
        <v>0.91002044989775055</v>
      </c>
      <c r="Y73" s="4">
        <f t="shared" si="10"/>
        <v>0.80189290665552049</v>
      </c>
      <c r="Z73" s="2">
        <f t="shared" si="12"/>
        <v>1.198903502548508</v>
      </c>
    </row>
    <row r="74" spans="1:26" x14ac:dyDescent="0.3">
      <c r="A74" s="1" t="s">
        <v>195</v>
      </c>
      <c r="B74" s="1" t="s">
        <v>51</v>
      </c>
      <c r="C74" s="1">
        <v>44.396999999999998</v>
      </c>
      <c r="D74" s="1">
        <v>8.5909999999999993</v>
      </c>
      <c r="E74" s="1">
        <v>3.5000000000000003E-2</v>
      </c>
      <c r="F74" s="1">
        <v>1.5329999999999999</v>
      </c>
      <c r="G74" s="1">
        <v>2.8000000000000001E-2</v>
      </c>
      <c r="H74" s="1">
        <v>0.14699999999999999</v>
      </c>
      <c r="I74" s="1">
        <v>0.51800000000000002</v>
      </c>
      <c r="J74" s="1">
        <v>1.4059999999999999</v>
      </c>
      <c r="K74" s="1">
        <v>8.0000000000000002E-3</v>
      </c>
      <c r="L74" s="1">
        <v>56.661999999999999</v>
      </c>
      <c r="M74" s="1">
        <v>-15143.9</v>
      </c>
      <c r="N74" s="1">
        <v>-26377</v>
      </c>
      <c r="O74" s="1">
        <v>-25</v>
      </c>
      <c r="P74" s="1" t="s">
        <v>49</v>
      </c>
      <c r="Q74" s="1" t="s">
        <v>49</v>
      </c>
      <c r="R74" s="1" t="s">
        <v>51</v>
      </c>
      <c r="S74" s="1">
        <v>4298.9399999999996</v>
      </c>
      <c r="T74" s="1">
        <v>6.266</v>
      </c>
      <c r="U74" s="1">
        <v>90</v>
      </c>
      <c r="V74" s="1" t="s">
        <v>196</v>
      </c>
      <c r="X74" s="8">
        <f t="shared" si="11"/>
        <v>0.92842535787321068</v>
      </c>
      <c r="Y74" s="4">
        <f t="shared" si="10"/>
        <v>0.81081426603847229</v>
      </c>
      <c r="Z74" s="2">
        <f t="shared" si="12"/>
        <v>1.2740750425082301</v>
      </c>
    </row>
    <row r="75" spans="1:26" x14ac:dyDescent="0.3">
      <c r="A75" s="1" t="s">
        <v>197</v>
      </c>
      <c r="B75" s="1" t="s">
        <v>51</v>
      </c>
      <c r="C75" s="1">
        <v>46.094999999999999</v>
      </c>
      <c r="D75" s="1">
        <v>27.207000000000001</v>
      </c>
      <c r="E75" s="1">
        <v>0.27100000000000002</v>
      </c>
      <c r="F75" s="1">
        <v>0.78200000000000003</v>
      </c>
      <c r="G75" s="1">
        <v>8.1000000000000003E-2</v>
      </c>
      <c r="H75" s="1">
        <v>0.47099999999999997</v>
      </c>
      <c r="I75" s="1">
        <v>0.314</v>
      </c>
      <c r="J75" s="1">
        <v>0.81</v>
      </c>
      <c r="K75" s="1">
        <v>4.2999999999999997E-2</v>
      </c>
      <c r="L75" s="1">
        <v>76.072999999999993</v>
      </c>
      <c r="M75" s="1">
        <v>-15194.5</v>
      </c>
      <c r="N75" s="1">
        <v>-26377</v>
      </c>
      <c r="O75" s="1">
        <v>-25</v>
      </c>
      <c r="P75" s="1" t="s">
        <v>49</v>
      </c>
      <c r="Q75" s="1" t="s">
        <v>49</v>
      </c>
      <c r="R75" s="1" t="s">
        <v>51</v>
      </c>
      <c r="S75" s="1">
        <v>4349.5200000000004</v>
      </c>
      <c r="T75" s="1">
        <v>8.2889999999999997</v>
      </c>
      <c r="U75" s="1">
        <v>91</v>
      </c>
      <c r="V75" s="1" t="s">
        <v>198</v>
      </c>
      <c r="X75" s="8">
        <f t="shared" si="11"/>
        <v>0.4458077709611451</v>
      </c>
      <c r="Y75" s="4">
        <f t="shared" si="10"/>
        <v>0.47161117196632052</v>
      </c>
      <c r="Z75" s="2">
        <f t="shared" si="12"/>
        <v>0.41824651025709725</v>
      </c>
    </row>
    <row r="76" spans="1:26" x14ac:dyDescent="0.3">
      <c r="A76" s="1" t="s">
        <v>199</v>
      </c>
      <c r="B76" s="1" t="s">
        <v>51</v>
      </c>
      <c r="C76" s="1">
        <v>67.641000000000005</v>
      </c>
      <c r="D76" s="1">
        <v>14.592000000000001</v>
      </c>
      <c r="E76" s="1">
        <v>6.8000000000000005E-2</v>
      </c>
      <c r="F76" s="1">
        <v>1.131</v>
      </c>
      <c r="G76" s="1">
        <v>3.3000000000000002E-2</v>
      </c>
      <c r="H76" s="1">
        <v>0.21299999999999999</v>
      </c>
      <c r="I76" s="1">
        <v>0.59299999999999997</v>
      </c>
      <c r="J76" s="1">
        <v>1.4019999999999999</v>
      </c>
      <c r="K76" s="1">
        <v>0.03</v>
      </c>
      <c r="L76" s="1">
        <v>85.701999999999998</v>
      </c>
      <c r="M76" s="1">
        <v>-15245.1</v>
      </c>
      <c r="N76" s="1">
        <v>-26377</v>
      </c>
      <c r="O76" s="1">
        <v>-25</v>
      </c>
      <c r="P76" s="1" t="s">
        <v>49</v>
      </c>
      <c r="Q76" s="1" t="s">
        <v>49</v>
      </c>
      <c r="R76" s="1" t="s">
        <v>51</v>
      </c>
      <c r="S76" s="1">
        <v>4400.09</v>
      </c>
      <c r="T76" s="1">
        <v>9.3810000000000002</v>
      </c>
      <c r="U76" s="1">
        <v>92</v>
      </c>
      <c r="V76" s="1" t="s">
        <v>200</v>
      </c>
      <c r="X76" s="8">
        <f t="shared" si="11"/>
        <v>0.86094069529652351</v>
      </c>
      <c r="Y76" s="4">
        <f t="shared" si="10"/>
        <v>0.77660649894188305</v>
      </c>
      <c r="Z76" s="2">
        <f t="shared" si="12"/>
        <v>1.0460253064306899</v>
      </c>
    </row>
    <row r="77" spans="1:26" x14ac:dyDescent="0.3">
      <c r="A77" s="1" t="s">
        <v>201</v>
      </c>
      <c r="B77" s="1" t="s">
        <v>51</v>
      </c>
      <c r="C77" s="1">
        <v>68.116</v>
      </c>
      <c r="D77" s="1">
        <v>14.811</v>
      </c>
      <c r="E77" s="1">
        <v>2.5000000000000001E-2</v>
      </c>
      <c r="F77" s="1">
        <v>1.0680000000000001</v>
      </c>
      <c r="G77" s="1">
        <v>2.3E-2</v>
      </c>
      <c r="H77" s="1">
        <v>0.22500000000000001</v>
      </c>
      <c r="I77" s="1">
        <v>0.51500000000000001</v>
      </c>
      <c r="J77" s="1">
        <v>1.474</v>
      </c>
      <c r="K77" s="1">
        <v>8.9999999999999993E-3</v>
      </c>
      <c r="L77" s="1">
        <v>86.266000000000005</v>
      </c>
      <c r="M77" s="1">
        <v>-15295.7</v>
      </c>
      <c r="N77" s="1">
        <v>-26377</v>
      </c>
      <c r="O77" s="1">
        <v>-25</v>
      </c>
      <c r="P77" s="1" t="s">
        <v>49</v>
      </c>
      <c r="Q77" s="1" t="s">
        <v>49</v>
      </c>
      <c r="R77" s="1" t="s">
        <v>51</v>
      </c>
      <c r="S77" s="1">
        <v>4450.67</v>
      </c>
      <c r="T77" s="1">
        <v>9.4280000000000008</v>
      </c>
      <c r="U77" s="1">
        <v>93</v>
      </c>
      <c r="V77" s="1" t="s">
        <v>202</v>
      </c>
      <c r="X77" s="8">
        <f t="shared" si="11"/>
        <v>0.94887525562372188</v>
      </c>
      <c r="Y77" s="4">
        <f t="shared" si="10"/>
        <v>0.8203755524499321</v>
      </c>
      <c r="Z77" s="2">
        <f t="shared" si="12"/>
        <v>1.3791631384175522</v>
      </c>
    </row>
    <row r="78" spans="1:26" x14ac:dyDescent="0.3">
      <c r="A78" s="1" t="s">
        <v>203</v>
      </c>
      <c r="B78" s="1" t="s">
        <v>51</v>
      </c>
      <c r="C78" s="1">
        <v>67.564999999999998</v>
      </c>
      <c r="D78" s="1">
        <v>14.507999999999999</v>
      </c>
      <c r="E78" s="1">
        <v>4.1000000000000002E-2</v>
      </c>
      <c r="F78" s="1">
        <v>1.02</v>
      </c>
      <c r="G78" s="1">
        <v>3.5000000000000003E-2</v>
      </c>
      <c r="H78" s="1">
        <v>0.23</v>
      </c>
      <c r="I78" s="1">
        <v>0.53600000000000003</v>
      </c>
      <c r="J78" s="1">
        <v>1.4159999999999999</v>
      </c>
      <c r="K78" s="1">
        <v>1.2999999999999999E-2</v>
      </c>
      <c r="L78" s="1">
        <v>85.363</v>
      </c>
      <c r="M78" s="1">
        <v>-15346.2</v>
      </c>
      <c r="N78" s="1">
        <v>-26377</v>
      </c>
      <c r="O78" s="1">
        <v>-25</v>
      </c>
      <c r="P78" s="1" t="s">
        <v>49</v>
      </c>
      <c r="Q78" s="1" t="s">
        <v>49</v>
      </c>
      <c r="R78" s="1" t="s">
        <v>51</v>
      </c>
      <c r="S78" s="1">
        <v>4501.24</v>
      </c>
      <c r="T78" s="1">
        <v>9.3320000000000007</v>
      </c>
      <c r="U78" s="1">
        <v>94</v>
      </c>
      <c r="V78" s="1" t="s">
        <v>204</v>
      </c>
      <c r="X78" s="8">
        <f t="shared" si="11"/>
        <v>0.91615541922290389</v>
      </c>
      <c r="Y78" s="4">
        <f t="shared" si="10"/>
        <v>0.80490025828166223</v>
      </c>
      <c r="Z78" s="2">
        <f t="shared" si="12"/>
        <v>1.2224474489718995</v>
      </c>
    </row>
    <row r="79" spans="1:26" x14ac:dyDescent="0.3">
      <c r="A79" s="1" t="s">
        <v>205</v>
      </c>
      <c r="B79" s="1" t="s">
        <v>51</v>
      </c>
      <c r="C79" s="1">
        <v>67.89</v>
      </c>
      <c r="D79" s="1">
        <v>14.595000000000001</v>
      </c>
      <c r="E79" s="1">
        <v>5.7000000000000002E-2</v>
      </c>
      <c r="F79" s="1">
        <v>1.0980000000000001</v>
      </c>
      <c r="G79" s="1">
        <v>5.5E-2</v>
      </c>
      <c r="H79" s="1">
        <v>0.23699999999999999</v>
      </c>
      <c r="I79" s="1">
        <v>0.48599999999999999</v>
      </c>
      <c r="J79" s="1">
        <v>1.4710000000000001</v>
      </c>
      <c r="K79" s="1">
        <v>3.1E-2</v>
      </c>
      <c r="L79" s="1">
        <v>85.921000000000006</v>
      </c>
      <c r="M79" s="1">
        <v>-15396.8</v>
      </c>
      <c r="N79" s="1">
        <v>-26377</v>
      </c>
      <c r="O79" s="1">
        <v>-26</v>
      </c>
      <c r="P79" s="1" t="s">
        <v>49</v>
      </c>
      <c r="Q79" s="1" t="s">
        <v>49</v>
      </c>
      <c r="R79" s="1" t="s">
        <v>51</v>
      </c>
      <c r="S79" s="1">
        <v>4551.82</v>
      </c>
      <c r="T79" s="1">
        <v>9.3930000000000007</v>
      </c>
      <c r="U79" s="1">
        <v>95</v>
      </c>
      <c r="V79" s="1" t="s">
        <v>206</v>
      </c>
      <c r="X79" s="8">
        <f t="shared" si="11"/>
        <v>0.8834355828220859</v>
      </c>
      <c r="Y79" s="4">
        <f t="shared" si="10"/>
        <v>0.78846897487770129</v>
      </c>
      <c r="Z79" s="2">
        <f t="shared" si="12"/>
        <v>1.1097040710822426</v>
      </c>
    </row>
    <row r="80" spans="1:26" x14ac:dyDescent="0.3">
      <c r="A80" s="1" t="s">
        <v>207</v>
      </c>
      <c r="B80" s="1" t="s">
        <v>51</v>
      </c>
      <c r="C80" s="1">
        <v>67.912000000000006</v>
      </c>
      <c r="D80" s="1">
        <v>14.55</v>
      </c>
      <c r="E80" s="1">
        <v>6.8000000000000005E-2</v>
      </c>
      <c r="F80" s="1">
        <v>1.119</v>
      </c>
      <c r="G80" s="1">
        <v>3.5999999999999997E-2</v>
      </c>
      <c r="H80" s="1">
        <v>0.23799999999999999</v>
      </c>
      <c r="I80" s="1">
        <v>0.62</v>
      </c>
      <c r="J80" s="1">
        <v>1.399</v>
      </c>
      <c r="K80" s="1">
        <v>1E-3</v>
      </c>
      <c r="L80" s="1">
        <v>85.941999999999993</v>
      </c>
      <c r="M80" s="1">
        <v>-15447.4</v>
      </c>
      <c r="N80" s="1">
        <v>-26377</v>
      </c>
      <c r="O80" s="1">
        <v>-26</v>
      </c>
      <c r="P80" s="1" t="s">
        <v>49</v>
      </c>
      <c r="Q80" s="1" t="s">
        <v>49</v>
      </c>
      <c r="R80" s="1" t="s">
        <v>51</v>
      </c>
      <c r="S80" s="1">
        <v>4602.3900000000003</v>
      </c>
      <c r="T80" s="1">
        <v>9.4109999999999996</v>
      </c>
      <c r="U80" s="1">
        <v>96</v>
      </c>
      <c r="V80" s="1" t="s">
        <v>208</v>
      </c>
      <c r="X80" s="8">
        <f t="shared" si="11"/>
        <v>0.86094069529652351</v>
      </c>
      <c r="Y80" s="4">
        <f t="shared" si="10"/>
        <v>0.77660649894188305</v>
      </c>
      <c r="Z80" s="2">
        <f t="shared" si="12"/>
        <v>1.0460253064306899</v>
      </c>
    </row>
    <row r="81" spans="1:26" x14ac:dyDescent="0.3">
      <c r="A81" s="1" t="s">
        <v>209</v>
      </c>
      <c r="B81" s="1" t="s">
        <v>51</v>
      </c>
      <c r="C81" s="1">
        <v>12.602</v>
      </c>
      <c r="D81" s="1">
        <v>10.08</v>
      </c>
      <c r="E81" s="1">
        <v>0.10100000000000001</v>
      </c>
      <c r="F81" s="1">
        <v>0.30299999999999999</v>
      </c>
      <c r="G81" s="1">
        <v>0.21</v>
      </c>
      <c r="H81" s="1">
        <v>7.4999999999999997E-2</v>
      </c>
      <c r="I81" s="1">
        <v>0.309</v>
      </c>
      <c r="J81" s="1">
        <v>0.41499999999999998</v>
      </c>
      <c r="K81" s="1">
        <v>2.3E-2</v>
      </c>
      <c r="L81" s="1">
        <v>24.117999999999999</v>
      </c>
      <c r="M81" s="1">
        <v>-15498</v>
      </c>
      <c r="N81" s="1">
        <v>-26377</v>
      </c>
      <c r="O81" s="1">
        <v>-26</v>
      </c>
      <c r="P81" s="1" t="s">
        <v>49</v>
      </c>
      <c r="Q81" s="1" t="s">
        <v>49</v>
      </c>
      <c r="R81" s="1" t="s">
        <v>51</v>
      </c>
      <c r="S81" s="1">
        <v>4652.97</v>
      </c>
      <c r="T81" s="1">
        <v>2.6589999999999998</v>
      </c>
      <c r="U81" s="1">
        <v>97</v>
      </c>
      <c r="V81" s="1" t="s">
        <v>210</v>
      </c>
      <c r="X81" s="8">
        <f t="shared" si="11"/>
        <v>0.79345603271983633</v>
      </c>
      <c r="Y81" s="4">
        <f t="shared" si="10"/>
        <v>0.73818699837638402</v>
      </c>
      <c r="Z81" s="2">
        <f t="shared" si="12"/>
        <v>0.89316483060528051</v>
      </c>
    </row>
    <row r="82" spans="1:26" x14ac:dyDescent="0.3">
      <c r="A82" s="1" t="s">
        <v>211</v>
      </c>
      <c r="B82" s="1" t="s">
        <v>51</v>
      </c>
      <c r="C82" s="1">
        <v>67.721000000000004</v>
      </c>
      <c r="D82" s="1">
        <v>14.364000000000001</v>
      </c>
      <c r="E82" s="1">
        <v>5.6000000000000001E-2</v>
      </c>
      <c r="F82" s="1">
        <v>1.024</v>
      </c>
      <c r="G82" s="1">
        <v>0.03</v>
      </c>
      <c r="H82" s="1">
        <v>0.223</v>
      </c>
      <c r="I82" s="1">
        <v>0.497</v>
      </c>
      <c r="J82" s="1">
        <v>1.492</v>
      </c>
      <c r="K82" s="1">
        <v>8.0000000000000002E-3</v>
      </c>
      <c r="L82" s="1">
        <v>85.414000000000001</v>
      </c>
      <c r="M82" s="1">
        <v>-15548.5</v>
      </c>
      <c r="N82" s="1">
        <v>-26377</v>
      </c>
      <c r="O82" s="1">
        <v>-26</v>
      </c>
      <c r="P82" s="1" t="s">
        <v>49</v>
      </c>
      <c r="Q82" s="1" t="s">
        <v>49</v>
      </c>
      <c r="R82" s="1" t="s">
        <v>51</v>
      </c>
      <c r="S82" s="1">
        <v>4703.55</v>
      </c>
      <c r="T82" s="1">
        <v>9.3320000000000007</v>
      </c>
      <c r="U82" s="1">
        <v>98</v>
      </c>
      <c r="V82" s="1" t="s">
        <v>212</v>
      </c>
      <c r="X82" s="8">
        <f t="shared" si="11"/>
        <v>0.88548057259713697</v>
      </c>
      <c r="Y82" s="4">
        <f t="shared" si="10"/>
        <v>0.78952436357513045</v>
      </c>
      <c r="Z82" s="2">
        <f t="shared" si="12"/>
        <v>1.1159566698117918</v>
      </c>
    </row>
    <row r="83" spans="1:26" x14ac:dyDescent="0.3">
      <c r="A83" s="1" t="s">
        <v>213</v>
      </c>
      <c r="B83" s="1" t="s">
        <v>51</v>
      </c>
      <c r="C83" s="1">
        <v>65.897000000000006</v>
      </c>
      <c r="D83" s="1">
        <v>14.17</v>
      </c>
      <c r="E83" s="1">
        <v>5.6000000000000001E-2</v>
      </c>
      <c r="F83" s="1">
        <v>1.1140000000000001</v>
      </c>
      <c r="G83" s="1">
        <v>3.5999999999999997E-2</v>
      </c>
      <c r="H83" s="1">
        <v>0.214</v>
      </c>
      <c r="I83" s="1">
        <v>0.495</v>
      </c>
      <c r="J83" s="1">
        <v>1.413</v>
      </c>
      <c r="K83" s="1">
        <v>3.0000000000000001E-3</v>
      </c>
      <c r="L83" s="1">
        <v>83.397000000000006</v>
      </c>
      <c r="M83" s="1">
        <v>-15599.1</v>
      </c>
      <c r="N83" s="1">
        <v>-26377</v>
      </c>
      <c r="O83" s="1">
        <v>-26</v>
      </c>
      <c r="P83" s="1" t="s">
        <v>49</v>
      </c>
      <c r="Q83" s="1" t="s">
        <v>49</v>
      </c>
      <c r="R83" s="1" t="s">
        <v>51</v>
      </c>
      <c r="S83" s="1">
        <v>4754.12</v>
      </c>
      <c r="T83" s="1">
        <v>9.1210000000000004</v>
      </c>
      <c r="U83" s="1">
        <v>99</v>
      </c>
      <c r="V83" s="1" t="s">
        <v>214</v>
      </c>
      <c r="X83" s="8">
        <f t="shared" si="11"/>
        <v>0.88548057259713697</v>
      </c>
      <c r="Y83" s="4">
        <f t="shared" si="10"/>
        <v>0.78952436357513045</v>
      </c>
      <c r="Z83" s="2">
        <f t="shared" si="12"/>
        <v>1.1159566698117918</v>
      </c>
    </row>
    <row r="84" spans="1:26" x14ac:dyDescent="0.3">
      <c r="A84" s="1" t="s">
        <v>215</v>
      </c>
      <c r="B84" s="1" t="s">
        <v>51</v>
      </c>
      <c r="C84" s="1">
        <v>67.944999999999993</v>
      </c>
      <c r="D84" s="1">
        <v>14.737</v>
      </c>
      <c r="E84" s="1">
        <v>4.1000000000000002E-2</v>
      </c>
      <c r="F84" s="1">
        <v>1.117</v>
      </c>
      <c r="G84" s="1">
        <v>3.4000000000000002E-2</v>
      </c>
      <c r="H84" s="1">
        <v>0.22900000000000001</v>
      </c>
      <c r="I84" s="1">
        <v>0.57199999999999995</v>
      </c>
      <c r="J84" s="1">
        <v>1.41</v>
      </c>
      <c r="K84" s="1">
        <v>1.4E-2</v>
      </c>
      <c r="L84" s="1">
        <v>86.099000000000004</v>
      </c>
      <c r="M84" s="1">
        <v>-15649.7</v>
      </c>
      <c r="N84" s="1">
        <v>-26377</v>
      </c>
      <c r="O84" s="1">
        <v>-26</v>
      </c>
      <c r="P84" s="1" t="s">
        <v>49</v>
      </c>
      <c r="Q84" s="1" t="s">
        <v>49</v>
      </c>
      <c r="R84" s="1" t="s">
        <v>51</v>
      </c>
      <c r="S84" s="1">
        <v>4804.7</v>
      </c>
      <c r="T84" s="1">
        <v>9.4209999999999994</v>
      </c>
      <c r="U84" s="1">
        <v>100</v>
      </c>
      <c r="V84" s="1" t="s">
        <v>216</v>
      </c>
      <c r="X84" s="8">
        <f t="shared" si="11"/>
        <v>0.91615541922290389</v>
      </c>
      <c r="Y84" s="4">
        <f t="shared" si="10"/>
        <v>0.80490025828166223</v>
      </c>
      <c r="Z84" s="2">
        <f t="shared" si="12"/>
        <v>1.2224474489718995</v>
      </c>
    </row>
    <row r="85" spans="1:26" x14ac:dyDescent="0.3">
      <c r="A85" s="1" t="s">
        <v>217</v>
      </c>
      <c r="B85" s="1" t="s">
        <v>51</v>
      </c>
      <c r="C85" s="1">
        <v>65.153999999999996</v>
      </c>
      <c r="D85" s="1">
        <v>13.731</v>
      </c>
      <c r="E85" s="1">
        <v>7.4999999999999997E-2</v>
      </c>
      <c r="F85" s="1">
        <v>1.2709999999999999</v>
      </c>
      <c r="G85" s="1">
        <v>4.2000000000000003E-2</v>
      </c>
      <c r="H85" s="1">
        <v>0.218</v>
      </c>
      <c r="I85" s="1">
        <v>0.55300000000000005</v>
      </c>
      <c r="J85" s="1">
        <v>1.8029999999999999</v>
      </c>
      <c r="K85" s="1">
        <v>3.2000000000000001E-2</v>
      </c>
      <c r="L85" s="1">
        <v>82.879000000000005</v>
      </c>
      <c r="M85" s="1">
        <v>-15700.3</v>
      </c>
      <c r="N85" s="1">
        <v>-26377</v>
      </c>
      <c r="O85" s="1">
        <v>-26</v>
      </c>
      <c r="P85" s="1" t="s">
        <v>49</v>
      </c>
      <c r="Q85" s="1" t="s">
        <v>49</v>
      </c>
      <c r="R85" s="1" t="s">
        <v>51</v>
      </c>
      <c r="S85" s="1">
        <v>4855.2700000000004</v>
      </c>
      <c r="T85" s="1">
        <v>9.08</v>
      </c>
      <c r="U85" s="1">
        <v>101</v>
      </c>
      <c r="V85" s="1" t="s">
        <v>218</v>
      </c>
      <c r="X85" s="8">
        <f t="shared" si="11"/>
        <v>0.84662576687116564</v>
      </c>
      <c r="Y85" s="4">
        <f t="shared" si="10"/>
        <v>0.76881411226999119</v>
      </c>
      <c r="Z85" s="2">
        <f t="shared" si="12"/>
        <v>1.0095461570404889</v>
      </c>
    </row>
    <row r="86" spans="1:26" x14ac:dyDescent="0.3">
      <c r="A86" s="1" t="s">
        <v>219</v>
      </c>
      <c r="B86" s="1" t="s">
        <v>51</v>
      </c>
      <c r="C86" s="1">
        <v>67.86</v>
      </c>
      <c r="D86" s="1">
        <v>14.709</v>
      </c>
      <c r="E86" s="1">
        <v>5.7000000000000002E-2</v>
      </c>
      <c r="F86" s="1">
        <v>1.1559999999999999</v>
      </c>
      <c r="G86" s="1">
        <v>3.5999999999999997E-2</v>
      </c>
      <c r="H86" s="1">
        <v>0.21199999999999999</v>
      </c>
      <c r="I86" s="1">
        <v>0.51100000000000001</v>
      </c>
      <c r="J86" s="1">
        <v>1.476</v>
      </c>
      <c r="K86" s="1">
        <v>7.0000000000000001E-3</v>
      </c>
      <c r="L86" s="1">
        <v>86.024000000000001</v>
      </c>
      <c r="M86" s="1">
        <v>-15750.9</v>
      </c>
      <c r="N86" s="1">
        <v>-26377</v>
      </c>
      <c r="O86" s="1">
        <v>-26</v>
      </c>
      <c r="P86" s="1" t="s">
        <v>49</v>
      </c>
      <c r="Q86" s="1" t="s">
        <v>49</v>
      </c>
      <c r="R86" s="1" t="s">
        <v>51</v>
      </c>
      <c r="S86" s="1">
        <v>4905.8500000000004</v>
      </c>
      <c r="T86" s="1">
        <v>9.4079999999999995</v>
      </c>
      <c r="U86" s="1">
        <v>102</v>
      </c>
      <c r="V86" s="1" t="s">
        <v>220</v>
      </c>
      <c r="X86" s="8">
        <f t="shared" si="11"/>
        <v>0.8834355828220859</v>
      </c>
      <c r="Y86" s="4">
        <f t="shared" si="10"/>
        <v>0.78846897487770129</v>
      </c>
      <c r="Z86" s="2">
        <f t="shared" si="12"/>
        <v>1.1097040710822426</v>
      </c>
    </row>
    <row r="87" spans="1:26" x14ac:dyDescent="0.3">
      <c r="A87" s="1" t="s">
        <v>221</v>
      </c>
      <c r="B87" s="1" t="s">
        <v>51</v>
      </c>
      <c r="C87" s="1">
        <v>68.41</v>
      </c>
      <c r="D87" s="1">
        <v>14.714</v>
      </c>
      <c r="E87" s="1">
        <v>9.2999999999999999E-2</v>
      </c>
      <c r="F87" s="1">
        <v>1.141</v>
      </c>
      <c r="G87" s="1">
        <v>3.7999999999999999E-2</v>
      </c>
      <c r="H87" s="1">
        <v>0.22900000000000001</v>
      </c>
      <c r="I87" s="1">
        <v>0.52</v>
      </c>
      <c r="J87" s="1">
        <v>1.472</v>
      </c>
      <c r="K87" s="1">
        <v>2.1999999999999999E-2</v>
      </c>
      <c r="L87" s="1">
        <v>86.638999999999996</v>
      </c>
      <c r="M87" s="1">
        <v>-15801.4</v>
      </c>
      <c r="N87" s="1">
        <v>-26377</v>
      </c>
      <c r="O87" s="1">
        <v>-26</v>
      </c>
      <c r="P87" s="1" t="s">
        <v>49</v>
      </c>
      <c r="Q87" s="1" t="s">
        <v>49</v>
      </c>
      <c r="R87" s="1" t="s">
        <v>51</v>
      </c>
      <c r="S87" s="1">
        <v>4956.42</v>
      </c>
      <c r="T87" s="1">
        <v>9.4749999999999996</v>
      </c>
      <c r="U87" s="1">
        <v>103</v>
      </c>
      <c r="V87" s="1" t="s">
        <v>222</v>
      </c>
      <c r="X87" s="8">
        <f t="shared" si="11"/>
        <v>0.80981595092024539</v>
      </c>
      <c r="Y87" s="4">
        <f t="shared" si="10"/>
        <v>0.7478955068858002</v>
      </c>
      <c r="Z87" s="2">
        <f t="shared" si="12"/>
        <v>0.92633452027860541</v>
      </c>
    </row>
    <row r="88" spans="1:26" x14ac:dyDescent="0.3">
      <c r="A88" s="1" t="s">
        <v>223</v>
      </c>
      <c r="B88" s="1" t="s">
        <v>51</v>
      </c>
      <c r="C88" s="1">
        <v>68.085999999999999</v>
      </c>
      <c r="D88" s="1">
        <v>14.515000000000001</v>
      </c>
      <c r="E88" s="1">
        <v>4.2999999999999997E-2</v>
      </c>
      <c r="F88" s="1">
        <v>0.92400000000000004</v>
      </c>
      <c r="G88" s="1">
        <v>2.8000000000000001E-2</v>
      </c>
      <c r="H88" s="1">
        <v>0.22700000000000001</v>
      </c>
      <c r="I88" s="1">
        <v>0.52800000000000002</v>
      </c>
      <c r="J88" s="1">
        <v>1.478</v>
      </c>
      <c r="K88" s="1">
        <v>1.2999999999999999E-2</v>
      </c>
      <c r="L88" s="1">
        <v>85.843000000000004</v>
      </c>
      <c r="M88" s="1">
        <v>-15852</v>
      </c>
      <c r="N88" s="1">
        <v>-26377</v>
      </c>
      <c r="O88" s="1">
        <v>-27</v>
      </c>
      <c r="P88" s="1" t="s">
        <v>49</v>
      </c>
      <c r="Q88" s="1" t="s">
        <v>49</v>
      </c>
      <c r="R88" s="1" t="s">
        <v>51</v>
      </c>
      <c r="S88" s="1">
        <v>5007</v>
      </c>
      <c r="T88" s="1">
        <v>9.3759999999999994</v>
      </c>
      <c r="U88" s="1">
        <v>104</v>
      </c>
      <c r="V88" s="1" t="s">
        <v>224</v>
      </c>
      <c r="X88" s="8">
        <f t="shared" si="11"/>
        <v>0.91206543967280163</v>
      </c>
      <c r="Y88" s="4">
        <f t="shared" si="10"/>
        <v>0.80289910177630019</v>
      </c>
      <c r="Z88" s="2">
        <f t="shared" si="12"/>
        <v>1.2066034781205106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"/>
  <sheetViews>
    <sheetView workbookViewId="0"/>
  </sheetViews>
  <sheetFormatPr baseColWidth="10" defaultRowHeight="14" x14ac:dyDescent="0.3"/>
  <cols>
    <col min="1" max="3" width="10.90625" style="1"/>
    <col min="4" max="4" width="31.7265625" style="2" customWidth="1"/>
    <col min="5" max="5" width="11.08984375" style="2" customWidth="1"/>
    <col min="6" max="6" width="3.90625" style="1" customWidth="1"/>
    <col min="7" max="9" width="10.90625" style="1"/>
    <col min="10" max="10" width="21.54296875" style="3" customWidth="1"/>
    <col min="11" max="11" width="12.08984375" style="3" customWidth="1"/>
    <col min="12" max="12" width="2.54296875" style="1" customWidth="1"/>
    <col min="13" max="18" width="10.90625" style="1"/>
    <col min="19" max="19" width="3" style="1" customWidth="1"/>
    <col min="20" max="21" width="10.90625" style="1"/>
    <col min="22" max="22" width="20.6328125" style="1" customWidth="1"/>
    <col min="23" max="23" width="20.453125" style="1" customWidth="1"/>
    <col min="24" max="16384" width="10.90625" style="1"/>
  </cols>
  <sheetData>
    <row r="1" spans="1:24" x14ac:dyDescent="0.3">
      <c r="A1" s="5" t="s">
        <v>317</v>
      </c>
    </row>
    <row r="2" spans="1:24" x14ac:dyDescent="0.3">
      <c r="A2" s="5"/>
    </row>
    <row r="3" spans="1:24" s="5" customFormat="1" x14ac:dyDescent="0.3">
      <c r="A3" s="5" t="s">
        <v>3</v>
      </c>
      <c r="D3" s="10"/>
      <c r="E3" s="10"/>
      <c r="G3" s="5" t="s">
        <v>4</v>
      </c>
      <c r="J3" s="6"/>
      <c r="K3" s="6"/>
      <c r="M3" s="5" t="s">
        <v>5</v>
      </c>
      <c r="T3" s="5" t="s">
        <v>10</v>
      </c>
    </row>
    <row r="4" spans="1:24" s="5" customFormat="1" x14ac:dyDescent="0.3">
      <c r="A4" s="5" t="s">
        <v>6</v>
      </c>
      <c r="D4" s="10"/>
      <c r="E4" s="10"/>
      <c r="G4" s="5" t="s">
        <v>6</v>
      </c>
      <c r="J4" s="6"/>
      <c r="K4" s="6"/>
      <c r="M4" s="5" t="s">
        <v>7</v>
      </c>
      <c r="T4" s="5" t="s">
        <v>11</v>
      </c>
    </row>
    <row r="5" spans="1:24" s="5" customFormat="1" ht="17.5" x14ac:dyDescent="0.4">
      <c r="A5" s="5" t="s">
        <v>0</v>
      </c>
      <c r="B5" s="5" t="s">
        <v>1</v>
      </c>
      <c r="C5" s="5" t="s">
        <v>2</v>
      </c>
      <c r="D5" s="10" t="s">
        <v>228</v>
      </c>
      <c r="E5" s="10" t="s">
        <v>9</v>
      </c>
      <c r="G5" s="5" t="s">
        <v>0</v>
      </c>
      <c r="H5" s="5" t="s">
        <v>1</v>
      </c>
      <c r="I5" s="5" t="s">
        <v>2</v>
      </c>
      <c r="J5" s="6" t="s">
        <v>232</v>
      </c>
      <c r="K5" s="10" t="s">
        <v>9</v>
      </c>
      <c r="M5" s="5" t="s">
        <v>0</v>
      </c>
      <c r="N5" s="5" t="s">
        <v>1</v>
      </c>
      <c r="O5" s="5" t="s">
        <v>2</v>
      </c>
      <c r="P5" s="5" t="s">
        <v>8</v>
      </c>
      <c r="Q5" s="5" t="s">
        <v>229</v>
      </c>
      <c r="R5" s="10" t="s">
        <v>9</v>
      </c>
      <c r="T5" s="5" t="s">
        <v>1</v>
      </c>
      <c r="U5" s="5" t="s">
        <v>2</v>
      </c>
      <c r="V5" s="5" t="s">
        <v>230</v>
      </c>
      <c r="W5" s="5" t="s">
        <v>231</v>
      </c>
      <c r="X5" s="10" t="s">
        <v>9</v>
      </c>
    </row>
    <row r="6" spans="1:24" x14ac:dyDescent="0.3">
      <c r="A6" s="1">
        <v>8.3114399999999993</v>
      </c>
      <c r="B6" s="1">
        <f>C6+273</f>
        <v>1073</v>
      </c>
      <c r="C6" s="1">
        <v>800</v>
      </c>
      <c r="D6" s="2">
        <f>(10^(-5.92))*EXP((-137.3/(A6*B6/1000)))</f>
        <v>2.4763262583037163E-13</v>
      </c>
      <c r="E6" s="2">
        <f>10000/B6</f>
        <v>9.3196644920782852</v>
      </c>
      <c r="G6" s="1">
        <v>8.3114399999999993</v>
      </c>
      <c r="H6" s="1">
        <f>I6+273</f>
        <v>1073</v>
      </c>
      <c r="I6" s="1">
        <v>800</v>
      </c>
      <c r="J6" s="3">
        <f>(10^(-5.18))*EXP((-125.7/(G6*H6/1000)))</f>
        <v>4.9969040206479315E-12</v>
      </c>
      <c r="K6" s="2">
        <f>10000/H6</f>
        <v>9.3196644920782852</v>
      </c>
      <c r="M6" s="1">
        <v>8.3114399999999993</v>
      </c>
      <c r="N6" s="1">
        <f>O6+273</f>
        <v>1073</v>
      </c>
      <c r="O6" s="1">
        <v>800</v>
      </c>
      <c r="P6" s="3">
        <f>(EXP(13.375+1.8875*1-((12939+3625.6*1)/N6)))*(EXP((-37.256+(75884/N6))*0.1))</f>
        <v>23.840427131363537</v>
      </c>
      <c r="Q6" s="3">
        <f>P6/10^12</f>
        <v>2.3840427131363538E-11</v>
      </c>
      <c r="R6" s="2">
        <f>10000/N6</f>
        <v>9.3196644920782852</v>
      </c>
      <c r="T6" s="1">
        <f>U6+273</f>
        <v>1073</v>
      </c>
      <c r="U6" s="1">
        <v>800</v>
      </c>
      <c r="X6" s="2">
        <f>10000/T6</f>
        <v>9.3196644920782852</v>
      </c>
    </row>
    <row r="7" spans="1:24" x14ac:dyDescent="0.3">
      <c r="A7" s="1">
        <v>8.3114399999999993</v>
      </c>
      <c r="B7" s="1">
        <f>C7+273</f>
        <v>1173</v>
      </c>
      <c r="C7" s="1">
        <v>900</v>
      </c>
      <c r="D7" s="2">
        <f>(10^(-5.92))*EXP((-137.3/(A7*B7/1000)))</f>
        <v>9.2005908412157112E-13</v>
      </c>
      <c r="E7" s="2">
        <f>10000/B7</f>
        <v>8.5251491901108274</v>
      </c>
      <c r="G7" s="1">
        <v>8.3114399999999993</v>
      </c>
      <c r="H7" s="1">
        <f>I7+273</f>
        <v>1173</v>
      </c>
      <c r="I7" s="1">
        <v>900</v>
      </c>
      <c r="J7" s="3">
        <f>(10^(-5.18))*EXP((-125.7/(G7*H7/1000)))</f>
        <v>1.6616933397261735E-11</v>
      </c>
      <c r="K7" s="2">
        <f>10000/H7</f>
        <v>8.5251491901108274</v>
      </c>
      <c r="M7" s="1">
        <v>8.3114399999999993</v>
      </c>
      <c r="N7" s="1">
        <f>O7+273</f>
        <v>1173</v>
      </c>
      <c r="O7" s="1">
        <v>900</v>
      </c>
      <c r="P7" s="3">
        <f>(EXP(13.375+1.8875*1-((12939+3625.6*1)/N7)))*(EXP((-37.256+(75884/N7))*0.1))</f>
        <v>48.645318895547781</v>
      </c>
      <c r="Q7" s="3">
        <f>P7/10^12</f>
        <v>4.8645318895547781E-11</v>
      </c>
      <c r="R7" s="2">
        <f>10000/N7</f>
        <v>8.5251491901108274</v>
      </c>
      <c r="T7" s="1">
        <f>U7+273</f>
        <v>1173</v>
      </c>
      <c r="U7" s="1">
        <v>900</v>
      </c>
      <c r="V7" s="3">
        <v>2.6200000000000003E-10</v>
      </c>
      <c r="W7" s="3">
        <v>1.15E-10</v>
      </c>
      <c r="X7" s="2">
        <f>10000/T7</f>
        <v>8.5251491901108274</v>
      </c>
    </row>
    <row r="8" spans="1:24" x14ac:dyDescent="0.3">
      <c r="A8" s="1">
        <v>8.3114399999999993</v>
      </c>
      <c r="B8" s="1">
        <f>C8+273</f>
        <v>1273</v>
      </c>
      <c r="C8" s="1">
        <v>1000</v>
      </c>
      <c r="D8" s="2">
        <f>(10^(-5.92))*EXP((-137.3/(A8*B8/1000)))</f>
        <v>2.7814425851497208E-12</v>
      </c>
      <c r="E8" s="2">
        <f>10000/B8</f>
        <v>7.8554595443833461</v>
      </c>
      <c r="G8" s="1">
        <v>8.3114399999999993</v>
      </c>
      <c r="H8" s="1">
        <f>I8+273</f>
        <v>1273</v>
      </c>
      <c r="I8" s="1">
        <v>1000</v>
      </c>
      <c r="J8" s="3">
        <f>(10^(-5.18))*EXP((-125.7/(G8*H8/1000)))</f>
        <v>4.5752343016120315E-11</v>
      </c>
      <c r="K8" s="2">
        <f>10000/H8</f>
        <v>7.8554595443833461</v>
      </c>
      <c r="M8" s="1">
        <v>8.3114399999999993</v>
      </c>
      <c r="N8" s="1">
        <f>O8+273</f>
        <v>1273</v>
      </c>
      <c r="O8" s="1">
        <v>1000</v>
      </c>
      <c r="P8" s="3">
        <f>(EXP(13.375+1.8875*1-((12939+3625.6*1)/N8)))*(EXP((-37.256+(75884/N8))*0.1))</f>
        <v>88.737484950575251</v>
      </c>
      <c r="Q8" s="3">
        <f>P8/10^12</f>
        <v>8.8737484950575245E-11</v>
      </c>
      <c r="R8" s="2">
        <f>10000/N8</f>
        <v>7.8554595443833461</v>
      </c>
      <c r="T8" s="1">
        <f>U8+273</f>
        <v>1273</v>
      </c>
      <c r="U8" s="1">
        <v>1000</v>
      </c>
      <c r="X8" s="2">
        <f>10000/T8</f>
        <v>7.8554595443833461</v>
      </c>
    </row>
    <row r="9" spans="1:24" x14ac:dyDescent="0.3">
      <c r="A9" s="1">
        <v>8.3114399999999993</v>
      </c>
      <c r="B9" s="1">
        <f>C9+273</f>
        <v>1373</v>
      </c>
      <c r="C9" s="1">
        <v>1100</v>
      </c>
      <c r="D9" s="2">
        <f>(10^(-5.92))*EXP((-137.3/(A9*B9/1000)))</f>
        <v>7.1571218297466955E-12</v>
      </c>
      <c r="E9" s="2">
        <f>10000/B9</f>
        <v>7.2833211944646763</v>
      </c>
      <c r="G9" s="1">
        <v>8.3114399999999993</v>
      </c>
      <c r="H9" s="1">
        <f>I9+273</f>
        <v>1373</v>
      </c>
      <c r="I9" s="1">
        <v>1100</v>
      </c>
      <c r="J9" s="3">
        <f>(10^(-5.18))*EXP((-125.7/(G9*H9/1000)))</f>
        <v>1.0869325843564484E-10</v>
      </c>
      <c r="K9" s="2">
        <f>10000/H9</f>
        <v>7.2833211944646763</v>
      </c>
      <c r="M9" s="1">
        <v>8.3114399999999993</v>
      </c>
      <c r="N9" s="1">
        <f>O9+273</f>
        <v>1373</v>
      </c>
      <c r="O9" s="1">
        <v>1100</v>
      </c>
      <c r="P9" s="3">
        <f>(EXP(13.375+1.8875*1-((12939+3625.6*1)/N9)))*(EXP((-37.256+(75884/N9))*0.1))</f>
        <v>148.30118348035472</v>
      </c>
      <c r="Q9" s="3">
        <f>P9/10^12</f>
        <v>1.4830118348035473E-10</v>
      </c>
      <c r="R9" s="2">
        <f>10000/N9</f>
        <v>7.2833211944646763</v>
      </c>
      <c r="T9" s="1">
        <f>U9+273</f>
        <v>1373</v>
      </c>
      <c r="U9" s="1">
        <v>1100</v>
      </c>
      <c r="X9" s="2">
        <f>10000/T9</f>
        <v>7.2833211944646763</v>
      </c>
    </row>
    <row r="10" spans="1:24" x14ac:dyDescent="0.3">
      <c r="A10" s="1">
        <v>8.3114399999999993</v>
      </c>
      <c r="B10" s="1">
        <f>C10+273</f>
        <v>1473</v>
      </c>
      <c r="C10" s="1">
        <v>1200</v>
      </c>
      <c r="D10" s="2">
        <f>(10^(-5.92))*EXP((-137.3/(A10*B10/1000)))</f>
        <v>1.6198486226972894E-11</v>
      </c>
      <c r="E10" s="2">
        <f>10000/B10</f>
        <v>6.7888662593346911</v>
      </c>
      <c r="G10" s="1">
        <v>8.3114399999999993</v>
      </c>
      <c r="H10" s="1">
        <f>I10+273</f>
        <v>1473</v>
      </c>
      <c r="I10" s="1">
        <v>1200</v>
      </c>
      <c r="J10" s="3">
        <f>(10^(-5.18))*EXP((-125.7/(G10*H10/1000)))</f>
        <v>2.2959806065220827E-10</v>
      </c>
      <c r="K10" s="2">
        <f>10000/H10</f>
        <v>6.7888662593346911</v>
      </c>
      <c r="M10" s="1">
        <v>8.3114399999999993</v>
      </c>
      <c r="N10" s="1">
        <f>O10+273</f>
        <v>1473</v>
      </c>
      <c r="O10" s="1">
        <v>1200</v>
      </c>
      <c r="P10" s="3">
        <f>(EXP(13.375+1.8875*1-((12939+3625.6*1)/N10)))*(EXP((-37.256+(75884/N10))*0.1))</f>
        <v>231.15254679277604</v>
      </c>
      <c r="Q10" s="3">
        <f>P10/10^12</f>
        <v>2.3115254679277603E-10</v>
      </c>
      <c r="R10" s="2">
        <f>10000/N10</f>
        <v>6.7888662593346911</v>
      </c>
      <c r="T10" s="1">
        <f>U10+273</f>
        <v>1473</v>
      </c>
      <c r="U10" s="1">
        <v>1200</v>
      </c>
      <c r="X10" s="2">
        <f>10000/T10</f>
        <v>6.7888662593346911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7"/>
  <sheetViews>
    <sheetView workbookViewId="0">
      <selection activeCell="A2" sqref="A2"/>
    </sheetView>
  </sheetViews>
  <sheetFormatPr baseColWidth="10" defaultRowHeight="14" x14ac:dyDescent="0.3"/>
  <cols>
    <col min="1" max="7" width="10.90625" style="1"/>
    <col min="8" max="8" width="12.54296875" style="1" customWidth="1"/>
    <col min="9" max="9" width="13" style="1" customWidth="1"/>
    <col min="10" max="16384" width="10.90625" style="1"/>
  </cols>
  <sheetData>
    <row r="1" spans="1:30" x14ac:dyDescent="0.3">
      <c r="A1" s="5" t="s">
        <v>318</v>
      </c>
    </row>
    <row r="2" spans="1:30" x14ac:dyDescent="0.3">
      <c r="A2" s="1" t="s">
        <v>274</v>
      </c>
    </row>
    <row r="3" spans="1:30" x14ac:dyDescent="0.3">
      <c r="A3" s="1" t="s">
        <v>275</v>
      </c>
      <c r="I3" s="1" t="s">
        <v>276</v>
      </c>
      <c r="Q3" s="1" t="s">
        <v>277</v>
      </c>
      <c r="Y3" s="1" t="s">
        <v>278</v>
      </c>
    </row>
    <row r="4" spans="1:30" x14ac:dyDescent="0.3">
      <c r="A4" s="1" t="s">
        <v>279</v>
      </c>
      <c r="I4" s="1" t="s">
        <v>279</v>
      </c>
    </row>
    <row r="5" spans="1:30" x14ac:dyDescent="0.3">
      <c r="A5" s="1" t="s">
        <v>280</v>
      </c>
      <c r="I5" s="1" t="s">
        <v>280</v>
      </c>
      <c r="Q5" s="1" t="s">
        <v>280</v>
      </c>
      <c r="Y5" s="1" t="s">
        <v>280</v>
      </c>
    </row>
    <row r="6" spans="1:30" x14ac:dyDescent="0.3">
      <c r="A6" s="1" t="s">
        <v>281</v>
      </c>
      <c r="B6" s="1" t="s">
        <v>282</v>
      </c>
      <c r="C6" s="1">
        <v>1000</v>
      </c>
      <c r="D6" s="1">
        <v>2000</v>
      </c>
      <c r="E6" s="1">
        <v>5000</v>
      </c>
      <c r="F6" s="1">
        <v>10000</v>
      </c>
      <c r="I6" s="1" t="s">
        <v>281</v>
      </c>
      <c r="J6" s="1" t="s">
        <v>282</v>
      </c>
      <c r="K6" s="1">
        <v>1000</v>
      </c>
      <c r="L6" s="1">
        <v>2000</v>
      </c>
      <c r="M6" s="1">
        <v>5000</v>
      </c>
      <c r="N6" s="1">
        <v>10000</v>
      </c>
      <c r="Q6" s="1" t="s">
        <v>281</v>
      </c>
      <c r="R6" s="1" t="s">
        <v>282</v>
      </c>
      <c r="S6" s="1">
        <v>1000</v>
      </c>
      <c r="T6" s="1">
        <v>2000</v>
      </c>
      <c r="U6" s="1">
        <v>5000</v>
      </c>
      <c r="V6" s="1">
        <v>10000</v>
      </c>
      <c r="Y6" s="1" t="s">
        <v>281</v>
      </c>
      <c r="Z6" s="1" t="s">
        <v>282</v>
      </c>
      <c r="AA6" s="1">
        <v>1000</v>
      </c>
      <c r="AB6" s="1">
        <v>2000</v>
      </c>
      <c r="AC6" s="1">
        <v>5000</v>
      </c>
      <c r="AD6" s="1">
        <v>10000</v>
      </c>
    </row>
    <row r="7" spans="1:30" x14ac:dyDescent="0.3">
      <c r="A7" s="1">
        <v>25</v>
      </c>
      <c r="B7" s="1">
        <v>-59.744599999999998</v>
      </c>
      <c r="C7" s="1">
        <v>-59.087800000000001</v>
      </c>
      <c r="D7" s="1">
        <v>-58.384799999999998</v>
      </c>
      <c r="E7" s="1">
        <v>-56.189500000000002</v>
      </c>
      <c r="F7" s="1">
        <v>-52.493299999999998</v>
      </c>
      <c r="I7" s="1">
        <v>25</v>
      </c>
      <c r="J7" s="1">
        <v>-41.545499999999997</v>
      </c>
      <c r="K7" s="1">
        <v>-41.235799999999998</v>
      </c>
      <c r="L7" s="1">
        <v>-40.936700000000002</v>
      </c>
      <c r="M7" s="1">
        <v>-40.084600000000002</v>
      </c>
      <c r="N7" s="1">
        <v>-38.758299999999998</v>
      </c>
      <c r="Q7" s="1">
        <v>25</v>
      </c>
      <c r="R7" s="1">
        <v>-36.983400000000003</v>
      </c>
      <c r="S7" s="1">
        <v>-36.906700000000001</v>
      </c>
      <c r="T7" s="1">
        <v>-36.829900000000002</v>
      </c>
      <c r="U7" s="1">
        <v>-36.599600000000002</v>
      </c>
      <c r="V7" s="1">
        <v>-36.215699999999998</v>
      </c>
      <c r="Y7" s="1">
        <v>25</v>
      </c>
      <c r="Z7" s="1">
        <v>13.9948</v>
      </c>
      <c r="AA7" s="1">
        <v>13.6579</v>
      </c>
      <c r="AB7" s="1">
        <v>13.388400000000001</v>
      </c>
      <c r="AC7" s="1">
        <v>12.858000000000001</v>
      </c>
      <c r="AD7" s="1">
        <v>12.4039</v>
      </c>
    </row>
    <row r="8" spans="1:30" x14ac:dyDescent="0.3">
      <c r="A8" s="1">
        <v>100</v>
      </c>
      <c r="B8" s="1">
        <v>-45.167200000000001</v>
      </c>
      <c r="C8" s="1">
        <v>-44.606499999999997</v>
      </c>
      <c r="D8" s="1">
        <v>-44.003399999999999</v>
      </c>
      <c r="E8" s="1">
        <v>-42.107900000000001</v>
      </c>
      <c r="F8" s="1">
        <v>-38.911999999999999</v>
      </c>
      <c r="I8" s="1">
        <v>100</v>
      </c>
      <c r="J8" s="1">
        <v>-31.519400000000001</v>
      </c>
      <c r="K8" s="1">
        <v>-31.2623</v>
      </c>
      <c r="L8" s="1">
        <v>-31.014299999999999</v>
      </c>
      <c r="M8" s="1">
        <v>-30.309899999999999</v>
      </c>
      <c r="N8" s="1">
        <v>-29.22</v>
      </c>
      <c r="Q8" s="1">
        <v>100</v>
      </c>
      <c r="R8" s="1">
        <v>-28.565300000000001</v>
      </c>
      <c r="S8" s="1">
        <v>-28.504000000000001</v>
      </c>
      <c r="T8" s="1">
        <v>-28.442699999999999</v>
      </c>
      <c r="U8" s="1">
        <v>-28.258700000000001</v>
      </c>
      <c r="V8" s="1">
        <v>-27.952000000000002</v>
      </c>
      <c r="Y8" s="1">
        <v>100</v>
      </c>
      <c r="Z8" s="1">
        <v>12.264200000000001</v>
      </c>
      <c r="AA8" s="1">
        <v>11.957700000000001</v>
      </c>
      <c r="AB8" s="1">
        <v>11.7163</v>
      </c>
      <c r="AC8" s="1">
        <v>11.1928</v>
      </c>
      <c r="AD8" s="1">
        <v>10.648999999999999</v>
      </c>
    </row>
    <row r="9" spans="1:30" x14ac:dyDescent="0.3">
      <c r="A9" s="1">
        <v>200</v>
      </c>
      <c r="B9" s="1">
        <v>-33.072699999999998</v>
      </c>
      <c r="C9" s="1">
        <v>-32.525799999999997</v>
      </c>
      <c r="D9" s="1">
        <v>-31.972899999999999</v>
      </c>
      <c r="E9" s="1">
        <v>-30.314699999999998</v>
      </c>
      <c r="F9" s="1">
        <v>-27.602799999999998</v>
      </c>
      <c r="I9" s="1">
        <v>200</v>
      </c>
      <c r="J9" s="1">
        <v>-23.174800000000001</v>
      </c>
      <c r="K9" s="1">
        <v>-22.956299999999999</v>
      </c>
      <c r="L9" s="1">
        <v>-22.745999999999999</v>
      </c>
      <c r="M9" s="1">
        <v>-22.157599999999999</v>
      </c>
      <c r="N9" s="1">
        <v>-21.260999999999999</v>
      </c>
      <c r="Q9" s="1">
        <v>200</v>
      </c>
      <c r="R9" s="1">
        <v>-21.5138</v>
      </c>
      <c r="S9" s="1">
        <v>-21.466200000000001</v>
      </c>
      <c r="T9" s="1">
        <v>-21.4178</v>
      </c>
      <c r="U9" s="1">
        <v>-21.2727</v>
      </c>
      <c r="V9" s="1">
        <v>-21.030799999999999</v>
      </c>
      <c r="Y9" s="1">
        <v>200</v>
      </c>
      <c r="Z9" s="1">
        <v>11.2879</v>
      </c>
      <c r="AA9" s="1">
        <v>10.854900000000001</v>
      </c>
      <c r="AB9" s="1">
        <v>10.558199999999999</v>
      </c>
      <c r="AC9" s="1">
        <v>9.9734999999999996</v>
      </c>
      <c r="AD9" s="1">
        <v>9.3781999999999996</v>
      </c>
    </row>
    <row r="10" spans="1:30" x14ac:dyDescent="0.3">
      <c r="A10" s="1">
        <v>300</v>
      </c>
      <c r="B10" s="1">
        <v>-25.522500000000001</v>
      </c>
      <c r="C10" s="1">
        <v>-24.827999999999999</v>
      </c>
      <c r="D10" s="1">
        <v>-24.247900000000001</v>
      </c>
      <c r="E10" s="1">
        <v>-22.684100000000001</v>
      </c>
      <c r="F10" s="1">
        <v>-20.273499999999999</v>
      </c>
      <c r="I10" s="1">
        <v>300</v>
      </c>
      <c r="J10" s="1">
        <v>-17.8004</v>
      </c>
      <c r="K10" s="1">
        <v>-17.606999999999999</v>
      </c>
      <c r="L10" s="1">
        <v>-17.415299999999998</v>
      </c>
      <c r="M10" s="1">
        <v>-16.8948</v>
      </c>
      <c r="N10" s="1">
        <v>-16.119800000000001</v>
      </c>
      <c r="Q10" s="1">
        <v>300</v>
      </c>
      <c r="R10" s="1">
        <v>-16.947099999999999</v>
      </c>
      <c r="S10" s="1">
        <v>-16.910499999999999</v>
      </c>
      <c r="T10" s="1">
        <v>-16.8706</v>
      </c>
      <c r="U10" s="1">
        <v>-16.750800000000002</v>
      </c>
      <c r="V10" s="1">
        <v>-16.551100000000002</v>
      </c>
      <c r="Y10" s="1">
        <v>300</v>
      </c>
      <c r="Z10" s="1">
        <v>11.406000000000001</v>
      </c>
      <c r="AA10" s="1">
        <v>10.504300000000001</v>
      </c>
      <c r="AB10" s="1">
        <v>10.048500000000001</v>
      </c>
      <c r="AC10" s="1">
        <v>9.2996999999999996</v>
      </c>
      <c r="AD10" s="1">
        <v>8.6188000000000002</v>
      </c>
    </row>
    <row r="11" spans="1:30" x14ac:dyDescent="0.3">
      <c r="A11" s="1">
        <v>400</v>
      </c>
      <c r="B11" s="1" t="s">
        <v>283</v>
      </c>
      <c r="C11" s="1">
        <v>-19.618400000000001</v>
      </c>
      <c r="D11" s="1">
        <v>-18.898599999999998</v>
      </c>
      <c r="E11" s="1">
        <v>-17.3172</v>
      </c>
      <c r="F11" s="1">
        <v>-15.0908</v>
      </c>
      <c r="I11" s="1">
        <v>400</v>
      </c>
      <c r="J11" s="1" t="s">
        <v>283</v>
      </c>
      <c r="K11" s="1">
        <v>-13.8935</v>
      </c>
      <c r="L11" s="1">
        <v>-13.7064</v>
      </c>
      <c r="M11" s="1">
        <v>-13.2256</v>
      </c>
      <c r="N11" s="1">
        <v>-12.5327</v>
      </c>
      <c r="Q11" s="1">
        <v>400</v>
      </c>
      <c r="R11" s="1" t="s">
        <v>283</v>
      </c>
      <c r="S11" s="1">
        <v>-13.7196</v>
      </c>
      <c r="T11" s="1">
        <v>-13.685499999999999</v>
      </c>
      <c r="U11" s="1">
        <v>-13.583500000000001</v>
      </c>
      <c r="V11" s="1">
        <v>-13.413500000000001</v>
      </c>
      <c r="Y11" s="1">
        <v>400</v>
      </c>
      <c r="Z11" s="1" t="s">
        <v>283</v>
      </c>
      <c r="AA11" s="1">
        <v>10.7849</v>
      </c>
      <c r="AB11" s="1">
        <v>9.9659999999999993</v>
      </c>
      <c r="AC11" s="1">
        <v>8.9440000000000008</v>
      </c>
      <c r="AD11" s="1">
        <v>8.1380999999999997</v>
      </c>
    </row>
    <row r="12" spans="1:30" x14ac:dyDescent="0.3">
      <c r="A12" s="1">
        <v>500</v>
      </c>
      <c r="B12" s="1" t="s">
        <v>283</v>
      </c>
      <c r="C12" s="1">
        <v>-16.132400000000001</v>
      </c>
      <c r="D12" s="1">
        <v>-15.010199999999999</v>
      </c>
      <c r="E12" s="1">
        <v>-13.306900000000001</v>
      </c>
      <c r="F12" s="1">
        <v>-11.188499999999999</v>
      </c>
      <c r="I12" s="1">
        <v>500</v>
      </c>
      <c r="J12" s="1" t="s">
        <v>283</v>
      </c>
      <c r="K12" s="1">
        <v>-11.1837</v>
      </c>
      <c r="L12" s="1">
        <v>-10.987399999999999</v>
      </c>
      <c r="M12" s="1">
        <v>-10.5274</v>
      </c>
      <c r="N12" s="1">
        <v>-9.8917999999999999</v>
      </c>
      <c r="Q12" s="1">
        <v>500</v>
      </c>
      <c r="R12" s="1" t="s">
        <v>283</v>
      </c>
      <c r="S12" s="1">
        <v>-11.361000000000001</v>
      </c>
      <c r="T12" s="1">
        <v>-11.3314</v>
      </c>
      <c r="U12" s="1">
        <v>-11.242599999999999</v>
      </c>
      <c r="V12" s="1">
        <v>-11.0945</v>
      </c>
      <c r="Y12" s="1">
        <v>500</v>
      </c>
      <c r="Z12" s="1" t="s">
        <v>283</v>
      </c>
      <c r="AA12" s="1">
        <v>11.8208</v>
      </c>
      <c r="AB12" s="1">
        <v>10.2142</v>
      </c>
      <c r="AC12" s="1">
        <v>8.7981999999999996</v>
      </c>
      <c r="AD12" s="1">
        <v>7.8369999999999997</v>
      </c>
    </row>
    <row r="13" spans="1:30" x14ac:dyDescent="0.3">
      <c r="A13" s="1">
        <v>600</v>
      </c>
      <c r="B13" s="1" t="s">
        <v>283</v>
      </c>
      <c r="C13" s="1">
        <v>-14.022600000000001</v>
      </c>
      <c r="D13" s="1">
        <v>-12.120200000000001</v>
      </c>
      <c r="E13" s="1">
        <v>-10.1997</v>
      </c>
      <c r="F13" s="1">
        <v>-8.1423000000000005</v>
      </c>
      <c r="I13" s="1">
        <v>600</v>
      </c>
      <c r="J13" s="1" t="s">
        <v>283</v>
      </c>
      <c r="K13" s="1">
        <v>-9.1348000000000003</v>
      </c>
      <c r="L13" s="1">
        <v>-8.9156999999999993</v>
      </c>
      <c r="M13" s="1">
        <v>-8.4638000000000009</v>
      </c>
      <c r="N13" s="1">
        <v>-7.8693</v>
      </c>
      <c r="Q13" s="1">
        <v>600</v>
      </c>
      <c r="R13" s="1" t="s">
        <v>283</v>
      </c>
      <c r="S13" s="1">
        <v>-9.5467999999999993</v>
      </c>
      <c r="T13" s="1">
        <v>-9.5206</v>
      </c>
      <c r="U13" s="1">
        <v>-9.4419000000000004</v>
      </c>
      <c r="V13" s="1">
        <v>-9.3109000000000002</v>
      </c>
      <c r="Y13" s="1">
        <v>600</v>
      </c>
      <c r="Z13" s="1" t="s">
        <v>283</v>
      </c>
      <c r="AA13" s="1">
        <v>13.406000000000001</v>
      </c>
      <c r="AB13" s="1">
        <v>10.7059</v>
      </c>
      <c r="AC13" s="1">
        <v>8.7956000000000003</v>
      </c>
      <c r="AD13" s="1">
        <v>7.6596000000000002</v>
      </c>
    </row>
    <row r="14" spans="1:30" x14ac:dyDescent="0.3">
      <c r="A14" s="1">
        <v>700</v>
      </c>
      <c r="B14" s="1" t="s">
        <v>283</v>
      </c>
      <c r="C14" s="1">
        <v>-12.4672</v>
      </c>
      <c r="D14" s="1">
        <v>-9.9176000000000002</v>
      </c>
      <c r="E14" s="1">
        <v>-7.7302</v>
      </c>
      <c r="F14" s="1">
        <v>-5.7125000000000004</v>
      </c>
      <c r="I14" s="1">
        <v>700</v>
      </c>
      <c r="J14" s="1" t="s">
        <v>283</v>
      </c>
      <c r="K14" s="1">
        <v>-7.5347</v>
      </c>
      <c r="L14" s="1">
        <v>-7.2888000000000002</v>
      </c>
      <c r="M14" s="1">
        <v>-6.8368000000000002</v>
      </c>
      <c r="N14" s="1">
        <v>-6.2727000000000004</v>
      </c>
      <c r="Q14" s="1">
        <v>700</v>
      </c>
      <c r="R14" s="1" t="s">
        <v>283</v>
      </c>
      <c r="S14" s="1">
        <v>-8.1085999999999991</v>
      </c>
      <c r="T14" s="1">
        <v>-8.0851000000000006</v>
      </c>
      <c r="U14" s="1">
        <v>-8.0145</v>
      </c>
      <c r="V14" s="1">
        <v>-7.8968999999999996</v>
      </c>
      <c r="Y14" s="1">
        <v>700</v>
      </c>
      <c r="Z14" s="1" t="s">
        <v>283</v>
      </c>
      <c r="AA14" s="1">
        <v>14.6892</v>
      </c>
      <c r="AB14" s="1">
        <v>11.3201</v>
      </c>
      <c r="AC14" s="1">
        <v>8.8880999999999997</v>
      </c>
      <c r="AD14" s="1">
        <v>7.5694999999999997</v>
      </c>
    </row>
    <row r="15" spans="1:30" x14ac:dyDescent="0.3">
      <c r="A15" s="1">
        <v>800</v>
      </c>
      <c r="B15" s="1" t="s">
        <v>283</v>
      </c>
      <c r="C15" s="1">
        <v>-10.937900000000001</v>
      </c>
      <c r="D15" s="1">
        <v>-8.1539999999999999</v>
      </c>
      <c r="E15" s="1">
        <v>-5.7272999999999996</v>
      </c>
      <c r="F15" s="1">
        <v>-3.7576999999999998</v>
      </c>
      <c r="I15" s="1">
        <v>800</v>
      </c>
      <c r="J15" s="1" t="s">
        <v>283</v>
      </c>
      <c r="K15" s="1">
        <v>-6.2468000000000004</v>
      </c>
      <c r="L15" s="1">
        <v>-5.9785000000000004</v>
      </c>
      <c r="M15" s="1">
        <v>-5.5225999999999997</v>
      </c>
      <c r="N15" s="1">
        <v>-4.9813999999999998</v>
      </c>
      <c r="Q15" s="1">
        <v>800</v>
      </c>
      <c r="R15" s="1" t="s">
        <v>283</v>
      </c>
      <c r="S15" s="1">
        <v>-6.9408000000000003</v>
      </c>
      <c r="T15" s="1">
        <v>-6.9195000000000002</v>
      </c>
      <c r="U15" s="1">
        <v>-6.8555000000000001</v>
      </c>
      <c r="V15" s="1">
        <v>-6.7488999999999999</v>
      </c>
      <c r="Y15" s="1">
        <v>800</v>
      </c>
      <c r="Z15" s="1" t="s">
        <v>283</v>
      </c>
      <c r="AA15" s="1">
        <v>15.5661</v>
      </c>
      <c r="AB15" s="1">
        <v>11.935</v>
      </c>
      <c r="AC15" s="1">
        <v>9.0403000000000002</v>
      </c>
      <c r="AD15" s="1">
        <v>7.5415999999999999</v>
      </c>
    </row>
    <row r="16" spans="1:30" x14ac:dyDescent="0.3">
      <c r="A16" s="1">
        <v>900</v>
      </c>
      <c r="B16" s="1" t="s">
        <v>283</v>
      </c>
      <c r="C16" s="1">
        <v>-9.4009</v>
      </c>
      <c r="D16" s="1">
        <v>-6.6562999999999999</v>
      </c>
      <c r="E16" s="1">
        <v>-4.0736999999999997</v>
      </c>
      <c r="F16" s="23">
        <v>-2.2042000000000002</v>
      </c>
      <c r="I16" s="1">
        <v>900</v>
      </c>
      <c r="J16" s="1" t="s">
        <v>283</v>
      </c>
      <c r="K16" s="1">
        <v>-5.1852999999999998</v>
      </c>
      <c r="L16" s="1">
        <v>-4.9005000000000001</v>
      </c>
      <c r="M16" s="1">
        <v>-4.4394999999999998</v>
      </c>
      <c r="N16" s="23">
        <v>-3.9161999999999999</v>
      </c>
      <c r="Q16" s="1">
        <v>900</v>
      </c>
      <c r="R16" s="1" t="s">
        <v>283</v>
      </c>
      <c r="S16" s="1">
        <v>-5.9740000000000002</v>
      </c>
      <c r="T16" s="1">
        <v>-5.9545000000000003</v>
      </c>
      <c r="U16" s="1">
        <v>-5.8959000000000001</v>
      </c>
      <c r="V16" s="23">
        <v>-5.7984</v>
      </c>
      <c r="Y16" s="1">
        <v>900</v>
      </c>
      <c r="Z16" s="1" t="s">
        <v>283</v>
      </c>
      <c r="AA16" s="1">
        <v>16.2103</v>
      </c>
      <c r="AB16" s="1">
        <v>12.487</v>
      </c>
      <c r="AC16" s="1">
        <v>9.2273999999999994</v>
      </c>
      <c r="AD16" s="23">
        <v>7.5579999999999998</v>
      </c>
    </row>
    <row r="17" spans="1:30" x14ac:dyDescent="0.3">
      <c r="A17" s="1">
        <v>1000</v>
      </c>
      <c r="B17" s="1" t="s">
        <v>283</v>
      </c>
      <c r="C17" s="1">
        <v>-7.9143999999999997</v>
      </c>
      <c r="D17" s="1">
        <v>-5.3288000000000002</v>
      </c>
      <c r="E17" s="1">
        <v>-2.6857000000000002</v>
      </c>
      <c r="F17" s="1">
        <v>-1.0497000000000001</v>
      </c>
      <c r="I17" s="1">
        <v>1000</v>
      </c>
      <c r="J17" s="1" t="s">
        <v>283</v>
      </c>
      <c r="K17" s="1">
        <v>-4.2942</v>
      </c>
      <c r="L17" s="1">
        <v>-3.9975999999999998</v>
      </c>
      <c r="M17" s="1">
        <v>-3.5318999999999998</v>
      </c>
      <c r="N17" s="1">
        <v>-3.0230999999999999</v>
      </c>
      <c r="Q17" s="1">
        <v>1000</v>
      </c>
      <c r="R17" s="1" t="s">
        <v>283</v>
      </c>
      <c r="S17" s="1">
        <v>-5.1605999999999996</v>
      </c>
      <c r="T17" s="1">
        <v>-5.1425999999999998</v>
      </c>
      <c r="U17" s="1">
        <v>-5.0887000000000002</v>
      </c>
      <c r="V17" s="1">
        <v>-4.9988000000000001</v>
      </c>
      <c r="Y17" s="1">
        <v>1000</v>
      </c>
      <c r="Z17" s="1" t="s">
        <v>283</v>
      </c>
      <c r="AA17" s="1">
        <v>16.722100000000001</v>
      </c>
      <c r="AB17" s="1">
        <v>12.9673</v>
      </c>
      <c r="AC17" s="1">
        <v>9.4323999999999995</v>
      </c>
      <c r="AD17" s="1">
        <v>7.6056999999999997</v>
      </c>
    </row>
    <row r="19" spans="1:30" x14ac:dyDescent="0.3">
      <c r="C19" s="5" t="s">
        <v>299</v>
      </c>
      <c r="I19" s="5" t="s">
        <v>304</v>
      </c>
      <c r="R19" s="5" t="s">
        <v>306</v>
      </c>
    </row>
    <row r="20" spans="1:30" x14ac:dyDescent="0.3">
      <c r="C20" s="5" t="s">
        <v>296</v>
      </c>
      <c r="D20" s="5" t="s">
        <v>297</v>
      </c>
      <c r="I20" s="5" t="s">
        <v>296</v>
      </c>
      <c r="J20" s="5" t="s">
        <v>297</v>
      </c>
      <c r="R20" s="5" t="s">
        <v>296</v>
      </c>
      <c r="S20" s="5" t="s">
        <v>297</v>
      </c>
    </row>
    <row r="21" spans="1:30" x14ac:dyDescent="0.3">
      <c r="C21" s="1" t="s">
        <v>36</v>
      </c>
      <c r="D21" s="8">
        <v>-3</v>
      </c>
      <c r="I21" s="1" t="s">
        <v>303</v>
      </c>
      <c r="J21" s="8">
        <v>1</v>
      </c>
      <c r="R21" s="1" t="s">
        <v>307</v>
      </c>
      <c r="S21" s="8">
        <v>-1</v>
      </c>
    </row>
    <row r="22" spans="1:30" x14ac:dyDescent="0.3">
      <c r="C22" s="1" t="s">
        <v>298</v>
      </c>
      <c r="D22" s="1">
        <v>-1</v>
      </c>
      <c r="I22" s="1" t="s">
        <v>301</v>
      </c>
      <c r="J22" s="8">
        <v>-1</v>
      </c>
      <c r="R22" s="1" t="s">
        <v>308</v>
      </c>
      <c r="S22" s="8">
        <v>-0.5</v>
      </c>
    </row>
    <row r="23" spans="1:30" x14ac:dyDescent="0.3">
      <c r="C23" s="1" t="s">
        <v>300</v>
      </c>
      <c r="D23" s="1">
        <v>-1</v>
      </c>
      <c r="I23" s="1" t="s">
        <v>305</v>
      </c>
      <c r="J23" s="8">
        <v>-0.5</v>
      </c>
      <c r="R23" s="1" t="s">
        <v>309</v>
      </c>
      <c r="S23" s="8">
        <v>1</v>
      </c>
    </row>
    <row r="24" spans="1:30" x14ac:dyDescent="0.3">
      <c r="C24" s="1" t="s">
        <v>301</v>
      </c>
      <c r="D24" s="1">
        <v>-2.5</v>
      </c>
    </row>
    <row r="25" spans="1:30" x14ac:dyDescent="0.3">
      <c r="C25" s="1" t="s">
        <v>302</v>
      </c>
      <c r="D25" s="1">
        <v>3</v>
      </c>
    </row>
    <row r="26" spans="1:30" x14ac:dyDescent="0.3">
      <c r="C26" s="1" t="s">
        <v>303</v>
      </c>
      <c r="D26" s="1">
        <v>3</v>
      </c>
    </row>
    <row r="29" spans="1:30" x14ac:dyDescent="0.3">
      <c r="B29" s="5" t="s">
        <v>310</v>
      </c>
      <c r="H29" s="5" t="s">
        <v>284</v>
      </c>
      <c r="I29" s="5" t="s">
        <v>285</v>
      </c>
      <c r="J29" s="5" t="s">
        <v>286</v>
      </c>
      <c r="M29" s="5" t="s">
        <v>314</v>
      </c>
      <c r="N29" s="5" t="s">
        <v>286</v>
      </c>
    </row>
    <row r="30" spans="1:30" x14ac:dyDescent="0.3">
      <c r="B30" s="1" t="s">
        <v>287</v>
      </c>
      <c r="G30" s="24">
        <f>F$16+G$34-2.5*G$31+3*G36</f>
        <v>0.4363880684827306</v>
      </c>
      <c r="H30" s="25">
        <f>10^G30</f>
        <v>2.731417379916929</v>
      </c>
      <c r="I30" s="25">
        <f>3*H30</f>
        <v>8.1942521397507875</v>
      </c>
      <c r="J30" s="24">
        <f>I30*32/10</f>
        <v>26.221606847202519</v>
      </c>
      <c r="M30" s="1">
        <f>G35</f>
        <v>5.5</v>
      </c>
      <c r="N30" s="24">
        <f>J30</f>
        <v>26.221606847202519</v>
      </c>
    </row>
    <row r="31" spans="1:30" x14ac:dyDescent="0.3">
      <c r="B31" s="1" t="s">
        <v>288</v>
      </c>
      <c r="G31" s="24">
        <f>N$16-0.5*G$33</f>
        <v>0.6322000000000001</v>
      </c>
      <c r="M31" s="1">
        <f>G45</f>
        <v>5</v>
      </c>
      <c r="N31" s="24">
        <f>J40</f>
        <v>19.700681327725409</v>
      </c>
    </row>
    <row r="32" spans="1:30" x14ac:dyDescent="0.3">
      <c r="B32" s="1" t="s">
        <v>289</v>
      </c>
      <c r="G32" s="26">
        <f>2*V$16</f>
        <v>-11.5968</v>
      </c>
      <c r="M32" s="1">
        <f>G55</f>
        <v>4.5</v>
      </c>
      <c r="N32" s="24">
        <f>J50</f>
        <v>14.361796687911824</v>
      </c>
    </row>
    <row r="33" spans="2:14" x14ac:dyDescent="0.3">
      <c r="B33" s="1" t="s">
        <v>290</v>
      </c>
      <c r="G33" s="26">
        <f>G$32+2.5</f>
        <v>-9.0968</v>
      </c>
      <c r="M33" s="1">
        <f>G65</f>
        <v>4</v>
      </c>
      <c r="N33" s="24">
        <f>J60</f>
        <v>10.086748839795419</v>
      </c>
    </row>
    <row r="34" spans="2:14" x14ac:dyDescent="0.3">
      <c r="B34" s="1" t="s">
        <v>291</v>
      </c>
      <c r="G34" s="1">
        <v>8</v>
      </c>
      <c r="M34" s="1">
        <f>G75</f>
        <v>3.5</v>
      </c>
      <c r="N34" s="24">
        <f>J70</f>
        <v>6.7573336954098178</v>
      </c>
    </row>
    <row r="35" spans="2:14" x14ac:dyDescent="0.3">
      <c r="B35" s="1" t="s">
        <v>292</v>
      </c>
      <c r="G35" s="5">
        <v>5.5</v>
      </c>
      <c r="H35" s="1" t="s">
        <v>293</v>
      </c>
    </row>
    <row r="36" spans="2:14" x14ac:dyDescent="0.3">
      <c r="B36" s="1" t="s">
        <v>294</v>
      </c>
      <c r="G36" s="1">
        <f>LOG10(G35/100)</f>
        <v>-1.2596373105057561</v>
      </c>
    </row>
    <row r="37" spans="2:14" x14ac:dyDescent="0.3">
      <c r="B37" s="1" t="s">
        <v>295</v>
      </c>
      <c r="G37" s="26">
        <f>AD$16/2</f>
        <v>3.7789999999999999</v>
      </c>
    </row>
    <row r="39" spans="2:14" x14ac:dyDescent="0.3">
      <c r="B39" s="5" t="s">
        <v>311</v>
      </c>
      <c r="H39" s="5" t="s">
        <v>284</v>
      </c>
      <c r="I39" s="5" t="s">
        <v>285</v>
      </c>
      <c r="J39" s="5" t="s">
        <v>286</v>
      </c>
    </row>
    <row r="40" spans="2:14" x14ac:dyDescent="0.3">
      <c r="B40" s="1" t="s">
        <v>287</v>
      </c>
      <c r="G40" s="24">
        <f>F$16+G$34-2.5*G$31+3*G46</f>
        <v>0.3122100130080554</v>
      </c>
      <c r="H40" s="25">
        <f>10^G40</f>
        <v>2.0521543049713968</v>
      </c>
      <c r="I40" s="25">
        <f>3*H40</f>
        <v>6.1564629149141901</v>
      </c>
      <c r="J40" s="24">
        <f>I40*32/10</f>
        <v>19.700681327725409</v>
      </c>
    </row>
    <row r="41" spans="2:14" x14ac:dyDescent="0.3">
      <c r="B41" s="1" t="s">
        <v>288</v>
      </c>
      <c r="G41" s="24">
        <f>N$16-0.5*G$33</f>
        <v>0.6322000000000001</v>
      </c>
    </row>
    <row r="42" spans="2:14" x14ac:dyDescent="0.3">
      <c r="B42" s="1" t="s">
        <v>289</v>
      </c>
      <c r="G42" s="26">
        <f>2*V$16</f>
        <v>-11.5968</v>
      </c>
    </row>
    <row r="43" spans="2:14" x14ac:dyDescent="0.3">
      <c r="B43" s="1" t="s">
        <v>290</v>
      </c>
      <c r="G43" s="26">
        <f>G$32+2.5</f>
        <v>-9.0968</v>
      </c>
    </row>
    <row r="44" spans="2:14" x14ac:dyDescent="0.3">
      <c r="B44" s="1" t="s">
        <v>291</v>
      </c>
      <c r="G44" s="1">
        <v>8</v>
      </c>
    </row>
    <row r="45" spans="2:14" x14ac:dyDescent="0.3">
      <c r="B45" s="1" t="s">
        <v>292</v>
      </c>
      <c r="G45" s="5">
        <v>5</v>
      </c>
      <c r="H45" s="1" t="s">
        <v>293</v>
      </c>
    </row>
    <row r="46" spans="2:14" x14ac:dyDescent="0.3">
      <c r="B46" s="1" t="s">
        <v>294</v>
      </c>
      <c r="G46" s="1">
        <f>LOG10(G45/100)</f>
        <v>-1.3010299956639813</v>
      </c>
    </row>
    <row r="47" spans="2:14" x14ac:dyDescent="0.3">
      <c r="B47" s="1" t="s">
        <v>295</v>
      </c>
      <c r="G47" s="26">
        <f>AD$16/2</f>
        <v>3.7789999999999999</v>
      </c>
    </row>
    <row r="49" spans="2:10" x14ac:dyDescent="0.3">
      <c r="B49" s="5" t="s">
        <v>312</v>
      </c>
      <c r="H49" s="5" t="s">
        <v>284</v>
      </c>
      <c r="I49" s="5" t="s">
        <v>285</v>
      </c>
      <c r="J49" s="5" t="s">
        <v>286</v>
      </c>
    </row>
    <row r="50" spans="2:10" x14ac:dyDescent="0.3">
      <c r="B50" s="1" t="s">
        <v>287</v>
      </c>
      <c r="G50" s="24">
        <f>F$16+G$34-2.5*G$31+3*G56</f>
        <v>0.17493754132603012</v>
      </c>
      <c r="H50" s="25">
        <f>10^G50</f>
        <v>1.4960204883241484</v>
      </c>
      <c r="I50" s="25">
        <f>3*H50</f>
        <v>4.4880614649724446</v>
      </c>
      <c r="J50" s="24">
        <f>I50*32/10</f>
        <v>14.361796687911824</v>
      </c>
    </row>
    <row r="51" spans="2:10" x14ac:dyDescent="0.3">
      <c r="B51" s="1" t="s">
        <v>288</v>
      </c>
      <c r="G51" s="24">
        <f>N$16-0.5*G$33</f>
        <v>0.6322000000000001</v>
      </c>
    </row>
    <row r="52" spans="2:10" x14ac:dyDescent="0.3">
      <c r="B52" s="1" t="s">
        <v>289</v>
      </c>
      <c r="G52" s="26">
        <f>2*V$16</f>
        <v>-11.5968</v>
      </c>
    </row>
    <row r="53" spans="2:10" x14ac:dyDescent="0.3">
      <c r="B53" s="1" t="s">
        <v>290</v>
      </c>
      <c r="G53" s="26">
        <f>G$32+2.5</f>
        <v>-9.0968</v>
      </c>
    </row>
    <row r="54" spans="2:10" x14ac:dyDescent="0.3">
      <c r="B54" s="1" t="s">
        <v>291</v>
      </c>
      <c r="G54" s="1">
        <v>8</v>
      </c>
    </row>
    <row r="55" spans="2:10" x14ac:dyDescent="0.3">
      <c r="B55" s="1" t="s">
        <v>292</v>
      </c>
      <c r="G55" s="5">
        <v>4.5</v>
      </c>
      <c r="H55" s="1" t="s">
        <v>293</v>
      </c>
    </row>
    <row r="56" spans="2:10" x14ac:dyDescent="0.3">
      <c r="B56" s="1" t="s">
        <v>294</v>
      </c>
      <c r="G56" s="1">
        <f>LOG10(G55/100)</f>
        <v>-1.3467874862246563</v>
      </c>
    </row>
    <row r="57" spans="2:10" x14ac:dyDescent="0.3">
      <c r="B57" s="1" t="s">
        <v>295</v>
      </c>
      <c r="G57" s="26">
        <f>AD$16/2</f>
        <v>3.7789999999999999</v>
      </c>
    </row>
    <row r="59" spans="2:10" x14ac:dyDescent="0.3">
      <c r="B59" s="5" t="s">
        <v>313</v>
      </c>
      <c r="H59" s="5" t="s">
        <v>284</v>
      </c>
      <c r="I59" s="5" t="s">
        <v>285</v>
      </c>
      <c r="J59" s="5" t="s">
        <v>286</v>
      </c>
    </row>
    <row r="60" spans="2:10" x14ac:dyDescent="0.3">
      <c r="B60" s="1" t="s">
        <v>287</v>
      </c>
      <c r="G60" s="24">
        <f>F$16+G$34-2.5*G$31+3*G66</f>
        <v>2.147997398388668E-2</v>
      </c>
      <c r="H60" s="25">
        <f>10^G60</f>
        <v>1.0507030041453562</v>
      </c>
      <c r="I60" s="25">
        <f>3*H60</f>
        <v>3.1521090124360684</v>
      </c>
      <c r="J60" s="24">
        <f>I60*32/10</f>
        <v>10.086748839795419</v>
      </c>
    </row>
    <row r="61" spans="2:10" x14ac:dyDescent="0.3">
      <c r="B61" s="1" t="s">
        <v>288</v>
      </c>
      <c r="G61" s="24">
        <f>N$16-0.5*G$33</f>
        <v>0.6322000000000001</v>
      </c>
    </row>
    <row r="62" spans="2:10" x14ac:dyDescent="0.3">
      <c r="B62" s="1" t="s">
        <v>289</v>
      </c>
      <c r="G62" s="26">
        <f>2*V$16</f>
        <v>-11.5968</v>
      </c>
    </row>
    <row r="63" spans="2:10" x14ac:dyDescent="0.3">
      <c r="B63" s="1" t="s">
        <v>290</v>
      </c>
      <c r="G63" s="26">
        <f>G$32+2.5</f>
        <v>-9.0968</v>
      </c>
    </row>
    <row r="64" spans="2:10" x14ac:dyDescent="0.3">
      <c r="B64" s="1" t="s">
        <v>291</v>
      </c>
      <c r="G64" s="1">
        <v>8</v>
      </c>
    </row>
    <row r="65" spans="2:10" x14ac:dyDescent="0.3">
      <c r="B65" s="1" t="s">
        <v>292</v>
      </c>
      <c r="G65" s="5">
        <v>4</v>
      </c>
      <c r="H65" s="1" t="s">
        <v>293</v>
      </c>
    </row>
    <row r="66" spans="2:10" x14ac:dyDescent="0.3">
      <c r="B66" s="1" t="s">
        <v>294</v>
      </c>
      <c r="G66" s="1">
        <f>LOG10(G65/100)</f>
        <v>-1.3979400086720375</v>
      </c>
    </row>
    <row r="67" spans="2:10" x14ac:dyDescent="0.3">
      <c r="B67" s="1" t="s">
        <v>295</v>
      </c>
      <c r="G67" s="26">
        <f>AD$16/2</f>
        <v>3.7789999999999999</v>
      </c>
    </row>
    <row r="69" spans="2:10" x14ac:dyDescent="0.3">
      <c r="B69" s="5" t="s">
        <v>315</v>
      </c>
      <c r="H69" s="5" t="s">
        <v>284</v>
      </c>
      <c r="I69" s="5" t="s">
        <v>285</v>
      </c>
      <c r="J69" s="5" t="s">
        <v>286</v>
      </c>
    </row>
    <row r="70" spans="2:10" x14ac:dyDescent="0.3">
      <c r="B70" s="1" t="s">
        <v>287</v>
      </c>
      <c r="G70" s="24">
        <f>F$16+G$34-2.5*G$31+3*G76</f>
        <v>-0.15249586694917383</v>
      </c>
      <c r="H70" s="25">
        <f>10^G70</f>
        <v>0.70388892660518942</v>
      </c>
      <c r="I70" s="25">
        <f>3*H70</f>
        <v>2.1116667798155682</v>
      </c>
      <c r="J70" s="24">
        <f>I70*32/10</f>
        <v>6.7573336954098178</v>
      </c>
    </row>
    <row r="71" spans="2:10" x14ac:dyDescent="0.3">
      <c r="B71" s="1" t="s">
        <v>288</v>
      </c>
      <c r="G71" s="24">
        <f>N$16-0.5*G$33</f>
        <v>0.6322000000000001</v>
      </c>
    </row>
    <row r="72" spans="2:10" x14ac:dyDescent="0.3">
      <c r="B72" s="1" t="s">
        <v>289</v>
      </c>
      <c r="G72" s="26">
        <f>2*V$16</f>
        <v>-11.5968</v>
      </c>
    </row>
    <row r="73" spans="2:10" x14ac:dyDescent="0.3">
      <c r="B73" s="1" t="s">
        <v>290</v>
      </c>
      <c r="G73" s="26">
        <f>G$32+2.5</f>
        <v>-9.0968</v>
      </c>
    </row>
    <row r="74" spans="2:10" x14ac:dyDescent="0.3">
      <c r="B74" s="1" t="s">
        <v>291</v>
      </c>
      <c r="G74" s="1">
        <v>8</v>
      </c>
    </row>
    <row r="75" spans="2:10" x14ac:dyDescent="0.3">
      <c r="B75" s="1" t="s">
        <v>292</v>
      </c>
      <c r="G75" s="5">
        <v>3.5</v>
      </c>
      <c r="H75" s="1" t="s">
        <v>293</v>
      </c>
    </row>
    <row r="76" spans="2:10" x14ac:dyDescent="0.3">
      <c r="B76" s="1" t="s">
        <v>294</v>
      </c>
      <c r="G76" s="1">
        <f>LOG10(G75/100)</f>
        <v>-1.4559319556497243</v>
      </c>
    </row>
    <row r="77" spans="2:10" x14ac:dyDescent="0.3">
      <c r="B77" s="1" t="s">
        <v>295</v>
      </c>
      <c r="G77" s="26">
        <f>AD$16/2</f>
        <v>3.7789999999999999</v>
      </c>
    </row>
  </sheetData>
  <pageMargins left="0.7" right="0.7" top="0.75" bottom="0.75" header="0.3" footer="0.3"/>
  <pageSetup paperSize="9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Anastassia BORISOVA</dc:creator>
  <cp:lastModifiedBy>Anastassia BORISOVA</cp:lastModifiedBy>
  <dcterms:created xsi:type="dcterms:W3CDTF">2022-06-22T09:10:11Z</dcterms:created>
  <dcterms:modified xsi:type="dcterms:W3CDTF">2024-05-01T09:23:03Z</dcterms:modified>
</cp:coreProperties>
</file>