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aliabayonavasquez/Library/CloudStorage/GoogleDrive-njbayonav@gmail.com/My Drive/Documentos_Nati/crypto_miscellaneous/manuscript/nature_communications/supplemental_material/more_supplementary_tables/"/>
    </mc:Choice>
  </mc:AlternateContent>
  <xr:revisionPtr revIDLastSave="0" documentId="13_ncr:1_{4437BC12-A1DA-D64A-B65B-35705B371C88}" xr6:coauthVersionLast="47" xr6:coauthVersionMax="47" xr10:uidLastSave="{00000000-0000-0000-0000-000000000000}"/>
  <bookViews>
    <workbookView xWindow="4660" yWindow="500" windowWidth="26140" windowHeight="19980" xr2:uid="{6F65CBF4-F8EB-0645-B74D-C3CF88058C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  <c r="E63" i="1" l="1"/>
  <c r="F63" i="1" s="1"/>
  <c r="H63" i="1" s="1"/>
  <c r="J63" i="1" s="1"/>
  <c r="E62" i="1"/>
  <c r="F62" i="1" s="1"/>
  <c r="H62" i="1" s="1"/>
  <c r="J62" i="1" s="1"/>
  <c r="J64" i="1" s="1"/>
  <c r="E57" i="1"/>
  <c r="F57" i="1" s="1"/>
  <c r="H57" i="1" s="1"/>
  <c r="J57" i="1" s="1"/>
  <c r="E56" i="1"/>
  <c r="F56" i="1" s="1"/>
  <c r="H56" i="1" s="1"/>
  <c r="J56" i="1" s="1"/>
  <c r="E51" i="1"/>
  <c r="F51" i="1" s="1"/>
  <c r="H51" i="1" s="1"/>
  <c r="J51" i="1" s="1"/>
  <c r="E50" i="1"/>
  <c r="F50" i="1" s="1"/>
  <c r="H50" i="1" s="1"/>
  <c r="J50" i="1" s="1"/>
  <c r="Q46" i="1"/>
  <c r="Q45" i="1"/>
  <c r="Q44" i="1"/>
  <c r="E45" i="1"/>
  <c r="F45" i="1" s="1"/>
  <c r="H45" i="1" s="1"/>
  <c r="J45" i="1" s="1"/>
  <c r="E44" i="1"/>
  <c r="F44" i="1" s="1"/>
  <c r="H44" i="1" s="1"/>
  <c r="J44" i="1" s="1"/>
  <c r="S37" i="1"/>
  <c r="V37" i="1" s="1"/>
  <c r="S36" i="1"/>
  <c r="V36" i="1" s="1"/>
  <c r="S35" i="1"/>
  <c r="V35" i="1" s="1"/>
  <c r="S33" i="1"/>
  <c r="V33" i="1" s="1"/>
  <c r="S32" i="1"/>
  <c r="V32" i="1" s="1"/>
  <c r="S15" i="1"/>
  <c r="V15" i="1" s="1"/>
  <c r="S14" i="1"/>
  <c r="S11" i="1"/>
  <c r="V11" i="1" s="1"/>
  <c r="S13" i="1"/>
  <c r="V13" i="1" s="1"/>
  <c r="S10" i="1"/>
  <c r="V10" i="1" s="1"/>
  <c r="S9" i="1"/>
  <c r="V9" i="1" s="1"/>
  <c r="S8" i="1"/>
  <c r="V8" i="1" s="1"/>
  <c r="C30" i="1"/>
  <c r="Q36" i="1" s="1"/>
  <c r="C19" i="1"/>
  <c r="Q26" i="1" s="1"/>
  <c r="I37" i="1"/>
  <c r="L37" i="1" s="1"/>
  <c r="I36" i="1"/>
  <c r="L36" i="1" s="1"/>
  <c r="L35" i="1"/>
  <c r="M35" i="1" s="1"/>
  <c r="J35" i="1"/>
  <c r="L33" i="1"/>
  <c r="O33" i="1" s="1"/>
  <c r="J33" i="1"/>
  <c r="L32" i="1"/>
  <c r="O32" i="1" s="1"/>
  <c r="J32" i="1"/>
  <c r="V7" i="1"/>
  <c r="V22" i="1"/>
  <c r="V21" i="1"/>
  <c r="V26" i="1"/>
  <c r="I26" i="1"/>
  <c r="L26" i="1" s="1"/>
  <c r="V25" i="1"/>
  <c r="I25" i="1"/>
  <c r="L25" i="1" s="1"/>
  <c r="V24" i="1"/>
  <c r="L24" i="1"/>
  <c r="M24" i="1" s="1"/>
  <c r="J24" i="1"/>
  <c r="L22" i="1"/>
  <c r="M22" i="1" s="1"/>
  <c r="J22" i="1"/>
  <c r="L21" i="1"/>
  <c r="O21" i="1" s="1"/>
  <c r="J21" i="1"/>
  <c r="Q15" i="1"/>
  <c r="Q14" i="1"/>
  <c r="Q13" i="1"/>
  <c r="Q11" i="1"/>
  <c r="Q10" i="1"/>
  <c r="Q9" i="1"/>
  <c r="Q8" i="1"/>
  <c r="Q7" i="1"/>
  <c r="Q6" i="1"/>
  <c r="I15" i="1"/>
  <c r="L15" i="1" s="1"/>
  <c r="V14" i="1"/>
  <c r="I14" i="1"/>
  <c r="L14" i="1" s="1"/>
  <c r="L13" i="1"/>
  <c r="M13" i="1" s="1"/>
  <c r="J13" i="1"/>
  <c r="L11" i="1"/>
  <c r="O11" i="1" s="1"/>
  <c r="P11" i="1" s="1"/>
  <c r="J11" i="1"/>
  <c r="L10" i="1"/>
  <c r="M10" i="1" s="1"/>
  <c r="J10" i="1"/>
  <c r="L9" i="1"/>
  <c r="M9" i="1" s="1"/>
  <c r="J9" i="1"/>
  <c r="L8" i="1"/>
  <c r="M8" i="1" s="1"/>
  <c r="J8" i="1"/>
  <c r="L7" i="1"/>
  <c r="O7" i="1" s="1"/>
  <c r="J7" i="1"/>
  <c r="L6" i="1"/>
  <c r="U6" i="1" s="1"/>
  <c r="J6" i="1"/>
  <c r="J46" i="1" l="1"/>
  <c r="J58" i="1"/>
  <c r="J52" i="1"/>
  <c r="Q37" i="1"/>
  <c r="U22" i="1"/>
  <c r="V6" i="1"/>
  <c r="Q21" i="1"/>
  <c r="R21" i="1" s="1"/>
  <c r="T21" i="1" s="1"/>
  <c r="Q25" i="1"/>
  <c r="Q32" i="1"/>
  <c r="R32" i="1" s="1"/>
  <c r="T32" i="1" s="1"/>
  <c r="Q33" i="1"/>
  <c r="Q35" i="1"/>
  <c r="O36" i="1"/>
  <c r="R36" i="1" s="1"/>
  <c r="T36" i="1" s="1"/>
  <c r="U36" i="1"/>
  <c r="R33" i="1"/>
  <c r="T33" i="1" s="1"/>
  <c r="J36" i="1"/>
  <c r="Q22" i="1"/>
  <c r="R22" i="1" s="1"/>
  <c r="T22" i="1" s="1"/>
  <c r="Q24" i="1"/>
  <c r="O35" i="1"/>
  <c r="P35" i="1" s="1"/>
  <c r="U24" i="1"/>
  <c r="U33" i="1"/>
  <c r="U35" i="1"/>
  <c r="O22" i="1"/>
  <c r="P32" i="1"/>
  <c r="P33" i="1"/>
  <c r="U37" i="1"/>
  <c r="O37" i="1"/>
  <c r="M37" i="1"/>
  <c r="U32" i="1"/>
  <c r="M32" i="1"/>
  <c r="M36" i="1"/>
  <c r="M33" i="1"/>
  <c r="J37" i="1"/>
  <c r="P21" i="1"/>
  <c r="O25" i="1"/>
  <c r="M25" i="1"/>
  <c r="U25" i="1"/>
  <c r="U26" i="1"/>
  <c r="M26" i="1"/>
  <c r="O26" i="1"/>
  <c r="P22" i="1"/>
  <c r="O24" i="1"/>
  <c r="J25" i="1"/>
  <c r="U21" i="1"/>
  <c r="M21" i="1"/>
  <c r="J26" i="1"/>
  <c r="U8" i="1"/>
  <c r="O8" i="1"/>
  <c r="P8" i="1" s="1"/>
  <c r="M7" i="1"/>
  <c r="U11" i="1"/>
  <c r="U7" i="1"/>
  <c r="P7" i="1"/>
  <c r="R7" i="1"/>
  <c r="T7" i="1" s="1"/>
  <c r="R11" i="1"/>
  <c r="T11" i="1" s="1"/>
  <c r="U10" i="1"/>
  <c r="O13" i="1"/>
  <c r="P13" i="1" s="1"/>
  <c r="O6" i="1"/>
  <c r="R6" i="1" s="1"/>
  <c r="T6" i="1" s="1"/>
  <c r="U9" i="1"/>
  <c r="M11" i="1"/>
  <c r="O10" i="1"/>
  <c r="R10" i="1" s="1"/>
  <c r="T10" i="1" s="1"/>
  <c r="J14" i="1"/>
  <c r="O14" i="1"/>
  <c r="M14" i="1"/>
  <c r="U14" i="1"/>
  <c r="U15" i="1"/>
  <c r="O15" i="1"/>
  <c r="M15" i="1"/>
  <c r="M6" i="1"/>
  <c r="O9" i="1"/>
  <c r="U13" i="1"/>
  <c r="J15" i="1"/>
  <c r="P36" i="1" l="1"/>
  <c r="R8" i="1"/>
  <c r="T8" i="1" s="1"/>
  <c r="R35" i="1"/>
  <c r="T35" i="1" s="1"/>
  <c r="R37" i="1"/>
  <c r="T37" i="1" s="1"/>
  <c r="P37" i="1"/>
  <c r="R26" i="1"/>
  <c r="T26" i="1" s="1"/>
  <c r="P26" i="1"/>
  <c r="R24" i="1"/>
  <c r="T24" i="1" s="1"/>
  <c r="P24" i="1"/>
  <c r="P25" i="1"/>
  <c r="R25" i="1"/>
  <c r="T25" i="1" s="1"/>
  <c r="P10" i="1"/>
  <c r="P6" i="1"/>
  <c r="R13" i="1"/>
  <c r="T13" i="1" s="1"/>
  <c r="R9" i="1"/>
  <c r="T9" i="1" s="1"/>
  <c r="P9" i="1"/>
  <c r="R15" i="1"/>
  <c r="T15" i="1" s="1"/>
  <c r="P15" i="1"/>
  <c r="P14" i="1"/>
  <c r="R14" i="1"/>
  <c r="T14" i="1" s="1"/>
</calcChain>
</file>

<file path=xl/sharedStrings.xml><?xml version="1.0" encoding="utf-8"?>
<sst xmlns="http://schemas.openxmlformats.org/spreadsheetml/2006/main" count="249" uniqueCount="83">
  <si>
    <t>Cost calculation for deep sequencing vs. enrichment</t>
  </si>
  <si>
    <t>Genome Size</t>
  </si>
  <si>
    <t>Platform</t>
  </si>
  <si>
    <t>Instrument</t>
  </si>
  <si>
    <t>Kit</t>
  </si>
  <si>
    <t>Price updated</t>
  </si>
  <si>
    <t xml:space="preserve"> Run Cost</t>
  </si>
  <si>
    <t>Unit</t>
  </si>
  <si>
    <t>Read Size(s)</t>
  </si>
  <si>
    <t>Insert size ≥</t>
  </si>
  <si>
    <t>Clusters (Millions)</t>
  </si>
  <si>
    <t>$/M clusters</t>
  </si>
  <si>
    <t>Reads/ Cluster</t>
  </si>
  <si>
    <t>Total # Reads (Millions)</t>
  </si>
  <si>
    <t>cost per M reads</t>
  </si>
  <si>
    <t>good length</t>
  </si>
  <si>
    <t>MegaBases (Mb)</t>
  </si>
  <si>
    <t>cost per Gb</t>
  </si>
  <si>
    <t>genome size (Mb)</t>
  </si>
  <si>
    <t>Total x coverage</t>
  </si>
  <si>
    <t># of samples</t>
  </si>
  <si>
    <t>X coverage per sample</t>
  </si>
  <si>
    <t>$/sample</t>
  </si>
  <si>
    <t>Notes</t>
  </si>
  <si>
    <t>Illumina</t>
  </si>
  <si>
    <t>iSeq</t>
  </si>
  <si>
    <t xml:space="preserve"> 300 cycles</t>
  </si>
  <si>
    <t>Jan 2024</t>
  </si>
  <si>
    <t>run</t>
  </si>
  <si>
    <t>PE150</t>
  </si>
  <si>
    <t>PE300</t>
  </si>
  <si>
    <t>MiSeq</t>
  </si>
  <si>
    <t>Nano v2 300 cycles</t>
  </si>
  <si>
    <t>v3 600 cycles</t>
  </si>
  <si>
    <t xml:space="preserve">NextSeq 2000 </t>
  </si>
  <si>
    <t>P1 300 cycles</t>
  </si>
  <si>
    <t>P3 300 cycles</t>
  </si>
  <si>
    <t>NovaSeq 6000</t>
  </si>
  <si>
    <t>lane</t>
  </si>
  <si>
    <t>NovaSeq S4</t>
  </si>
  <si>
    <t>NovaSeq X (+)</t>
  </si>
  <si>
    <t>April 2024</t>
  </si>
  <si>
    <t>1.5 B 300 cycles</t>
  </si>
  <si>
    <t>10 B 300 cycles</t>
  </si>
  <si>
    <t>25 B 300 cycles</t>
  </si>
  <si>
    <t>These are the costs if the sample is pure (i.e., 100% crypto)</t>
  </si>
  <si>
    <t>Millions of reads per sample</t>
  </si>
  <si>
    <t>Effective Genome Size</t>
  </si>
  <si>
    <t>Target % of reads</t>
  </si>
  <si>
    <t>This is the average for unenriched reads</t>
  </si>
  <si>
    <t>This is a ballpark number for enriched reads; we should replace with the actual numbers</t>
  </si>
  <si>
    <t>$/sample for sequencing</t>
  </si>
  <si>
    <t>Cost of Enrichment</t>
  </si>
  <si>
    <t># of rxns</t>
  </si>
  <si>
    <t>dilution</t>
  </si>
  <si>
    <t>total reactions</t>
  </si>
  <si>
    <t>1st enrichment</t>
  </si>
  <si>
    <t>2nd enrichment</t>
  </si>
  <si>
    <t># samples per pool</t>
  </si>
  <si>
    <t>cost/sample</t>
  </si>
  <si>
    <t>bait cost/rxn</t>
  </si>
  <si>
    <t>other cost/rxn</t>
  </si>
  <si>
    <t>total cost/rxn</t>
  </si>
  <si>
    <t>Total cost for double enrichments</t>
  </si>
  <si>
    <t>organism is ~ crypto</t>
  </si>
  <si>
    <t>Enrichment cost</t>
  </si>
  <si>
    <t>Sequencing cost</t>
  </si>
  <si>
    <t>total cost</t>
  </si>
  <si>
    <t>Pure Crypto DNA</t>
  </si>
  <si>
    <t>Fecal with 0.1% Crypto</t>
  </si>
  <si>
    <t xml:space="preserve">Kit (buy-in) cost </t>
  </si>
  <si>
    <t>Arbor catalog #308508.V5, 8 rxn</t>
  </si>
  <si>
    <t>Arbor catalog #308548.V5, 48 rxn</t>
  </si>
  <si>
    <t>Arbor catalog #308596.V5, 96 rxn</t>
  </si>
  <si>
    <t>Reagent+$150; Illumina "up to" spec; achievable on a good run</t>
  </si>
  <si>
    <t>core lab; Illumina "up to" spec; achievable on good runs</t>
  </si>
  <si>
    <t>core lab average cost; Illumina "up to" spec; achievable on best runs</t>
  </si>
  <si>
    <t>Commercial all-in price with volume discount; Illumina run yield spec</t>
  </si>
  <si>
    <t>Anticipated commercial all-in price with Illumina run yield spec</t>
  </si>
  <si>
    <t>Commercial all-in price with major volume discount; Illumina run yield spec</t>
  </si>
  <si>
    <t>calculated number of samples to get 20x coverage</t>
  </si>
  <si>
    <t>using whole numbers of samples to get close to 20x coverage; adjust this number to achieve whatever coverage target you want</t>
  </si>
  <si>
    <t>Custom Synthesis of CryptoCap_100K (non-Arbor)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</si>
</sst>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C00000"/>
      <name val="Verdana"/>
      <family val="2"/>
    </font>
    <font>
      <sz val="12"/>
      <color rgb="FFC00000"/>
      <name val="Calibri"/>
      <family val="2"/>
      <scheme val="minor"/>
    </font>
    <font>
      <b/>
      <sz val="10"/>
      <color rgb="FFC00000"/>
      <name val="Verdana"/>
      <family val="2"/>
    </font>
    <font>
      <sz val="12"/>
      <color rgb="FF0432FF"/>
      <name val="Calibri"/>
      <family val="2"/>
      <scheme val="minor"/>
    </font>
    <font>
      <b/>
      <sz val="10"/>
      <color rgb="FF0432FF"/>
      <name val="Verdana"/>
      <family val="2"/>
    </font>
    <font>
      <sz val="12"/>
      <color rgb="FF7030A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2C92D5"/>
      <name val="Canva Sans"/>
    </font>
    <font>
      <b/>
      <u/>
      <sz val="16"/>
      <color rgb="FF0432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horizontal="center" wrapText="1"/>
    </xf>
    <xf numFmtId="164" fontId="0" fillId="3" borderId="0" xfId="1" applyNumberFormat="1" applyFont="1" applyFill="1"/>
    <xf numFmtId="0" fontId="4" fillId="0" borderId="0" xfId="0" applyFont="1" applyAlignment="1">
      <alignment horizont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8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44" fontId="0" fillId="0" borderId="0" xfId="2" applyFont="1" applyBorder="1" applyAlignment="1"/>
    <xf numFmtId="44" fontId="0" fillId="0" borderId="0" xfId="2" applyFont="1" applyBorder="1" applyAlignment="1">
      <alignment horizontal="center"/>
    </xf>
    <xf numFmtId="0" fontId="0" fillId="3" borderId="0" xfId="0" applyFill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6" fontId="6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8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44" fontId="0" fillId="4" borderId="0" xfId="2" applyFont="1" applyFill="1" applyBorder="1" applyAlignment="1"/>
    <xf numFmtId="44" fontId="0" fillId="4" borderId="0" xfId="2" applyFont="1" applyFill="1" applyBorder="1" applyAlignment="1">
      <alignment horizontal="center"/>
    </xf>
    <xf numFmtId="164" fontId="0" fillId="4" borderId="0" xfId="1" applyNumberFormat="1" applyFont="1" applyFill="1" applyBorder="1" applyAlignment="1">
      <alignment horizontal="center"/>
    </xf>
    <xf numFmtId="0" fontId="0" fillId="4" borderId="0" xfId="0" applyFill="1"/>
    <xf numFmtId="0" fontId="6" fillId="0" borderId="0" xfId="0" applyFont="1" applyAlignment="1">
      <alignment horizontal="center"/>
    </xf>
    <xf numFmtId="44" fontId="0" fillId="0" borderId="0" xfId="2" applyFont="1"/>
    <xf numFmtId="44" fontId="0" fillId="0" borderId="0" xfId="2" applyFont="1" applyBorder="1"/>
    <xf numFmtId="165" fontId="6" fillId="0" borderId="0" xfId="2" applyNumberFormat="1" applyFont="1" applyFill="1" applyBorder="1" applyAlignment="1">
      <alignment horizontal="center"/>
    </xf>
    <xf numFmtId="44" fontId="0" fillId="0" borderId="0" xfId="2" applyFont="1" applyFill="1" applyBorder="1" applyAlignment="1"/>
    <xf numFmtId="44" fontId="0" fillId="0" borderId="0" xfId="2" applyFont="1" applyFill="1" applyBorder="1" applyAlignment="1">
      <alignment horizontal="center"/>
    </xf>
    <xf numFmtId="44" fontId="0" fillId="0" borderId="0" xfId="2" applyFont="1" applyFill="1" applyBorder="1"/>
    <xf numFmtId="49" fontId="7" fillId="0" borderId="0" xfId="0" applyNumberFormat="1" applyFont="1" applyAlignment="1">
      <alignment horizontal="center"/>
    </xf>
    <xf numFmtId="165" fontId="7" fillId="0" borderId="0" xfId="2" applyNumberFormat="1" applyFont="1" applyBorder="1" applyAlignment="1">
      <alignment horizontal="center"/>
    </xf>
    <xf numFmtId="49" fontId="6" fillId="4" borderId="0" xfId="0" applyNumberFormat="1" applyFont="1" applyFill="1" applyAlignment="1">
      <alignment horizontal="center"/>
    </xf>
    <xf numFmtId="165" fontId="6" fillId="4" borderId="0" xfId="2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4" fillId="4" borderId="0" xfId="0" applyFont="1" applyFill="1"/>
    <xf numFmtId="0" fontId="4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165" fontId="6" fillId="0" borderId="1" xfId="2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4" fontId="0" fillId="0" borderId="1" xfId="2" applyFont="1" applyBorder="1" applyAlignment="1"/>
    <xf numFmtId="44" fontId="0" fillId="0" borderId="1" xfId="2" applyFont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0" fillId="3" borderId="1" xfId="0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center" wrapText="1"/>
    </xf>
    <xf numFmtId="44" fontId="8" fillId="0" borderId="0" xfId="2" applyFont="1" applyBorder="1" applyAlignment="1">
      <alignment horizontal="center"/>
    </xf>
    <xf numFmtId="44" fontId="8" fillId="0" borderId="0" xfId="2" applyFont="1" applyFill="1" applyBorder="1" applyAlignment="1">
      <alignment horizontal="center"/>
    </xf>
    <xf numFmtId="44" fontId="8" fillId="0" borderId="1" xfId="2" applyFont="1" applyFill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center" wrapText="1"/>
    </xf>
    <xf numFmtId="44" fontId="10" fillId="0" borderId="0" xfId="2" applyFont="1" applyBorder="1" applyAlignment="1">
      <alignment horizontal="center"/>
    </xf>
    <xf numFmtId="44" fontId="10" fillId="0" borderId="0" xfId="2" applyFont="1" applyFill="1" applyBorder="1" applyAlignment="1">
      <alignment horizontal="center"/>
    </xf>
    <xf numFmtId="44" fontId="10" fillId="0" borderId="1" xfId="2" applyFont="1" applyFill="1" applyBorder="1" applyAlignment="1">
      <alignment horizontal="center"/>
    </xf>
    <xf numFmtId="10" fontId="10" fillId="5" borderId="0" xfId="3" applyNumberFormat="1" applyFont="1" applyFill="1"/>
    <xf numFmtId="10" fontId="8" fillId="6" borderId="0" xfId="3" applyNumberFormat="1" applyFont="1" applyFill="1"/>
    <xf numFmtId="0" fontId="0" fillId="0" borderId="1" xfId="0" applyBorder="1" applyAlignment="1">
      <alignment horizontal="center" wrapText="1"/>
    </xf>
    <xf numFmtId="44" fontId="0" fillId="0" borderId="0" xfId="2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1" xfId="2" applyFont="1" applyBorder="1"/>
    <xf numFmtId="44" fontId="0" fillId="0" borderId="1" xfId="0" applyNumberFormat="1" applyBorder="1" applyAlignment="1">
      <alignment horizontal="center"/>
    </xf>
    <xf numFmtId="44" fontId="0" fillId="0" borderId="0" xfId="0" applyNumberFormat="1"/>
    <xf numFmtId="44" fontId="12" fillId="0" borderId="0" xfId="2" applyFont="1" applyAlignment="1">
      <alignment horizontal="center"/>
    </xf>
    <xf numFmtId="44" fontId="12" fillId="0" borderId="1" xfId="2" applyFont="1" applyBorder="1" applyAlignment="1">
      <alignment horizontal="center"/>
    </xf>
    <xf numFmtId="44" fontId="2" fillId="2" borderId="0" xfId="4" applyNumberFormat="1" applyBorder="1" applyAlignment="1">
      <alignment horizontal="center"/>
    </xf>
    <xf numFmtId="165" fontId="0" fillId="0" borderId="0" xfId="2" applyNumberFormat="1" applyFont="1" applyAlignment="1">
      <alignment horizontal="left"/>
    </xf>
    <xf numFmtId="165" fontId="0" fillId="0" borderId="3" xfId="2" applyNumberFormat="1" applyFont="1" applyBorder="1" applyAlignment="1">
      <alignment horizontal="left"/>
    </xf>
    <xf numFmtId="165" fontId="10" fillId="0" borderId="0" xfId="2" applyNumberFormat="1" applyFont="1" applyAlignment="1">
      <alignment horizontal="left"/>
    </xf>
    <xf numFmtId="165" fontId="10" fillId="0" borderId="3" xfId="2" applyNumberFormat="1" applyFont="1" applyBorder="1" applyAlignment="1">
      <alignment horizontal="left"/>
    </xf>
    <xf numFmtId="0" fontId="12" fillId="0" borderId="0" xfId="0" applyFont="1"/>
    <xf numFmtId="165" fontId="12" fillId="0" borderId="0" xfId="2" applyNumberFormat="1" applyFont="1" applyAlignment="1">
      <alignment horizontal="left"/>
    </xf>
    <xf numFmtId="165" fontId="12" fillId="0" borderId="2" xfId="2" applyNumberFormat="1" applyFont="1" applyBorder="1" applyAlignment="1">
      <alignment horizontal="left"/>
    </xf>
    <xf numFmtId="0" fontId="0" fillId="0" borderId="0" xfId="0" applyAlignment="1">
      <alignment horizontal="center" wrapText="1"/>
    </xf>
    <xf numFmtId="0" fontId="14" fillId="0" borderId="0" xfId="0" applyFont="1"/>
    <xf numFmtId="44" fontId="1" fillId="0" borderId="0" xfId="2" applyFont="1" applyAlignment="1">
      <alignment horizontal="center"/>
    </xf>
    <xf numFmtId="44" fontId="1" fillId="0" borderId="1" xfId="2" applyFont="1" applyBorder="1" applyAlignment="1">
      <alignment horizontal="center"/>
    </xf>
    <xf numFmtId="3" fontId="0" fillId="7" borderId="0" xfId="0" applyNumberFormat="1" applyFill="1" applyAlignment="1">
      <alignment horizontal="center"/>
    </xf>
    <xf numFmtId="49" fontId="6" fillId="0" borderId="0" xfId="0" applyNumberFormat="1" applyFont="1" applyAlignment="1">
      <alignment horizontal="center"/>
    </xf>
    <xf numFmtId="1" fontId="0" fillId="3" borderId="0" xfId="0" applyNumberFormat="1" applyFill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/>
  </cellXfs>
  <cellStyles count="5">
    <cellStyle name="Accent6" xfId="4" builtinId="49"/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2D331-ED1D-1B4E-9882-51186DFBF05B}">
  <dimension ref="A1:Y64"/>
  <sheetViews>
    <sheetView tabSelected="1" topLeftCell="A30" zoomScale="110" zoomScaleNormal="110" workbookViewId="0">
      <selection activeCell="D48" sqref="D48"/>
    </sheetView>
  </sheetViews>
  <sheetFormatPr baseColWidth="10" defaultRowHeight="16"/>
  <cols>
    <col min="1" max="1" width="13.83203125" customWidth="1"/>
    <col min="2" max="2" width="15.1640625" customWidth="1"/>
    <col min="3" max="3" width="20.5" bestFit="1" customWidth="1"/>
    <col min="4" max="4" width="12.33203125" bestFit="1" customWidth="1"/>
    <col min="15" max="15" width="11" bestFit="1" customWidth="1"/>
    <col min="16" max="16" width="10.6640625" customWidth="1"/>
    <col min="17" max="17" width="10.33203125" customWidth="1"/>
    <col min="21" max="21" width="10.83203125" style="5"/>
    <col min="22" max="22" width="12.1640625" customWidth="1"/>
    <col min="23" max="23" width="4.33203125" customWidth="1"/>
    <col min="24" max="24" width="68.5" customWidth="1"/>
  </cols>
  <sheetData>
    <row r="1" spans="1:25">
      <c r="A1" t="s">
        <v>0</v>
      </c>
    </row>
    <row r="3" spans="1:25">
      <c r="A3" t="s">
        <v>45</v>
      </c>
    </row>
    <row r="4" spans="1:25" ht="29">
      <c r="A4" s="1" t="s">
        <v>1</v>
      </c>
      <c r="B4" s="1"/>
      <c r="C4" s="2">
        <v>10000000</v>
      </c>
      <c r="D4" s="3" t="s">
        <v>64</v>
      </c>
      <c r="F4" s="4"/>
      <c r="S4" s="59" t="s">
        <v>81</v>
      </c>
      <c r="T4" s="5"/>
    </row>
    <row r="5" spans="1:25" ht="57">
      <c r="A5" s="6" t="s">
        <v>2</v>
      </c>
      <c r="B5" s="6" t="s">
        <v>3</v>
      </c>
      <c r="C5" s="6" t="s">
        <v>4</v>
      </c>
      <c r="D5" s="6" t="s">
        <v>5</v>
      </c>
      <c r="E5" s="7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8" t="s">
        <v>20</v>
      </c>
      <c r="T5" s="6" t="s">
        <v>21</v>
      </c>
      <c r="U5" s="6" t="s">
        <v>46</v>
      </c>
      <c r="V5" s="60" t="s">
        <v>22</v>
      </c>
      <c r="W5" s="9"/>
      <c r="X5" s="10" t="s">
        <v>23</v>
      </c>
      <c r="Y5" s="9"/>
    </row>
    <row r="6" spans="1:25">
      <c r="A6" s="5" t="s">
        <v>24</v>
      </c>
      <c r="B6" s="11" t="s">
        <v>25</v>
      </c>
      <c r="C6" s="11" t="s">
        <v>26</v>
      </c>
      <c r="D6" s="12" t="s">
        <v>27</v>
      </c>
      <c r="E6" s="21">
        <f>250+619</f>
        <v>869</v>
      </c>
      <c r="F6" s="5" t="s">
        <v>28</v>
      </c>
      <c r="G6" s="11" t="s">
        <v>29</v>
      </c>
      <c r="H6" s="5">
        <v>300</v>
      </c>
      <c r="I6" s="5">
        <v>2</v>
      </c>
      <c r="J6" s="13">
        <f>E6/I6</f>
        <v>434.5</v>
      </c>
      <c r="K6" s="14">
        <v>2</v>
      </c>
      <c r="L6" s="15">
        <f>I6*K6</f>
        <v>4</v>
      </c>
      <c r="M6" s="16">
        <f>ROUND((E6/(L6)),2)</f>
        <v>217.25</v>
      </c>
      <c r="N6" s="5">
        <v>140</v>
      </c>
      <c r="O6" s="15">
        <f>L6*N6</f>
        <v>560</v>
      </c>
      <c r="P6" s="17">
        <f>E6/(O6/1000)</f>
        <v>1551.7857142857142</v>
      </c>
      <c r="Q6" s="15">
        <f>$C$4/1000000</f>
        <v>10</v>
      </c>
      <c r="R6" s="5">
        <f>ROUND((O6/Q6),1)</f>
        <v>56</v>
      </c>
      <c r="S6" s="18">
        <v>2</v>
      </c>
      <c r="T6" s="5">
        <f>ROUND((R6/S6),1)</f>
        <v>28</v>
      </c>
      <c r="U6" s="19">
        <f>ROUND((L6/S6),0)</f>
        <v>2</v>
      </c>
      <c r="V6" s="61">
        <f t="shared" ref="V6:V11" si="0">E6/S6</f>
        <v>434.5</v>
      </c>
      <c r="X6" s="4" t="s">
        <v>74</v>
      </c>
    </row>
    <row r="7" spans="1:25">
      <c r="A7" s="5" t="s">
        <v>24</v>
      </c>
      <c r="B7" s="11" t="s">
        <v>31</v>
      </c>
      <c r="C7" s="11" t="s">
        <v>32</v>
      </c>
      <c r="D7" s="12" t="s">
        <v>27</v>
      </c>
      <c r="E7" s="21">
        <f>359+150</f>
        <v>509</v>
      </c>
      <c r="F7" s="5" t="s">
        <v>28</v>
      </c>
      <c r="G7" s="11" t="s">
        <v>29</v>
      </c>
      <c r="H7" s="5">
        <v>300</v>
      </c>
      <c r="I7" s="5">
        <v>1</v>
      </c>
      <c r="J7" s="13">
        <f t="shared" ref="J7:J8" si="1">E7/I7</f>
        <v>509</v>
      </c>
      <c r="K7" s="14">
        <v>2</v>
      </c>
      <c r="L7" s="15">
        <f t="shared" ref="L7:L8" si="2">I7*K7</f>
        <v>2</v>
      </c>
      <c r="M7" s="16">
        <f t="shared" ref="M7:M8" si="3">ROUND((E7/(L7)),2)</f>
        <v>254.5</v>
      </c>
      <c r="N7" s="5">
        <v>150</v>
      </c>
      <c r="O7" s="15">
        <f t="shared" ref="O7:O8" si="4">L7*N7</f>
        <v>300</v>
      </c>
      <c r="P7" s="17">
        <f t="shared" ref="P7:P8" si="5">E7/(O7/1000)</f>
        <v>1696.6666666666667</v>
      </c>
      <c r="Q7" s="15">
        <f t="shared" ref="Q7:Q8" si="6">$C$4/1000000</f>
        <v>10</v>
      </c>
      <c r="R7" s="5">
        <f t="shared" ref="R7:R8" si="7">ROUND((O7/Q7),1)</f>
        <v>30</v>
      </c>
      <c r="S7" s="18">
        <v>1</v>
      </c>
      <c r="T7" s="5">
        <f t="shared" ref="T7:T8" si="8">ROUND((R7/S7),1)</f>
        <v>30</v>
      </c>
      <c r="U7" s="19">
        <f t="shared" ref="U7:U8" si="9">ROUND((L7/S7),0)</f>
        <v>2</v>
      </c>
      <c r="V7" s="61">
        <f t="shared" si="0"/>
        <v>509</v>
      </c>
      <c r="X7" s="4" t="s">
        <v>74</v>
      </c>
    </row>
    <row r="8" spans="1:25">
      <c r="A8" s="5" t="s">
        <v>24</v>
      </c>
      <c r="B8" s="11" t="s">
        <v>31</v>
      </c>
      <c r="C8" s="11" t="s">
        <v>33</v>
      </c>
      <c r="D8" s="92" t="s">
        <v>27</v>
      </c>
      <c r="E8" s="21">
        <f>1887+150</f>
        <v>2037</v>
      </c>
      <c r="F8" s="5" t="s">
        <v>28</v>
      </c>
      <c r="G8" s="5" t="s">
        <v>30</v>
      </c>
      <c r="H8" s="5">
        <v>600</v>
      </c>
      <c r="I8" s="5">
        <v>25</v>
      </c>
      <c r="J8" s="13">
        <f t="shared" si="1"/>
        <v>81.48</v>
      </c>
      <c r="K8" s="14">
        <v>2</v>
      </c>
      <c r="L8" s="15">
        <f t="shared" si="2"/>
        <v>50</v>
      </c>
      <c r="M8" s="16">
        <f t="shared" si="3"/>
        <v>40.74</v>
      </c>
      <c r="N8" s="5">
        <v>260</v>
      </c>
      <c r="O8" s="15">
        <f t="shared" si="4"/>
        <v>13000</v>
      </c>
      <c r="P8" s="17">
        <f t="shared" si="5"/>
        <v>156.69230769230768</v>
      </c>
      <c r="Q8" s="15">
        <f t="shared" si="6"/>
        <v>10</v>
      </c>
      <c r="R8" s="5">
        <f t="shared" si="7"/>
        <v>1300</v>
      </c>
      <c r="S8" s="18">
        <f>13*5</f>
        <v>65</v>
      </c>
      <c r="T8" s="5">
        <f t="shared" si="8"/>
        <v>20</v>
      </c>
      <c r="U8" s="19">
        <f t="shared" si="9"/>
        <v>1</v>
      </c>
      <c r="V8" s="61">
        <f t="shared" si="0"/>
        <v>31.338461538461537</v>
      </c>
      <c r="X8" s="4" t="s">
        <v>74</v>
      </c>
    </row>
    <row r="9" spans="1:25">
      <c r="A9" s="5" t="s">
        <v>24</v>
      </c>
      <c r="B9" s="5" t="s">
        <v>34</v>
      </c>
      <c r="C9" s="11" t="s">
        <v>35</v>
      </c>
      <c r="D9" s="12" t="s">
        <v>27</v>
      </c>
      <c r="E9" s="21">
        <v>1540</v>
      </c>
      <c r="F9" s="5" t="s">
        <v>28</v>
      </c>
      <c r="G9" s="11" t="s">
        <v>29</v>
      </c>
      <c r="H9" s="5">
        <v>300</v>
      </c>
      <c r="I9" s="5">
        <v>100</v>
      </c>
      <c r="J9" s="13">
        <f t="shared" ref="J9:J10" si="10">E9/I9</f>
        <v>15.4</v>
      </c>
      <c r="K9" s="14">
        <v>2</v>
      </c>
      <c r="L9" s="15">
        <f t="shared" ref="L9:L10" si="11">I9*K9</f>
        <v>200</v>
      </c>
      <c r="M9" s="16">
        <f t="shared" ref="M9:M10" si="12">ROUND((E9/(L9)),2)</f>
        <v>7.7</v>
      </c>
      <c r="N9" s="5">
        <v>140</v>
      </c>
      <c r="O9" s="15">
        <f t="shared" ref="O9:O10" si="13">L9*N9</f>
        <v>28000</v>
      </c>
      <c r="P9" s="17">
        <f t="shared" ref="P9:P10" si="14">E9/(O9/1000)</f>
        <v>55</v>
      </c>
      <c r="Q9" s="15">
        <f t="shared" ref="Q9:Q10" si="15">$C$4/1000000</f>
        <v>10</v>
      </c>
      <c r="R9" s="5">
        <f t="shared" ref="R9:R10" si="16">ROUND((O9/Q9),1)</f>
        <v>2800</v>
      </c>
      <c r="S9" s="18">
        <f>28*5</f>
        <v>140</v>
      </c>
      <c r="T9" s="5">
        <f t="shared" ref="T9:T10" si="17">ROUND((R9/S9),1)</f>
        <v>20</v>
      </c>
      <c r="U9" s="19">
        <f t="shared" ref="U9:U10" si="18">ROUND((L9/S9),0)</f>
        <v>1</v>
      </c>
      <c r="V9" s="61">
        <f t="shared" si="0"/>
        <v>11</v>
      </c>
      <c r="X9" t="s">
        <v>75</v>
      </c>
    </row>
    <row r="10" spans="1:25">
      <c r="A10" s="5" t="s">
        <v>24</v>
      </c>
      <c r="B10" s="5" t="s">
        <v>34</v>
      </c>
      <c r="C10" s="11" t="s">
        <v>36</v>
      </c>
      <c r="D10" s="12" t="s">
        <v>27</v>
      </c>
      <c r="E10" s="21">
        <v>5859</v>
      </c>
      <c r="F10" s="5" t="s">
        <v>28</v>
      </c>
      <c r="G10" s="11" t="s">
        <v>29</v>
      </c>
      <c r="H10" s="5">
        <v>400</v>
      </c>
      <c r="I10" s="5">
        <v>1200</v>
      </c>
      <c r="J10" s="13">
        <f t="shared" si="10"/>
        <v>4.8825000000000003</v>
      </c>
      <c r="K10" s="14">
        <v>2</v>
      </c>
      <c r="L10" s="15">
        <f t="shared" si="11"/>
        <v>2400</v>
      </c>
      <c r="M10" s="16">
        <f t="shared" si="12"/>
        <v>2.44</v>
      </c>
      <c r="N10" s="5">
        <v>140</v>
      </c>
      <c r="O10" s="15">
        <f t="shared" si="13"/>
        <v>336000</v>
      </c>
      <c r="P10" s="17">
        <f t="shared" si="14"/>
        <v>17.4375</v>
      </c>
      <c r="Q10" s="15">
        <f t="shared" si="15"/>
        <v>10</v>
      </c>
      <c r="R10" s="5">
        <f t="shared" si="16"/>
        <v>33600</v>
      </c>
      <c r="S10" s="18">
        <f>336*5</f>
        <v>1680</v>
      </c>
      <c r="T10" s="5">
        <f t="shared" si="17"/>
        <v>20</v>
      </c>
      <c r="U10" s="19">
        <f t="shared" si="18"/>
        <v>1</v>
      </c>
      <c r="V10" s="61">
        <f t="shared" si="0"/>
        <v>3.4874999999999998</v>
      </c>
      <c r="X10" t="s">
        <v>75</v>
      </c>
    </row>
    <row r="11" spans="1:25">
      <c r="A11" s="5" t="s">
        <v>24</v>
      </c>
      <c r="B11" s="11" t="s">
        <v>37</v>
      </c>
      <c r="C11" s="5" t="s">
        <v>39</v>
      </c>
      <c r="D11" s="92" t="s">
        <v>27</v>
      </c>
      <c r="E11" s="21">
        <v>4500</v>
      </c>
      <c r="F11" s="11" t="s">
        <v>38</v>
      </c>
      <c r="G11" s="5" t="s">
        <v>29</v>
      </c>
      <c r="H11" s="5">
        <v>300</v>
      </c>
      <c r="I11" s="31">
        <v>2500</v>
      </c>
      <c r="J11" s="13">
        <f>E11/I11</f>
        <v>1.8</v>
      </c>
      <c r="K11" s="14">
        <v>2</v>
      </c>
      <c r="L11" s="15">
        <f t="shared" ref="L11" si="19">I11*K11</f>
        <v>5000</v>
      </c>
      <c r="M11" s="16">
        <f t="shared" ref="M11" si="20">ROUND((E11/(L11)),2)</f>
        <v>0.9</v>
      </c>
      <c r="N11" s="5">
        <v>140</v>
      </c>
      <c r="O11" s="15">
        <f t="shared" ref="O11" si="21">L11*N11</f>
        <v>700000</v>
      </c>
      <c r="P11" s="17">
        <f t="shared" ref="P11" si="22">E11/(O11/1000)</f>
        <v>6.4285714285714288</v>
      </c>
      <c r="Q11" s="15">
        <f t="shared" ref="Q11" si="23">$C$4/1000000</f>
        <v>10</v>
      </c>
      <c r="R11" s="5">
        <f>ROUND((O11/Q11),1)</f>
        <v>70000</v>
      </c>
      <c r="S11" s="18">
        <f>480*7.3</f>
        <v>3504</v>
      </c>
      <c r="T11" s="5">
        <f>ROUND((R11/S11),1)</f>
        <v>20</v>
      </c>
      <c r="U11" s="19">
        <f>ROUND((L11/S11),0)</f>
        <v>1</v>
      </c>
      <c r="V11" s="61">
        <f t="shared" si="0"/>
        <v>1.2842465753424657</v>
      </c>
      <c r="X11" t="s">
        <v>76</v>
      </c>
      <c r="Y11" s="33"/>
    </row>
    <row r="12" spans="1:25">
      <c r="A12" s="11"/>
      <c r="B12" s="11"/>
      <c r="C12" s="11"/>
      <c r="D12" s="12"/>
      <c r="E12" s="34"/>
      <c r="F12" s="11"/>
      <c r="G12" s="11"/>
      <c r="H12" s="5"/>
      <c r="I12" s="31"/>
      <c r="J12" s="13"/>
      <c r="K12" s="14"/>
      <c r="L12" s="15"/>
      <c r="M12" s="35"/>
      <c r="N12" s="5"/>
      <c r="O12" s="15"/>
      <c r="P12" s="36"/>
      <c r="Q12" s="15"/>
      <c r="R12" s="5"/>
      <c r="S12" s="5"/>
      <c r="T12" s="5"/>
      <c r="U12" s="20"/>
      <c r="V12" s="62"/>
      <c r="X12" s="4"/>
      <c r="Y12" s="37"/>
    </row>
    <row r="13" spans="1:25">
      <c r="A13" s="11" t="s">
        <v>24</v>
      </c>
      <c r="B13" s="11" t="s">
        <v>40</v>
      </c>
      <c r="C13" s="11" t="s">
        <v>42</v>
      </c>
      <c r="D13" s="38" t="s">
        <v>41</v>
      </c>
      <c r="E13" s="39">
        <v>1500</v>
      </c>
      <c r="F13" s="11" t="s">
        <v>38</v>
      </c>
      <c r="G13" s="11" t="s">
        <v>29</v>
      </c>
      <c r="H13" s="5">
        <v>300</v>
      </c>
      <c r="I13" s="31">
        <v>800</v>
      </c>
      <c r="J13" s="13">
        <f t="shared" ref="J13" si="24">E13/I13</f>
        <v>1.875</v>
      </c>
      <c r="K13" s="14">
        <v>2</v>
      </c>
      <c r="L13" s="15">
        <f t="shared" ref="L13:L15" si="25">I13*K13</f>
        <v>1600</v>
      </c>
      <c r="M13" s="16">
        <f t="shared" ref="M13:M15" si="26">ROUND((E13/(L13)),2)</f>
        <v>0.94</v>
      </c>
      <c r="N13" s="5">
        <v>150</v>
      </c>
      <c r="O13" s="15">
        <f t="shared" ref="O13:O15" si="27">L13*N13</f>
        <v>240000</v>
      </c>
      <c r="P13" s="17">
        <f t="shared" ref="P13:P15" si="28">E13/(O13/1000)</f>
        <v>6.25</v>
      </c>
      <c r="Q13" s="15">
        <f t="shared" ref="Q13:Q15" si="29">$C$4/1000000</f>
        <v>10</v>
      </c>
      <c r="R13" s="5">
        <f t="shared" ref="R13" si="30">ROUND((O13/Q13),1)</f>
        <v>24000</v>
      </c>
      <c r="S13" s="18">
        <f>480*2.5</f>
        <v>1200</v>
      </c>
      <c r="T13" s="5">
        <f t="shared" ref="T13" si="31">ROUND((R13/S13),1)</f>
        <v>20</v>
      </c>
      <c r="U13" s="19">
        <f t="shared" ref="U13" si="32">ROUND((L13/S13),0)</f>
        <v>1</v>
      </c>
      <c r="V13" s="61">
        <f t="shared" ref="V13" si="33">E13/S13</f>
        <v>1.25</v>
      </c>
      <c r="X13" s="4" t="s">
        <v>78</v>
      </c>
      <c r="Y13" s="33"/>
    </row>
    <row r="14" spans="1:25">
      <c r="A14" s="23" t="s">
        <v>24</v>
      </c>
      <c r="B14" s="23" t="s">
        <v>40</v>
      </c>
      <c r="C14" s="23" t="s">
        <v>43</v>
      </c>
      <c r="D14" s="40" t="s">
        <v>27</v>
      </c>
      <c r="E14" s="41">
        <v>1824</v>
      </c>
      <c r="F14" s="23" t="s">
        <v>38</v>
      </c>
      <c r="G14" s="23" t="s">
        <v>29</v>
      </c>
      <c r="H14" s="22">
        <v>300</v>
      </c>
      <c r="I14" s="42">
        <f t="shared" ref="I14" si="34">10000/8</f>
        <v>1250</v>
      </c>
      <c r="J14" s="24">
        <f t="shared" ref="J14" si="35">E14/I14</f>
        <v>1.4592000000000001</v>
      </c>
      <c r="K14" s="25">
        <v>2</v>
      </c>
      <c r="L14" s="26">
        <f t="shared" si="25"/>
        <v>2500</v>
      </c>
      <c r="M14" s="27">
        <f t="shared" si="26"/>
        <v>0.73</v>
      </c>
      <c r="N14" s="22">
        <v>150</v>
      </c>
      <c r="O14" s="26">
        <f t="shared" si="27"/>
        <v>375000</v>
      </c>
      <c r="P14" s="28">
        <f t="shared" si="28"/>
        <v>4.8639999999999999</v>
      </c>
      <c r="Q14" s="91">
        <f t="shared" si="29"/>
        <v>10</v>
      </c>
      <c r="R14" s="22">
        <f t="shared" ref="R14" si="36">ROUND((O14/Q14),1)</f>
        <v>37500</v>
      </c>
      <c r="S14" s="18">
        <f>480*3.9</f>
        <v>1872</v>
      </c>
      <c r="T14" s="22">
        <f t="shared" ref="T14" si="37">ROUND((R14/S14),1)</f>
        <v>20</v>
      </c>
      <c r="U14" s="29">
        <f t="shared" ref="U14" si="38">ROUND((L14/S14),0)</f>
        <v>1</v>
      </c>
      <c r="V14" s="79">
        <f t="shared" ref="V14" si="39">E14/S14</f>
        <v>0.97435897435897434</v>
      </c>
      <c r="W14" s="30"/>
      <c r="X14" s="43" t="s">
        <v>77</v>
      </c>
    </row>
    <row r="15" spans="1:25">
      <c r="A15" s="44" t="s">
        <v>24</v>
      </c>
      <c r="B15" s="44" t="s">
        <v>40</v>
      </c>
      <c r="C15" s="44" t="s">
        <v>44</v>
      </c>
      <c r="D15" s="45" t="s">
        <v>27</v>
      </c>
      <c r="E15" s="46">
        <v>3050</v>
      </c>
      <c r="F15" s="44" t="s">
        <v>38</v>
      </c>
      <c r="G15" s="44" t="s">
        <v>29</v>
      </c>
      <c r="H15" s="47">
        <v>300</v>
      </c>
      <c r="I15" s="48">
        <f>25000/8</f>
        <v>3125</v>
      </c>
      <c r="J15" s="49">
        <f>E15/I15</f>
        <v>0.97599999999999998</v>
      </c>
      <c r="K15" s="50">
        <v>2</v>
      </c>
      <c r="L15" s="51">
        <f t="shared" si="25"/>
        <v>6250</v>
      </c>
      <c r="M15" s="52">
        <f t="shared" si="26"/>
        <v>0.49</v>
      </c>
      <c r="N15" s="47">
        <v>150</v>
      </c>
      <c r="O15" s="51">
        <f t="shared" si="27"/>
        <v>937500</v>
      </c>
      <c r="P15" s="53">
        <f t="shared" si="28"/>
        <v>3.2533333333333334</v>
      </c>
      <c r="Q15" s="51">
        <f t="shared" si="29"/>
        <v>10</v>
      </c>
      <c r="R15" s="47">
        <f>ROUND((O15/Q15),1)</f>
        <v>93750</v>
      </c>
      <c r="S15" s="57">
        <f>480*9.75</f>
        <v>4680</v>
      </c>
      <c r="T15" s="47">
        <f>ROUND((R15/S15),1)</f>
        <v>20</v>
      </c>
      <c r="U15" s="54">
        <f>ROUND((L15/S15),0)</f>
        <v>1</v>
      </c>
      <c r="V15" s="63">
        <f>E15/S15</f>
        <v>0.65170940170940173</v>
      </c>
      <c r="W15" s="55"/>
      <c r="X15" s="56" t="s">
        <v>79</v>
      </c>
      <c r="Y15" s="33"/>
    </row>
    <row r="18" spans="1:25">
      <c r="B18" s="58" t="s">
        <v>48</v>
      </c>
      <c r="C18" s="70">
        <v>1E-3</v>
      </c>
      <c r="D18" s="58" t="s">
        <v>49</v>
      </c>
    </row>
    <row r="19" spans="1:25" ht="29">
      <c r="A19" s="1" t="s">
        <v>47</v>
      </c>
      <c r="B19" s="1"/>
      <c r="C19" s="2">
        <f>C$4/C18</f>
        <v>10000000000</v>
      </c>
      <c r="D19" s="3" t="s">
        <v>64</v>
      </c>
      <c r="F19" s="4"/>
      <c r="S19" s="59" t="s">
        <v>81</v>
      </c>
      <c r="T19" s="5"/>
    </row>
    <row r="20" spans="1:25" ht="57">
      <c r="A20" s="6" t="s">
        <v>2</v>
      </c>
      <c r="B20" s="6" t="s">
        <v>3</v>
      </c>
      <c r="C20" s="6" t="s">
        <v>4</v>
      </c>
      <c r="D20" s="6" t="s">
        <v>5</v>
      </c>
      <c r="E20" s="7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  <c r="K20" s="6" t="s">
        <v>12</v>
      </c>
      <c r="L20" s="6" t="s">
        <v>13</v>
      </c>
      <c r="M20" s="6" t="s">
        <v>14</v>
      </c>
      <c r="N20" s="6" t="s">
        <v>15</v>
      </c>
      <c r="O20" s="6" t="s">
        <v>16</v>
      </c>
      <c r="P20" s="6" t="s">
        <v>17</v>
      </c>
      <c r="Q20" s="6" t="s">
        <v>18</v>
      </c>
      <c r="R20" s="6" t="s">
        <v>19</v>
      </c>
      <c r="S20" s="8" t="s">
        <v>20</v>
      </c>
      <c r="T20" s="6" t="s">
        <v>21</v>
      </c>
      <c r="U20" s="6" t="s">
        <v>46</v>
      </c>
      <c r="V20" s="60" t="s">
        <v>22</v>
      </c>
      <c r="W20" s="9"/>
      <c r="X20" s="10" t="s">
        <v>23</v>
      </c>
      <c r="Y20" s="9"/>
    </row>
    <row r="21" spans="1:25">
      <c r="A21" s="5" t="s">
        <v>24</v>
      </c>
      <c r="B21" s="5" t="s">
        <v>34</v>
      </c>
      <c r="C21" s="11" t="s">
        <v>36</v>
      </c>
      <c r="D21" s="12" t="s">
        <v>27</v>
      </c>
      <c r="E21" s="21">
        <v>5859</v>
      </c>
      <c r="F21" s="5" t="s">
        <v>28</v>
      </c>
      <c r="G21" s="11" t="s">
        <v>29</v>
      </c>
      <c r="H21" s="5">
        <v>400</v>
      </c>
      <c r="I21" s="5">
        <v>1200</v>
      </c>
      <c r="J21" s="13">
        <f t="shared" ref="J21" si="40">E21/I21</f>
        <v>4.8825000000000003</v>
      </c>
      <c r="K21" s="14">
        <v>2</v>
      </c>
      <c r="L21" s="15">
        <f t="shared" ref="L21:L22" si="41">I21*K21</f>
        <v>2400</v>
      </c>
      <c r="M21" s="16">
        <f t="shared" ref="M21:M22" si="42">ROUND((E21/(L21)),2)</f>
        <v>2.44</v>
      </c>
      <c r="N21" s="5">
        <v>140</v>
      </c>
      <c r="O21" s="15">
        <f t="shared" ref="O21:O22" si="43">L21*N21</f>
        <v>336000</v>
      </c>
      <c r="P21" s="17">
        <f t="shared" ref="P21:P22" si="44">E21/(O21/1000)</f>
        <v>17.4375</v>
      </c>
      <c r="Q21" s="15">
        <f t="shared" ref="Q21:Q22" si="45">$C$19/1000000</f>
        <v>10000</v>
      </c>
      <c r="R21" s="5">
        <f t="shared" ref="R21" si="46">ROUND((O21/Q21),1)</f>
        <v>33.6</v>
      </c>
      <c r="S21" s="18">
        <v>2</v>
      </c>
      <c r="T21" s="5">
        <f t="shared" ref="T21" si="47">ROUND((R21/S21),1)</f>
        <v>16.8</v>
      </c>
      <c r="U21" s="19">
        <f t="shared" ref="U21" si="48">ROUND((L21/S21),0)</f>
        <v>1200</v>
      </c>
      <c r="V21" s="61">
        <f t="shared" ref="V21:V22" si="49">E21/S21</f>
        <v>2929.5</v>
      </c>
      <c r="X21" t="s">
        <v>75</v>
      </c>
    </row>
    <row r="22" spans="1:25">
      <c r="A22" s="5" t="s">
        <v>24</v>
      </c>
      <c r="B22" s="11" t="s">
        <v>37</v>
      </c>
      <c r="C22" s="5" t="s">
        <v>39</v>
      </c>
      <c r="D22" s="92" t="s">
        <v>27</v>
      </c>
      <c r="E22" s="21">
        <v>4500</v>
      </c>
      <c r="F22" s="11" t="s">
        <v>38</v>
      </c>
      <c r="G22" s="5" t="s">
        <v>29</v>
      </c>
      <c r="H22" s="5">
        <v>300</v>
      </c>
      <c r="I22" s="31">
        <v>2500</v>
      </c>
      <c r="J22" s="13">
        <f>E22/I22</f>
        <v>1.8</v>
      </c>
      <c r="K22" s="14">
        <v>2</v>
      </c>
      <c r="L22" s="15">
        <f t="shared" si="41"/>
        <v>5000</v>
      </c>
      <c r="M22" s="16">
        <f t="shared" si="42"/>
        <v>0.9</v>
      </c>
      <c r="N22" s="5">
        <v>140</v>
      </c>
      <c r="O22" s="15">
        <f t="shared" si="43"/>
        <v>700000</v>
      </c>
      <c r="P22" s="17">
        <f t="shared" si="44"/>
        <v>6.4285714285714288</v>
      </c>
      <c r="Q22" s="15">
        <f t="shared" si="45"/>
        <v>10000</v>
      </c>
      <c r="R22" s="5">
        <f>ROUND((O22/Q22),1)</f>
        <v>70</v>
      </c>
      <c r="S22" s="18">
        <v>3</v>
      </c>
      <c r="T22" s="5">
        <f>ROUND((R22/S22),1)</f>
        <v>23.3</v>
      </c>
      <c r="U22" s="19">
        <f>ROUND((L22/S22),0)</f>
        <v>1667</v>
      </c>
      <c r="V22" s="61">
        <f t="shared" si="49"/>
        <v>1500</v>
      </c>
      <c r="X22" t="s">
        <v>76</v>
      </c>
      <c r="Y22" s="33"/>
    </row>
    <row r="23" spans="1:25">
      <c r="A23" s="11"/>
      <c r="B23" s="11"/>
      <c r="C23" s="11"/>
      <c r="D23" s="12"/>
      <c r="E23" s="34"/>
      <c r="F23" s="11"/>
      <c r="G23" s="11"/>
      <c r="H23" s="5"/>
      <c r="I23" s="31"/>
      <c r="J23" s="13"/>
      <c r="K23" s="14"/>
      <c r="L23" s="15"/>
      <c r="M23" s="35"/>
      <c r="N23" s="5"/>
      <c r="O23" s="15"/>
      <c r="P23" s="36"/>
      <c r="Q23" s="15"/>
      <c r="R23" s="5"/>
      <c r="S23" s="5"/>
      <c r="T23" s="5"/>
      <c r="U23" s="20"/>
      <c r="V23" s="62"/>
      <c r="X23" s="4"/>
      <c r="Y23" s="37"/>
    </row>
    <row r="24" spans="1:25">
      <c r="A24" s="11" t="s">
        <v>24</v>
      </c>
      <c r="B24" s="11" t="s">
        <v>40</v>
      </c>
      <c r="C24" s="11" t="s">
        <v>42</v>
      </c>
      <c r="D24" s="38" t="s">
        <v>41</v>
      </c>
      <c r="E24" s="39">
        <v>1500</v>
      </c>
      <c r="F24" s="11" t="s">
        <v>38</v>
      </c>
      <c r="G24" s="11" t="s">
        <v>29</v>
      </c>
      <c r="H24" s="5">
        <v>300</v>
      </c>
      <c r="I24" s="31">
        <v>800</v>
      </c>
      <c r="J24" s="13">
        <f t="shared" ref="J24:J25" si="50">E24/I24</f>
        <v>1.875</v>
      </c>
      <c r="K24" s="14">
        <v>2</v>
      </c>
      <c r="L24" s="15">
        <f t="shared" ref="L24:L26" si="51">I24*K24</f>
        <v>1600</v>
      </c>
      <c r="M24" s="16">
        <f t="shared" ref="M24:M26" si="52">ROUND((E24/(L24)),2)</f>
        <v>0.94</v>
      </c>
      <c r="N24" s="5">
        <v>150</v>
      </c>
      <c r="O24" s="15">
        <f t="shared" ref="O24:O26" si="53">L24*N24</f>
        <v>240000</v>
      </c>
      <c r="P24" s="17">
        <f t="shared" ref="P24:P26" si="54">E24/(O24/1000)</f>
        <v>6.25</v>
      </c>
      <c r="Q24" s="15">
        <f t="shared" ref="Q24:Q26" si="55">$C$19/1000000</f>
        <v>10000</v>
      </c>
      <c r="R24" s="5">
        <f t="shared" ref="R24:R25" si="56">ROUND((O24/Q24),1)</f>
        <v>24</v>
      </c>
      <c r="S24" s="18">
        <v>1</v>
      </c>
      <c r="T24" s="5">
        <f t="shared" ref="T24:T25" si="57">ROUND((R24/S24),1)</f>
        <v>24</v>
      </c>
      <c r="U24" s="19">
        <f t="shared" ref="U24:U25" si="58">ROUND((L24/S24),0)</f>
        <v>1600</v>
      </c>
      <c r="V24" s="61">
        <f t="shared" ref="V24:V25" si="59">E24/S24</f>
        <v>1500</v>
      </c>
      <c r="X24" s="4" t="s">
        <v>78</v>
      </c>
      <c r="Y24" s="33"/>
    </row>
    <row r="25" spans="1:25">
      <c r="A25" s="23" t="s">
        <v>24</v>
      </c>
      <c r="B25" s="23" t="s">
        <v>40</v>
      </c>
      <c r="C25" s="23" t="s">
        <v>43</v>
      </c>
      <c r="D25" s="40" t="s">
        <v>27</v>
      </c>
      <c r="E25" s="41">
        <v>1824</v>
      </c>
      <c r="F25" s="23" t="s">
        <v>38</v>
      </c>
      <c r="G25" s="23" t="s">
        <v>29</v>
      </c>
      <c r="H25" s="22">
        <v>300</v>
      </c>
      <c r="I25" s="42">
        <f t="shared" ref="I25" si="60">10000/8</f>
        <v>1250</v>
      </c>
      <c r="J25" s="24">
        <f t="shared" si="50"/>
        <v>1.4592000000000001</v>
      </c>
      <c r="K25" s="25">
        <v>2</v>
      </c>
      <c r="L25" s="26">
        <f t="shared" si="51"/>
        <v>2500</v>
      </c>
      <c r="M25" s="27">
        <f t="shared" si="52"/>
        <v>0.73</v>
      </c>
      <c r="N25" s="22">
        <v>150</v>
      </c>
      <c r="O25" s="26">
        <f t="shared" si="53"/>
        <v>375000</v>
      </c>
      <c r="P25" s="28">
        <f t="shared" si="54"/>
        <v>4.8639999999999999</v>
      </c>
      <c r="Q25" s="91">
        <f t="shared" si="55"/>
        <v>10000</v>
      </c>
      <c r="R25" s="22">
        <f t="shared" si="56"/>
        <v>37.5</v>
      </c>
      <c r="S25" s="18">
        <v>2</v>
      </c>
      <c r="T25" s="22">
        <f t="shared" si="57"/>
        <v>18.8</v>
      </c>
      <c r="U25" s="29">
        <f t="shared" si="58"/>
        <v>1250</v>
      </c>
      <c r="V25" s="79">
        <f t="shared" si="59"/>
        <v>912</v>
      </c>
      <c r="W25" s="30"/>
      <c r="X25" s="43" t="s">
        <v>77</v>
      </c>
    </row>
    <row r="26" spans="1:25">
      <c r="A26" s="44" t="s">
        <v>24</v>
      </c>
      <c r="B26" s="44" t="s">
        <v>40</v>
      </c>
      <c r="C26" s="44" t="s">
        <v>44</v>
      </c>
      <c r="D26" s="45" t="s">
        <v>27</v>
      </c>
      <c r="E26" s="46">
        <v>3050</v>
      </c>
      <c r="F26" s="44" t="s">
        <v>38</v>
      </c>
      <c r="G26" s="44" t="s">
        <v>29</v>
      </c>
      <c r="H26" s="47">
        <v>300</v>
      </c>
      <c r="I26" s="48">
        <f>25000/8</f>
        <v>3125</v>
      </c>
      <c r="J26" s="49">
        <f>E26/I26</f>
        <v>0.97599999999999998</v>
      </c>
      <c r="K26" s="50">
        <v>2</v>
      </c>
      <c r="L26" s="51">
        <f t="shared" si="51"/>
        <v>6250</v>
      </c>
      <c r="M26" s="52">
        <f t="shared" si="52"/>
        <v>0.49</v>
      </c>
      <c r="N26" s="47">
        <v>150</v>
      </c>
      <c r="O26" s="51">
        <f t="shared" si="53"/>
        <v>937500</v>
      </c>
      <c r="P26" s="53">
        <f t="shared" si="54"/>
        <v>3.2533333333333334</v>
      </c>
      <c r="Q26" s="51">
        <f t="shared" si="55"/>
        <v>10000</v>
      </c>
      <c r="R26" s="47">
        <f>ROUND((O26/Q26),1)</f>
        <v>93.8</v>
      </c>
      <c r="S26" s="57">
        <v>4</v>
      </c>
      <c r="T26" s="47">
        <f>ROUND((R26/S26),1)</f>
        <v>23.5</v>
      </c>
      <c r="U26" s="54">
        <f>ROUND((L26/S26),0)</f>
        <v>1563</v>
      </c>
      <c r="V26" s="63">
        <f>E26/S26</f>
        <v>762.5</v>
      </c>
      <c r="W26" s="55"/>
      <c r="X26" s="56" t="s">
        <v>79</v>
      </c>
      <c r="Y26" s="33"/>
    </row>
    <row r="29" spans="1:25">
      <c r="B29" s="64" t="s">
        <v>48</v>
      </c>
      <c r="C29" s="69">
        <v>0.1</v>
      </c>
      <c r="D29" s="64" t="s">
        <v>50</v>
      </c>
    </row>
    <row r="30" spans="1:25" ht="29">
      <c r="A30" s="1" t="s">
        <v>47</v>
      </c>
      <c r="B30" s="1"/>
      <c r="C30" s="2">
        <f>C$4/C29</f>
        <v>100000000</v>
      </c>
      <c r="D30" s="3" t="s">
        <v>64</v>
      </c>
      <c r="F30" s="4"/>
      <c r="S30" s="95" t="s">
        <v>80</v>
      </c>
      <c r="T30" s="5"/>
    </row>
    <row r="31" spans="1:25" ht="57">
      <c r="A31" s="6" t="s">
        <v>2</v>
      </c>
      <c r="B31" s="6" t="s">
        <v>3</v>
      </c>
      <c r="C31" s="6" t="s">
        <v>4</v>
      </c>
      <c r="D31" s="6" t="s">
        <v>5</v>
      </c>
      <c r="E31" s="7" t="s">
        <v>6</v>
      </c>
      <c r="F31" s="6" t="s">
        <v>7</v>
      </c>
      <c r="G31" s="6" t="s">
        <v>8</v>
      </c>
      <c r="H31" s="6" t="s">
        <v>9</v>
      </c>
      <c r="I31" s="6" t="s">
        <v>10</v>
      </c>
      <c r="J31" s="6" t="s">
        <v>11</v>
      </c>
      <c r="K31" s="6" t="s">
        <v>12</v>
      </c>
      <c r="L31" s="6" t="s">
        <v>13</v>
      </c>
      <c r="M31" s="6" t="s">
        <v>14</v>
      </c>
      <c r="N31" s="6" t="s">
        <v>15</v>
      </c>
      <c r="O31" s="6" t="s">
        <v>16</v>
      </c>
      <c r="P31" s="6" t="s">
        <v>17</v>
      </c>
      <c r="Q31" s="6" t="s">
        <v>18</v>
      </c>
      <c r="R31" s="6" t="s">
        <v>19</v>
      </c>
      <c r="S31" s="8" t="s">
        <v>20</v>
      </c>
      <c r="T31" s="6" t="s">
        <v>21</v>
      </c>
      <c r="U31" s="6" t="s">
        <v>46</v>
      </c>
      <c r="V31" s="65" t="s">
        <v>51</v>
      </c>
      <c r="W31" s="9"/>
      <c r="X31" s="10" t="s">
        <v>23</v>
      </c>
      <c r="Y31" s="9"/>
    </row>
    <row r="32" spans="1:25">
      <c r="A32" s="5" t="s">
        <v>24</v>
      </c>
      <c r="B32" s="5" t="s">
        <v>34</v>
      </c>
      <c r="C32" s="11" t="s">
        <v>36</v>
      </c>
      <c r="D32" s="12" t="s">
        <v>27</v>
      </c>
      <c r="E32" s="21">
        <v>5859</v>
      </c>
      <c r="F32" s="5" t="s">
        <v>28</v>
      </c>
      <c r="G32" s="11" t="s">
        <v>29</v>
      </c>
      <c r="H32" s="5">
        <v>400</v>
      </c>
      <c r="I32" s="5">
        <v>1200</v>
      </c>
      <c r="J32" s="13">
        <f t="shared" ref="J32" si="61">E32/I32</f>
        <v>4.8825000000000003</v>
      </c>
      <c r="K32" s="14">
        <v>2</v>
      </c>
      <c r="L32" s="15">
        <f t="shared" ref="L32:L33" si="62">I32*K32</f>
        <v>2400</v>
      </c>
      <c r="M32" s="16">
        <f t="shared" ref="M32:M33" si="63">ROUND((E32/(L32)),2)</f>
        <v>2.44</v>
      </c>
      <c r="N32" s="5">
        <v>140</v>
      </c>
      <c r="O32" s="15">
        <f t="shared" ref="O32:O33" si="64">L32*N32</f>
        <v>336000</v>
      </c>
      <c r="P32" s="17">
        <f t="shared" ref="P32:P33" si="65">E32/(O32/1000)</f>
        <v>17.4375</v>
      </c>
      <c r="Q32" s="15">
        <f>$C$30/1000000</f>
        <v>100</v>
      </c>
      <c r="R32" s="5">
        <f t="shared" ref="R32" si="66">ROUND((O32/Q32),1)</f>
        <v>3360</v>
      </c>
      <c r="S32" s="18">
        <f>3360/20</f>
        <v>168</v>
      </c>
      <c r="T32" s="5">
        <f t="shared" ref="T32" si="67">ROUND((R32/S32),1)</f>
        <v>20</v>
      </c>
      <c r="U32" s="19">
        <f t="shared" ref="U32" si="68">ROUND((L32/S32),0)</f>
        <v>14</v>
      </c>
      <c r="V32" s="66">
        <f t="shared" ref="V32:V33" si="69">E32/S32</f>
        <v>34.875</v>
      </c>
      <c r="X32" t="s">
        <v>75</v>
      </c>
    </row>
    <row r="33" spans="1:25">
      <c r="A33" s="5" t="s">
        <v>24</v>
      </c>
      <c r="B33" s="11" t="s">
        <v>37</v>
      </c>
      <c r="C33" s="5" t="s">
        <v>39</v>
      </c>
      <c r="D33" s="92" t="s">
        <v>27</v>
      </c>
      <c r="E33" s="21">
        <v>4500</v>
      </c>
      <c r="F33" s="11" t="s">
        <v>38</v>
      </c>
      <c r="G33" s="5" t="s">
        <v>29</v>
      </c>
      <c r="H33" s="5">
        <v>300</v>
      </c>
      <c r="I33" s="31">
        <v>2500</v>
      </c>
      <c r="J33" s="13">
        <f>E33/I33</f>
        <v>1.8</v>
      </c>
      <c r="K33" s="14">
        <v>2</v>
      </c>
      <c r="L33" s="15">
        <f t="shared" si="62"/>
        <v>5000</v>
      </c>
      <c r="M33" s="16">
        <f t="shared" si="63"/>
        <v>0.9</v>
      </c>
      <c r="N33" s="5">
        <v>140</v>
      </c>
      <c r="O33" s="15">
        <f t="shared" si="64"/>
        <v>700000</v>
      </c>
      <c r="P33" s="17">
        <f t="shared" si="65"/>
        <v>6.4285714285714288</v>
      </c>
      <c r="Q33" s="15">
        <f>$C$30/1000000</f>
        <v>100</v>
      </c>
      <c r="R33" s="5">
        <f>ROUND((O33/Q33),1)</f>
        <v>7000</v>
      </c>
      <c r="S33" s="18">
        <f>7000/20</f>
        <v>350</v>
      </c>
      <c r="T33" s="5">
        <f>ROUND((R33/S33),1)</f>
        <v>20</v>
      </c>
      <c r="U33" s="19">
        <f>ROUND((L33/S33),0)</f>
        <v>14</v>
      </c>
      <c r="V33" s="66">
        <f t="shared" si="69"/>
        <v>12.857142857142858</v>
      </c>
      <c r="X33" t="s">
        <v>76</v>
      </c>
      <c r="Y33" s="33"/>
    </row>
    <row r="34" spans="1:25">
      <c r="A34" s="11"/>
      <c r="B34" s="11"/>
      <c r="C34" s="11"/>
      <c r="D34" s="12"/>
      <c r="E34" s="34"/>
      <c r="F34" s="11"/>
      <c r="G34" s="11"/>
      <c r="H34" s="5"/>
      <c r="I34" s="31"/>
      <c r="J34" s="13"/>
      <c r="K34" s="14"/>
      <c r="L34" s="15"/>
      <c r="M34" s="35"/>
      <c r="N34" s="5"/>
      <c r="O34" s="15"/>
      <c r="P34" s="36"/>
      <c r="Q34" s="15"/>
      <c r="R34" s="5"/>
      <c r="S34" s="5"/>
      <c r="T34" s="5"/>
      <c r="U34" s="20"/>
      <c r="V34" s="67"/>
      <c r="X34" s="4"/>
      <c r="Y34" s="37"/>
    </row>
    <row r="35" spans="1:25">
      <c r="A35" s="11" t="s">
        <v>24</v>
      </c>
      <c r="B35" s="11" t="s">
        <v>40</v>
      </c>
      <c r="C35" s="11" t="s">
        <v>42</v>
      </c>
      <c r="D35" s="38" t="s">
        <v>41</v>
      </c>
      <c r="E35" s="39">
        <v>1500</v>
      </c>
      <c r="F35" s="11" t="s">
        <v>38</v>
      </c>
      <c r="G35" s="11" t="s">
        <v>29</v>
      </c>
      <c r="H35" s="5">
        <v>300</v>
      </c>
      <c r="I35" s="31">
        <v>800</v>
      </c>
      <c r="J35" s="13">
        <f t="shared" ref="J35:J36" si="70">E35/I35</f>
        <v>1.875</v>
      </c>
      <c r="K35" s="14">
        <v>2</v>
      </c>
      <c r="L35" s="15">
        <f t="shared" ref="L35:L37" si="71">I35*K35</f>
        <v>1600</v>
      </c>
      <c r="M35" s="16">
        <f t="shared" ref="M35:M37" si="72">ROUND((E35/(L35)),2)</f>
        <v>0.94</v>
      </c>
      <c r="N35" s="5">
        <v>150</v>
      </c>
      <c r="O35" s="15">
        <f t="shared" ref="O35:O37" si="73">L35*N35</f>
        <v>240000</v>
      </c>
      <c r="P35" s="17">
        <f t="shared" ref="P35:P37" si="74">E35/(O35/1000)</f>
        <v>6.25</v>
      </c>
      <c r="Q35" s="15">
        <f t="shared" ref="Q35:Q37" si="75">$C$30/1000000</f>
        <v>100</v>
      </c>
      <c r="R35" s="5">
        <f t="shared" ref="R35:R36" si="76">ROUND((O35/Q35),1)</f>
        <v>2400</v>
      </c>
      <c r="S35" s="18">
        <f>2400/20</f>
        <v>120</v>
      </c>
      <c r="T35" s="5">
        <f t="shared" ref="T35:T36" si="77">ROUND((R35/S35),1)</f>
        <v>20</v>
      </c>
      <c r="U35" s="19">
        <f t="shared" ref="U35:U36" si="78">ROUND((L35/S35),0)</f>
        <v>13</v>
      </c>
      <c r="V35" s="66">
        <f t="shared" ref="V35:V36" si="79">E35/S35</f>
        <v>12.5</v>
      </c>
      <c r="X35" s="4" t="s">
        <v>78</v>
      </c>
      <c r="Y35" s="33"/>
    </row>
    <row r="36" spans="1:25">
      <c r="A36" s="23" t="s">
        <v>24</v>
      </c>
      <c r="B36" s="23" t="s">
        <v>40</v>
      </c>
      <c r="C36" s="23" t="s">
        <v>43</v>
      </c>
      <c r="D36" s="40" t="s">
        <v>27</v>
      </c>
      <c r="E36" s="41">
        <v>1824</v>
      </c>
      <c r="F36" s="23" t="s">
        <v>38</v>
      </c>
      <c r="G36" s="23" t="s">
        <v>29</v>
      </c>
      <c r="H36" s="22">
        <v>300</v>
      </c>
      <c r="I36" s="42">
        <f t="shared" ref="I36" si="80">10000/8</f>
        <v>1250</v>
      </c>
      <c r="J36" s="24">
        <f t="shared" si="70"/>
        <v>1.4592000000000001</v>
      </c>
      <c r="K36" s="25">
        <v>2</v>
      </c>
      <c r="L36" s="26">
        <f t="shared" si="71"/>
        <v>2500</v>
      </c>
      <c r="M36" s="27">
        <f t="shared" si="72"/>
        <v>0.73</v>
      </c>
      <c r="N36" s="22">
        <v>150</v>
      </c>
      <c r="O36" s="26">
        <f t="shared" si="73"/>
        <v>375000</v>
      </c>
      <c r="P36" s="28">
        <f t="shared" si="74"/>
        <v>4.8639999999999999</v>
      </c>
      <c r="Q36" s="91">
        <f t="shared" si="75"/>
        <v>100</v>
      </c>
      <c r="R36" s="22">
        <f t="shared" si="76"/>
        <v>3750</v>
      </c>
      <c r="S36" s="93">
        <f>3750/20</f>
        <v>187.5</v>
      </c>
      <c r="T36" s="22">
        <f t="shared" si="77"/>
        <v>20</v>
      </c>
      <c r="U36" s="29">
        <f t="shared" si="78"/>
        <v>13</v>
      </c>
      <c r="V36" s="79">
        <f t="shared" si="79"/>
        <v>9.7279999999999998</v>
      </c>
      <c r="W36" s="30"/>
      <c r="X36" s="43" t="s">
        <v>77</v>
      </c>
    </row>
    <row r="37" spans="1:25">
      <c r="A37" s="44" t="s">
        <v>24</v>
      </c>
      <c r="B37" s="44" t="s">
        <v>40</v>
      </c>
      <c r="C37" s="44" t="s">
        <v>44</v>
      </c>
      <c r="D37" s="45" t="s">
        <v>27</v>
      </c>
      <c r="E37" s="46">
        <v>3050</v>
      </c>
      <c r="F37" s="44" t="s">
        <v>38</v>
      </c>
      <c r="G37" s="44" t="s">
        <v>29</v>
      </c>
      <c r="H37" s="47">
        <v>300</v>
      </c>
      <c r="I37" s="48">
        <f>25000/8</f>
        <v>3125</v>
      </c>
      <c r="J37" s="49">
        <f>E37/I37</f>
        <v>0.97599999999999998</v>
      </c>
      <c r="K37" s="50">
        <v>2</v>
      </c>
      <c r="L37" s="51">
        <f t="shared" si="71"/>
        <v>6250</v>
      </c>
      <c r="M37" s="52">
        <f t="shared" si="72"/>
        <v>0.49</v>
      </c>
      <c r="N37" s="47">
        <v>150</v>
      </c>
      <c r="O37" s="51">
        <f t="shared" si="73"/>
        <v>937500</v>
      </c>
      <c r="P37" s="53">
        <f t="shared" si="74"/>
        <v>3.2533333333333334</v>
      </c>
      <c r="Q37" s="51">
        <f t="shared" si="75"/>
        <v>100</v>
      </c>
      <c r="R37" s="47">
        <f>ROUND((O37/Q37),1)</f>
        <v>9375</v>
      </c>
      <c r="S37" s="94">
        <f>9375/20</f>
        <v>468.75</v>
      </c>
      <c r="T37" s="47">
        <f>ROUND((R37/S37),1)</f>
        <v>20</v>
      </c>
      <c r="U37" s="54">
        <f>ROUND((L37/S37),0)</f>
        <v>13</v>
      </c>
      <c r="V37" s="68">
        <f>E37/S37</f>
        <v>6.5066666666666668</v>
      </c>
      <c r="W37" s="55"/>
      <c r="X37" s="56" t="s">
        <v>79</v>
      </c>
      <c r="Y37" s="33"/>
    </row>
    <row r="41" spans="1:25" ht="21">
      <c r="A41" s="96" t="s">
        <v>52</v>
      </c>
    </row>
    <row r="42" spans="1:25" ht="29" customHeight="1">
      <c r="B42" s="71" t="s">
        <v>70</v>
      </c>
      <c r="C42" s="71" t="s">
        <v>53</v>
      </c>
      <c r="D42" s="71" t="s">
        <v>54</v>
      </c>
      <c r="E42" s="71" t="s">
        <v>55</v>
      </c>
      <c r="F42" s="71" t="s">
        <v>60</v>
      </c>
      <c r="G42" s="71" t="s">
        <v>61</v>
      </c>
      <c r="H42" s="71" t="s">
        <v>62</v>
      </c>
      <c r="I42" s="71" t="s">
        <v>58</v>
      </c>
      <c r="J42" s="71" t="s">
        <v>59</v>
      </c>
      <c r="O42" s="71" t="s">
        <v>65</v>
      </c>
      <c r="P42" s="71" t="s">
        <v>66</v>
      </c>
      <c r="Q42" s="71" t="s">
        <v>67</v>
      </c>
    </row>
    <row r="43" spans="1:25" ht="19" customHeight="1">
      <c r="A43" s="88" t="s">
        <v>82</v>
      </c>
      <c r="B43" s="87"/>
      <c r="C43" s="87"/>
      <c r="D43" s="87"/>
      <c r="E43" s="87"/>
      <c r="F43" s="87"/>
      <c r="G43" s="87"/>
      <c r="H43" s="87"/>
      <c r="I43" s="87"/>
      <c r="J43" s="87"/>
      <c r="O43" s="87"/>
      <c r="P43" s="87"/>
      <c r="Q43" s="87"/>
    </row>
    <row r="44" spans="1:25">
      <c r="A44" t="s">
        <v>56</v>
      </c>
      <c r="B44" s="77">
        <v>18000</v>
      </c>
      <c r="C44" s="5">
        <v>96</v>
      </c>
      <c r="D44" s="5">
        <v>4</v>
      </c>
      <c r="E44" s="5">
        <f>C44*D44</f>
        <v>384</v>
      </c>
      <c r="F44" s="72">
        <f>B44/E44</f>
        <v>46.875</v>
      </c>
      <c r="G44" s="72">
        <v>10</v>
      </c>
      <c r="H44" s="32">
        <f>F44+G44</f>
        <v>56.875</v>
      </c>
      <c r="I44" s="5">
        <v>8</v>
      </c>
      <c r="J44" s="73">
        <f>H44/I44</f>
        <v>7.109375</v>
      </c>
      <c r="M44" s="84" t="s">
        <v>68</v>
      </c>
      <c r="N44" s="84"/>
      <c r="O44" s="85">
        <v>0</v>
      </c>
      <c r="P44" s="85">
        <v>1</v>
      </c>
      <c r="Q44" s="86">
        <f>O44+P44</f>
        <v>1</v>
      </c>
    </row>
    <row r="45" spans="1:25">
      <c r="A45" s="55" t="s">
        <v>57</v>
      </c>
      <c r="B45" s="78">
        <v>18000</v>
      </c>
      <c r="C45" s="47">
        <v>96</v>
      </c>
      <c r="D45" s="47">
        <v>4</v>
      </c>
      <c r="E45" s="47">
        <f>C45*D45</f>
        <v>384</v>
      </c>
      <c r="F45" s="53">
        <f>B45/E45</f>
        <v>46.875</v>
      </c>
      <c r="G45" s="53">
        <v>10</v>
      </c>
      <c r="H45" s="74">
        <f>F45+G45</f>
        <v>56.875</v>
      </c>
      <c r="I45" s="47">
        <v>48</v>
      </c>
      <c r="J45" s="75">
        <f>H45/I45</f>
        <v>1.1848958333333333</v>
      </c>
      <c r="M45" t="s">
        <v>69</v>
      </c>
      <c r="O45" s="80">
        <v>0</v>
      </c>
      <c r="P45" s="80">
        <v>1000</v>
      </c>
      <c r="Q45" s="81">
        <f t="shared" ref="Q45:Q46" si="81">O45+P45</f>
        <v>1000</v>
      </c>
    </row>
    <row r="46" spans="1:25">
      <c r="A46" t="s">
        <v>63</v>
      </c>
      <c r="B46" s="72"/>
      <c r="C46" s="5"/>
      <c r="D46" s="5"/>
      <c r="E46" s="5"/>
      <c r="F46" s="5"/>
      <c r="G46" s="72"/>
      <c r="H46" s="72"/>
      <c r="J46" s="76">
        <f>SUM(J44:J45)</f>
        <v>8.2942708333333339</v>
      </c>
      <c r="M46" s="64" t="s">
        <v>69</v>
      </c>
      <c r="N46" s="64"/>
      <c r="O46" s="82">
        <v>10</v>
      </c>
      <c r="P46" s="82">
        <v>10</v>
      </c>
      <c r="Q46" s="83">
        <f t="shared" si="81"/>
        <v>20</v>
      </c>
    </row>
    <row r="49" spans="1:10" ht="18">
      <c r="A49" s="88" t="s">
        <v>71</v>
      </c>
      <c r="B49" s="87"/>
      <c r="C49" s="87"/>
      <c r="D49" s="87"/>
      <c r="E49" s="87"/>
      <c r="F49" s="87"/>
      <c r="G49" s="87"/>
      <c r="H49" s="87"/>
      <c r="I49" s="87"/>
      <c r="J49" s="87"/>
    </row>
    <row r="50" spans="1:10">
      <c r="A50" t="s">
        <v>56</v>
      </c>
      <c r="B50" s="89">
        <v>1500</v>
      </c>
      <c r="C50" s="5">
        <v>8</v>
      </c>
      <c r="D50" s="5">
        <v>4</v>
      </c>
      <c r="E50" s="5">
        <f>C50*D50</f>
        <v>32</v>
      </c>
      <c r="F50" s="72">
        <f>B50/E50</f>
        <v>46.875</v>
      </c>
      <c r="G50" s="72">
        <v>10</v>
      </c>
      <c r="H50" s="32">
        <f>F50+G50</f>
        <v>56.875</v>
      </c>
      <c r="I50" s="5">
        <v>8</v>
      </c>
      <c r="J50" s="73">
        <f>H50/I50</f>
        <v>7.109375</v>
      </c>
    </row>
    <row r="51" spans="1:10">
      <c r="A51" s="55" t="s">
        <v>57</v>
      </c>
      <c r="B51" s="90">
        <v>1500</v>
      </c>
      <c r="C51" s="47">
        <v>8</v>
      </c>
      <c r="D51" s="47">
        <v>4</v>
      </c>
      <c r="E51" s="47">
        <f>C51*D51</f>
        <v>32</v>
      </c>
      <c r="F51" s="53">
        <f>B51/E51</f>
        <v>46.875</v>
      </c>
      <c r="G51" s="53">
        <v>10</v>
      </c>
      <c r="H51" s="74">
        <f>F51+G51</f>
        <v>56.875</v>
      </c>
      <c r="I51" s="47">
        <v>48</v>
      </c>
      <c r="J51" s="75">
        <f>H51/I51</f>
        <v>1.1848958333333333</v>
      </c>
    </row>
    <row r="52" spans="1:10">
      <c r="A52" t="s">
        <v>63</v>
      </c>
      <c r="B52" s="72"/>
      <c r="C52" s="5"/>
      <c r="D52" s="5"/>
      <c r="E52" s="5"/>
      <c r="F52" s="5"/>
      <c r="G52" s="72"/>
      <c r="H52" s="72"/>
      <c r="J52" s="76">
        <f>SUM(J50:J51)</f>
        <v>8.2942708333333339</v>
      </c>
    </row>
    <row r="55" spans="1:10" ht="18">
      <c r="A55" s="88" t="s">
        <v>72</v>
      </c>
      <c r="B55" s="87"/>
      <c r="C55" s="87"/>
      <c r="D55" s="87"/>
      <c r="E55" s="87"/>
      <c r="F55" s="87"/>
      <c r="G55" s="87"/>
      <c r="H55" s="87"/>
      <c r="I55" s="87"/>
      <c r="J55" s="87"/>
    </row>
    <row r="56" spans="1:10">
      <c r="A56" t="s">
        <v>56</v>
      </c>
      <c r="B56" s="89">
        <v>5000</v>
      </c>
      <c r="C56" s="5">
        <v>48</v>
      </c>
      <c r="D56" s="5">
        <v>4</v>
      </c>
      <c r="E56" s="5">
        <f>C56*D56</f>
        <v>192</v>
      </c>
      <c r="F56" s="72">
        <f>B56/E56</f>
        <v>26.041666666666668</v>
      </c>
      <c r="G56" s="72">
        <v>10</v>
      </c>
      <c r="H56" s="32">
        <f>F56+G56</f>
        <v>36.041666666666671</v>
      </c>
      <c r="I56" s="5">
        <v>8</v>
      </c>
      <c r="J56" s="73">
        <f>H56/I56</f>
        <v>4.5052083333333339</v>
      </c>
    </row>
    <row r="57" spans="1:10">
      <c r="A57" s="55" t="s">
        <v>57</v>
      </c>
      <c r="B57" s="90">
        <v>5000</v>
      </c>
      <c r="C57" s="47">
        <v>48</v>
      </c>
      <c r="D57" s="47">
        <v>4</v>
      </c>
      <c r="E57" s="47">
        <f>C57*D57</f>
        <v>192</v>
      </c>
      <c r="F57" s="53">
        <f>B57/E57</f>
        <v>26.041666666666668</v>
      </c>
      <c r="G57" s="53">
        <v>10</v>
      </c>
      <c r="H57" s="74">
        <f>F57+G57</f>
        <v>36.041666666666671</v>
      </c>
      <c r="I57" s="47">
        <v>48</v>
      </c>
      <c r="J57" s="75">
        <f>H57/I57</f>
        <v>0.75086805555555569</v>
      </c>
    </row>
    <row r="58" spans="1:10">
      <c r="A58" t="s">
        <v>63</v>
      </c>
      <c r="B58" s="72"/>
      <c r="C58" s="5"/>
      <c r="D58" s="5"/>
      <c r="E58" s="5"/>
      <c r="F58" s="5"/>
      <c r="G58" s="72"/>
      <c r="H58" s="72"/>
      <c r="J58" s="76">
        <f>SUM(J56:J57)</f>
        <v>5.2560763888888893</v>
      </c>
    </row>
    <row r="61" spans="1:10" ht="18">
      <c r="A61" s="88" t="s">
        <v>73</v>
      </c>
      <c r="B61" s="87"/>
      <c r="C61" s="87"/>
      <c r="D61" s="87"/>
      <c r="E61" s="87"/>
      <c r="F61" s="87"/>
      <c r="G61" s="87"/>
      <c r="H61" s="87"/>
      <c r="I61" s="87"/>
      <c r="J61" s="87"/>
    </row>
    <row r="62" spans="1:10">
      <c r="A62" t="s">
        <v>56</v>
      </c>
      <c r="B62" s="89">
        <v>7500</v>
      </c>
      <c r="C62" s="5">
        <v>96</v>
      </c>
      <c r="D62" s="5">
        <v>4</v>
      </c>
      <c r="E62" s="5">
        <f>C62*D62</f>
        <v>384</v>
      </c>
      <c r="F62" s="72">
        <f>B62/E62</f>
        <v>19.53125</v>
      </c>
      <c r="G62" s="72">
        <v>10</v>
      </c>
      <c r="H62" s="32">
        <f>F62+G62</f>
        <v>29.53125</v>
      </c>
      <c r="I62" s="5">
        <v>8</v>
      </c>
      <c r="J62" s="73">
        <f>H62/I62</f>
        <v>3.69140625</v>
      </c>
    </row>
    <row r="63" spans="1:10">
      <c r="A63" s="55" t="s">
        <v>57</v>
      </c>
      <c r="B63" s="90">
        <v>7500</v>
      </c>
      <c r="C63" s="47">
        <v>96</v>
      </c>
      <c r="D63" s="47">
        <v>4</v>
      </c>
      <c r="E63" s="47">
        <f>C63*D63</f>
        <v>384</v>
      </c>
      <c r="F63" s="53">
        <f>B63/E63</f>
        <v>19.53125</v>
      </c>
      <c r="G63" s="53">
        <v>10</v>
      </c>
      <c r="H63" s="74">
        <f>F63+G63</f>
        <v>29.53125</v>
      </c>
      <c r="I63" s="47">
        <v>48</v>
      </c>
      <c r="J63" s="75">
        <f>H63/I63</f>
        <v>0.615234375</v>
      </c>
    </row>
    <row r="64" spans="1:10">
      <c r="A64" t="s">
        <v>63</v>
      </c>
      <c r="B64" s="72"/>
      <c r="C64" s="5"/>
      <c r="D64" s="5"/>
      <c r="E64" s="5"/>
      <c r="F64" s="5"/>
      <c r="G64" s="72"/>
      <c r="H64" s="72"/>
      <c r="J64" s="76">
        <f>SUM(J62:J63)</f>
        <v>4.306640625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C Glenn</dc:creator>
  <cp:lastModifiedBy>Bayona Vasquez, Natalia</cp:lastModifiedBy>
  <dcterms:created xsi:type="dcterms:W3CDTF">2024-03-06T16:08:51Z</dcterms:created>
  <dcterms:modified xsi:type="dcterms:W3CDTF">2024-03-15T16:48:48Z</dcterms:modified>
</cp:coreProperties>
</file>