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avetulane-my.sharepoint.com/personal/umukherjee_tulane_edu/Documents/Udita_Mukherjee/Global database/"/>
    </mc:Choice>
  </mc:AlternateContent>
  <xr:revisionPtr revIDLastSave="99" documentId="13_ncr:1_{7808A25D-C165-4EEA-8B1A-CBE27F5AC2D6}" xr6:coauthVersionLast="47" xr6:coauthVersionMax="47" xr10:uidLastSave="{AB97E6C2-E780-4438-9CB3-199B442989BE}"/>
  <bookViews>
    <workbookView xWindow="-98" yWindow="-98" windowWidth="20715" windowHeight="13276" xr2:uid="{00000000-000D-0000-FFFF-FFFF00000000}"/>
  </bookViews>
  <sheets>
    <sheet name="RSL data - early Holocene" sheetId="1" r:id="rId1"/>
  </sheets>
  <externalReferences>
    <externalReference r:id="rId2"/>
  </externalReferences>
  <definedNames>
    <definedName name="DatingMeth">'[1]Long-form'!$CK$4:$CK$19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18" i="1" l="1"/>
  <c r="BN19" i="1"/>
  <c r="BN20" i="1"/>
  <c r="BN21" i="1"/>
  <c r="BN22" i="1"/>
  <c r="BN23" i="1"/>
  <c r="BN24" i="1"/>
  <c r="BN25" i="1"/>
  <c r="BN26" i="1"/>
  <c r="BN27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53" i="1"/>
  <c r="BN54" i="1"/>
  <c r="BN55" i="1"/>
  <c r="BN56" i="1"/>
  <c r="BN57" i="1"/>
  <c r="BN68" i="1"/>
  <c r="BN69" i="1"/>
  <c r="CA44" i="1"/>
  <c r="CA42" i="1"/>
  <c r="AO44" i="1" l="1"/>
  <c r="AN44" i="1"/>
  <c r="AO42" i="1"/>
  <c r="AN42" i="1"/>
  <c r="V78" i="1" l="1"/>
  <c r="V79" i="1"/>
  <c r="V77" i="1"/>
  <c r="V66" i="1"/>
  <c r="V67" i="1"/>
  <c r="V68" i="1"/>
  <c r="V69" i="1"/>
  <c r="V65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30" i="1"/>
  <c r="AN70" i="1" l="1"/>
  <c r="AN71" i="1"/>
  <c r="AN72" i="1"/>
  <c r="AN73" i="1"/>
  <c r="AN74" i="1"/>
  <c r="AN75" i="1"/>
  <c r="AN76" i="1"/>
  <c r="AN77" i="1"/>
  <c r="AN78" i="1"/>
  <c r="AN79" i="1"/>
  <c r="Y64" i="1"/>
  <c r="S64" i="1" s="1"/>
  <c r="Y76" i="1"/>
  <c r="Y72" i="1"/>
  <c r="Y73" i="1"/>
  <c r="Y74" i="1"/>
  <c r="Y75" i="1"/>
  <c r="Y71" i="1"/>
  <c r="Y70" i="1"/>
  <c r="Y63" i="1" l="1"/>
  <c r="AD63" i="1" s="1"/>
  <c r="S65" i="1"/>
  <c r="S66" i="1"/>
  <c r="S67" i="1"/>
  <c r="S68" i="1"/>
  <c r="S69" i="1"/>
  <c r="S58" i="1"/>
  <c r="S59" i="1"/>
  <c r="S60" i="1"/>
  <c r="S61" i="1"/>
  <c r="S62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30" i="1"/>
  <c r="S63" i="1" l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S49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BS71" i="1"/>
  <c r="BS72" i="1"/>
  <c r="BS73" i="1"/>
  <c r="BS74" i="1"/>
  <c r="BS75" i="1"/>
  <c r="BS76" i="1"/>
  <c r="BS30" i="1"/>
  <c r="BS31" i="1"/>
  <c r="BS32" i="1"/>
  <c r="BS33" i="1"/>
  <c r="BS34" i="1"/>
  <c r="BS35" i="1"/>
  <c r="BS36" i="1"/>
  <c r="CA65" i="1" l="1"/>
  <c r="CA66" i="1"/>
  <c r="CA67" i="1"/>
  <c r="CA68" i="1"/>
  <c r="CA69" i="1"/>
  <c r="BH76" i="1"/>
  <c r="BL76" i="1" s="1"/>
  <c r="CF76" i="1" s="1"/>
  <c r="BH67" i="1"/>
  <c r="BL67" i="1" s="1"/>
  <c r="BH48" i="1"/>
  <c r="BL48" i="1" s="1"/>
  <c r="BH49" i="1"/>
  <c r="BL49" i="1" s="1"/>
  <c r="BH50" i="1"/>
  <c r="BL50" i="1" s="1"/>
  <c r="BH51" i="1"/>
  <c r="BL51" i="1" s="1"/>
  <c r="BH52" i="1"/>
  <c r="BL52" i="1" s="1"/>
  <c r="BH47" i="1"/>
  <c r="BL47" i="1" s="1"/>
  <c r="BH77" i="1"/>
  <c r="BL77" i="1" s="1"/>
  <c r="BH78" i="1"/>
  <c r="BL78" i="1" s="1"/>
  <c r="BH79" i="1"/>
  <c r="BL79" i="1" s="1"/>
  <c r="BH69" i="1"/>
  <c r="BL69" i="1" s="1"/>
  <c r="BH70" i="1"/>
  <c r="BL70" i="1" s="1"/>
  <c r="BH71" i="1"/>
  <c r="BL71" i="1" s="1"/>
  <c r="BH72" i="1"/>
  <c r="BL72" i="1" s="1"/>
  <c r="BH73" i="1"/>
  <c r="BL73" i="1" s="1"/>
  <c r="BH74" i="1"/>
  <c r="BL74" i="1" s="1"/>
  <c r="BH75" i="1"/>
  <c r="BL75" i="1" s="1"/>
  <c r="BH63" i="1"/>
  <c r="BL63" i="1" s="1"/>
  <c r="BH64" i="1"/>
  <c r="BL64" i="1" s="1"/>
  <c r="BH65" i="1"/>
  <c r="BL65" i="1" s="1"/>
  <c r="BH66" i="1"/>
  <c r="BL66" i="1" s="1"/>
  <c r="BH68" i="1"/>
  <c r="BL68" i="1" s="1"/>
  <c r="BH54" i="1"/>
  <c r="BL54" i="1" s="1"/>
  <c r="BH55" i="1"/>
  <c r="BL55" i="1" s="1"/>
  <c r="BH56" i="1"/>
  <c r="BL56" i="1" s="1"/>
  <c r="BH57" i="1"/>
  <c r="BL57" i="1" s="1"/>
  <c r="BH58" i="1"/>
  <c r="BL58" i="1" s="1"/>
  <c r="BH59" i="1"/>
  <c r="BL59" i="1" s="1"/>
  <c r="BH60" i="1"/>
  <c r="BL60" i="1" s="1"/>
  <c r="BH61" i="1"/>
  <c r="BL61" i="1" s="1"/>
  <c r="BH62" i="1"/>
  <c r="BL62" i="1" s="1"/>
  <c r="AO70" i="1"/>
  <c r="AO71" i="1"/>
  <c r="AO72" i="1"/>
  <c r="AO73" i="1"/>
  <c r="AO74" i="1"/>
  <c r="AO75" i="1"/>
  <c r="AO76" i="1"/>
  <c r="AO77" i="1"/>
  <c r="AO78" i="1"/>
  <c r="AO79" i="1"/>
  <c r="AO57" i="1"/>
  <c r="AO58" i="1"/>
  <c r="AO59" i="1"/>
  <c r="AO60" i="1"/>
  <c r="AO61" i="1"/>
  <c r="AO62" i="1"/>
  <c r="AO63" i="1"/>
  <c r="AO64" i="1"/>
  <c r="AN33" i="1"/>
  <c r="AN34" i="1"/>
  <c r="AN35" i="1"/>
  <c r="AN36" i="1"/>
  <c r="AN37" i="1"/>
  <c r="AN38" i="1"/>
  <c r="AN39" i="1"/>
  <c r="AN40" i="1"/>
  <c r="AN41" i="1"/>
  <c r="AN43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30" i="1"/>
  <c r="AN31" i="1"/>
  <c r="AN32" i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3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70" i="1"/>
  <c r="CA71" i="1"/>
  <c r="CA72" i="1"/>
  <c r="CA73" i="1"/>
  <c r="CA74" i="1"/>
  <c r="CA75" i="1"/>
  <c r="CA76" i="1"/>
  <c r="CA77" i="1"/>
  <c r="CA78" i="1"/>
  <c r="CA79" i="1"/>
  <c r="AO47" i="1"/>
  <c r="AO48" i="1"/>
  <c r="AO49" i="1"/>
  <c r="AO50" i="1"/>
  <c r="AO51" i="1"/>
  <c r="AO52" i="1"/>
  <c r="AO53" i="1"/>
  <c r="AO54" i="1"/>
  <c r="AO55" i="1"/>
  <c r="AO56" i="1"/>
  <c r="AO31" i="1"/>
  <c r="AO32" i="1"/>
  <c r="AO33" i="1"/>
  <c r="AO34" i="1"/>
  <c r="AO35" i="1"/>
  <c r="AO36" i="1"/>
  <c r="AO37" i="1"/>
  <c r="AO38" i="1"/>
  <c r="AO39" i="1"/>
  <c r="AO40" i="1"/>
  <c r="AO41" i="1"/>
  <c r="AO43" i="1"/>
  <c r="AO45" i="1"/>
  <c r="AO46" i="1"/>
  <c r="AO30" i="1"/>
  <c r="AO3" i="1"/>
  <c r="BZ59" i="1"/>
  <c r="BZ60" i="1"/>
  <c r="BZ61" i="1"/>
  <c r="BZ62" i="1"/>
  <c r="BZ63" i="1"/>
  <c r="BZ64" i="1"/>
  <c r="BZ65" i="1"/>
  <c r="BZ66" i="1"/>
  <c r="BZ67" i="1"/>
  <c r="BZ68" i="1"/>
  <c r="BZ6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70" i="1"/>
  <c r="BZ71" i="1"/>
  <c r="BZ72" i="1"/>
  <c r="BZ73" i="1"/>
  <c r="BZ74" i="1"/>
  <c r="BZ75" i="1"/>
  <c r="BZ76" i="1"/>
  <c r="BZ57" i="1"/>
  <c r="BZ58" i="1"/>
  <c r="CA3" i="1"/>
  <c r="CC73" i="1" l="1"/>
  <c r="CE76" i="1"/>
  <c r="CC74" i="1"/>
  <c r="CC66" i="1"/>
  <c r="CC65" i="1"/>
  <c r="CD51" i="1"/>
  <c r="CD50" i="1"/>
  <c r="CD49" i="1"/>
  <c r="CD48" i="1"/>
  <c r="CC75" i="1"/>
  <c r="CC71" i="1"/>
  <c r="CC55" i="1"/>
  <c r="CD47" i="1"/>
  <c r="CC72" i="1"/>
  <c r="CD52" i="1"/>
  <c r="CC54" i="1"/>
  <c r="CC56" i="1"/>
  <c r="CC70" i="1"/>
  <c r="P75" i="1"/>
  <c r="P76" i="1"/>
  <c r="P77" i="1"/>
  <c r="P78" i="1"/>
  <c r="P79" i="1"/>
  <c r="P70" i="1"/>
  <c r="P71" i="1"/>
  <c r="P72" i="1"/>
  <c r="P73" i="1"/>
  <c r="P74" i="1"/>
  <c r="P52" i="1"/>
  <c r="P53" i="1"/>
  <c r="P54" i="1"/>
  <c r="P55" i="1"/>
  <c r="P56" i="1"/>
  <c r="P48" i="1"/>
  <c r="P49" i="1"/>
  <c r="P50" i="1"/>
  <c r="P51" i="1"/>
  <c r="P45" i="1"/>
  <c r="P46" i="1"/>
  <c r="P47" i="1"/>
  <c r="P41" i="1"/>
  <c r="P42" i="1"/>
  <c r="P43" i="1"/>
  <c r="P44" i="1"/>
  <c r="P37" i="1"/>
  <c r="P38" i="1"/>
  <c r="P39" i="1"/>
  <c r="P40" i="1"/>
  <c r="P35" i="1"/>
  <c r="P36" i="1"/>
  <c r="P34" i="1"/>
  <c r="P33" i="1"/>
  <c r="BP33" i="1" s="1"/>
  <c r="P32" i="1"/>
  <c r="BP32" i="1" s="1"/>
  <c r="P31" i="1"/>
  <c r="BP31" i="1" s="1"/>
  <c r="P30" i="1"/>
  <c r="BP30" i="1" s="1"/>
  <c r="P66" i="1"/>
  <c r="P67" i="1"/>
  <c r="P68" i="1"/>
  <c r="P69" i="1"/>
  <c r="P65" i="1"/>
  <c r="N3" i="1" l="1"/>
  <c r="P3" i="1" s="1"/>
  <c r="BP3" i="1" s="1"/>
  <c r="S3" i="1"/>
  <c r="BZ3" i="1" s="1"/>
  <c r="Y3" i="1"/>
  <c r="BS3" i="1" s="1"/>
  <c r="AB3" i="1"/>
  <c r="AC3" i="1"/>
  <c r="AN3" i="1"/>
  <c r="BH3" i="1"/>
  <c r="BI3" i="1"/>
  <c r="N4" i="1"/>
  <c r="P4" i="1" s="1"/>
  <c r="BP4" i="1" s="1"/>
  <c r="S4" i="1"/>
  <c r="BZ4" i="1" s="1"/>
  <c r="Y4" i="1"/>
  <c r="AD4" i="1" s="1"/>
  <c r="AB4" i="1"/>
  <c r="AC4" i="1"/>
  <c r="AN4" i="1"/>
  <c r="AO4" i="1"/>
  <c r="BH4" i="1"/>
  <c r="BI4" i="1"/>
  <c r="N5" i="1"/>
  <c r="P5" i="1" s="1"/>
  <c r="BP5" i="1" s="1"/>
  <c r="S5" i="1"/>
  <c r="BZ5" i="1" s="1"/>
  <c r="Y5" i="1"/>
  <c r="BS5" i="1" s="1"/>
  <c r="AB5" i="1"/>
  <c r="AC5" i="1"/>
  <c r="AN5" i="1"/>
  <c r="AO5" i="1"/>
  <c r="BH5" i="1"/>
  <c r="N6" i="1"/>
  <c r="P6" i="1" s="1"/>
  <c r="BP6" i="1" s="1"/>
  <c r="S6" i="1"/>
  <c r="BZ6" i="1" s="1"/>
  <c r="Y6" i="1"/>
  <c r="BS6" i="1" s="1"/>
  <c r="AB6" i="1"/>
  <c r="AC6" i="1"/>
  <c r="AN6" i="1"/>
  <c r="AO6" i="1"/>
  <c r="BH6" i="1"/>
  <c r="BI6" i="1"/>
  <c r="BJ6" i="1" s="1"/>
  <c r="N7" i="1"/>
  <c r="P7" i="1" s="1"/>
  <c r="BP7" i="1" s="1"/>
  <c r="S7" i="1"/>
  <c r="BZ7" i="1" s="1"/>
  <c r="Y7" i="1"/>
  <c r="BS7" i="1" s="1"/>
  <c r="AB7" i="1"/>
  <c r="AC7" i="1"/>
  <c r="AN7" i="1"/>
  <c r="AO7" i="1"/>
  <c r="BH7" i="1"/>
  <c r="N8" i="1"/>
  <c r="P8" i="1" s="1"/>
  <c r="BP8" i="1" s="1"/>
  <c r="S8" i="1"/>
  <c r="BZ8" i="1" s="1"/>
  <c r="Y8" i="1"/>
  <c r="BS8" i="1" s="1"/>
  <c r="AB8" i="1"/>
  <c r="AC8" i="1"/>
  <c r="AN8" i="1"/>
  <c r="AO8" i="1"/>
  <c r="BH8" i="1"/>
  <c r="N9" i="1"/>
  <c r="P9" i="1" s="1"/>
  <c r="BP9" i="1" s="1"/>
  <c r="S9" i="1"/>
  <c r="BZ9" i="1" s="1"/>
  <c r="Y9" i="1"/>
  <c r="AD9" i="1" s="1"/>
  <c r="AB9" i="1"/>
  <c r="AC9" i="1"/>
  <c r="AN9" i="1"/>
  <c r="AO9" i="1"/>
  <c r="BH9" i="1"/>
  <c r="N10" i="1"/>
  <c r="P10" i="1" s="1"/>
  <c r="BP10" i="1" s="1"/>
  <c r="S10" i="1"/>
  <c r="BZ10" i="1" s="1"/>
  <c r="Y10" i="1"/>
  <c r="BS10" i="1" s="1"/>
  <c r="AB10" i="1"/>
  <c r="AC10" i="1"/>
  <c r="AN10" i="1"/>
  <c r="AO10" i="1"/>
  <c r="BH10" i="1"/>
  <c r="N11" i="1"/>
  <c r="P11" i="1" s="1"/>
  <c r="BP11" i="1" s="1"/>
  <c r="S11" i="1"/>
  <c r="BZ11" i="1" s="1"/>
  <c r="Y11" i="1"/>
  <c r="BS11" i="1" s="1"/>
  <c r="AB11" i="1"/>
  <c r="AC11" i="1"/>
  <c r="AN11" i="1"/>
  <c r="AO11" i="1"/>
  <c r="BH11" i="1"/>
  <c r="N12" i="1"/>
  <c r="P12" i="1" s="1"/>
  <c r="BP12" i="1" s="1"/>
  <c r="S12" i="1"/>
  <c r="BZ12" i="1" s="1"/>
  <c r="Y12" i="1"/>
  <c r="BS12" i="1" s="1"/>
  <c r="AB12" i="1"/>
  <c r="AC12" i="1"/>
  <c r="AN12" i="1"/>
  <c r="AO12" i="1"/>
  <c r="BH12" i="1"/>
  <c r="N13" i="1"/>
  <c r="P13" i="1" s="1"/>
  <c r="BP13" i="1" s="1"/>
  <c r="S13" i="1"/>
  <c r="BZ13" i="1" s="1"/>
  <c r="Y13" i="1"/>
  <c r="AD13" i="1" s="1"/>
  <c r="AB13" i="1"/>
  <c r="AC13" i="1"/>
  <c r="AN13" i="1"/>
  <c r="AO13" i="1"/>
  <c r="BH13" i="1"/>
  <c r="BI13" i="1"/>
  <c r="N14" i="1"/>
  <c r="P14" i="1" s="1"/>
  <c r="BP14" i="1" s="1"/>
  <c r="S14" i="1"/>
  <c r="BZ14" i="1" s="1"/>
  <c r="Y14" i="1"/>
  <c r="BS14" i="1" s="1"/>
  <c r="AB14" i="1"/>
  <c r="AC14" i="1"/>
  <c r="AN14" i="1"/>
  <c r="AO14" i="1"/>
  <c r="BH14" i="1"/>
  <c r="BI14" i="1"/>
  <c r="N15" i="1"/>
  <c r="P15" i="1" s="1"/>
  <c r="BP15" i="1" s="1"/>
  <c r="S15" i="1"/>
  <c r="BZ15" i="1" s="1"/>
  <c r="Y15" i="1"/>
  <c r="AD15" i="1" s="1"/>
  <c r="AB15" i="1"/>
  <c r="AC15" i="1"/>
  <c r="AN15" i="1"/>
  <c r="AO15" i="1"/>
  <c r="BH15" i="1"/>
  <c r="BI15" i="1"/>
  <c r="N16" i="1"/>
  <c r="P16" i="1" s="1"/>
  <c r="BP16" i="1" s="1"/>
  <c r="S16" i="1"/>
  <c r="BZ16" i="1" s="1"/>
  <c r="Y16" i="1"/>
  <c r="AD16" i="1" s="1"/>
  <c r="AB16" i="1"/>
  <c r="AC16" i="1"/>
  <c r="AN16" i="1"/>
  <c r="AO16" i="1"/>
  <c r="BH16" i="1"/>
  <c r="BI16" i="1"/>
  <c r="N17" i="1"/>
  <c r="P17" i="1" s="1"/>
  <c r="BP17" i="1" s="1"/>
  <c r="S17" i="1"/>
  <c r="BZ17" i="1" s="1"/>
  <c r="Y17" i="1"/>
  <c r="AD17" i="1" s="1"/>
  <c r="AB17" i="1"/>
  <c r="AC17" i="1"/>
  <c r="AN17" i="1"/>
  <c r="AO17" i="1"/>
  <c r="BH17" i="1"/>
  <c r="BI17" i="1"/>
  <c r="N18" i="1"/>
  <c r="P18" i="1" s="1"/>
  <c r="BP18" i="1" s="1"/>
  <c r="S18" i="1"/>
  <c r="BZ18" i="1" s="1"/>
  <c r="Y18" i="1"/>
  <c r="BS18" i="1" s="1"/>
  <c r="AB18" i="1"/>
  <c r="AC18" i="1"/>
  <c r="AN18" i="1"/>
  <c r="AO18" i="1"/>
  <c r="BH18" i="1"/>
  <c r="BI18" i="1"/>
  <c r="BJ18" i="1" s="1"/>
  <c r="N19" i="1"/>
  <c r="P19" i="1" s="1"/>
  <c r="BP19" i="1" s="1"/>
  <c r="S19" i="1"/>
  <c r="BZ19" i="1" s="1"/>
  <c r="Y19" i="1"/>
  <c r="AD19" i="1" s="1"/>
  <c r="AB19" i="1"/>
  <c r="AC19" i="1"/>
  <c r="AN19" i="1"/>
  <c r="AO19" i="1"/>
  <c r="BH19" i="1"/>
  <c r="BI19" i="1"/>
  <c r="N20" i="1"/>
  <c r="P20" i="1" s="1"/>
  <c r="BP20" i="1" s="1"/>
  <c r="S20" i="1"/>
  <c r="BZ20" i="1" s="1"/>
  <c r="Y20" i="1"/>
  <c r="BS20" i="1" s="1"/>
  <c r="AB20" i="1"/>
  <c r="AC20" i="1"/>
  <c r="AN20" i="1"/>
  <c r="AO20" i="1"/>
  <c r="BH20" i="1"/>
  <c r="BI20" i="1"/>
  <c r="N21" i="1"/>
  <c r="P21" i="1" s="1"/>
  <c r="BP21" i="1" s="1"/>
  <c r="S21" i="1"/>
  <c r="BZ21" i="1" s="1"/>
  <c r="Y21" i="1"/>
  <c r="BS21" i="1" s="1"/>
  <c r="AB21" i="1"/>
  <c r="AC21" i="1"/>
  <c r="AN21" i="1"/>
  <c r="AO21" i="1"/>
  <c r="BH21" i="1"/>
  <c r="BI21" i="1"/>
  <c r="N22" i="1"/>
  <c r="P22" i="1" s="1"/>
  <c r="BP22" i="1" s="1"/>
  <c r="S22" i="1"/>
  <c r="BZ22" i="1" s="1"/>
  <c r="Y22" i="1"/>
  <c r="BS22" i="1" s="1"/>
  <c r="AB22" i="1"/>
  <c r="AC22" i="1"/>
  <c r="AN22" i="1"/>
  <c r="AO22" i="1"/>
  <c r="BH22" i="1"/>
  <c r="BI22" i="1"/>
  <c r="N23" i="1"/>
  <c r="P23" i="1" s="1"/>
  <c r="BP23" i="1" s="1"/>
  <c r="S23" i="1"/>
  <c r="BZ23" i="1" s="1"/>
  <c r="Y23" i="1"/>
  <c r="AD23" i="1" s="1"/>
  <c r="AB23" i="1"/>
  <c r="AC23" i="1"/>
  <c r="AN23" i="1"/>
  <c r="AO23" i="1"/>
  <c r="BH23" i="1"/>
  <c r="BI23" i="1"/>
  <c r="N24" i="1"/>
  <c r="P24" i="1" s="1"/>
  <c r="BP24" i="1" s="1"/>
  <c r="S24" i="1"/>
  <c r="BZ24" i="1" s="1"/>
  <c r="Y24" i="1"/>
  <c r="BS24" i="1" s="1"/>
  <c r="AB24" i="1"/>
  <c r="AC24" i="1"/>
  <c r="AN24" i="1"/>
  <c r="AO24" i="1"/>
  <c r="BH24" i="1"/>
  <c r="BI24" i="1"/>
  <c r="N25" i="1"/>
  <c r="P25" i="1" s="1"/>
  <c r="BP25" i="1" s="1"/>
  <c r="S25" i="1"/>
  <c r="BZ25" i="1" s="1"/>
  <c r="Y25" i="1"/>
  <c r="AD25" i="1" s="1"/>
  <c r="AB25" i="1"/>
  <c r="AC25" i="1"/>
  <c r="AN25" i="1"/>
  <c r="AO25" i="1"/>
  <c r="BH25" i="1"/>
  <c r="BI25" i="1"/>
  <c r="N26" i="1"/>
  <c r="P26" i="1" s="1"/>
  <c r="BP26" i="1" s="1"/>
  <c r="S26" i="1"/>
  <c r="BZ26" i="1" s="1"/>
  <c r="Y26" i="1"/>
  <c r="AD26" i="1" s="1"/>
  <c r="AB26" i="1"/>
  <c r="AC26" i="1"/>
  <c r="AN26" i="1"/>
  <c r="AO26" i="1"/>
  <c r="BH26" i="1"/>
  <c r="BI26" i="1"/>
  <c r="BJ26" i="1" s="1"/>
  <c r="N27" i="1"/>
  <c r="P27" i="1" s="1"/>
  <c r="BP27" i="1" s="1"/>
  <c r="S27" i="1"/>
  <c r="BZ27" i="1" s="1"/>
  <c r="Y27" i="1"/>
  <c r="AD27" i="1" s="1"/>
  <c r="AB27" i="1"/>
  <c r="AC27" i="1"/>
  <c r="AN27" i="1"/>
  <c r="AO27" i="1"/>
  <c r="BH27" i="1"/>
  <c r="BI27" i="1"/>
  <c r="N28" i="1"/>
  <c r="P28" i="1" s="1"/>
  <c r="BP28" i="1" s="1"/>
  <c r="S28" i="1"/>
  <c r="BZ28" i="1" s="1"/>
  <c r="Y28" i="1"/>
  <c r="AD28" i="1" s="1"/>
  <c r="AB28" i="1"/>
  <c r="AC28" i="1"/>
  <c r="AN28" i="1"/>
  <c r="AO28" i="1"/>
  <c r="BH28" i="1"/>
  <c r="BI28" i="1"/>
  <c r="N29" i="1"/>
  <c r="P29" i="1" s="1"/>
  <c r="BP29" i="1" s="1"/>
  <c r="S29" i="1"/>
  <c r="BZ29" i="1" s="1"/>
  <c r="Y29" i="1"/>
  <c r="AD29" i="1" s="1"/>
  <c r="AB29" i="1"/>
  <c r="AC29" i="1"/>
  <c r="AN29" i="1"/>
  <c r="AO29" i="1"/>
  <c r="BH29" i="1"/>
  <c r="BI29" i="1"/>
  <c r="P57" i="1"/>
  <c r="CC57" i="1"/>
  <c r="BI57" i="1"/>
  <c r="BJ57" i="1" s="1"/>
  <c r="P58" i="1"/>
  <c r="CC58" i="1"/>
  <c r="BI58" i="1"/>
  <c r="P59" i="1"/>
  <c r="CC59" i="1"/>
  <c r="BI59" i="1"/>
  <c r="P60" i="1"/>
  <c r="CC60" i="1"/>
  <c r="BI60" i="1"/>
  <c r="P61" i="1"/>
  <c r="CC61" i="1"/>
  <c r="BI61" i="1"/>
  <c r="P62" i="1"/>
  <c r="CC62" i="1"/>
  <c r="BI62" i="1"/>
  <c r="P63" i="1"/>
  <c r="CC63" i="1"/>
  <c r="BI63" i="1"/>
  <c r="BJ63" i="1" s="1"/>
  <c r="P64" i="1"/>
  <c r="CC64" i="1"/>
  <c r="BI64" i="1"/>
  <c r="BI65" i="1"/>
  <c r="BI66" i="1"/>
  <c r="BJ66" i="1" s="1"/>
  <c r="CD67" i="1"/>
  <c r="CC68" i="1"/>
  <c r="BI68" i="1"/>
  <c r="CC69" i="1"/>
  <c r="BI69" i="1"/>
  <c r="BJ69" i="1" s="1"/>
  <c r="BH30" i="1"/>
  <c r="BI30" i="1"/>
  <c r="BK30" i="1" s="1"/>
  <c r="BH31" i="1"/>
  <c r="BI31" i="1"/>
  <c r="BJ31" i="1" s="1"/>
  <c r="BH32" i="1"/>
  <c r="BI32" i="1"/>
  <c r="BJ32" i="1" s="1"/>
  <c r="BH33" i="1"/>
  <c r="BI33" i="1"/>
  <c r="BK33" i="1" s="1"/>
  <c r="BH34" i="1"/>
  <c r="BI34" i="1"/>
  <c r="BJ34" i="1" s="1"/>
  <c r="BH35" i="1"/>
  <c r="BI35" i="1"/>
  <c r="BJ35" i="1" s="1"/>
  <c r="BH36" i="1"/>
  <c r="BI36" i="1"/>
  <c r="BK36" i="1" s="1"/>
  <c r="BH37" i="1"/>
  <c r="BI37" i="1"/>
  <c r="BK37" i="1" s="1"/>
  <c r="BH38" i="1"/>
  <c r="BI38" i="1"/>
  <c r="BK38" i="1" s="1"/>
  <c r="BH39" i="1"/>
  <c r="BI39" i="1"/>
  <c r="BM39" i="1" s="1"/>
  <c r="BH40" i="1"/>
  <c r="BI40" i="1"/>
  <c r="BM40" i="1" s="1"/>
  <c r="BH41" i="1"/>
  <c r="BI41" i="1"/>
  <c r="BK41" i="1" s="1"/>
  <c r="BH42" i="1"/>
  <c r="BI42" i="1"/>
  <c r="BJ42" i="1" s="1"/>
  <c r="BH43" i="1"/>
  <c r="BI43" i="1"/>
  <c r="BK43" i="1" s="1"/>
  <c r="BH44" i="1"/>
  <c r="BI44" i="1"/>
  <c r="BJ44" i="1" s="1"/>
  <c r="BH45" i="1"/>
  <c r="BI45" i="1"/>
  <c r="BJ45" i="1" s="1"/>
  <c r="BH46" i="1"/>
  <c r="BI46" i="1"/>
  <c r="BJ46" i="1" s="1"/>
  <c r="BH53" i="1"/>
  <c r="BI53" i="1"/>
  <c r="BM53" i="1" s="1"/>
  <c r="BI54" i="1"/>
  <c r="BJ54" i="1" s="1"/>
  <c r="BI55" i="1"/>
  <c r="BJ55" i="1" s="1"/>
  <c r="BI56" i="1"/>
  <c r="BK56" i="1" s="1"/>
  <c r="BI70" i="1"/>
  <c r="BI71" i="1"/>
  <c r="BI72" i="1"/>
  <c r="BI73" i="1"/>
  <c r="BI74" i="1"/>
  <c r="BJ74" i="1" s="1"/>
  <c r="BI75" i="1"/>
  <c r="BJ75" i="1" s="1"/>
  <c r="CD76" i="1"/>
  <c r="BI77" i="1"/>
  <c r="BI78" i="1"/>
  <c r="BI79" i="1"/>
  <c r="CC40" i="1" l="1"/>
  <c r="BL40" i="1"/>
  <c r="CC32" i="1"/>
  <c r="BL32" i="1"/>
  <c r="CC44" i="1"/>
  <c r="BL44" i="1"/>
  <c r="CC36" i="1"/>
  <c r="BL36" i="1"/>
  <c r="CC53" i="1"/>
  <c r="BL53" i="1"/>
  <c r="CC43" i="1"/>
  <c r="BL43" i="1"/>
  <c r="CC39" i="1"/>
  <c r="BL39" i="1"/>
  <c r="CC35" i="1"/>
  <c r="BL35" i="1"/>
  <c r="CC31" i="1"/>
  <c r="BL31" i="1"/>
  <c r="CC46" i="1"/>
  <c r="BL46" i="1"/>
  <c r="CC42" i="1"/>
  <c r="BL42" i="1"/>
  <c r="CC38" i="1"/>
  <c r="BL38" i="1"/>
  <c r="CC34" i="1"/>
  <c r="BL34" i="1"/>
  <c r="CC30" i="1"/>
  <c r="BL30" i="1"/>
  <c r="CC45" i="1"/>
  <c r="BL45" i="1"/>
  <c r="CC41" i="1"/>
  <c r="BL41" i="1"/>
  <c r="CC37" i="1"/>
  <c r="BL37" i="1"/>
  <c r="CC33" i="1"/>
  <c r="BL33" i="1"/>
  <c r="CC16" i="1"/>
  <c r="BJ78" i="1"/>
  <c r="BN78" i="1" s="1"/>
  <c r="BM70" i="1"/>
  <c r="BJ70" i="1"/>
  <c r="BN70" i="1" s="1"/>
  <c r="BK68" i="1"/>
  <c r="BJ68" i="1"/>
  <c r="BM3" i="1"/>
  <c r="BJ3" i="1"/>
  <c r="BN3" i="1" s="1"/>
  <c r="BK79" i="1"/>
  <c r="BJ79" i="1"/>
  <c r="BN79" i="1" s="1"/>
  <c r="BM60" i="1"/>
  <c r="BJ60" i="1"/>
  <c r="BN60" i="1" s="1"/>
  <c r="BK25" i="1"/>
  <c r="BJ25" i="1"/>
  <c r="BM17" i="1"/>
  <c r="BJ17" i="1"/>
  <c r="BN17" i="1" s="1"/>
  <c r="BJ71" i="1"/>
  <c r="BN71" i="1" s="1"/>
  <c r="BM29" i="1"/>
  <c r="BJ29" i="1"/>
  <c r="BN29" i="1" s="1"/>
  <c r="BK24" i="1"/>
  <c r="BJ24" i="1"/>
  <c r="BK16" i="1"/>
  <c r="BJ16" i="1"/>
  <c r="BN16" i="1" s="1"/>
  <c r="BK64" i="1"/>
  <c r="BJ64" i="1"/>
  <c r="BM21" i="1"/>
  <c r="BJ21" i="1"/>
  <c r="BJ61" i="1"/>
  <c r="BN61" i="1" s="1"/>
  <c r="BK73" i="1"/>
  <c r="BJ73" i="1"/>
  <c r="BN73" i="1" s="1"/>
  <c r="BK62" i="1"/>
  <c r="BJ62" i="1"/>
  <c r="BN62" i="1" s="1"/>
  <c r="BM23" i="1"/>
  <c r="BJ23" i="1"/>
  <c r="BM15" i="1"/>
  <c r="BJ15" i="1"/>
  <c r="BN15" i="1" s="1"/>
  <c r="BK20" i="1"/>
  <c r="BJ20" i="1"/>
  <c r="BJ72" i="1"/>
  <c r="BN72" i="1" s="1"/>
  <c r="BK65" i="1"/>
  <c r="BJ65" i="1"/>
  <c r="BN65" i="1" s="1"/>
  <c r="BM59" i="1"/>
  <c r="BJ59" i="1"/>
  <c r="BN59" i="1" s="1"/>
  <c r="BK22" i="1"/>
  <c r="BJ22" i="1"/>
  <c r="BK14" i="1"/>
  <c r="BJ14" i="1"/>
  <c r="BN14" i="1" s="1"/>
  <c r="BJ13" i="1"/>
  <c r="BN13" i="1" s="1"/>
  <c r="BJ28" i="1"/>
  <c r="BN28" i="1" s="1"/>
  <c r="BK77" i="1"/>
  <c r="BJ77" i="1"/>
  <c r="BN77" i="1" s="1"/>
  <c r="BM58" i="1"/>
  <c r="BJ58" i="1"/>
  <c r="BN58" i="1" s="1"/>
  <c r="BK27" i="1"/>
  <c r="BJ27" i="1"/>
  <c r="BM19" i="1"/>
  <c r="BJ19" i="1"/>
  <c r="BK4" i="1"/>
  <c r="BJ4" i="1"/>
  <c r="BN4" i="1" s="1"/>
  <c r="CD9" i="1"/>
  <c r="CC27" i="1"/>
  <c r="CC19" i="1"/>
  <c r="CC4" i="1"/>
  <c r="CC26" i="1"/>
  <c r="BM74" i="1"/>
  <c r="CC25" i="1"/>
  <c r="CC17" i="1"/>
  <c r="CF11" i="1"/>
  <c r="CE11" i="1"/>
  <c r="CG11" i="1" s="1"/>
  <c r="CF10" i="1"/>
  <c r="CE10" i="1"/>
  <c r="CF8" i="1"/>
  <c r="CE8" i="1"/>
  <c r="CE7" i="1"/>
  <c r="CF7" i="1"/>
  <c r="CC23" i="1"/>
  <c r="CE5" i="1"/>
  <c r="CF5" i="1"/>
  <c r="BK32" i="1"/>
  <c r="CC15" i="1"/>
  <c r="AD11" i="1"/>
  <c r="CD11" i="1" s="1"/>
  <c r="CE12" i="1"/>
  <c r="CF12" i="1"/>
  <c r="BM69" i="1"/>
  <c r="CC29" i="1"/>
  <c r="CC28" i="1"/>
  <c r="CC13" i="1"/>
  <c r="BS26" i="1"/>
  <c r="BS19" i="1"/>
  <c r="BM20" i="1"/>
  <c r="BM22" i="1"/>
  <c r="AD21" i="1"/>
  <c r="CC21" i="1" s="1"/>
  <c r="BK54" i="1"/>
  <c r="BK15" i="1"/>
  <c r="BM30" i="1"/>
  <c r="BK58" i="1"/>
  <c r="BK53" i="1"/>
  <c r="BK59" i="1"/>
  <c r="BJ53" i="1"/>
  <c r="AD8" i="1"/>
  <c r="CD8" i="1" s="1"/>
  <c r="BK26" i="1"/>
  <c r="BM18" i="1"/>
  <c r="BS28" i="1"/>
  <c r="BM62" i="1"/>
  <c r="BM16" i="1"/>
  <c r="BK23" i="1"/>
  <c r="BM44" i="1"/>
  <c r="BS9" i="1"/>
  <c r="CF9" i="1" s="1"/>
  <c r="BS23" i="1"/>
  <c r="BJ43" i="1"/>
  <c r="BK40" i="1"/>
  <c r="BJ38" i="1"/>
  <c r="BS13" i="1"/>
  <c r="AD7" i="1"/>
  <c r="CD7" i="1" s="1"/>
  <c r="CF50" i="1"/>
  <c r="BK18" i="1"/>
  <c r="BS25" i="1"/>
  <c r="BM28" i="1"/>
  <c r="BM57" i="1"/>
  <c r="BM43" i="1"/>
  <c r="CF43" i="1" s="1"/>
  <c r="BM75" i="1"/>
  <c r="BK34" i="1"/>
  <c r="BK21" i="1"/>
  <c r="BK19" i="1"/>
  <c r="BK28" i="1"/>
  <c r="BN75" i="1"/>
  <c r="BK75" i="1"/>
  <c r="BM4" i="1"/>
  <c r="BS27" i="1"/>
  <c r="BK57" i="1"/>
  <c r="AD20" i="1"/>
  <c r="CC20" i="1" s="1"/>
  <c r="BM14" i="1"/>
  <c r="BM6" i="1"/>
  <c r="AD3" i="1"/>
  <c r="CC3" i="1" s="1"/>
  <c r="BJ37" i="1"/>
  <c r="AD22" i="1"/>
  <c r="CC22" i="1" s="1"/>
  <c r="AD18" i="1"/>
  <c r="CC18" i="1" s="1"/>
  <c r="BS16" i="1"/>
  <c r="BJ40" i="1"/>
  <c r="BJ36" i="1"/>
  <c r="BM77" i="1"/>
  <c r="BK74" i="1"/>
  <c r="BJ41" i="1"/>
  <c r="BM37" i="1"/>
  <c r="BK66" i="1"/>
  <c r="BM27" i="1"/>
  <c r="AD10" i="1"/>
  <c r="CD10" i="1" s="1"/>
  <c r="BK3" i="1"/>
  <c r="BS29" i="1"/>
  <c r="BM79" i="1"/>
  <c r="BM72" i="1"/>
  <c r="BK45" i="1"/>
  <c r="BM41" i="1"/>
  <c r="BM25" i="1"/>
  <c r="BN6" i="1"/>
  <c r="BK31" i="1"/>
  <c r="BM32" i="1"/>
  <c r="BM64" i="1"/>
  <c r="BJ33" i="1"/>
  <c r="BK72" i="1"/>
  <c r="CE48" i="1"/>
  <c r="BK39" i="1"/>
  <c r="BK69" i="1"/>
  <c r="BN64" i="1"/>
  <c r="BM61" i="1"/>
  <c r="BM13" i="1"/>
  <c r="BN74" i="1"/>
  <c r="BM45" i="1"/>
  <c r="BS4" i="1"/>
  <c r="BM78" i="1"/>
  <c r="BM73" i="1"/>
  <c r="BJ39" i="1"/>
  <c r="BM36" i="1"/>
  <c r="BM34" i="1"/>
  <c r="BK60" i="1"/>
  <c r="AD24" i="1"/>
  <c r="CC24" i="1" s="1"/>
  <c r="BK13" i="1"/>
  <c r="BK46" i="1"/>
  <c r="BJ30" i="1"/>
  <c r="BK61" i="1"/>
  <c r="AD14" i="1"/>
  <c r="CC14" i="1" s="1"/>
  <c r="BM63" i="1"/>
  <c r="BJ56" i="1"/>
  <c r="BM55" i="1"/>
  <c r="BK63" i="1"/>
  <c r="BM31" i="1"/>
  <c r="BM24" i="1"/>
  <c r="BM66" i="1"/>
  <c r="BK78" i="1"/>
  <c r="BM38" i="1"/>
  <c r="CF38" i="1" s="1"/>
  <c r="BK6" i="1"/>
  <c r="AD5" i="1"/>
  <c r="CD5" i="1" s="1"/>
  <c r="BM65" i="1"/>
  <c r="BK70" i="1"/>
  <c r="BM35" i="1"/>
  <c r="BM26" i="1"/>
  <c r="BK17" i="1"/>
  <c r="BN66" i="1"/>
  <c r="BK71" i="1"/>
  <c r="BK55" i="1"/>
  <c r="BK35" i="1"/>
  <c r="AD12" i="1"/>
  <c r="CD12" i="1" s="1"/>
  <c r="BS17" i="1"/>
  <c r="BM71" i="1"/>
  <c r="AD6" i="1"/>
  <c r="CC6" i="1" s="1"/>
  <c r="BK44" i="1"/>
  <c r="BM33" i="1"/>
  <c r="BK42" i="1"/>
  <c r="BM54" i="1"/>
  <c r="BM68" i="1"/>
  <c r="BS15" i="1"/>
  <c r="CF49" i="1"/>
  <c r="BM46" i="1"/>
  <c r="BN63" i="1"/>
  <c r="BK29" i="1"/>
  <c r="BM42" i="1"/>
  <c r="BM56" i="1"/>
  <c r="CE56" i="1" s="1"/>
  <c r="CF36" i="1" l="1"/>
  <c r="CE41" i="1"/>
  <c r="CF30" i="1"/>
  <c r="CF37" i="1"/>
  <c r="CE33" i="1"/>
  <c r="CE20" i="1"/>
  <c r="CE72" i="1"/>
  <c r="CF68" i="1"/>
  <c r="CF71" i="1"/>
  <c r="CF25" i="1"/>
  <c r="CF24" i="1"/>
  <c r="CE22" i="1"/>
  <c r="CF27" i="1"/>
  <c r="CF20" i="1"/>
  <c r="CG7" i="1"/>
  <c r="CF72" i="1"/>
  <c r="CE71" i="1"/>
  <c r="CE65" i="1"/>
  <c r="CE74" i="1"/>
  <c r="CF74" i="1"/>
  <c r="CE75" i="1"/>
  <c r="CF75" i="1"/>
  <c r="CE70" i="1"/>
  <c r="CF70" i="1"/>
  <c r="CE73" i="1"/>
  <c r="CF73" i="1"/>
  <c r="CE14" i="1"/>
  <c r="CE4" i="1"/>
  <c r="CE64" i="1"/>
  <c r="CF16" i="1"/>
  <c r="CE36" i="1"/>
  <c r="CE62" i="1"/>
  <c r="CF65" i="1"/>
  <c r="CG12" i="1"/>
  <c r="CF14" i="1"/>
  <c r="CE15" i="1"/>
  <c r="CF15" i="1"/>
  <c r="CE24" i="1"/>
  <c r="CE25" i="1"/>
  <c r="CE30" i="1"/>
  <c r="CG30" i="1" s="1"/>
  <c r="CE9" i="1"/>
  <c r="CG9" i="1" s="1"/>
  <c r="CE27" i="1"/>
  <c r="CE35" i="1"/>
  <c r="CF35" i="1"/>
  <c r="CF41" i="1"/>
  <c r="CE55" i="1"/>
  <c r="CF55" i="1"/>
  <c r="CF60" i="1"/>
  <c r="CE60" i="1"/>
  <c r="CF39" i="1"/>
  <c r="CE39" i="1"/>
  <c r="CE66" i="1"/>
  <c r="CF66" i="1"/>
  <c r="CE54" i="1"/>
  <c r="CF54" i="1"/>
  <c r="CE68" i="1"/>
  <c r="CE28" i="1"/>
  <c r="CF28" i="1"/>
  <c r="CF40" i="1"/>
  <c r="CE40" i="1"/>
  <c r="CF23" i="1"/>
  <c r="CE23" i="1"/>
  <c r="CF59" i="1"/>
  <c r="CE59" i="1"/>
  <c r="CF64" i="1"/>
  <c r="CF62" i="1"/>
  <c r="CE37" i="1"/>
  <c r="CE38" i="1"/>
  <c r="CG38" i="1" s="1"/>
  <c r="CF31" i="1"/>
  <c r="CE31" i="1"/>
  <c r="CF46" i="1"/>
  <c r="CE46" i="1"/>
  <c r="CE57" i="1"/>
  <c r="CF57" i="1"/>
  <c r="CE19" i="1"/>
  <c r="CF19" i="1"/>
  <c r="CF53" i="1"/>
  <c r="CE53" i="1"/>
  <c r="CF56" i="1"/>
  <c r="CG56" i="1" s="1"/>
  <c r="CF63" i="1"/>
  <c r="CE63" i="1"/>
  <c r="CF69" i="1"/>
  <c r="CE69" i="1"/>
  <c r="CE42" i="1"/>
  <c r="CF42" i="1"/>
  <c r="CE13" i="1"/>
  <c r="CF13" i="1"/>
  <c r="CF3" i="1"/>
  <c r="CE3" i="1"/>
  <c r="CE21" i="1"/>
  <c r="CF21" i="1"/>
  <c r="CF33" i="1"/>
  <c r="CE16" i="1"/>
  <c r="CF4" i="1"/>
  <c r="CE32" i="1"/>
  <c r="CF32" i="1"/>
  <c r="CE43" i="1"/>
  <c r="CG43" i="1" s="1"/>
  <c r="CF22" i="1"/>
  <c r="CF44" i="1"/>
  <c r="CE44" i="1"/>
  <c r="CE6" i="1"/>
  <c r="CF6" i="1"/>
  <c r="CF61" i="1"/>
  <c r="CE61" i="1"/>
  <c r="CF45" i="1"/>
  <c r="CE45" i="1"/>
  <c r="CE34" i="1"/>
  <c r="CF34" i="1"/>
  <c r="CF26" i="1"/>
  <c r="CE26" i="1"/>
  <c r="CE29" i="1"/>
  <c r="CF29" i="1"/>
  <c r="CF17" i="1"/>
  <c r="CE17" i="1"/>
  <c r="CF18" i="1"/>
  <c r="CE18" i="1"/>
  <c r="CE58" i="1"/>
  <c r="CF58" i="1"/>
  <c r="CF48" i="1"/>
  <c r="CG48" i="1" s="1"/>
  <c r="CE51" i="1"/>
  <c r="CF51" i="1"/>
  <c r="CE47" i="1"/>
  <c r="CF47" i="1"/>
  <c r="CE49" i="1"/>
  <c r="CG49" i="1" s="1"/>
  <c r="CE52" i="1"/>
  <c r="CF52" i="1"/>
  <c r="CE50" i="1"/>
  <c r="CG50" i="1" s="1"/>
  <c r="CF67" i="1"/>
  <c r="CE67" i="1"/>
  <c r="CG5" i="1"/>
  <c r="CG10" i="1"/>
  <c r="CG8" i="1"/>
  <c r="CG41" i="1" l="1"/>
  <c r="CG36" i="1"/>
  <c r="CG33" i="1"/>
  <c r="CG37" i="1"/>
  <c r="CG69" i="1"/>
  <c r="CG68" i="1"/>
  <c r="CG14" i="1"/>
  <c r="CG19" i="1"/>
  <c r="CG21" i="1"/>
  <c r="CG28" i="1"/>
  <c r="CG18" i="1"/>
  <c r="CG40" i="1"/>
  <c r="CG15" i="1"/>
  <c r="CG65" i="1"/>
  <c r="CG73" i="1"/>
  <c r="CG13" i="1"/>
  <c r="CG62" i="1"/>
  <c r="CG64" i="1"/>
  <c r="CG39" i="1"/>
  <c r="CG57" i="1"/>
  <c r="CG52" i="1"/>
  <c r="CG53" i="1"/>
  <c r="CG63" i="1"/>
  <c r="CG58" i="1"/>
  <c r="CG67" i="1"/>
  <c r="CG45" i="1"/>
  <c r="CG75" i="1"/>
  <c r="CG60" i="1"/>
  <c r="CG32" i="1"/>
  <c r="CG35" i="1"/>
  <c r="CG44" i="1"/>
  <c r="CG42" i="1"/>
  <c r="CG66" i="1"/>
  <c r="CG55" i="1"/>
  <c r="CG54" i="1"/>
  <c r="CG34" i="1"/>
  <c r="CG70" i="1"/>
  <c r="CG76" i="1"/>
  <c r="CG61" i="1"/>
  <c r="CG74" i="1"/>
  <c r="CG46" i="1"/>
  <c r="CG72" i="1"/>
  <c r="CG31" i="1"/>
  <c r="CG59" i="1"/>
  <c r="CG71" i="1"/>
  <c r="CG47" i="1"/>
  <c r="CG51" i="1"/>
  <c r="CG27" i="1"/>
  <c r="CG22" i="1"/>
  <c r="CG16" i="1"/>
  <c r="CG4" i="1"/>
  <c r="CG23" i="1"/>
  <c r="CG26" i="1"/>
  <c r="CG25" i="1"/>
  <c r="CG24" i="1"/>
  <c r="CG29" i="1"/>
  <c r="CG3" i="1"/>
  <c r="CG20" i="1"/>
  <c r="CG17" i="1"/>
  <c r="CG6" i="1"/>
  <c r="BS78" i="1"/>
  <c r="CE78" i="1" s="1"/>
  <c r="CF78" i="1"/>
  <c r="BS79" i="1"/>
  <c r="CF79" i="1" s="1"/>
  <c r="S78" i="1"/>
  <c r="BZ78" i="1" s="1"/>
  <c r="CC78" i="1" s="1"/>
  <c r="S77" i="1"/>
  <c r="BZ77" i="1" s="1"/>
  <c r="CC77" i="1" s="1"/>
  <c r="S79" i="1"/>
  <c r="BZ79" i="1" s="1"/>
  <c r="CC79" i="1" s="1"/>
  <c r="BS77" i="1"/>
  <c r="CF77" i="1" s="1"/>
  <c r="CG78" i="1" l="1"/>
  <c r="CE77" i="1"/>
  <c r="CG77" i="1" s="1"/>
  <c r="CE79" i="1"/>
  <c r="CG7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tc={E0867E4C-561B-450B-9F9B-D26D1E89C6D9}</author>
  </authors>
  <commentList>
    <comment ref="U64" authorId="0" shapeId="0" xr:uid="{E0867E4C-561B-450B-9F9B-D26D1E89C6D9}">
      <text>
        <t>[Threaded comment]
Your version of Excel allows you to read this threaded comment; however, any edits to it will get removed if the file is opened in a newer version of Excel. Learn more: https://go.microsoft.com/fwlink/?linkid=870924
Comment:
    Just making sure I understand; the sample elevation was determined with a total station, but the surface elevation was not reported so you estimated it?
Reply:
    Yes. They just mentioned they used total station, but didn't report the actual elevation.</t>
      </text>
    </comment>
  </commentList>
</comments>
</file>

<file path=xl/sharedStrings.xml><?xml version="1.0" encoding="utf-8"?>
<sst xmlns="http://schemas.openxmlformats.org/spreadsheetml/2006/main" count="1246" uniqueCount="388">
  <si>
    <t>Region</t>
  </si>
  <si>
    <t>Location</t>
  </si>
  <si>
    <t>Original coordinate system</t>
  </si>
  <si>
    <t>Sample name</t>
  </si>
  <si>
    <t>Material dated</t>
  </si>
  <si>
    <t>Dated facies</t>
  </si>
  <si>
    <t>Paleoenvironmental analysis</t>
  </si>
  <si>
    <t>Sample thickness (m)</t>
  </si>
  <si>
    <t>Estimated sample thickness (m)</t>
  </si>
  <si>
    <t>Overburden facies</t>
  </si>
  <si>
    <t>Underlying facies (nearest layer)</t>
  </si>
  <si>
    <t>Overburden thickness (m)</t>
  </si>
  <si>
    <t>Reference level</t>
  </si>
  <si>
    <t>Laboratory code</t>
  </si>
  <si>
    <r>
      <t>δ</t>
    </r>
    <r>
      <rPr>
        <vertAlign val="superscript"/>
        <sz val="12"/>
        <rFont val="Arial"/>
        <family val="2"/>
      </rPr>
      <t>13</t>
    </r>
    <r>
      <rPr>
        <sz val="12"/>
        <rFont val="Arial"/>
        <family val="2"/>
      </rPr>
      <t>C (‰)</t>
    </r>
  </si>
  <si>
    <t>RWL</t>
  </si>
  <si>
    <t>Modern IR (m)</t>
  </si>
  <si>
    <t xml:space="preserve">Sampling error (m) </t>
  </si>
  <si>
    <t>Tidal error (m)</t>
  </si>
  <si>
    <t>Vegetation zone error (m)</t>
  </si>
  <si>
    <t>Benchmark error (m)</t>
  </si>
  <si>
    <t>Hand coring</t>
  </si>
  <si>
    <t>Peat</t>
  </si>
  <si>
    <t>SLIP</t>
  </si>
  <si>
    <t>(HAT+MTL)/2</t>
  </si>
  <si>
    <t>MTL</t>
  </si>
  <si>
    <t>Peat</t>
    <phoneticPr fontId="7" type="noConversion"/>
  </si>
  <si>
    <t>Paleosol on Pleistocene deposit</t>
  </si>
  <si>
    <t>NAD83, 15R</t>
  </si>
  <si>
    <t>St. James Parish</t>
  </si>
  <si>
    <t>NAD27, 15R</t>
  </si>
  <si>
    <t>Gramercy VIII-1</t>
  </si>
  <si>
    <t>Gramercy VII-1</t>
  </si>
  <si>
    <t>Gramercy IV-1</t>
  </si>
  <si>
    <t>Gramercy V-1a</t>
  </si>
  <si>
    <t>Gramercy VI-1</t>
  </si>
  <si>
    <t>Lutcher IV-1</t>
  </si>
  <si>
    <t>Lutcher V-1</t>
  </si>
  <si>
    <t>Lutcher VI-1</t>
  </si>
  <si>
    <t>Lutcher VII-1</t>
  </si>
  <si>
    <t>Lutcher VIII-1</t>
  </si>
  <si>
    <t>Hand coring</t>
    <phoneticPr fontId="7" type="noConversion"/>
  </si>
  <si>
    <t>8 charcoal fragments</t>
  </si>
  <si>
    <t>4 charcoal fragments</t>
  </si>
  <si>
    <t>&gt;10 charcoal fragments</t>
  </si>
  <si>
    <r>
      <t xml:space="preserve">6 charcoal fragments; 1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</t>
    </r>
  </si>
  <si>
    <r>
      <t xml:space="preserve">21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achenes; 1 charcoal fragment</t>
    </r>
  </si>
  <si>
    <t xml:space="preserve">&gt;10 charcoal fragments </t>
  </si>
  <si>
    <t>1 charcoal fragment</t>
  </si>
  <si>
    <t>Humic clay</t>
  </si>
  <si>
    <t>Humic clay</t>
    <phoneticPr fontId="7" type="noConversion"/>
  </si>
  <si>
    <t>Paleosol</t>
  </si>
  <si>
    <t>UtC-11161</t>
  </si>
  <si>
    <t>UtC-11159/11160</t>
  </si>
  <si>
    <t>-15.0/-12.8</t>
    <phoneticPr fontId="7" type="noConversion"/>
  </si>
  <si>
    <t>UtC-11154</t>
  </si>
  <si>
    <t>UtC-11155</t>
  </si>
  <si>
    <t>UtC-11157/11158</t>
  </si>
  <si>
    <t>-28.6/-29.6</t>
  </si>
  <si>
    <t>UtC-11142/11143</t>
  </si>
  <si>
    <t>-27/-12.2</t>
  </si>
  <si>
    <t>UtC-11212</t>
  </si>
  <si>
    <t>UtC-11144/11145/11146/11147</t>
  </si>
  <si>
    <t>-26.7/-26.8/-16.0/-12.4</t>
  </si>
  <si>
    <t>UtC-11148/11213/11149</t>
  </si>
  <si>
    <t>-27.8/-27.7/-12.0</t>
  </si>
  <si>
    <t>UtC-11150</t>
  </si>
  <si>
    <t>Classification</t>
  </si>
  <si>
    <t>Dating technique</t>
  </si>
  <si>
    <t>Radiocarbon</t>
  </si>
  <si>
    <t>Latitude</t>
  </si>
  <si>
    <t>Longitude</t>
  </si>
  <si>
    <t>Surveying method</t>
  </si>
  <si>
    <t>Depth top sample (m)</t>
  </si>
  <si>
    <t>Depth base sample (m)</t>
  </si>
  <si>
    <t>Number of subsamples</t>
  </si>
  <si>
    <r>
      <t>Bulk error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</si>
  <si>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r>
      <t>Isotopic fractionation correction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</si>
  <si>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r>
      <t>Isotopic fractionation error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</si>
  <si>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r>
      <rPr>
        <sz val="12"/>
        <rFont val="Arial"/>
        <family val="2"/>
      </rPr>
      <t>Corrected age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 BP)</t>
    </r>
  </si>
  <si>
    <r>
      <t>Corrected age error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</si>
  <si>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t>Calendar age weighted mean (cal a BP)</t>
  </si>
  <si>
    <t>IR error (m)</t>
  </si>
  <si>
    <t>IR change error (m)</t>
  </si>
  <si>
    <t>Sample thickness error (m)</t>
  </si>
  <si>
    <t>Paleo-RSL (m)</t>
  </si>
  <si>
    <t>Pleistocene deposit</t>
    <phoneticPr fontId="8" type="noConversion"/>
  </si>
  <si>
    <t>Sampling method</t>
  </si>
  <si>
    <r>
      <t>ΔR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</si>
  <si>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r>
      <t>Calendar age 2</t>
    </r>
    <r>
      <rPr>
        <sz val="12"/>
        <rFont val="Calibri"/>
        <family val="2"/>
      </rPr>
      <t>σ</t>
    </r>
    <r>
      <rPr>
        <sz val="12"/>
        <rFont val="Arial"/>
        <family val="2"/>
      </rPr>
      <t xml:space="preserve"> older limit (cal a BP)</t>
    </r>
  </si>
  <si>
    <t>Calendar age 2σ younger limit  (cal a BP)</t>
  </si>
  <si>
    <t xml:space="preserve">Non-vertical drilling error (m) </t>
  </si>
  <si>
    <t>Leveling error (m)</t>
  </si>
  <si>
    <t>Original x-coordinate</t>
  </si>
  <si>
    <t>Original y-coordinate</t>
  </si>
  <si>
    <t>Geoprobe</t>
  </si>
  <si>
    <t>Corrected sample thickness (m)</t>
  </si>
  <si>
    <t>Depth to consolidated substrate (m)</t>
  </si>
  <si>
    <t>Total upward error (m)</t>
  </si>
  <si>
    <t>Total downward error (m)</t>
  </si>
  <si>
    <t>NAVD 88</t>
  </si>
  <si>
    <t>Reference(s)</t>
  </si>
  <si>
    <t>&gt;11 charcoal fragments</t>
  </si>
  <si>
    <r>
      <t xml:space="preserve">8 </t>
    </r>
    <r>
      <rPr>
        <i/>
        <sz val="12"/>
        <rFont val="Arial"/>
        <family val="2"/>
      </rPr>
      <t>Eleocharis</t>
    </r>
    <r>
      <rPr>
        <sz val="12"/>
        <rFont val="Arial"/>
        <family val="2"/>
      </rPr>
      <t xml:space="preserve"> sp. achenes; 5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achenes  </t>
    </r>
  </si>
  <si>
    <r>
      <t xml:space="preserve">28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achenes; 6 </t>
    </r>
    <r>
      <rPr>
        <i/>
        <sz val="12"/>
        <rFont val="Arial"/>
        <family val="2"/>
      </rPr>
      <t>Eleocharis</t>
    </r>
    <r>
      <rPr>
        <sz val="12"/>
        <rFont val="Arial"/>
        <family val="2"/>
      </rPr>
      <t xml:space="preserve"> spp. achenes</t>
    </r>
  </si>
  <si>
    <r>
      <t xml:space="preserve">8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achenes; 11 charcoal fragments</t>
    </r>
  </si>
  <si>
    <r>
      <t xml:space="preserve">7 </t>
    </r>
    <r>
      <rPr>
        <i/>
        <sz val="12"/>
        <rFont val="Arial"/>
        <family val="2"/>
      </rPr>
      <t>Scirpus</t>
    </r>
    <r>
      <rPr>
        <sz val="12"/>
        <rFont val="Arial"/>
        <family val="2"/>
      </rPr>
      <t xml:space="preserve"> spp. achenes; 4 charcoal fragments</t>
    </r>
  </si>
  <si>
    <t>Mainly mud</t>
  </si>
  <si>
    <t>Clay and silt</t>
  </si>
  <si>
    <t>Silt and clay</t>
  </si>
  <si>
    <t>DEM/   water   depth/   map error (m)</t>
  </si>
  <si>
    <t>Total station; DGPS</t>
  </si>
  <si>
    <t>References:</t>
  </si>
  <si>
    <t>RWL error (m)</t>
  </si>
  <si>
    <r>
      <t>Reservoir age error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</si>
  <si>
    <t>Limiting data elevation (m)</t>
  </si>
  <si>
    <t>Limiting data:</t>
  </si>
  <si>
    <t>Note that the elevation is calculated in the same manner as for Paleo-RSL.</t>
  </si>
  <si>
    <t>However, it is recommended that limiting data are plotted with a horizontal</t>
  </si>
  <si>
    <r>
      <t>bar with a width defined by the 2</t>
    </r>
    <r>
      <rPr>
        <sz val="12"/>
        <color indexed="8"/>
        <rFont val="Calibri"/>
        <family val="2"/>
      </rPr>
      <t>σ</t>
    </r>
    <r>
      <rPr>
        <sz val="12"/>
        <color indexed="8"/>
        <rFont val="Arial"/>
        <family val="2"/>
      </rPr>
      <t xml:space="preserve"> age range, and an elevation that takes into</t>
    </r>
  </si>
  <si>
    <t>account the upward error (for upper limiting data) or downward error (for lower</t>
  </si>
  <si>
    <t>limiting data).</t>
  </si>
  <si>
    <t>Killona I-1</t>
  </si>
  <si>
    <t>Luling I-1</t>
  </si>
  <si>
    <t>Hahnville I-1</t>
  </si>
  <si>
    <t>Paradis I-1</t>
  </si>
  <si>
    <t>Des Allemands I-1</t>
  </si>
  <si>
    <t>Des Allemands II-1</t>
  </si>
  <si>
    <t>Des Allemands III-1</t>
  </si>
  <si>
    <t>Des Allemands IV-1</t>
  </si>
  <si>
    <t>Cypress Point I-1</t>
  </si>
  <si>
    <t>Cypress Point II-1</t>
  </si>
  <si>
    <t>Cypress Point III-1</t>
  </si>
  <si>
    <t>RTK</t>
  </si>
  <si>
    <t>9 charcoal fragments</t>
  </si>
  <si>
    <t>Vetter et al. (2017)</t>
  </si>
  <si>
    <t>Boutte I-1</t>
  </si>
  <si>
    <t>Boutte II-1</t>
  </si>
  <si>
    <t>UCIAMS-137473/137474/137480</t>
  </si>
  <si>
    <t>UCIAMS-137475/137476/137477/137478/137479</t>
  </si>
  <si>
    <t>UCIAMS-159375</t>
  </si>
  <si>
    <t>UCIAMS-159373/159374</t>
  </si>
  <si>
    <t>UCIAMS-159376/159377</t>
  </si>
  <si>
    <t>UCIAMS-159378/173658/173659</t>
  </si>
  <si>
    <t>UCIAMS-159380/159381</t>
  </si>
  <si>
    <t>UCIAMS-159384/159385</t>
  </si>
  <si>
    <t>UCIAMS-190608/190609</t>
  </si>
  <si>
    <t>UCIAMS-190602/190603</t>
  </si>
  <si>
    <t>UCIAMS-187170/187171</t>
  </si>
  <si>
    <t>UCIAMS-187174/187175</t>
  </si>
  <si>
    <r>
      <t xml:space="preserve">&gt;18 charcoal fragments; 3 </t>
    </r>
    <r>
      <rPr>
        <i/>
        <sz val="12"/>
        <color indexed="8"/>
        <rFont val="Arial"/>
        <family val="2"/>
      </rPr>
      <t>Scirpus</t>
    </r>
    <r>
      <rPr>
        <sz val="12"/>
        <color indexed="8"/>
        <rFont val="Arial"/>
        <family val="2"/>
      </rPr>
      <t xml:space="preserve"> spp. achenes; 16 unidentified seeds</t>
    </r>
  </si>
  <si>
    <t>3 charcoal fragments; 2 wood fragments</t>
  </si>
  <si>
    <t>2 charcoal fragments</t>
  </si>
  <si>
    <t>10 wood fragments</t>
  </si>
  <si>
    <t>3 wood fragments</t>
  </si>
  <si>
    <t>13 wood fragments</t>
  </si>
  <si>
    <t>Des Allemands I-2</t>
  </si>
  <si>
    <t>9 wood fragments</t>
  </si>
  <si>
    <t>Basal peat on paleosol on Pleistocene deposit</t>
  </si>
  <si>
    <t>UCIAMS-190604/190605</t>
  </si>
  <si>
    <t>UCIAMS-159382/173662</t>
  </si>
  <si>
    <t>St. Charles Parish</t>
  </si>
  <si>
    <t>Lafourche Parish</t>
  </si>
  <si>
    <t>DGPS/RTK error (m)</t>
  </si>
  <si>
    <r>
      <t xml:space="preserve">Vetter L et al. (2017), </t>
    </r>
    <r>
      <rPr>
        <i/>
        <sz val="12"/>
        <color indexed="8"/>
        <rFont val="Arial"/>
        <family val="2"/>
      </rPr>
      <t>Geochem. Geophys. Geosyst.</t>
    </r>
    <r>
      <rPr>
        <sz val="12"/>
        <color indexed="8"/>
        <rFont val="Arial"/>
        <family val="2"/>
      </rPr>
      <t>, 18: 142.</t>
    </r>
  </si>
  <si>
    <t>Lutcher IX-4</t>
  </si>
  <si>
    <t>Several charcoal fragments</t>
  </si>
  <si>
    <t>Foraminifera</t>
  </si>
  <si>
    <t>1 charcoal fragment; 1 wood fragment</t>
  </si>
  <si>
    <t>UCIAMS-187169</t>
  </si>
  <si>
    <r>
      <t xml:space="preserve">4 </t>
    </r>
    <r>
      <rPr>
        <i/>
        <sz val="12"/>
        <rFont val="Arial"/>
        <family val="2"/>
      </rPr>
      <t>Rhynchospora</t>
    </r>
    <r>
      <rPr>
        <sz val="12"/>
        <rFont val="Arial"/>
        <family val="2"/>
      </rPr>
      <t xml:space="preserve"> sp. achenes</t>
    </r>
  </si>
  <si>
    <t>Lutcher IX-1</t>
  </si>
  <si>
    <r>
      <t xml:space="preserve">12 </t>
    </r>
    <r>
      <rPr>
        <i/>
        <sz val="12"/>
        <color indexed="8"/>
        <rFont val="Arial"/>
        <family val="2"/>
      </rPr>
      <t>Scirpus</t>
    </r>
    <r>
      <rPr>
        <sz val="12"/>
        <color indexed="8"/>
        <rFont val="Arial"/>
        <family val="2"/>
      </rPr>
      <t xml:space="preserve"> spp. achene fragments; 8 charcoal fragments</t>
    </r>
  </si>
  <si>
    <r>
      <t xml:space="preserve">&gt;30 charcoal fragments; 4 </t>
    </r>
    <r>
      <rPr>
        <i/>
        <sz val="12"/>
        <color indexed="8"/>
        <rFont val="Arial"/>
        <family val="2"/>
      </rPr>
      <t>Scirpus</t>
    </r>
    <r>
      <rPr>
        <sz val="12"/>
        <color indexed="8"/>
        <rFont val="Arial"/>
        <family val="2"/>
      </rPr>
      <t xml:space="preserve"> spp. achenes</t>
    </r>
  </si>
  <si>
    <t>UCIAMS-159370/159371/159372</t>
  </si>
  <si>
    <t>Lutcher IX-3</t>
  </si>
  <si>
    <t>UCIAMS-187168</t>
  </si>
  <si>
    <t>Malay Peninsula</t>
  </si>
  <si>
    <t>Yangtze Delta</t>
  </si>
  <si>
    <t>Singapore</t>
  </si>
  <si>
    <t>Wang et al. (2013)</t>
  </si>
  <si>
    <t>Zong et al. (2011)</t>
  </si>
  <si>
    <t>Wang et al. (2018)</t>
  </si>
  <si>
    <t xml:space="preserve">Hijma &amp; Cohen (2010) </t>
  </si>
  <si>
    <t xml:space="preserve">Berendsen et al. (2007) </t>
  </si>
  <si>
    <t>Van de Plassche et al. (2010)</t>
  </si>
  <si>
    <t>Vos (2013); Vos &amp; Cohen (2014); Vos et al. (2015)</t>
  </si>
  <si>
    <t xml:space="preserve">Van de Plassche et al. (2010) </t>
  </si>
  <si>
    <t>Berendsen et al. (2007)</t>
  </si>
  <si>
    <t>Geyh et al. (1979)</t>
  </si>
  <si>
    <t>Chua et al. (2021)</t>
  </si>
  <si>
    <t>This study</t>
  </si>
  <si>
    <t>SL-63</t>
  </si>
  <si>
    <t>SL-66</t>
  </si>
  <si>
    <t>SL-67</t>
  </si>
  <si>
    <t>SL-74</t>
  </si>
  <si>
    <t>SL-79</t>
  </si>
  <si>
    <t>SL-80</t>
  </si>
  <si>
    <t>Beta-228442</t>
  </si>
  <si>
    <t>T0513-8-1</t>
  </si>
  <si>
    <t>SL84_1</t>
  </si>
  <si>
    <t>SL84_2</t>
  </si>
  <si>
    <t>SL85_4</t>
  </si>
  <si>
    <t>SL92_1</t>
  </si>
  <si>
    <t>SL92_2</t>
  </si>
  <si>
    <t>#18</t>
  </si>
  <si>
    <t>#19</t>
  </si>
  <si>
    <t>Barendrecht 16</t>
  </si>
  <si>
    <t>Barendrecht 19</t>
  </si>
  <si>
    <t>Barendrecht 22</t>
  </si>
  <si>
    <t>H19</t>
  </si>
  <si>
    <t>H21</t>
  </si>
  <si>
    <t>H22</t>
  </si>
  <si>
    <t>H23</t>
  </si>
  <si>
    <t>HR4</t>
  </si>
  <si>
    <t>V1</t>
  </si>
  <si>
    <t>V3</t>
  </si>
  <si>
    <t>V4</t>
  </si>
  <si>
    <t>H17</t>
  </si>
  <si>
    <t>V7.1</t>
  </si>
  <si>
    <t>Barendrecht 13</t>
  </si>
  <si>
    <t>V5</t>
  </si>
  <si>
    <t>116_OD3_25-26</t>
  </si>
  <si>
    <t>124_OD3_66-68</t>
  </si>
  <si>
    <t>126_OD3_70-72</t>
  </si>
  <si>
    <t>Coring</t>
  </si>
  <si>
    <t>Plant fragments</t>
  </si>
  <si>
    <t>Plant fragment</t>
  </si>
  <si>
    <t>Deltaic floodbasin clay</t>
  </si>
  <si>
    <t>Upper estuarine flood-basin deposit</t>
  </si>
  <si>
    <t>Wood</t>
  </si>
  <si>
    <t>Saltmarsh peat</t>
  </si>
  <si>
    <t>Upper mud flat</t>
  </si>
  <si>
    <t>Upper tidal flat</t>
  </si>
  <si>
    <t>Terrestrial botanical macrofossils</t>
  </si>
  <si>
    <t>Lagoonal clay</t>
  </si>
  <si>
    <t>Backbarrier tidal channel deposits (clay-laminated sand)</t>
  </si>
  <si>
    <t>Mangrove peat</t>
  </si>
  <si>
    <t>Aeolian cover sand</t>
  </si>
  <si>
    <t>Aeolian river dune</t>
  </si>
  <si>
    <t>Palaeovalley floodplain clay-loam</t>
  </si>
  <si>
    <t>Terrestrial deposits</t>
  </si>
  <si>
    <t>MSL</t>
  </si>
  <si>
    <t>NAP</t>
  </si>
  <si>
    <t>#20</t>
  </si>
  <si>
    <t>Hijma &amp; Cohen (2019)</t>
  </si>
  <si>
    <t>Compaction correction (m)</t>
  </si>
  <si>
    <t>Upper LDP</t>
  </si>
  <si>
    <t>Supratidal flat deposit</t>
  </si>
  <si>
    <t>Upper tidal flat deposit</t>
  </si>
  <si>
    <t>GrA-49578</t>
  </si>
  <si>
    <t>GrA-49530</t>
  </si>
  <si>
    <t>GrA-42422</t>
  </si>
  <si>
    <t>GrN-21460</t>
  </si>
  <si>
    <t>UtC-15344</t>
  </si>
  <si>
    <t>UtC-15404</t>
  </si>
  <si>
    <t>GrA 55010</t>
  </si>
  <si>
    <t>GrA-55012</t>
  </si>
  <si>
    <t>GrA-54926</t>
  </si>
  <si>
    <t>GrA-54928</t>
  </si>
  <si>
    <t>GrN-15295</t>
  </si>
  <si>
    <t>NZA-63748</t>
  </si>
  <si>
    <t>NZA-64446</t>
  </si>
  <si>
    <t>NZA-63749</t>
  </si>
  <si>
    <t>GrN-15293</t>
  </si>
  <si>
    <t>GrA-54924</t>
  </si>
  <si>
    <t>GrA-42322</t>
  </si>
  <si>
    <t>GrN-15291</t>
  </si>
  <si>
    <t>GrN-15292</t>
  </si>
  <si>
    <t>Beta-300749</t>
  </si>
  <si>
    <t>Beta-300762</t>
  </si>
  <si>
    <t>Beta-300768</t>
  </si>
  <si>
    <t>Beta-300791</t>
  </si>
  <si>
    <t>Beta-300798</t>
  </si>
  <si>
    <t>Beta-300800</t>
  </si>
  <si>
    <t>Beta-406456</t>
  </si>
  <si>
    <t>Mississippi Delta</t>
  </si>
  <si>
    <t>Rhine-Meuse Delta</t>
  </si>
  <si>
    <t>Yaojiang Plain</t>
  </si>
  <si>
    <t>Törnqvist et al. (2004)</t>
  </si>
  <si>
    <t>Mechanical coring</t>
  </si>
  <si>
    <t>Offshore coring</t>
  </si>
  <si>
    <t>Drill coring</t>
  </si>
  <si>
    <t>Supratidal flat</t>
  </si>
  <si>
    <r>
      <t xml:space="preserve">Törnqvist TE et al. (2004), </t>
    </r>
    <r>
      <rPr>
        <i/>
        <sz val="12"/>
        <color indexed="8"/>
        <rFont val="Arial"/>
        <family val="2"/>
      </rPr>
      <t>Geol. Soc. Am. Bull.</t>
    </r>
    <r>
      <rPr>
        <sz val="12"/>
        <color indexed="8"/>
        <rFont val="Arial"/>
        <family val="2"/>
      </rPr>
      <t>, 116: 1026.</t>
    </r>
  </si>
  <si>
    <t>GrA-5237</t>
  </si>
  <si>
    <t>GrA-5215</t>
  </si>
  <si>
    <t>GrA-5208</t>
  </si>
  <si>
    <t>GrN-7853</t>
  </si>
  <si>
    <t>GrN-7856</t>
  </si>
  <si>
    <t>GrN-7857</t>
  </si>
  <si>
    <t>GrN-7859</t>
  </si>
  <si>
    <t>GrN-7850</t>
  </si>
  <si>
    <t>GrA-5207</t>
  </si>
  <si>
    <t>SIA correction (m)</t>
  </si>
  <si>
    <t>Vdatum error(m)</t>
  </si>
  <si>
    <t>Saltmarsh deposits</t>
  </si>
  <si>
    <r>
      <t>Elevation midpoint sample (m)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</t>
    </r>
  </si>
  <si>
    <r>
      <t>Elevation base sample (m)</t>
    </r>
    <r>
      <rPr>
        <vertAlign val="superscript"/>
        <sz val="12"/>
        <rFont val="Arial"/>
        <family val="2"/>
      </rPr>
      <t>1</t>
    </r>
  </si>
  <si>
    <r>
      <t>Elevation top sample (m)</t>
    </r>
    <r>
      <rPr>
        <vertAlign val="superscript"/>
        <sz val="12"/>
        <rFont val="Arial"/>
        <family val="2"/>
      </rPr>
      <t>1</t>
    </r>
  </si>
  <si>
    <r>
      <t>Reference level              (m)</t>
    </r>
    <r>
      <rPr>
        <vertAlign val="superscript"/>
        <sz val="12"/>
        <rFont val="Arial"/>
        <family val="2"/>
      </rPr>
      <t>1</t>
    </r>
  </si>
  <si>
    <r>
      <rPr>
        <b/>
        <sz val="12"/>
        <color indexed="8"/>
        <rFont val="Arial"/>
        <family val="2"/>
      </rPr>
      <t>Column numbers:</t>
    </r>
    <r>
      <rPr>
        <sz val="12"/>
        <color indexed="8"/>
        <rFont val="Arial"/>
        <family val="2"/>
      </rPr>
      <t xml:space="preserve"> see Hijma et al. (2015) for a detailed description. Columns without numbers have been introduced here.</t>
    </r>
  </si>
  <si>
    <t>Hv-7582</t>
  </si>
  <si>
    <t>Hv-7584</t>
  </si>
  <si>
    <t>Hv-7592</t>
  </si>
  <si>
    <t>Hv-7591</t>
  </si>
  <si>
    <t>Hv-7583</t>
  </si>
  <si>
    <t>Hv-7593</t>
  </si>
  <si>
    <t>Hv-7580</t>
  </si>
  <si>
    <t>Southern Yangtze Delta (near Huangpu River)</t>
  </si>
  <si>
    <t>Southern Yangtze Delta</t>
  </si>
  <si>
    <t>Macrofossils</t>
  </si>
  <si>
    <t>Maasvlakte (offshore)</t>
  </si>
  <si>
    <t>Maasvlakte (Yangtzehaven)</t>
  </si>
  <si>
    <t>Rotterdam area (Korendijk)</t>
  </si>
  <si>
    <t>Rotterdam area (Wassenaar)</t>
  </si>
  <si>
    <t>Rotterdam area (Barendrecht)</t>
  </si>
  <si>
    <t>Rotterdam area (Hillegersberg)</t>
  </si>
  <si>
    <t>Rotterdam area (Vlaardingen)</t>
  </si>
  <si>
    <t>Van de Plassche (1982, 1995); Berendsen et al. (2007)</t>
  </si>
  <si>
    <t xml:space="preserve">Van de Plassche (1982, 1995); Berendsen et al. (2007) </t>
  </si>
  <si>
    <t>Van de Plassche (1982, 1995); Van de Plassche et al. (2010)</t>
  </si>
  <si>
    <t>Marine mud</t>
  </si>
  <si>
    <t>Middle/low tidal flat deposit</t>
  </si>
  <si>
    <t>Pleistocene sand (inland dune)</t>
  </si>
  <si>
    <t>Saltmarsh deposit</t>
  </si>
  <si>
    <t>Palaeosol (dessicated LIG marine clay)</t>
  </si>
  <si>
    <r>
      <t>Modern RWL (m)</t>
    </r>
    <r>
      <rPr>
        <vertAlign val="superscript"/>
        <sz val="12"/>
        <rFont val="Arial"/>
        <family val="2"/>
      </rPr>
      <t>1</t>
    </r>
  </si>
  <si>
    <t>Total vertical error (m)</t>
  </si>
  <si>
    <t>YSD</t>
  </si>
  <si>
    <t>Total station</t>
  </si>
  <si>
    <t>Pingwang</t>
  </si>
  <si>
    <t>Johor</t>
  </si>
  <si>
    <t>AHN Laser-altimetry</t>
  </si>
  <si>
    <r>
      <rPr>
        <i/>
        <sz val="12"/>
        <rFont val="Arial"/>
        <family val="2"/>
      </rPr>
      <t>Alnus</t>
    </r>
    <r>
      <rPr>
        <sz val="12"/>
        <rFont val="Arial"/>
        <family val="2"/>
      </rPr>
      <t xml:space="preserve"> fruit</t>
    </r>
  </si>
  <si>
    <r>
      <rPr>
        <i/>
        <sz val="12"/>
        <rFont val="Arial"/>
        <family val="2"/>
      </rPr>
      <t>Mentha</t>
    </r>
    <r>
      <rPr>
        <sz val="12"/>
        <rFont val="Arial"/>
        <family val="2"/>
      </rPr>
      <t xml:space="preserve">, </t>
    </r>
    <r>
      <rPr>
        <i/>
        <sz val="12"/>
        <rFont val="Arial"/>
        <family val="2"/>
      </rPr>
      <t>Alisma</t>
    </r>
    <r>
      <rPr>
        <sz val="12"/>
        <rFont val="Arial"/>
        <family val="2"/>
      </rPr>
      <t xml:space="preserve">, </t>
    </r>
    <r>
      <rPr>
        <i/>
        <sz val="12"/>
        <rFont val="Arial"/>
        <family val="2"/>
      </rPr>
      <t>Carex</t>
    </r>
  </si>
  <si>
    <r>
      <t xml:space="preserve">1 </t>
    </r>
    <r>
      <rPr>
        <i/>
        <sz val="12"/>
        <rFont val="Arial"/>
        <family val="2"/>
      </rPr>
      <t>Alnus</t>
    </r>
    <r>
      <rPr>
        <sz val="12"/>
        <rFont val="Arial"/>
        <family val="2"/>
      </rPr>
      <t xml:space="preserve"> cone</t>
    </r>
  </si>
  <si>
    <r>
      <t xml:space="preserve">1 </t>
    </r>
    <r>
      <rPr>
        <i/>
        <sz val="12"/>
        <rFont val="Arial"/>
        <family val="2"/>
      </rPr>
      <t>Cornus sanguinea</t>
    </r>
  </si>
  <si>
    <r>
      <t>Geyh MA et al. (1979), </t>
    </r>
    <r>
      <rPr>
        <i/>
        <sz val="12"/>
        <color rgb="FF222222"/>
        <rFont val="Arial"/>
        <family val="2"/>
      </rPr>
      <t>Nature</t>
    </r>
    <r>
      <rPr>
        <sz val="12"/>
        <color rgb="FF222222"/>
        <rFont val="Arial"/>
        <family val="2"/>
      </rPr>
      <t>, 278: 441.</t>
    </r>
  </si>
  <si>
    <t>Zhao (2015)</t>
  </si>
  <si>
    <t>LiDAR</t>
  </si>
  <si>
    <r>
      <t>Zong Y et al. (2011), </t>
    </r>
    <r>
      <rPr>
        <i/>
        <sz val="12"/>
        <color rgb="FF333333"/>
        <rFont val="Arial"/>
        <family val="2"/>
      </rPr>
      <t>Quat. Res.</t>
    </r>
    <r>
      <rPr>
        <sz val="12"/>
        <color rgb="FF333333"/>
        <rFont val="Arial"/>
        <family val="2"/>
      </rPr>
      <t>, 76: 69.</t>
    </r>
  </si>
  <si>
    <r>
      <t xml:space="preserve">Van de Plassche O (1982), </t>
    </r>
    <r>
      <rPr>
        <i/>
        <sz val="12"/>
        <color theme="1"/>
        <rFont val="Arial"/>
        <family val="2"/>
      </rPr>
      <t>Meded. Rijks Geol. Dienst</t>
    </r>
    <r>
      <rPr>
        <sz val="12"/>
        <color theme="1"/>
        <rFont val="Arial"/>
        <family val="2"/>
      </rPr>
      <t>, 36: 1</t>
    </r>
  </si>
  <si>
    <r>
      <t xml:space="preserve">Van de Plassche O (1995), </t>
    </r>
    <r>
      <rPr>
        <i/>
        <sz val="12"/>
        <color theme="1"/>
        <rFont val="Arial"/>
        <family val="2"/>
      </rPr>
      <t>Mar. Geol.</t>
    </r>
    <r>
      <rPr>
        <sz val="12"/>
        <color theme="1"/>
        <rFont val="Arial"/>
        <family val="2"/>
      </rPr>
      <t>, 124: 113.</t>
    </r>
  </si>
  <si>
    <r>
      <t xml:space="preserve">Van de Plassche O et al. (2010), </t>
    </r>
    <r>
      <rPr>
        <i/>
        <sz val="12"/>
        <color theme="1"/>
        <rFont val="Arial"/>
        <family val="2"/>
      </rPr>
      <t>Neth. J. Geosci. Geol. Mijnb.</t>
    </r>
    <r>
      <rPr>
        <sz val="12"/>
        <color theme="1"/>
        <rFont val="Arial"/>
        <family val="2"/>
      </rPr>
      <t>, 89: 3.</t>
    </r>
  </si>
  <si>
    <r>
      <t xml:space="preserve">Vos PC et al. (2015), </t>
    </r>
    <r>
      <rPr>
        <i/>
        <sz val="12"/>
        <color theme="1"/>
        <rFont val="Arial"/>
        <family val="2"/>
      </rPr>
      <t>Quat. Int.</t>
    </r>
    <r>
      <rPr>
        <sz val="12"/>
        <color theme="1"/>
        <rFont val="Arial"/>
        <family val="2"/>
      </rPr>
      <t>, 367: 4.</t>
    </r>
  </si>
  <si>
    <r>
      <t xml:space="preserve">Berendsen HJA et al. (2007), </t>
    </r>
    <r>
      <rPr>
        <i/>
        <sz val="12"/>
        <color theme="1"/>
        <rFont val="Arial"/>
        <family val="2"/>
      </rPr>
      <t xml:space="preserve">Neth. J. Geosci. Geol. Mijnb., </t>
    </r>
    <r>
      <rPr>
        <sz val="12"/>
        <color theme="1"/>
        <rFont val="Arial"/>
        <family val="2"/>
      </rPr>
      <t>86: 333.</t>
    </r>
  </si>
  <si>
    <r>
      <t xml:space="preserve">Hijma MP &amp; Cohen KM (2010), </t>
    </r>
    <r>
      <rPr>
        <i/>
        <sz val="12"/>
        <color theme="1"/>
        <rFont val="Arial"/>
        <family val="2"/>
      </rPr>
      <t>Geology,</t>
    </r>
    <r>
      <rPr>
        <sz val="12"/>
        <color theme="1"/>
        <rFont val="Arial"/>
        <family val="2"/>
      </rPr>
      <t xml:space="preserve"> 38: 275.</t>
    </r>
  </si>
  <si>
    <r>
      <rPr>
        <i/>
        <sz val="12"/>
        <rFont val="Arial"/>
        <family val="2"/>
      </rPr>
      <t xml:space="preserve">Alnus </t>
    </r>
    <r>
      <rPr>
        <sz val="12"/>
        <rFont val="Arial"/>
        <family val="2"/>
      </rPr>
      <t xml:space="preserve">bud scales; </t>
    </r>
    <r>
      <rPr>
        <i/>
        <sz val="12"/>
        <rFont val="Arial"/>
        <family val="2"/>
      </rPr>
      <t>Juncus;</t>
    </r>
    <r>
      <rPr>
        <sz val="12"/>
        <rFont val="Arial"/>
        <family val="2"/>
      </rPr>
      <t xml:space="preserve"> </t>
    </r>
    <r>
      <rPr>
        <i/>
        <sz val="12"/>
        <rFont val="Arial"/>
        <family val="2"/>
      </rPr>
      <t>Typha; Lythrum;</t>
    </r>
    <r>
      <rPr>
        <sz val="12"/>
        <rFont val="Arial"/>
        <family val="2"/>
      </rPr>
      <t xml:space="preserve"> and </t>
    </r>
    <r>
      <rPr>
        <i/>
        <sz val="12"/>
        <rFont val="Arial"/>
        <family val="2"/>
      </rPr>
      <t>Urtica</t>
    </r>
    <r>
      <rPr>
        <sz val="12"/>
        <rFont val="Arial"/>
        <family val="2"/>
      </rPr>
      <t xml:space="preserve"> seeds</t>
    </r>
  </si>
  <si>
    <r>
      <t xml:space="preserve">Chua S et al. (2021), </t>
    </r>
    <r>
      <rPr>
        <i/>
        <sz val="12"/>
        <color rgb="FF222222"/>
        <rFont val="Arial"/>
        <family val="2"/>
      </rPr>
      <t>Holocene</t>
    </r>
    <r>
      <rPr>
        <sz val="12"/>
        <color rgb="FF222222"/>
        <rFont val="Arial"/>
        <family val="2"/>
      </rPr>
      <t>, 31: 1376.</t>
    </r>
  </si>
  <si>
    <r>
      <t xml:space="preserve">Hijma MP &amp; Cohen KM (2019), </t>
    </r>
    <r>
      <rPr>
        <i/>
        <sz val="12"/>
        <color indexed="63"/>
        <rFont val="Arial"/>
        <family val="2"/>
      </rPr>
      <t>Quat. Sci. Rev.,</t>
    </r>
    <r>
      <rPr>
        <sz val="12"/>
        <color indexed="63"/>
        <rFont val="Arial"/>
        <family val="2"/>
      </rPr>
      <t> 214: 68.</t>
    </r>
  </si>
  <si>
    <r>
      <rPr>
        <sz val="12"/>
        <rFont val="Arial"/>
        <family val="2"/>
      </rPr>
      <t>Age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 BP)</t>
    </r>
    <r>
      <rPr>
        <vertAlign val="superscript"/>
        <sz val="12"/>
        <rFont val="Arial"/>
        <family val="2"/>
      </rPr>
      <t>2</t>
    </r>
  </si>
  <si>
    <r>
      <t>Age error (</t>
    </r>
    <r>
      <rPr>
        <vertAlign val="superscript"/>
        <sz val="12"/>
        <rFont val="Arial"/>
        <family val="2"/>
      </rPr>
      <t>14</t>
    </r>
    <r>
      <rPr>
        <sz val="12"/>
        <rFont val="Arial"/>
        <family val="2"/>
      </rPr>
      <t>C a)</t>
    </r>
    <r>
      <rPr>
        <vertAlign val="superscript"/>
        <sz val="12"/>
        <rFont val="Arial"/>
        <family val="2"/>
      </rPr>
      <t>2</t>
    </r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</si>
  <si>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Only the calibrated ages have been reported for the samples reported by Zhao (2015), without the original </t>
    </r>
    <r>
      <rPr>
        <vertAlign val="superscript"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>C ages.</t>
    </r>
  </si>
  <si>
    <t>GrN-12024</t>
  </si>
  <si>
    <t>GrN-15290</t>
  </si>
  <si>
    <r>
      <t xml:space="preserve">2.5 </t>
    </r>
    <r>
      <rPr>
        <i/>
        <sz val="12"/>
        <rFont val="Arial"/>
        <family val="2"/>
      </rPr>
      <t>Carex</t>
    </r>
    <r>
      <rPr>
        <sz val="12"/>
        <rFont val="Arial"/>
        <family val="2"/>
      </rPr>
      <t xml:space="preserve"> kaf; 1.25</t>
    </r>
    <r>
      <rPr>
        <i/>
        <sz val="12"/>
        <rFont val="Arial"/>
        <family val="2"/>
      </rPr>
      <t xml:space="preserve"> Lycopus europaeus</t>
    </r>
    <r>
      <rPr>
        <sz val="12"/>
        <rFont val="Arial"/>
        <family val="2"/>
      </rPr>
      <t xml:space="preserve">; 7 </t>
    </r>
    <r>
      <rPr>
        <i/>
        <sz val="12"/>
        <rFont val="Arial"/>
        <family val="2"/>
      </rPr>
      <t>Carex rostrata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vesicaria</t>
    </r>
    <r>
      <rPr>
        <sz val="12"/>
        <rFont val="Arial"/>
        <family val="2"/>
      </rPr>
      <t xml:space="preserve">; 1 </t>
    </r>
    <r>
      <rPr>
        <i/>
        <sz val="12"/>
        <rFont val="Arial"/>
        <family val="2"/>
      </rPr>
      <t>Alisma plantago-aquatica</t>
    </r>
    <r>
      <rPr>
        <sz val="12"/>
        <rFont val="Arial"/>
        <family val="2"/>
      </rPr>
      <t xml:space="preserve">; 1 </t>
    </r>
    <r>
      <rPr>
        <i/>
        <sz val="12"/>
        <rFont val="Arial"/>
        <family val="2"/>
      </rPr>
      <t>Berula erecta</t>
    </r>
    <r>
      <rPr>
        <sz val="12"/>
        <rFont val="Arial"/>
        <family val="2"/>
      </rPr>
      <t xml:space="preserve">; 1 </t>
    </r>
    <r>
      <rPr>
        <i/>
        <sz val="12"/>
        <rFont val="Arial"/>
        <family val="2"/>
      </rPr>
      <t>Phragmites</t>
    </r>
    <r>
      <rPr>
        <sz val="12"/>
        <rFont val="Arial"/>
        <family val="2"/>
      </rPr>
      <t xml:space="preserve">; 2 </t>
    </r>
    <r>
      <rPr>
        <i/>
        <sz val="12"/>
        <rFont val="Arial"/>
        <family val="2"/>
      </rPr>
      <t>Scirpus lacustris</t>
    </r>
    <r>
      <rPr>
        <sz val="12"/>
        <rFont val="Arial"/>
        <family val="2"/>
      </rPr>
      <t xml:space="preserve">; 0.5 </t>
    </r>
    <r>
      <rPr>
        <i/>
        <sz val="12"/>
        <rFont val="Arial"/>
        <family val="2"/>
      </rPr>
      <t>Stachys palustris</t>
    </r>
    <r>
      <rPr>
        <sz val="12"/>
        <rFont val="Arial"/>
        <family val="2"/>
      </rPr>
      <t xml:space="preserve">; 1 </t>
    </r>
    <r>
      <rPr>
        <i/>
        <sz val="12"/>
        <rFont val="Arial"/>
        <family val="2"/>
      </rPr>
      <t>Mentha aquatica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arvensis</t>
    </r>
  </si>
  <si>
    <t>Pollen</t>
  </si>
  <si>
    <r>
      <t xml:space="preserve">3 </t>
    </r>
    <r>
      <rPr>
        <i/>
        <sz val="12"/>
        <rFont val="Arial"/>
        <family val="2"/>
      </rPr>
      <t>Alisma;</t>
    </r>
    <r>
      <rPr>
        <sz val="12"/>
        <rFont val="Arial"/>
        <family val="2"/>
      </rPr>
      <t xml:space="preserve"> 2 </t>
    </r>
    <r>
      <rPr>
        <i/>
        <sz val="12"/>
        <rFont val="Arial"/>
        <family val="2"/>
      </rPr>
      <t>Typha;</t>
    </r>
    <r>
      <rPr>
        <sz val="12"/>
        <rFont val="Arial"/>
        <family val="2"/>
      </rPr>
      <t xml:space="preserve"> 1 </t>
    </r>
    <r>
      <rPr>
        <i/>
        <sz val="12"/>
        <rFont val="Arial"/>
        <family val="2"/>
      </rPr>
      <t>Alnus;</t>
    </r>
    <r>
      <rPr>
        <sz val="12"/>
        <rFont val="Arial"/>
        <family val="2"/>
      </rPr>
      <t xml:space="preserve"> 1 </t>
    </r>
    <r>
      <rPr>
        <i/>
        <sz val="12"/>
        <rFont val="Arial"/>
        <family val="2"/>
      </rPr>
      <t>Solanum</t>
    </r>
  </si>
  <si>
    <r>
      <t xml:space="preserve">2 </t>
    </r>
    <r>
      <rPr>
        <i/>
        <sz val="12"/>
        <rFont val="Arial"/>
        <family val="2"/>
      </rPr>
      <t>Cornus;</t>
    </r>
    <r>
      <rPr>
        <sz val="12"/>
        <rFont val="Arial"/>
        <family val="2"/>
      </rPr>
      <t xml:space="preserve"> 2</t>
    </r>
    <r>
      <rPr>
        <i/>
        <sz val="12"/>
        <rFont val="Arial"/>
        <family val="2"/>
      </rPr>
      <t xml:space="preserve"> Solanum;</t>
    </r>
    <r>
      <rPr>
        <sz val="12"/>
        <rFont val="Arial"/>
        <family val="2"/>
      </rPr>
      <t xml:space="preserve"> 2 </t>
    </r>
    <r>
      <rPr>
        <i/>
        <sz val="12"/>
        <rFont val="Arial"/>
        <family val="2"/>
      </rPr>
      <t>Alnus glutinosa;</t>
    </r>
    <r>
      <rPr>
        <sz val="12"/>
        <rFont val="Arial"/>
        <family val="2"/>
      </rPr>
      <t xml:space="preserve"> 1 </t>
    </r>
    <r>
      <rPr>
        <i/>
        <sz val="12"/>
        <rFont val="Arial"/>
        <family val="2"/>
      </rPr>
      <t>Atriplex</t>
    </r>
  </si>
  <si>
    <t>Land/       subaqueous elevation (m)</t>
  </si>
  <si>
    <t>Depth midpoint sample (m)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</si>
  <si>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Elevations are reported with respect to the reference level reported for individual study areas (column 26).</t>
    </r>
  </si>
  <si>
    <r>
      <t xml:space="preserve"> Modern MSL (m)</t>
    </r>
    <r>
      <rPr>
        <vertAlign val="superscript"/>
        <sz val="12"/>
        <rFont val="Arial"/>
        <family val="2"/>
      </rPr>
      <t>1,3</t>
    </r>
  </si>
  <si>
    <r>
      <rPr>
        <vertAlign val="superscript"/>
        <sz val="11"/>
        <color rgb="FF000000"/>
        <rFont val="Arial"/>
        <family val="2"/>
      </rPr>
      <t>3</t>
    </r>
    <r>
      <rPr>
        <sz val="11"/>
        <color indexed="8"/>
        <rFont val="Arial"/>
        <family val="2"/>
      </rPr>
      <t xml:space="preserve"> Present-day tidal parameters are from the Admiralty Tidal Tables (https://www.admiralty.co.uk/digital-services/admiralty-digitalpublications/admiralty-totaltide).</t>
    </r>
  </si>
  <si>
    <r>
      <t xml:space="preserve"> Modern HAT (m)</t>
    </r>
    <r>
      <rPr>
        <vertAlign val="superscript"/>
        <sz val="12"/>
        <rFont val="Arial"/>
        <family val="2"/>
      </rPr>
      <t>1,3</t>
    </r>
  </si>
  <si>
    <r>
      <t>Modern MHWS (m)</t>
    </r>
    <r>
      <rPr>
        <vertAlign val="superscript"/>
        <sz val="12"/>
        <rFont val="Arial"/>
        <family val="2"/>
      </rPr>
      <t>1,3</t>
    </r>
  </si>
  <si>
    <r>
      <t>Modern MHWN (m)</t>
    </r>
    <r>
      <rPr>
        <vertAlign val="superscript"/>
        <sz val="12"/>
        <rFont val="Arial"/>
        <family val="2"/>
      </rPr>
      <t>1,3</t>
    </r>
  </si>
  <si>
    <r>
      <t>Modern MHHW (m)</t>
    </r>
    <r>
      <rPr>
        <vertAlign val="superscript"/>
        <sz val="12"/>
        <rFont val="Arial"/>
        <family val="2"/>
      </rPr>
      <t>1,3</t>
    </r>
  </si>
  <si>
    <r>
      <t>Modern MHW (m)</t>
    </r>
    <r>
      <rPr>
        <vertAlign val="superscript"/>
        <sz val="12"/>
        <rFont val="Arial"/>
        <family val="2"/>
      </rPr>
      <t>1,3</t>
    </r>
  </si>
  <si>
    <r>
      <t>Modern MTL (m)</t>
    </r>
    <r>
      <rPr>
        <vertAlign val="superscript"/>
        <sz val="12"/>
        <rFont val="Arial"/>
        <family val="2"/>
      </rPr>
      <t>1,3</t>
    </r>
  </si>
  <si>
    <r>
      <t>Modern MLW (m)</t>
    </r>
    <r>
      <rPr>
        <vertAlign val="superscript"/>
        <sz val="12"/>
        <rFont val="Arial"/>
        <family val="2"/>
      </rPr>
      <t>1,3</t>
    </r>
  </si>
  <si>
    <r>
      <t>Modern MLWN (m)</t>
    </r>
    <r>
      <rPr>
        <vertAlign val="superscript"/>
        <sz val="12"/>
        <rFont val="Arial"/>
        <family val="2"/>
      </rPr>
      <t>1,3</t>
    </r>
  </si>
  <si>
    <r>
      <t>Modern MLLW (m)</t>
    </r>
    <r>
      <rPr>
        <vertAlign val="superscript"/>
        <sz val="12"/>
        <rFont val="Arial"/>
        <family val="2"/>
      </rPr>
      <t>1,3</t>
    </r>
  </si>
  <si>
    <r>
      <t xml:space="preserve"> Modern LAT (m)</t>
    </r>
    <r>
      <rPr>
        <vertAlign val="superscript"/>
        <sz val="12"/>
        <rFont val="Arial"/>
        <family val="2"/>
      </rPr>
      <t>1,3</t>
    </r>
  </si>
  <si>
    <r>
      <t>Paleo-IR (m)</t>
    </r>
    <r>
      <rPr>
        <vertAlign val="superscript"/>
        <sz val="12"/>
        <rFont val="Arial"/>
        <family val="2"/>
      </rPr>
      <t>4</t>
    </r>
  </si>
  <si>
    <r>
      <rPr>
        <vertAlign val="superscript"/>
        <sz val="11"/>
        <color rgb="FF000000"/>
        <rFont val="Arial"/>
        <family val="2"/>
      </rPr>
      <t>4</t>
    </r>
    <r>
      <rPr>
        <sz val="11"/>
        <color indexed="8"/>
        <rFont val="Arial"/>
        <family val="2"/>
      </rPr>
      <t xml:space="preserve"> Section "Paleotidal corrections associated with RSL indicators" in the Supplement provides a detailed discussion of the paleo-IR calculation for the study areas.</t>
    </r>
  </si>
  <si>
    <r>
      <t>Core shortening/stretching error (m)</t>
    </r>
    <r>
      <rPr>
        <vertAlign val="superscript"/>
        <sz val="12"/>
        <rFont val="Arial"/>
        <family val="2"/>
      </rPr>
      <t>5</t>
    </r>
  </si>
  <si>
    <r>
      <t>GIA correction (m)</t>
    </r>
    <r>
      <rPr>
        <vertAlign val="superscript"/>
        <sz val="12"/>
        <rFont val="Arial"/>
        <family val="2"/>
      </rPr>
      <t>6</t>
    </r>
  </si>
  <si>
    <r>
      <rPr>
        <vertAlign val="superscript"/>
        <sz val="11"/>
        <color rgb="FF000000"/>
        <rFont val="Arial"/>
        <family val="2"/>
      </rPr>
      <t>5</t>
    </r>
    <r>
      <rPr>
        <sz val="11"/>
        <color indexed="8"/>
        <rFont val="Arial"/>
        <family val="2"/>
      </rPr>
      <t xml:space="preserve"> This error was estimated herein based on the coring method to proccure the sample, following Hijma et al. (2015).</t>
    </r>
  </si>
  <si>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GIA corrections for the Mississippi Delta samples are small enough so that they can be ignored.</t>
    </r>
  </si>
  <si>
    <t>Values in italics in this spreadsheet were estimated, due to the absence of reported data.</t>
  </si>
  <si>
    <t>Zhao Y (2015), MS thesis, East China Normal Univ.</t>
  </si>
  <si>
    <t>Vos PC &amp; Cohen KM (2014), Interdisc. Archaeol. Res. Progr. Maasvlakte 2, 566.</t>
  </si>
  <si>
    <t>Vos PC (2013), Deltares Report 1206788-000-BGS-000187.</t>
  </si>
  <si>
    <r>
      <t xml:space="preserve">Wang Z et al. (2013), </t>
    </r>
    <r>
      <rPr>
        <i/>
        <sz val="12"/>
        <color rgb="FF000000"/>
        <rFont val="Arial"/>
        <family val="2"/>
      </rPr>
      <t>J Quat. Sci.</t>
    </r>
    <r>
      <rPr>
        <sz val="12"/>
        <color indexed="8"/>
        <rFont val="Arial"/>
        <family val="2"/>
      </rPr>
      <t>, 28: 659.</t>
    </r>
  </si>
  <si>
    <r>
      <t xml:space="preserve">Wang Z et al. (2018), </t>
    </r>
    <r>
      <rPr>
        <i/>
        <sz val="12"/>
        <color rgb="FF333333"/>
        <rFont val="Arial"/>
        <family val="2"/>
      </rPr>
      <t>Quat. Sci. Rev.</t>
    </r>
    <r>
      <rPr>
        <sz val="12"/>
        <color rgb="FF333333"/>
        <rFont val="Arial"/>
        <family val="2"/>
      </rPr>
      <t>,</t>
    </r>
    <r>
      <rPr>
        <i/>
        <sz val="12"/>
        <color rgb="FF333333"/>
        <rFont val="Arial"/>
        <family val="2"/>
      </rPr>
      <t> </t>
    </r>
    <r>
      <rPr>
        <sz val="12"/>
        <color rgb="FF333333"/>
        <rFont val="Arial"/>
        <family val="2"/>
      </rPr>
      <t>187: 80.</t>
    </r>
  </si>
  <si>
    <t>IR modeling error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</si>
</sst>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_ "/>
    <numFmt numFmtId="165" formatCode="0_);[Red]\(0\)"/>
    <numFmt numFmtId="166" formatCode="0_ "/>
    <numFmt numFmtId="167" formatCode="0.0"/>
    <numFmt numFmtId="168" formatCode="0.000_ "/>
    <numFmt numFmtId="169" formatCode="0.0000"/>
    <numFmt numFmtId="170" formatCode="0.000"/>
  </numFmts>
  <fonts count="28">
    <font>
      <sz val="11"/>
      <color theme="1"/>
      <name val="Calibri"/>
      <family val="2"/>
      <scheme val="minor"/>
    </font>
    <font>
      <sz val="11"/>
      <color indexed="8"/>
      <name val="宋体"/>
      <charset val="134"/>
    </font>
    <font>
      <sz val="12"/>
      <color indexed="8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sz val="11"/>
      <color indexed="62"/>
      <name val="Calibri"/>
      <family val="2"/>
    </font>
    <font>
      <sz val="12"/>
      <color indexed="63"/>
      <name val="Arial"/>
      <family val="2"/>
    </font>
    <font>
      <sz val="12"/>
      <name val="Calibri"/>
      <family val="2"/>
    </font>
    <font>
      <b/>
      <sz val="12"/>
      <color indexed="8"/>
      <name val="Arial"/>
      <family val="2"/>
    </font>
    <font>
      <sz val="12"/>
      <color indexed="8"/>
      <name val="Calibri"/>
      <family val="2"/>
    </font>
    <font>
      <sz val="8"/>
      <name val="Calibri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i/>
      <sz val="12"/>
      <color rgb="FF333333"/>
      <name val="Arial"/>
      <family val="2"/>
    </font>
    <font>
      <sz val="12"/>
      <color rgb="FF333333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indexed="63"/>
      <name val="Arial"/>
      <family val="2"/>
    </font>
    <font>
      <i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rgb="FF222222"/>
      <name val="Arial"/>
      <family val="2"/>
    </font>
    <font>
      <vertAlign val="superscript"/>
      <sz val="11"/>
      <color rgb="FF000000"/>
      <name val="Arial"/>
      <family val="2"/>
    </font>
    <font>
      <sz val="11"/>
      <color indexed="8"/>
      <name val="Arial"/>
      <family val="2"/>
    </font>
    <font>
      <i/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2" borderId="0" applyNumberFormat="0" applyBorder="0" applyAlignment="0" applyProtection="0"/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2" fillId="0" borderId="0" xfId="3" applyFont="1" applyAlignment="1">
      <alignment horizontal="center" vertical="center"/>
    </xf>
    <xf numFmtId="165" fontId="3" fillId="0" borderId="1" xfId="4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2" fontId="3" fillId="0" borderId="1" xfId="4" applyNumberFormat="1" applyFont="1" applyBorder="1" applyAlignment="1">
      <alignment horizontal="center" vertical="center" wrapText="1"/>
    </xf>
    <xf numFmtId="165" fontId="4" fillId="0" borderId="1" xfId="4" applyNumberFormat="1" applyFont="1" applyBorder="1" applyAlignment="1">
      <alignment horizontal="center" vertical="center" wrapText="1"/>
    </xf>
    <xf numFmtId="1" fontId="3" fillId="0" borderId="1" xfId="4" applyNumberFormat="1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2" fillId="0" borderId="0" xfId="3" applyFont="1">
      <alignment vertical="center"/>
    </xf>
    <xf numFmtId="0" fontId="15" fillId="0" borderId="0" xfId="0" applyFont="1" applyAlignment="1">
      <alignment vertical="center"/>
    </xf>
    <xf numFmtId="0" fontId="2" fillId="0" borderId="0" xfId="3" applyFont="1" applyAlignment="1">
      <alignment horizontal="left" vertical="center"/>
    </xf>
    <xf numFmtId="2" fontId="2" fillId="0" borderId="0" xfId="3" applyNumberFormat="1" applyFont="1" applyAlignment="1">
      <alignment horizontal="left" vertical="center"/>
    </xf>
    <xf numFmtId="164" fontId="3" fillId="0" borderId="0" xfId="3" applyNumberFormat="1" applyFont="1" applyAlignment="1">
      <alignment horizontal="left" vertical="center"/>
    </xf>
    <xf numFmtId="164" fontId="3" fillId="0" borderId="0" xfId="3" applyNumberFormat="1" applyFont="1">
      <alignment vertical="center"/>
    </xf>
    <xf numFmtId="2" fontId="2" fillId="0" borderId="0" xfId="3" applyNumberFormat="1" applyFont="1">
      <alignment vertical="center"/>
    </xf>
    <xf numFmtId="2" fontId="2" fillId="0" borderId="0" xfId="3" applyNumberFormat="1" applyFont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166" fontId="3" fillId="0" borderId="0" xfId="3" applyNumberFormat="1" applyFont="1" applyAlignment="1">
      <alignment horizontal="center" vertical="center"/>
    </xf>
    <xf numFmtId="166" fontId="2" fillId="0" borderId="0" xfId="3" applyNumberFormat="1" applyFont="1" applyAlignment="1">
      <alignment horizontal="center" vertical="center"/>
    </xf>
    <xf numFmtId="1" fontId="3" fillId="0" borderId="0" xfId="3" applyNumberFormat="1" applyFont="1" applyAlignment="1">
      <alignment horizontal="center" vertical="center"/>
    </xf>
    <xf numFmtId="164" fontId="3" fillId="0" borderId="0" xfId="3" applyNumberFormat="1" applyFont="1" applyAlignment="1">
      <alignment horizontal="center" vertical="center"/>
    </xf>
    <xf numFmtId="1" fontId="2" fillId="0" borderId="0" xfId="3" applyNumberFormat="1" applyFont="1" applyAlignment="1">
      <alignment horizontal="center" vertical="center"/>
    </xf>
    <xf numFmtId="168" fontId="2" fillId="0" borderId="0" xfId="3" applyNumberFormat="1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2" fontId="5" fillId="0" borderId="1" xfId="1" applyNumberFormat="1" applyFont="1" applyFill="1" applyBorder="1" applyAlignment="1">
      <alignment horizontal="center" vertical="center"/>
    </xf>
    <xf numFmtId="2" fontId="10" fillId="0" borderId="0" xfId="3" applyNumberFormat="1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2" fontId="2" fillId="0" borderId="1" xfId="3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left" vertical="center"/>
    </xf>
    <xf numFmtId="169" fontId="3" fillId="0" borderId="1" xfId="4" applyNumberFormat="1" applyFont="1" applyBorder="1" applyAlignment="1">
      <alignment horizontal="center"/>
    </xf>
    <xf numFmtId="2" fontId="2" fillId="0" borderId="1" xfId="3" applyNumberFormat="1" applyFont="1" applyBorder="1" applyAlignment="1">
      <alignment horizontal="center" vertical="center"/>
    </xf>
    <xf numFmtId="2" fontId="3" fillId="0" borderId="1" xfId="4" applyNumberFormat="1" applyFont="1" applyBorder="1" applyAlignment="1">
      <alignment horizontal="center" vertical="center"/>
    </xf>
    <xf numFmtId="2" fontId="3" fillId="0" borderId="1" xfId="3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4" applyFont="1" applyBorder="1" applyAlignment="1">
      <alignment horizontal="center"/>
    </xf>
    <xf numFmtId="0" fontId="3" fillId="0" borderId="1" xfId="4" applyFont="1" applyBorder="1" applyAlignment="1">
      <alignment horizontal="center" vertical="center"/>
    </xf>
    <xf numFmtId="170" fontId="3" fillId="0" borderId="1" xfId="4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167" fontId="3" fillId="0" borderId="1" xfId="3" applyNumberFormat="1" applyFont="1" applyBorder="1" applyAlignment="1">
      <alignment horizontal="center" vertical="center"/>
    </xf>
    <xf numFmtId="167" fontId="3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 vertical="center"/>
    </xf>
    <xf numFmtId="2" fontId="3" fillId="0" borderId="1" xfId="4" applyNumberFormat="1" applyFont="1" applyBorder="1" applyAlignment="1">
      <alignment horizontal="center"/>
    </xf>
    <xf numFmtId="169" fontId="2" fillId="0" borderId="1" xfId="3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7" fontId="2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left" vertical="center"/>
    </xf>
    <xf numFmtId="1" fontId="3" fillId="0" borderId="1" xfId="4" applyNumberFormat="1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 vertical="center"/>
    </xf>
    <xf numFmtId="167" fontId="3" fillId="0" borderId="1" xfId="4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67" fontId="2" fillId="0" borderId="1" xfId="4" quotePrefix="1" applyNumberFormat="1" applyFont="1" applyBorder="1" applyAlignment="1">
      <alignment horizontal="center" vertical="center"/>
    </xf>
    <xf numFmtId="0" fontId="16" fillId="0" borderId="0" xfId="0" applyFont="1"/>
    <xf numFmtId="2" fontId="15" fillId="0" borderId="0" xfId="0" applyNumberFormat="1" applyFont="1" applyAlignment="1">
      <alignment vertical="center"/>
    </xf>
  </cellXfs>
  <cellStyles count="5">
    <cellStyle name="Neutral" xfId="1" builtinId="28"/>
    <cellStyle name="Normal" xfId="0" builtinId="0"/>
    <cellStyle name="Normal 3" xfId="2" xr:uid="{00000000-0005-0000-0000-000002000000}"/>
    <cellStyle name="Normal_LA" xfId="3" xr:uid="{00000000-0005-0000-0000-000003000000}"/>
    <cellStyle name="Normal_L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vetulane-my.sharepoint.com/personal/umukherjee_tulane_edu/Documents/Udita_Mukherjee/Global%20database/Chapter1-RhineMeuse,Yangtze,Malay.xlsx" TargetMode="External"/><Relationship Id="rId1" Type="http://schemas.openxmlformats.org/officeDocument/2006/relationships/externalLinkPath" Target="Chapter1-RhineMeuse,Yangtze,Mal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lanation"/>
      <sheetName val="Long-form"/>
      <sheetName val="Sheet3"/>
      <sheetName val="Sheet2"/>
      <sheetName val="Proportion of samples accepted"/>
      <sheetName val="Sheet1"/>
      <sheetName val="Short-form"/>
      <sheetName val="Radiocarbon"/>
      <sheetName val="U-series"/>
      <sheetName val="Long-form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ornqvist, Torbjorn" id="{1A82B7A9-6441-4926-9163-CB809FEED046}" userId="S::tor@tulane.edu::c8f6eeae-c935-4bbd-b3be-e17489e5f181" providerId="AD"/>
  <person displayName="Mukherjee, Udita" id="{E6B2D924-EA9F-4D79-901E-56EC4CE237AD}" userId="S::umukherjee@tulane.edu::2eae7276-6b7d-4d9b-9957-659419a2aaf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64" dT="2023-06-28T00:18:54.59" personId="{1A82B7A9-6441-4926-9163-CB809FEED046}" id="{E0867E4C-561B-450B-9F9B-D26D1E89C6D9}">
    <text>Just making sure I understand; the sample elevation was determined with a total station, but the surface elevation was not reported so you estimated it?</text>
  </threadedComment>
  <threadedComment ref="U64" dT="2023-07-05T17:06:02.56" personId="{E6B2D924-EA9F-4D79-901E-56EC4CE237AD}" id="{2BC23298-8694-4646-8D89-B340255F93DA}" parentId="{E0867E4C-561B-450B-9F9B-D26D1E89C6D9}">
    <text>Yes. They just mentioned they used total station, but didn't report the actual elevation.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B99"/>
  <sheetViews>
    <sheetView tabSelected="1" topLeftCell="BU1" zoomScale="90" zoomScaleNormal="90" workbookViewId="0">
      <pane ySplit="1" topLeftCell="A2" activePane="bottomLeft" state="frozen"/>
      <selection pane="bottomLeft" activeCell="CI3" sqref="CI3"/>
    </sheetView>
  </sheetViews>
  <sheetFormatPr defaultColWidth="10.53125" defaultRowHeight="15"/>
  <cols>
    <col min="1" max="1" width="21.46484375" style="10" customWidth="1"/>
    <col min="2" max="2" width="34.46484375" style="10" customWidth="1"/>
    <col min="3" max="3" width="10.53125" style="10" bestFit="1" customWidth="1"/>
    <col min="4" max="4" width="12.19921875" style="10" customWidth="1"/>
    <col min="5" max="5" width="13.1328125" style="10" customWidth="1"/>
    <col min="6" max="6" width="13.53125" style="10" customWidth="1"/>
    <col min="7" max="7" width="14.1328125" style="10" customWidth="1"/>
    <col min="8" max="8" width="55.19921875" style="10" customWidth="1"/>
    <col min="9" max="9" width="28.46484375" style="10" customWidth="1"/>
    <col min="10" max="10" width="20.53125" style="10" customWidth="1"/>
    <col min="11" max="11" width="61" style="10" customWidth="1"/>
    <col min="12" max="12" width="17.53125" style="10" customWidth="1"/>
    <col min="13" max="13" width="22.46484375" style="10" customWidth="1"/>
    <col min="14" max="14" width="10.53125" style="11" customWidth="1"/>
    <col min="15" max="15" width="11.46484375" style="11" customWidth="1"/>
    <col min="16" max="16" width="12" style="11" customWidth="1"/>
    <col min="17" max="17" width="34.33203125" style="12" customWidth="1"/>
    <col min="18" max="18" width="47.53125" style="13" customWidth="1"/>
    <col min="19" max="19" width="14" style="14" customWidth="1"/>
    <col min="20" max="20" width="14" style="15" customWidth="1"/>
    <col min="21" max="21" width="24.53125" style="10" customWidth="1"/>
    <col min="22" max="22" width="14.1328125" style="15" customWidth="1"/>
    <col min="23" max="23" width="10.1328125" style="15" customWidth="1"/>
    <col min="24" max="24" width="10.86328125" style="16" customWidth="1"/>
    <col min="25" max="25" width="11" style="16" customWidth="1"/>
    <col min="26" max="26" width="12.46484375" style="17" bestFit="1" customWidth="1"/>
    <col min="27" max="27" width="12.46484375" style="16" bestFit="1" customWidth="1"/>
    <col min="28" max="28" width="13" style="17" customWidth="1"/>
    <col min="29" max="29" width="14.1328125" style="1" customWidth="1"/>
    <col min="30" max="30" width="11.46484375" style="18" customWidth="1"/>
    <col min="31" max="31" width="16.1328125" style="10" customWidth="1"/>
    <col min="32" max="32" width="21.86328125" style="19" customWidth="1"/>
    <col min="33" max="33" width="13.1328125" style="19" customWidth="1"/>
    <col min="34" max="34" width="11.33203125" style="19" customWidth="1"/>
    <col min="35" max="35" width="8.86328125" style="19" customWidth="1"/>
    <col min="36" max="36" width="9.1328125" style="19" customWidth="1"/>
    <col min="37" max="37" width="23.6640625" style="16" customWidth="1"/>
    <col min="38" max="38" width="14.86328125" style="20" customWidth="1"/>
    <col min="39" max="39" width="13.86328125" style="1" customWidth="1"/>
    <col min="40" max="40" width="12.1328125" style="21" customWidth="1"/>
    <col min="41" max="41" width="11.86328125" style="21" customWidth="1"/>
    <col min="42" max="42" width="7.86328125" style="20" customWidth="1"/>
    <col min="43" max="43" width="10.86328125" style="20" customWidth="1"/>
    <col min="44" max="44" width="11.53125" style="20" customWidth="1"/>
    <col min="45" max="45" width="14.1328125" style="22" customWidth="1"/>
    <col min="46" max="46" width="11" style="22" customWidth="1"/>
    <col min="47" max="47" width="9.46484375" style="15" customWidth="1"/>
    <col min="48" max="50" width="9.53125" style="15" customWidth="1"/>
    <col min="51" max="51" width="10.33203125" style="15" customWidth="1"/>
    <col min="52" max="52" width="9.6640625" style="15" customWidth="1"/>
    <col min="53" max="53" width="8.86328125" style="15" customWidth="1"/>
    <col min="54" max="55" width="10.1328125" style="15" customWidth="1"/>
    <col min="56" max="57" width="10.86328125" style="15" customWidth="1"/>
    <col min="58" max="58" width="15.46484375" style="10" customWidth="1"/>
    <col min="59" max="59" width="14.86328125" style="23" customWidth="1"/>
    <col min="60" max="60" width="9.86328125" style="1" customWidth="1"/>
    <col min="61" max="61" width="9.86328125" style="15" customWidth="1"/>
    <col min="62" max="62" width="11" style="15" customWidth="1"/>
    <col min="63" max="63" width="8.53125" style="15" customWidth="1"/>
    <col min="64" max="64" width="11.46484375" style="15" customWidth="1"/>
    <col min="65" max="65" width="9.86328125" style="15" customWidth="1"/>
    <col min="66" max="67" width="11.46484375" style="15" customWidth="1"/>
    <col min="68" max="68" width="11" style="1" customWidth="1"/>
    <col min="69" max="69" width="10.53125" style="1" customWidth="1"/>
    <col min="70" max="70" width="12" style="15" customWidth="1"/>
    <col min="71" max="71" width="10" style="1" customWidth="1"/>
    <col min="72" max="72" width="6.53125" style="1" customWidth="1"/>
    <col min="73" max="73" width="11.86328125" style="1" customWidth="1"/>
    <col min="74" max="74" width="11.46484375" style="15" customWidth="1"/>
    <col min="75" max="75" width="10.1328125" style="1" customWidth="1"/>
    <col min="76" max="76" width="7.86328125" style="1" customWidth="1"/>
    <col min="77" max="77" width="12.46484375" style="1" customWidth="1"/>
    <col min="78" max="78" width="13.796875" style="1" customWidth="1"/>
    <col min="79" max="80" width="12.46484375" style="1" customWidth="1"/>
    <col min="81" max="81" width="9.53125" style="15" customWidth="1"/>
    <col min="82" max="82" width="10.1328125" style="15" customWidth="1"/>
    <col min="83" max="83" width="10.33203125" style="15" customWidth="1"/>
    <col min="84" max="85" width="11.46484375" style="1" customWidth="1"/>
    <col min="86" max="93" width="9.1328125" style="9" customWidth="1"/>
    <col min="94" max="251" width="9.1328125" style="1" customWidth="1"/>
    <col min="252" max="252" width="20.86328125" style="1" bestFit="1" customWidth="1"/>
    <col min="253" max="253" width="28.53125" style="1" bestFit="1" customWidth="1"/>
    <col min="254" max="254" width="10.53125" style="1" bestFit="1" customWidth="1"/>
    <col min="255" max="16384" width="10.53125" style="1"/>
  </cols>
  <sheetData>
    <row r="1" spans="1:103" ht="68.650000000000006" customHeight="1">
      <c r="A1" s="24" t="s">
        <v>0</v>
      </c>
      <c r="B1" s="24" t="s">
        <v>1</v>
      </c>
      <c r="C1" s="3" t="s">
        <v>70</v>
      </c>
      <c r="D1" s="3" t="s">
        <v>71</v>
      </c>
      <c r="E1" s="3" t="s">
        <v>93</v>
      </c>
      <c r="F1" s="3" t="s">
        <v>94</v>
      </c>
      <c r="G1" s="3" t="s">
        <v>2</v>
      </c>
      <c r="H1" s="25" t="s">
        <v>101</v>
      </c>
      <c r="I1" s="3" t="s">
        <v>3</v>
      </c>
      <c r="J1" s="3" t="s">
        <v>87</v>
      </c>
      <c r="K1" s="3" t="s">
        <v>4</v>
      </c>
      <c r="L1" s="3" t="s">
        <v>5</v>
      </c>
      <c r="M1" s="3" t="s">
        <v>6</v>
      </c>
      <c r="N1" s="4" t="s">
        <v>7</v>
      </c>
      <c r="O1" s="4" t="s">
        <v>8</v>
      </c>
      <c r="P1" s="4" t="s">
        <v>96</v>
      </c>
      <c r="Q1" s="3" t="s">
        <v>9</v>
      </c>
      <c r="R1" s="3" t="s">
        <v>10</v>
      </c>
      <c r="S1" s="4" t="s">
        <v>11</v>
      </c>
      <c r="T1" s="4" t="s">
        <v>97</v>
      </c>
      <c r="U1" s="3" t="s">
        <v>72</v>
      </c>
      <c r="V1" s="28" t="s">
        <v>360</v>
      </c>
      <c r="W1" s="4" t="s">
        <v>73</v>
      </c>
      <c r="X1" s="4" t="s">
        <v>74</v>
      </c>
      <c r="Y1" s="4" t="s">
        <v>361</v>
      </c>
      <c r="Z1" s="3" t="s">
        <v>12</v>
      </c>
      <c r="AA1" s="4" t="s">
        <v>300</v>
      </c>
      <c r="AB1" s="3" t="s">
        <v>299</v>
      </c>
      <c r="AC1" s="3" t="s">
        <v>298</v>
      </c>
      <c r="AD1" s="3" t="s">
        <v>297</v>
      </c>
      <c r="AE1" s="3" t="s">
        <v>68</v>
      </c>
      <c r="AF1" s="3" t="s">
        <v>13</v>
      </c>
      <c r="AG1" s="3" t="s">
        <v>75</v>
      </c>
      <c r="AH1" s="5" t="s">
        <v>351</v>
      </c>
      <c r="AI1" s="2" t="s">
        <v>352</v>
      </c>
      <c r="AJ1" s="2" t="s">
        <v>76</v>
      </c>
      <c r="AK1" s="3" t="s">
        <v>14</v>
      </c>
      <c r="AL1" s="6" t="s">
        <v>77</v>
      </c>
      <c r="AM1" s="6" t="s">
        <v>78</v>
      </c>
      <c r="AN1" s="5" t="s">
        <v>79</v>
      </c>
      <c r="AO1" s="2" t="s">
        <v>80</v>
      </c>
      <c r="AP1" s="6" t="s">
        <v>88</v>
      </c>
      <c r="AQ1" s="6" t="s">
        <v>114</v>
      </c>
      <c r="AR1" s="6" t="s">
        <v>89</v>
      </c>
      <c r="AS1" s="6" t="s">
        <v>90</v>
      </c>
      <c r="AT1" s="6" t="s">
        <v>81</v>
      </c>
      <c r="AU1" s="4" t="s">
        <v>363</v>
      </c>
      <c r="AV1" s="4" t="s">
        <v>365</v>
      </c>
      <c r="AW1" s="4" t="s">
        <v>366</v>
      </c>
      <c r="AX1" s="4" t="s">
        <v>367</v>
      </c>
      <c r="AY1" s="4" t="s">
        <v>368</v>
      </c>
      <c r="AZ1" s="4" t="s">
        <v>369</v>
      </c>
      <c r="BA1" s="4" t="s">
        <v>370</v>
      </c>
      <c r="BB1" s="4" t="s">
        <v>371</v>
      </c>
      <c r="BC1" s="4" t="s">
        <v>372</v>
      </c>
      <c r="BD1" s="4" t="s">
        <v>373</v>
      </c>
      <c r="BE1" s="4" t="s">
        <v>374</v>
      </c>
      <c r="BF1" s="3" t="s">
        <v>67</v>
      </c>
      <c r="BG1" s="3" t="s">
        <v>15</v>
      </c>
      <c r="BH1" s="3" t="s">
        <v>327</v>
      </c>
      <c r="BI1" s="3" t="s">
        <v>16</v>
      </c>
      <c r="BJ1" s="3" t="s">
        <v>375</v>
      </c>
      <c r="BK1" s="3" t="s">
        <v>82</v>
      </c>
      <c r="BL1" s="3" t="s">
        <v>113</v>
      </c>
      <c r="BM1" s="36" t="s">
        <v>387</v>
      </c>
      <c r="BN1" s="4" t="s">
        <v>83</v>
      </c>
      <c r="BO1" s="4" t="s">
        <v>295</v>
      </c>
      <c r="BP1" s="3" t="s">
        <v>84</v>
      </c>
      <c r="BQ1" s="3" t="s">
        <v>17</v>
      </c>
      <c r="BR1" s="4" t="s">
        <v>377</v>
      </c>
      <c r="BS1" s="3" t="s">
        <v>91</v>
      </c>
      <c r="BT1" s="3" t="s">
        <v>18</v>
      </c>
      <c r="BU1" s="3" t="s">
        <v>19</v>
      </c>
      <c r="BV1" s="4" t="s">
        <v>110</v>
      </c>
      <c r="BW1" s="3" t="s">
        <v>92</v>
      </c>
      <c r="BX1" s="3" t="s">
        <v>163</v>
      </c>
      <c r="BY1" s="3" t="s">
        <v>20</v>
      </c>
      <c r="BZ1" s="3" t="s">
        <v>246</v>
      </c>
      <c r="CA1" s="3" t="s">
        <v>294</v>
      </c>
      <c r="CB1" s="3" t="s">
        <v>378</v>
      </c>
      <c r="CC1" s="4" t="s">
        <v>85</v>
      </c>
      <c r="CD1" s="4" t="s">
        <v>115</v>
      </c>
      <c r="CE1" s="4" t="s">
        <v>98</v>
      </c>
      <c r="CF1" s="3" t="s">
        <v>99</v>
      </c>
      <c r="CG1" s="3" t="s">
        <v>328</v>
      </c>
      <c r="CH1" s="1"/>
      <c r="CJ1" s="7"/>
      <c r="CK1" s="7"/>
      <c r="CL1" s="7"/>
      <c r="CM1" s="7"/>
      <c r="CN1" s="7"/>
      <c r="CO1" s="7"/>
      <c r="CQ1" s="7"/>
      <c r="CR1" s="7"/>
      <c r="CS1" s="7"/>
      <c r="CT1" s="7"/>
      <c r="CU1" s="7"/>
      <c r="CV1" s="7"/>
      <c r="CW1" s="7"/>
      <c r="CX1" s="7"/>
      <c r="CY1" s="8"/>
    </row>
    <row r="2" spans="1:103" ht="22.5" customHeight="1">
      <c r="A2" s="24">
        <v>1</v>
      </c>
      <c r="B2" s="24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25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  <c r="S2" s="3">
        <v>19</v>
      </c>
      <c r="T2" s="3">
        <v>20</v>
      </c>
      <c r="U2" s="3">
        <v>21</v>
      </c>
      <c r="V2" s="3">
        <v>22</v>
      </c>
      <c r="W2" s="3">
        <v>23</v>
      </c>
      <c r="X2" s="3">
        <v>24</v>
      </c>
      <c r="Y2" s="3">
        <v>25</v>
      </c>
      <c r="Z2" s="3">
        <v>26</v>
      </c>
      <c r="AA2" s="3">
        <v>27</v>
      </c>
      <c r="AB2" s="3">
        <v>28</v>
      </c>
      <c r="AC2" s="3">
        <v>29</v>
      </c>
      <c r="AD2" s="3">
        <v>30</v>
      </c>
      <c r="AE2" s="3">
        <v>31</v>
      </c>
      <c r="AF2" s="3">
        <v>32</v>
      </c>
      <c r="AG2" s="3">
        <v>33</v>
      </c>
      <c r="AH2" s="3">
        <v>34</v>
      </c>
      <c r="AI2" s="3">
        <v>35</v>
      </c>
      <c r="AJ2" s="3">
        <v>36</v>
      </c>
      <c r="AK2" s="3">
        <v>37</v>
      </c>
      <c r="AL2" s="3">
        <v>38</v>
      </c>
      <c r="AM2" s="3">
        <v>39</v>
      </c>
      <c r="AN2" s="3">
        <v>40</v>
      </c>
      <c r="AO2" s="3">
        <v>41</v>
      </c>
      <c r="AP2" s="3">
        <v>42</v>
      </c>
      <c r="AQ2" s="3">
        <v>43</v>
      </c>
      <c r="AR2" s="3">
        <v>44</v>
      </c>
      <c r="AS2" s="3">
        <v>45</v>
      </c>
      <c r="AT2" s="3">
        <v>46</v>
      </c>
      <c r="AU2" s="3">
        <v>47</v>
      </c>
      <c r="AV2" s="3">
        <v>48</v>
      </c>
      <c r="AW2" s="3"/>
      <c r="AX2" s="3"/>
      <c r="AY2" s="3">
        <v>49</v>
      </c>
      <c r="AZ2" s="3">
        <v>50</v>
      </c>
      <c r="BA2" s="3">
        <v>51</v>
      </c>
      <c r="BB2" s="3">
        <v>52</v>
      </c>
      <c r="BC2" s="3"/>
      <c r="BD2" s="3">
        <v>53</v>
      </c>
      <c r="BE2" s="3"/>
      <c r="BF2" s="3">
        <v>54</v>
      </c>
      <c r="BG2" s="3">
        <v>55</v>
      </c>
      <c r="BH2" s="3">
        <v>56</v>
      </c>
      <c r="BI2" s="3">
        <v>57</v>
      </c>
      <c r="BJ2" s="3">
        <v>58</v>
      </c>
      <c r="BK2" s="3">
        <v>59</v>
      </c>
      <c r="BL2" s="3">
        <v>60</v>
      </c>
      <c r="BM2" s="26">
        <v>61</v>
      </c>
      <c r="BN2" s="3">
        <v>62</v>
      </c>
      <c r="BO2" s="3">
        <v>63</v>
      </c>
      <c r="BP2" s="25">
        <v>64</v>
      </c>
      <c r="BQ2" s="3">
        <v>65</v>
      </c>
      <c r="BR2" s="3">
        <v>66</v>
      </c>
      <c r="BS2" s="3">
        <v>67</v>
      </c>
      <c r="BT2" s="3">
        <v>68</v>
      </c>
      <c r="BU2" s="3">
        <v>69</v>
      </c>
      <c r="BV2" s="3">
        <v>70</v>
      </c>
      <c r="BW2" s="3">
        <v>71</v>
      </c>
      <c r="BX2" s="3">
        <v>72</v>
      </c>
      <c r="BY2" s="3">
        <v>73</v>
      </c>
      <c r="BZ2" s="3"/>
      <c r="CA2" s="3"/>
      <c r="CB2" s="3"/>
      <c r="CC2" s="3">
        <v>74</v>
      </c>
      <c r="CD2" s="3">
        <v>75</v>
      </c>
      <c r="CE2" s="3">
        <v>76</v>
      </c>
      <c r="CF2" s="3">
        <v>77</v>
      </c>
      <c r="CG2" s="3"/>
      <c r="CH2" s="1"/>
      <c r="CK2" s="7"/>
      <c r="CL2" s="7"/>
      <c r="CM2" s="7"/>
      <c r="CN2" s="7"/>
      <c r="CO2" s="7"/>
      <c r="CQ2" s="7"/>
      <c r="CR2" s="7"/>
      <c r="CS2" s="7"/>
      <c r="CT2" s="7"/>
      <c r="CU2" s="7"/>
      <c r="CV2" s="7"/>
      <c r="CW2" s="7"/>
      <c r="CX2" s="7"/>
      <c r="CY2" s="8"/>
    </row>
    <row r="3" spans="1:103">
      <c r="A3" s="37" t="s">
        <v>276</v>
      </c>
      <c r="B3" s="47" t="s">
        <v>161</v>
      </c>
      <c r="C3" s="53">
        <v>29.982399999999998</v>
      </c>
      <c r="D3" s="53">
        <v>-90.4846</v>
      </c>
      <c r="E3" s="54">
        <v>742690</v>
      </c>
      <c r="F3" s="54">
        <v>3319500</v>
      </c>
      <c r="G3" s="37" t="s">
        <v>28</v>
      </c>
      <c r="H3" s="55" t="s">
        <v>191</v>
      </c>
      <c r="I3" s="30" t="s">
        <v>122</v>
      </c>
      <c r="J3" s="37" t="s">
        <v>95</v>
      </c>
      <c r="K3" s="42" t="s">
        <v>134</v>
      </c>
      <c r="L3" s="55" t="s">
        <v>22</v>
      </c>
      <c r="M3" s="47"/>
      <c r="N3" s="29">
        <f t="shared" ref="N3:N15" si="0">X3-W3</f>
        <v>1.9999999999999574E-2</v>
      </c>
      <c r="O3" s="39"/>
      <c r="P3" s="39">
        <f>N3*2.5</f>
        <v>4.9999999999998934E-2</v>
      </c>
      <c r="Q3" s="37" t="s">
        <v>107</v>
      </c>
      <c r="R3" s="37" t="s">
        <v>27</v>
      </c>
      <c r="S3" s="39">
        <f t="shared" ref="S3:S16" si="1">W3</f>
        <v>13.35</v>
      </c>
      <c r="T3" s="39">
        <v>0</v>
      </c>
      <c r="U3" s="30" t="s">
        <v>133</v>
      </c>
      <c r="V3" s="56">
        <v>1</v>
      </c>
      <c r="W3" s="39">
        <v>13.35</v>
      </c>
      <c r="X3" s="41">
        <v>13.37</v>
      </c>
      <c r="Y3" s="41">
        <f t="shared" ref="Y3:Y15" si="2">(W3+X3)/2</f>
        <v>13.36</v>
      </c>
      <c r="Z3" s="57" t="s">
        <v>100</v>
      </c>
      <c r="AA3" s="41">
        <v>0</v>
      </c>
      <c r="AB3" s="29">
        <f t="shared" ref="AB3:AB15" si="3">V3-W3+AA3</f>
        <v>-12.35</v>
      </c>
      <c r="AC3" s="29">
        <f t="shared" ref="AC3:AC15" si="4">V3-X3+AA3</f>
        <v>-12.37</v>
      </c>
      <c r="AD3" s="29">
        <f t="shared" ref="AD3:AD15" si="5">V3-Y3+AA3</f>
        <v>-12.36</v>
      </c>
      <c r="AE3" s="30" t="s">
        <v>69</v>
      </c>
      <c r="AF3" s="42" t="s">
        <v>141</v>
      </c>
      <c r="AG3" s="48">
        <v>2</v>
      </c>
      <c r="AH3" s="48">
        <v>7180</v>
      </c>
      <c r="AI3" s="48">
        <v>19</v>
      </c>
      <c r="AJ3" s="58"/>
      <c r="AK3" s="49">
        <v>-22.06</v>
      </c>
      <c r="AL3" s="48"/>
      <c r="AM3" s="48"/>
      <c r="AN3" s="31">
        <f t="shared" ref="AN3:AN15" si="6">AH3+AL3</f>
        <v>7180</v>
      </c>
      <c r="AO3" s="31">
        <f>(AI3^2+AJ3^2+AM3^2)^0.5</f>
        <v>19</v>
      </c>
      <c r="AP3" s="59"/>
      <c r="AQ3" s="59"/>
      <c r="AR3" s="59">
        <v>8030</v>
      </c>
      <c r="AS3" s="60">
        <v>7950</v>
      </c>
      <c r="AT3" s="60">
        <v>7990</v>
      </c>
      <c r="AU3" s="39">
        <v>0.12</v>
      </c>
      <c r="AV3" s="39">
        <v>0.55000000000000004</v>
      </c>
      <c r="AW3" s="39"/>
      <c r="AX3" s="39"/>
      <c r="AY3" s="40"/>
      <c r="AZ3" s="39"/>
      <c r="BA3" s="39">
        <v>0.1</v>
      </c>
      <c r="BB3" s="40"/>
      <c r="BC3" s="40"/>
      <c r="BD3" s="39"/>
      <c r="BE3" s="39"/>
      <c r="BF3" s="30" t="s">
        <v>23</v>
      </c>
      <c r="BG3" s="47" t="s">
        <v>24</v>
      </c>
      <c r="BH3" s="40">
        <f>(AV3+BA3)/2</f>
        <v>0.32500000000000001</v>
      </c>
      <c r="BI3" s="40">
        <f>AV3-BA3</f>
        <v>0.45000000000000007</v>
      </c>
      <c r="BJ3" s="39">
        <f>IF(AR3&gt;8000,1.5*BI3,BI3)</f>
        <v>0.67500000000000004</v>
      </c>
      <c r="BK3" s="39">
        <f>BI3/2</f>
        <v>0.22500000000000003</v>
      </c>
      <c r="BL3" s="40">
        <v>0.1</v>
      </c>
      <c r="BM3" s="39">
        <f>0.2*BI3</f>
        <v>9.0000000000000024E-2</v>
      </c>
      <c r="BN3" s="29">
        <f>(((BI3-BJ3)^2)^0.5)/2</f>
        <v>0.11249999999999999</v>
      </c>
      <c r="BO3" s="29"/>
      <c r="BP3" s="29">
        <f t="shared" ref="BP3:BP33" si="7">P3/2</f>
        <v>2.4999999999999467E-2</v>
      </c>
      <c r="BQ3" s="39">
        <v>0.01</v>
      </c>
      <c r="BR3" s="39">
        <v>0.15</v>
      </c>
      <c r="BS3" s="29">
        <f t="shared" ref="BS3:BS66" si="8">0.02*Y3</f>
        <v>0.26719999999999999</v>
      </c>
      <c r="BT3" s="39"/>
      <c r="BU3" s="39"/>
      <c r="BV3" s="39"/>
      <c r="BW3" s="39"/>
      <c r="BX3" s="40">
        <v>0.1</v>
      </c>
      <c r="BY3" s="39"/>
      <c r="BZ3" s="39">
        <f>IF(S3&gt;18,T3*4,T3*2.5)</f>
        <v>0</v>
      </c>
      <c r="CA3" s="29">
        <f t="shared" ref="CA3:CA29" si="9">AT3*0.0002</f>
        <v>1.5980000000000001</v>
      </c>
      <c r="CB3" s="39"/>
      <c r="CC3" s="29">
        <f>AD3-BH3+CA3+BZ3+CB3</f>
        <v>-11.086999999999998</v>
      </c>
      <c r="CD3" s="29"/>
      <c r="CE3" s="29">
        <f>(SQRT(BK3^2+BL3^2+BM3^2+BN3^2+BP3^2+BQ3^2+BR3^2+BS3^2+BU3^2+BV3^2+BW3^2+BX3^2+BY3^2))</f>
        <v>0.43127959608588023</v>
      </c>
      <c r="CF3" s="29">
        <f>(SQRT(BK3^2+BL3^2+BM3^2+BN3^2+BP3^2+BQ3^2+BR3^2+BS3^2+BU3^2+BV3^2+BW3^2+BX3^2+BY3^2))</f>
        <v>0.43127959608588023</v>
      </c>
      <c r="CG3" s="29">
        <f>CE3+CF3</f>
        <v>0.86255919217176047</v>
      </c>
      <c r="CI3" s="65"/>
    </row>
    <row r="4" spans="1:103">
      <c r="A4" s="37" t="s">
        <v>276</v>
      </c>
      <c r="B4" s="47" t="s">
        <v>161</v>
      </c>
      <c r="C4" s="53">
        <v>29.924900000000001</v>
      </c>
      <c r="D4" s="53">
        <v>-90.418000000000006</v>
      </c>
      <c r="E4" s="54">
        <v>749260</v>
      </c>
      <c r="F4" s="54">
        <v>3313270</v>
      </c>
      <c r="G4" s="37" t="s">
        <v>28</v>
      </c>
      <c r="H4" s="55" t="s">
        <v>191</v>
      </c>
      <c r="I4" s="37" t="s">
        <v>123</v>
      </c>
      <c r="J4" s="37" t="s">
        <v>95</v>
      </c>
      <c r="K4" s="42" t="s">
        <v>42</v>
      </c>
      <c r="L4" s="55" t="s">
        <v>22</v>
      </c>
      <c r="M4" s="47"/>
      <c r="N4" s="29">
        <f t="shared" si="0"/>
        <v>1.9999999999999574E-2</v>
      </c>
      <c r="O4" s="39"/>
      <c r="P4" s="39">
        <f>N4*2.5</f>
        <v>4.9999999999998934E-2</v>
      </c>
      <c r="Q4" s="37" t="s">
        <v>107</v>
      </c>
      <c r="R4" s="37" t="s">
        <v>27</v>
      </c>
      <c r="S4" s="39">
        <f t="shared" si="1"/>
        <v>18.43</v>
      </c>
      <c r="T4" s="39">
        <v>0</v>
      </c>
      <c r="U4" s="30" t="s">
        <v>133</v>
      </c>
      <c r="V4" s="56">
        <v>1.2</v>
      </c>
      <c r="W4" s="39">
        <v>18.43</v>
      </c>
      <c r="X4" s="41">
        <v>18.45</v>
      </c>
      <c r="Y4" s="41">
        <f t="shared" si="2"/>
        <v>18.439999999999998</v>
      </c>
      <c r="Z4" s="57" t="s">
        <v>100</v>
      </c>
      <c r="AA4" s="41">
        <v>0</v>
      </c>
      <c r="AB4" s="29">
        <f t="shared" si="3"/>
        <v>-17.23</v>
      </c>
      <c r="AC4" s="29">
        <f t="shared" si="4"/>
        <v>-17.25</v>
      </c>
      <c r="AD4" s="29">
        <f t="shared" si="5"/>
        <v>-17.239999999999998</v>
      </c>
      <c r="AE4" s="30" t="s">
        <v>69</v>
      </c>
      <c r="AF4" s="42" t="s">
        <v>142</v>
      </c>
      <c r="AG4" s="48">
        <v>2</v>
      </c>
      <c r="AH4" s="48">
        <v>8045</v>
      </c>
      <c r="AI4" s="48">
        <v>16</v>
      </c>
      <c r="AJ4" s="58"/>
      <c r="AK4" s="49">
        <v>-18.309999999999999</v>
      </c>
      <c r="AL4" s="48"/>
      <c r="AM4" s="48"/>
      <c r="AN4" s="31">
        <f t="shared" si="6"/>
        <v>8045</v>
      </c>
      <c r="AO4" s="31">
        <f t="shared" ref="AO4:AO15" si="10">(AI4^2+AJ4^2+AM4^2)^0.5</f>
        <v>16</v>
      </c>
      <c r="AP4" s="59"/>
      <c r="AQ4" s="59"/>
      <c r="AR4" s="59">
        <v>9020</v>
      </c>
      <c r="AS4" s="60">
        <v>8780</v>
      </c>
      <c r="AT4" s="60">
        <v>8940</v>
      </c>
      <c r="AU4" s="39">
        <v>0.12</v>
      </c>
      <c r="AV4" s="39">
        <v>0.55000000000000004</v>
      </c>
      <c r="AW4" s="39"/>
      <c r="AX4" s="39"/>
      <c r="AY4" s="40"/>
      <c r="AZ4" s="39"/>
      <c r="BA4" s="39">
        <v>0.1</v>
      </c>
      <c r="BB4" s="40"/>
      <c r="BC4" s="40"/>
      <c r="BD4" s="39"/>
      <c r="BE4" s="39"/>
      <c r="BF4" s="30" t="s">
        <v>23</v>
      </c>
      <c r="BG4" s="47" t="s">
        <v>24</v>
      </c>
      <c r="BH4" s="40">
        <f>(AV4+BA4)/2</f>
        <v>0.32500000000000001</v>
      </c>
      <c r="BI4" s="40">
        <f>AV4-BA4</f>
        <v>0.45000000000000007</v>
      </c>
      <c r="BJ4" s="39">
        <f t="shared" ref="BJ4:BJ29" si="11">IF(AR4&gt;8000,1.5*BI4,BI4)</f>
        <v>0.67500000000000004</v>
      </c>
      <c r="BK4" s="39">
        <f>BI4/2</f>
        <v>0.22500000000000003</v>
      </c>
      <c r="BL4" s="40">
        <v>0.1</v>
      </c>
      <c r="BM4" s="39">
        <f>0.2*BI4</f>
        <v>9.0000000000000024E-2</v>
      </c>
      <c r="BN4" s="29">
        <f>(((BI4-BJ4)^2)^0.5)/2</f>
        <v>0.11249999999999999</v>
      </c>
      <c r="BO4" s="29"/>
      <c r="BP4" s="29">
        <f t="shared" si="7"/>
        <v>2.4999999999999467E-2</v>
      </c>
      <c r="BQ4" s="39">
        <v>0.01</v>
      </c>
      <c r="BR4" s="39">
        <v>0.15</v>
      </c>
      <c r="BS4" s="29">
        <f t="shared" si="8"/>
        <v>0.36879999999999996</v>
      </c>
      <c r="BT4" s="39"/>
      <c r="BU4" s="39"/>
      <c r="BV4" s="39"/>
      <c r="BW4" s="39"/>
      <c r="BX4" s="40">
        <v>0.1</v>
      </c>
      <c r="BY4" s="39"/>
      <c r="BZ4" s="39">
        <f t="shared" ref="BZ4:BZ54" si="12">IF(S4&gt;18,T4*4,T4*2.5)</f>
        <v>0</v>
      </c>
      <c r="CA4" s="29">
        <f t="shared" si="9"/>
        <v>1.788</v>
      </c>
      <c r="CB4" s="39"/>
      <c r="CC4" s="29">
        <f t="shared" ref="CC4:CC54" si="13">AD4-BH4+CA4+BZ4+CB4</f>
        <v>-15.776999999999997</v>
      </c>
      <c r="CD4" s="29"/>
      <c r="CE4" s="29">
        <f t="shared" ref="CE4:CE54" si="14">(SQRT(BK4^2+BL4^2+BM4^2+BN4^2+BP4^2+BQ4^2+BR4^2+BS4^2+BU4^2+BV4^2+BW4^2+BX4^2+BY4^2))</f>
        <v>0.50061930645950914</v>
      </c>
      <c r="CF4" s="29">
        <f t="shared" ref="CF4:CF54" si="15">(SQRT(BK4^2+BL4^2+BM4^2+BN4^2+BP4^2+BQ4^2+BR4^2+BS4^2+BU4^2+BV4^2+BW4^2+BX4^2+BY4^2))</f>
        <v>0.50061930645950914</v>
      </c>
      <c r="CG4" s="29">
        <f t="shared" ref="CG4:CG53" si="16">CE4+CF4</f>
        <v>1.0012386129190183</v>
      </c>
    </row>
    <row r="5" spans="1:103">
      <c r="A5" s="37" t="s">
        <v>276</v>
      </c>
      <c r="B5" s="47" t="s">
        <v>161</v>
      </c>
      <c r="C5" s="53">
        <v>29.968</v>
      </c>
      <c r="D5" s="53">
        <v>-90.418899999999994</v>
      </c>
      <c r="E5" s="54">
        <v>749060</v>
      </c>
      <c r="F5" s="54">
        <v>3318040</v>
      </c>
      <c r="G5" s="37" t="s">
        <v>28</v>
      </c>
      <c r="H5" s="55" t="s">
        <v>191</v>
      </c>
      <c r="I5" s="37" t="s">
        <v>124</v>
      </c>
      <c r="J5" s="37" t="s">
        <v>95</v>
      </c>
      <c r="K5" s="42" t="s">
        <v>151</v>
      </c>
      <c r="L5" s="55" t="s">
        <v>22</v>
      </c>
      <c r="M5" s="47"/>
      <c r="N5" s="29">
        <f t="shared" si="0"/>
        <v>1.9999999999999574E-2</v>
      </c>
      <c r="O5" s="39"/>
      <c r="P5" s="39">
        <f>N5*4</f>
        <v>7.9999999999998295E-2</v>
      </c>
      <c r="Q5" s="37" t="s">
        <v>107</v>
      </c>
      <c r="R5" s="37" t="s">
        <v>27</v>
      </c>
      <c r="S5" s="39">
        <f t="shared" si="1"/>
        <v>21.53</v>
      </c>
      <c r="T5" s="39">
        <v>0</v>
      </c>
      <c r="U5" s="30" t="s">
        <v>133</v>
      </c>
      <c r="V5" s="56">
        <v>1.8</v>
      </c>
      <c r="W5" s="39">
        <v>21.53</v>
      </c>
      <c r="X5" s="41">
        <v>21.55</v>
      </c>
      <c r="Y5" s="41">
        <f t="shared" si="2"/>
        <v>21.54</v>
      </c>
      <c r="Z5" s="57" t="s">
        <v>100</v>
      </c>
      <c r="AA5" s="41">
        <v>0</v>
      </c>
      <c r="AB5" s="29">
        <f t="shared" si="3"/>
        <v>-19.73</v>
      </c>
      <c r="AC5" s="29">
        <f t="shared" si="4"/>
        <v>-19.75</v>
      </c>
      <c r="AD5" s="29">
        <f t="shared" si="5"/>
        <v>-19.739999999999998</v>
      </c>
      <c r="AE5" s="30" t="s">
        <v>69</v>
      </c>
      <c r="AF5" s="42" t="s">
        <v>143</v>
      </c>
      <c r="AG5" s="48">
        <v>3</v>
      </c>
      <c r="AH5" s="48">
        <v>8262</v>
      </c>
      <c r="AI5" s="48">
        <v>14</v>
      </c>
      <c r="AJ5" s="58"/>
      <c r="AK5" s="49">
        <v>-28.54</v>
      </c>
      <c r="AL5" s="48"/>
      <c r="AM5" s="48"/>
      <c r="AN5" s="31">
        <f t="shared" si="6"/>
        <v>8262</v>
      </c>
      <c r="AO5" s="31">
        <f t="shared" si="10"/>
        <v>14</v>
      </c>
      <c r="AP5" s="59"/>
      <c r="AQ5" s="59"/>
      <c r="AR5" s="59">
        <v>9410</v>
      </c>
      <c r="AS5" s="60">
        <v>9130</v>
      </c>
      <c r="AT5" s="60">
        <v>9240</v>
      </c>
      <c r="AU5" s="39">
        <v>0.12</v>
      </c>
      <c r="AV5" s="39">
        <v>0.55000000000000004</v>
      </c>
      <c r="AW5" s="39"/>
      <c r="AX5" s="39"/>
      <c r="AY5" s="40"/>
      <c r="AZ5" s="39"/>
      <c r="BA5" s="39">
        <v>0.1</v>
      </c>
      <c r="BB5" s="40"/>
      <c r="BC5" s="40"/>
      <c r="BD5" s="39"/>
      <c r="BE5" s="39"/>
      <c r="BF5" s="47" t="s">
        <v>247</v>
      </c>
      <c r="BG5" s="47" t="s">
        <v>25</v>
      </c>
      <c r="BH5" s="40">
        <f>BA5</f>
        <v>0.1</v>
      </c>
      <c r="BI5" s="40"/>
      <c r="BJ5" s="39"/>
      <c r="BK5" s="39"/>
      <c r="BL5" s="40">
        <v>0.1</v>
      </c>
      <c r="BM5" s="39"/>
      <c r="BN5" s="29"/>
      <c r="BO5" s="29"/>
      <c r="BP5" s="29">
        <f t="shared" si="7"/>
        <v>3.9999999999999147E-2</v>
      </c>
      <c r="BQ5" s="39">
        <v>0.01</v>
      </c>
      <c r="BR5" s="39">
        <v>0.15</v>
      </c>
      <c r="BS5" s="29">
        <f t="shared" si="8"/>
        <v>0.43080000000000002</v>
      </c>
      <c r="BT5" s="39"/>
      <c r="BU5" s="39"/>
      <c r="BV5" s="39"/>
      <c r="BW5" s="39"/>
      <c r="BX5" s="40">
        <v>0.1</v>
      </c>
      <c r="BY5" s="39"/>
      <c r="BZ5" s="39">
        <f t="shared" si="12"/>
        <v>0</v>
      </c>
      <c r="CA5" s="29">
        <f t="shared" si="9"/>
        <v>1.8480000000000001</v>
      </c>
      <c r="CB5" s="39"/>
      <c r="CC5" s="29"/>
      <c r="CD5" s="29">
        <f>AD5-BH5+CA5+BZ5+CB5</f>
        <v>-17.992000000000001</v>
      </c>
      <c r="CE5" s="29">
        <f t="shared" si="14"/>
        <v>0.47936274365035919</v>
      </c>
      <c r="CF5" s="29">
        <f t="shared" si="15"/>
        <v>0.47936274365035919</v>
      </c>
      <c r="CG5" s="29">
        <f t="shared" si="16"/>
        <v>0.95872548730071838</v>
      </c>
    </row>
    <row r="6" spans="1:103">
      <c r="A6" s="37" t="s">
        <v>276</v>
      </c>
      <c r="B6" s="47" t="s">
        <v>161</v>
      </c>
      <c r="C6" s="53">
        <v>29.883099999999999</v>
      </c>
      <c r="D6" s="53">
        <v>-90.431799999999996</v>
      </c>
      <c r="E6" s="54">
        <v>748030</v>
      </c>
      <c r="F6" s="54">
        <v>3308600</v>
      </c>
      <c r="G6" s="37" t="s">
        <v>28</v>
      </c>
      <c r="H6" s="55" t="s">
        <v>191</v>
      </c>
      <c r="I6" s="37" t="s">
        <v>125</v>
      </c>
      <c r="J6" s="37" t="s">
        <v>95</v>
      </c>
      <c r="K6" s="42" t="s">
        <v>48</v>
      </c>
      <c r="L6" s="55" t="s">
        <v>51</v>
      </c>
      <c r="M6" s="47"/>
      <c r="N6" s="29">
        <f t="shared" si="0"/>
        <v>1.9999999999999574E-2</v>
      </c>
      <c r="O6" s="39"/>
      <c r="P6" s="39">
        <f>N6*2.5</f>
        <v>4.9999999999998934E-2</v>
      </c>
      <c r="Q6" s="37" t="s">
        <v>107</v>
      </c>
      <c r="R6" s="37" t="s">
        <v>27</v>
      </c>
      <c r="S6" s="39">
        <f t="shared" si="1"/>
        <v>17.420000000000002</v>
      </c>
      <c r="T6" s="39">
        <v>0</v>
      </c>
      <c r="U6" s="30" t="s">
        <v>133</v>
      </c>
      <c r="V6" s="56">
        <v>0.5</v>
      </c>
      <c r="W6" s="39">
        <v>17.420000000000002</v>
      </c>
      <c r="X6" s="41">
        <v>17.440000000000001</v>
      </c>
      <c r="Y6" s="41">
        <f t="shared" si="2"/>
        <v>17.43</v>
      </c>
      <c r="Z6" s="57" t="s">
        <v>100</v>
      </c>
      <c r="AA6" s="41">
        <v>0</v>
      </c>
      <c r="AB6" s="29">
        <f t="shared" si="3"/>
        <v>-16.920000000000002</v>
      </c>
      <c r="AC6" s="29">
        <f t="shared" si="4"/>
        <v>-16.940000000000001</v>
      </c>
      <c r="AD6" s="29">
        <f t="shared" si="5"/>
        <v>-16.93</v>
      </c>
      <c r="AE6" s="30" t="s">
        <v>69</v>
      </c>
      <c r="AF6" s="42" t="s">
        <v>140</v>
      </c>
      <c r="AG6" s="48"/>
      <c r="AH6" s="48">
        <v>7995</v>
      </c>
      <c r="AI6" s="48">
        <v>20</v>
      </c>
      <c r="AJ6" s="58"/>
      <c r="AK6" s="49">
        <v>-23.69</v>
      </c>
      <c r="AL6" s="48"/>
      <c r="AM6" s="48"/>
      <c r="AN6" s="31">
        <f t="shared" si="6"/>
        <v>7995</v>
      </c>
      <c r="AO6" s="31">
        <f t="shared" si="10"/>
        <v>20</v>
      </c>
      <c r="AP6" s="59"/>
      <c r="AQ6" s="59"/>
      <c r="AR6" s="59">
        <v>9000</v>
      </c>
      <c r="AS6" s="60">
        <v>8720</v>
      </c>
      <c r="AT6" s="60">
        <v>8870</v>
      </c>
      <c r="AU6" s="39">
        <v>0.12</v>
      </c>
      <c r="AV6" s="39">
        <v>0.55000000000000004</v>
      </c>
      <c r="AW6" s="39"/>
      <c r="AX6" s="39"/>
      <c r="AY6" s="40"/>
      <c r="AZ6" s="39"/>
      <c r="BA6" s="39">
        <v>0.1</v>
      </c>
      <c r="BB6" s="40"/>
      <c r="BC6" s="40"/>
      <c r="BD6" s="39"/>
      <c r="BE6" s="39"/>
      <c r="BF6" s="30" t="s">
        <v>23</v>
      </c>
      <c r="BG6" s="47" t="s">
        <v>24</v>
      </c>
      <c r="BH6" s="40">
        <f>(AV6+BA6)/2</f>
        <v>0.32500000000000001</v>
      </c>
      <c r="BI6" s="40">
        <f>AV6-BA6</f>
        <v>0.45000000000000007</v>
      </c>
      <c r="BJ6" s="39">
        <f t="shared" si="11"/>
        <v>0.67500000000000004</v>
      </c>
      <c r="BK6" s="39">
        <f>BI6/2</f>
        <v>0.22500000000000003</v>
      </c>
      <c r="BL6" s="40">
        <v>0.1</v>
      </c>
      <c r="BM6" s="39">
        <f>0.2*BI6</f>
        <v>9.0000000000000024E-2</v>
      </c>
      <c r="BN6" s="29">
        <f>(((BI6-BJ6)^2)^0.5)/2</f>
        <v>0.11249999999999999</v>
      </c>
      <c r="BO6" s="29"/>
      <c r="BP6" s="29">
        <f t="shared" si="7"/>
        <v>2.4999999999999467E-2</v>
      </c>
      <c r="BQ6" s="39">
        <v>0.01</v>
      </c>
      <c r="BR6" s="39">
        <v>0.15</v>
      </c>
      <c r="BS6" s="29">
        <f t="shared" si="8"/>
        <v>0.34860000000000002</v>
      </c>
      <c r="BT6" s="39"/>
      <c r="BU6" s="39"/>
      <c r="BV6" s="39"/>
      <c r="BW6" s="39"/>
      <c r="BX6" s="40">
        <v>0.1</v>
      </c>
      <c r="BY6" s="39"/>
      <c r="BZ6" s="39">
        <f t="shared" si="12"/>
        <v>0</v>
      </c>
      <c r="CA6" s="29">
        <f t="shared" si="9"/>
        <v>1.774</v>
      </c>
      <c r="CB6" s="39"/>
      <c r="CC6" s="29">
        <f t="shared" si="13"/>
        <v>-15.480999999999998</v>
      </c>
      <c r="CD6" s="29"/>
      <c r="CE6" s="29">
        <f t="shared" si="14"/>
        <v>0.48593025219675301</v>
      </c>
      <c r="CF6" s="29">
        <f t="shared" si="15"/>
        <v>0.48593025219675301</v>
      </c>
      <c r="CG6" s="29">
        <f t="shared" si="16"/>
        <v>0.97186050439350602</v>
      </c>
    </row>
    <row r="7" spans="1:103">
      <c r="A7" s="37" t="s">
        <v>276</v>
      </c>
      <c r="B7" s="47" t="s">
        <v>161</v>
      </c>
      <c r="C7" s="53">
        <v>29.819299999999998</v>
      </c>
      <c r="D7" s="53">
        <v>-90.462599999999995</v>
      </c>
      <c r="E7" s="54">
        <v>745210</v>
      </c>
      <c r="F7" s="54">
        <v>3301460</v>
      </c>
      <c r="G7" s="37" t="s">
        <v>28</v>
      </c>
      <c r="H7" s="55" t="s">
        <v>191</v>
      </c>
      <c r="I7" s="37" t="s">
        <v>126</v>
      </c>
      <c r="J7" s="37" t="s">
        <v>95</v>
      </c>
      <c r="K7" s="42" t="s">
        <v>152</v>
      </c>
      <c r="L7" s="55" t="s">
        <v>22</v>
      </c>
      <c r="M7" s="47"/>
      <c r="N7" s="29">
        <f t="shared" si="0"/>
        <v>2.0000000000003126E-2</v>
      </c>
      <c r="O7" s="39"/>
      <c r="P7" s="39">
        <f>N7*4</f>
        <v>8.0000000000012506E-2</v>
      </c>
      <c r="Q7" s="37" t="s">
        <v>107</v>
      </c>
      <c r="R7" s="37" t="s">
        <v>27</v>
      </c>
      <c r="S7" s="39">
        <f t="shared" si="1"/>
        <v>22.65</v>
      </c>
      <c r="T7" s="39">
        <v>0</v>
      </c>
      <c r="U7" s="30" t="s">
        <v>133</v>
      </c>
      <c r="V7" s="56">
        <v>-0.8</v>
      </c>
      <c r="W7" s="39">
        <v>22.65</v>
      </c>
      <c r="X7" s="41">
        <v>22.67</v>
      </c>
      <c r="Y7" s="41">
        <f t="shared" si="2"/>
        <v>22.66</v>
      </c>
      <c r="Z7" s="57" t="s">
        <v>100</v>
      </c>
      <c r="AA7" s="41">
        <v>0</v>
      </c>
      <c r="AB7" s="29">
        <f t="shared" si="3"/>
        <v>-23.45</v>
      </c>
      <c r="AC7" s="29">
        <f t="shared" si="4"/>
        <v>-23.470000000000002</v>
      </c>
      <c r="AD7" s="29">
        <f t="shared" si="5"/>
        <v>-23.46</v>
      </c>
      <c r="AE7" s="30" t="s">
        <v>69</v>
      </c>
      <c r="AF7" s="42" t="s">
        <v>144</v>
      </c>
      <c r="AG7" s="48">
        <v>2</v>
      </c>
      <c r="AH7" s="48">
        <v>8918</v>
      </c>
      <c r="AI7" s="48">
        <v>18</v>
      </c>
      <c r="AJ7" s="58"/>
      <c r="AK7" s="49">
        <v>-26.19</v>
      </c>
      <c r="AL7" s="48"/>
      <c r="AM7" s="48"/>
      <c r="AN7" s="31">
        <f t="shared" si="6"/>
        <v>8918</v>
      </c>
      <c r="AO7" s="31">
        <f t="shared" si="10"/>
        <v>18</v>
      </c>
      <c r="AP7" s="59"/>
      <c r="AQ7" s="59"/>
      <c r="AR7" s="59">
        <v>10190</v>
      </c>
      <c r="AS7" s="60">
        <v>9910</v>
      </c>
      <c r="AT7" s="60">
        <v>10050</v>
      </c>
      <c r="AU7" s="39">
        <v>0.12</v>
      </c>
      <c r="AV7" s="39">
        <v>0.55000000000000004</v>
      </c>
      <c r="AW7" s="39"/>
      <c r="AX7" s="39"/>
      <c r="AY7" s="40"/>
      <c r="AZ7" s="39"/>
      <c r="BA7" s="39">
        <v>0.1</v>
      </c>
      <c r="BB7" s="40"/>
      <c r="BC7" s="40"/>
      <c r="BD7" s="39"/>
      <c r="BE7" s="39"/>
      <c r="BF7" s="47" t="s">
        <v>247</v>
      </c>
      <c r="BG7" s="47" t="s">
        <v>25</v>
      </c>
      <c r="BH7" s="40">
        <f t="shared" ref="BH7:BH12" si="17">BA7</f>
        <v>0.1</v>
      </c>
      <c r="BI7" s="40"/>
      <c r="BJ7" s="39"/>
      <c r="BK7" s="39"/>
      <c r="BL7" s="40">
        <v>0.1</v>
      </c>
      <c r="BM7" s="39"/>
      <c r="BN7" s="29"/>
      <c r="BO7" s="29"/>
      <c r="BP7" s="29">
        <f t="shared" si="7"/>
        <v>4.0000000000006253E-2</v>
      </c>
      <c r="BQ7" s="39">
        <v>0.01</v>
      </c>
      <c r="BR7" s="39">
        <v>0.15</v>
      </c>
      <c r="BS7" s="29">
        <f t="shared" si="8"/>
        <v>0.45319999999999999</v>
      </c>
      <c r="BT7" s="39"/>
      <c r="BU7" s="39"/>
      <c r="BV7" s="39"/>
      <c r="BW7" s="39"/>
      <c r="BX7" s="40">
        <v>0.1</v>
      </c>
      <c r="BY7" s="39"/>
      <c r="BZ7" s="39">
        <f t="shared" si="12"/>
        <v>0</v>
      </c>
      <c r="CA7" s="29">
        <f t="shared" si="9"/>
        <v>2.0100000000000002</v>
      </c>
      <c r="CB7" s="39"/>
      <c r="CC7" s="29"/>
      <c r="CD7" s="29">
        <f>AD7-BH7+CA7+BZ7+CB7</f>
        <v>-21.55</v>
      </c>
      <c r="CE7" s="29">
        <f t="shared" si="14"/>
        <v>0.49959007195900174</v>
      </c>
      <c r="CF7" s="29">
        <f t="shared" si="15"/>
        <v>0.49959007195900174</v>
      </c>
      <c r="CG7" s="29">
        <f t="shared" si="16"/>
        <v>0.99918014391800347</v>
      </c>
    </row>
    <row r="8" spans="1:103">
      <c r="A8" s="37" t="s">
        <v>276</v>
      </c>
      <c r="B8" s="47" t="s">
        <v>161</v>
      </c>
      <c r="C8" s="53">
        <v>29.822900000000001</v>
      </c>
      <c r="D8" s="53">
        <v>-90.462900000000005</v>
      </c>
      <c r="E8" s="54">
        <v>745170</v>
      </c>
      <c r="F8" s="54">
        <v>3301860</v>
      </c>
      <c r="G8" s="37" t="s">
        <v>28</v>
      </c>
      <c r="H8" s="55" t="s">
        <v>191</v>
      </c>
      <c r="I8" s="37" t="s">
        <v>127</v>
      </c>
      <c r="J8" s="37" t="s">
        <v>95</v>
      </c>
      <c r="K8" s="42" t="s">
        <v>168</v>
      </c>
      <c r="L8" s="55" t="s">
        <v>22</v>
      </c>
      <c r="M8" s="47"/>
      <c r="N8" s="29">
        <f t="shared" si="0"/>
        <v>3.0000000000001137E-2</v>
      </c>
      <c r="O8" s="39"/>
      <c r="P8" s="39">
        <f t="shared" ref="P8:P14" si="18">N8*4</f>
        <v>0.12000000000000455</v>
      </c>
      <c r="Q8" s="37" t="s">
        <v>107</v>
      </c>
      <c r="R8" s="37" t="s">
        <v>27</v>
      </c>
      <c r="S8" s="39">
        <f t="shared" si="1"/>
        <v>23.34</v>
      </c>
      <c r="T8" s="39">
        <v>0</v>
      </c>
      <c r="U8" s="30" t="s">
        <v>133</v>
      </c>
      <c r="V8" s="56">
        <v>-1.3</v>
      </c>
      <c r="W8" s="39">
        <v>23.34</v>
      </c>
      <c r="X8" s="41">
        <v>23.37</v>
      </c>
      <c r="Y8" s="41">
        <f t="shared" si="2"/>
        <v>23.355</v>
      </c>
      <c r="Z8" s="57" t="s">
        <v>100</v>
      </c>
      <c r="AA8" s="41">
        <v>0</v>
      </c>
      <c r="AB8" s="29">
        <f t="shared" si="3"/>
        <v>-24.64</v>
      </c>
      <c r="AC8" s="29">
        <f t="shared" si="4"/>
        <v>-24.67</v>
      </c>
      <c r="AD8" s="29">
        <f t="shared" si="5"/>
        <v>-24.655000000000001</v>
      </c>
      <c r="AE8" s="30" t="s">
        <v>69</v>
      </c>
      <c r="AF8" s="42" t="s">
        <v>160</v>
      </c>
      <c r="AG8" s="48">
        <v>2</v>
      </c>
      <c r="AH8" s="48">
        <v>9112</v>
      </c>
      <c r="AI8" s="48">
        <v>19</v>
      </c>
      <c r="AJ8" s="58"/>
      <c r="AK8" s="49">
        <v>-29.45</v>
      </c>
      <c r="AL8" s="48"/>
      <c r="AM8" s="48"/>
      <c r="AN8" s="31">
        <f t="shared" si="6"/>
        <v>9112</v>
      </c>
      <c r="AO8" s="31">
        <f t="shared" si="10"/>
        <v>19</v>
      </c>
      <c r="AP8" s="59"/>
      <c r="AQ8" s="59"/>
      <c r="AR8" s="59">
        <v>10340</v>
      </c>
      <c r="AS8" s="60">
        <v>10220</v>
      </c>
      <c r="AT8" s="60">
        <v>10250</v>
      </c>
      <c r="AU8" s="39">
        <v>0.12</v>
      </c>
      <c r="AV8" s="39">
        <v>0.55000000000000004</v>
      </c>
      <c r="AW8" s="39"/>
      <c r="AX8" s="39"/>
      <c r="AY8" s="40"/>
      <c r="AZ8" s="39"/>
      <c r="BA8" s="39">
        <v>0.1</v>
      </c>
      <c r="BB8" s="40"/>
      <c r="BC8" s="40"/>
      <c r="BD8" s="39"/>
      <c r="BE8" s="39"/>
      <c r="BF8" s="47" t="s">
        <v>247</v>
      </c>
      <c r="BG8" s="47" t="s">
        <v>25</v>
      </c>
      <c r="BH8" s="40">
        <f t="shared" si="17"/>
        <v>0.1</v>
      </c>
      <c r="BI8" s="40"/>
      <c r="BJ8" s="39"/>
      <c r="BK8" s="39"/>
      <c r="BL8" s="40">
        <v>0.1</v>
      </c>
      <c r="BM8" s="39"/>
      <c r="BN8" s="29"/>
      <c r="BO8" s="29"/>
      <c r="BP8" s="29">
        <f t="shared" si="7"/>
        <v>6.0000000000002274E-2</v>
      </c>
      <c r="BQ8" s="39">
        <v>0.01</v>
      </c>
      <c r="BR8" s="39">
        <v>0.15</v>
      </c>
      <c r="BS8" s="29">
        <f t="shared" si="8"/>
        <v>0.46710000000000002</v>
      </c>
      <c r="BT8" s="39"/>
      <c r="BU8" s="39"/>
      <c r="BV8" s="39"/>
      <c r="BW8" s="39"/>
      <c r="BX8" s="40">
        <v>0.1</v>
      </c>
      <c r="BY8" s="39"/>
      <c r="BZ8" s="39">
        <f t="shared" si="12"/>
        <v>0</v>
      </c>
      <c r="CA8" s="29">
        <f t="shared" si="9"/>
        <v>2.0500000000000003</v>
      </c>
      <c r="CB8" s="39"/>
      <c r="CC8" s="29"/>
      <c r="CD8" s="29">
        <f t="shared" ref="CD8:CD12" si="19">AD8-BH8+CA8+BZ8+CB8</f>
        <v>-22.705000000000002</v>
      </c>
      <c r="CE8" s="29">
        <f t="shared" si="14"/>
        <v>0.5141813007101681</v>
      </c>
      <c r="CF8" s="29">
        <f t="shared" si="15"/>
        <v>0.5141813007101681</v>
      </c>
      <c r="CG8" s="29">
        <f t="shared" si="16"/>
        <v>1.0283626014203362</v>
      </c>
    </row>
    <row r="9" spans="1:103">
      <c r="A9" s="37" t="s">
        <v>276</v>
      </c>
      <c r="B9" s="47" t="s">
        <v>161</v>
      </c>
      <c r="C9" s="53">
        <v>29.8201</v>
      </c>
      <c r="D9" s="53">
        <v>-90.481999999999999</v>
      </c>
      <c r="E9" s="54">
        <v>743330</v>
      </c>
      <c r="F9" s="54">
        <v>3301510</v>
      </c>
      <c r="G9" s="37" t="s">
        <v>28</v>
      </c>
      <c r="H9" s="55" t="s">
        <v>191</v>
      </c>
      <c r="I9" s="37" t="s">
        <v>128</v>
      </c>
      <c r="J9" s="37" t="s">
        <v>95</v>
      </c>
      <c r="K9" s="42" t="s">
        <v>43</v>
      </c>
      <c r="L9" s="55" t="s">
        <v>22</v>
      </c>
      <c r="M9" s="47"/>
      <c r="N9" s="29">
        <f t="shared" si="0"/>
        <v>3.0000000000001137E-2</v>
      </c>
      <c r="O9" s="39"/>
      <c r="P9" s="39">
        <f t="shared" si="18"/>
        <v>0.12000000000000455</v>
      </c>
      <c r="Q9" s="37" t="s">
        <v>107</v>
      </c>
      <c r="R9" s="37" t="s">
        <v>27</v>
      </c>
      <c r="S9" s="39">
        <f t="shared" si="1"/>
        <v>24.9</v>
      </c>
      <c r="T9" s="39">
        <v>0</v>
      </c>
      <c r="U9" s="30" t="s">
        <v>133</v>
      </c>
      <c r="V9" s="56">
        <v>-0.6</v>
      </c>
      <c r="W9" s="39">
        <v>24.9</v>
      </c>
      <c r="X9" s="41">
        <v>24.93</v>
      </c>
      <c r="Y9" s="41">
        <f t="shared" si="2"/>
        <v>24.914999999999999</v>
      </c>
      <c r="Z9" s="57" t="s">
        <v>100</v>
      </c>
      <c r="AA9" s="41">
        <v>0</v>
      </c>
      <c r="AB9" s="29">
        <f t="shared" si="3"/>
        <v>-25.5</v>
      </c>
      <c r="AC9" s="29">
        <f t="shared" si="4"/>
        <v>-25.53</v>
      </c>
      <c r="AD9" s="29">
        <f t="shared" si="5"/>
        <v>-25.515000000000001</v>
      </c>
      <c r="AE9" s="30" t="s">
        <v>69</v>
      </c>
      <c r="AF9" s="42" t="s">
        <v>145</v>
      </c>
      <c r="AG9" s="48">
        <v>2</v>
      </c>
      <c r="AH9" s="48">
        <v>9198</v>
      </c>
      <c r="AI9" s="48">
        <v>18</v>
      </c>
      <c r="AJ9" s="58"/>
      <c r="AK9" s="49">
        <v>-30.055</v>
      </c>
      <c r="AL9" s="48"/>
      <c r="AM9" s="48"/>
      <c r="AN9" s="31">
        <f t="shared" si="6"/>
        <v>9198</v>
      </c>
      <c r="AO9" s="31">
        <f t="shared" si="10"/>
        <v>18</v>
      </c>
      <c r="AP9" s="59"/>
      <c r="AQ9" s="59"/>
      <c r="AR9" s="59">
        <v>10490</v>
      </c>
      <c r="AS9" s="60">
        <v>10250</v>
      </c>
      <c r="AT9" s="60">
        <v>10350</v>
      </c>
      <c r="AU9" s="39">
        <v>0.12</v>
      </c>
      <c r="AV9" s="39">
        <v>0.55000000000000004</v>
      </c>
      <c r="AW9" s="39"/>
      <c r="AX9" s="39"/>
      <c r="AY9" s="40"/>
      <c r="AZ9" s="39"/>
      <c r="BA9" s="39">
        <v>0.1</v>
      </c>
      <c r="BB9" s="40"/>
      <c r="BC9" s="40"/>
      <c r="BD9" s="39"/>
      <c r="BE9" s="39"/>
      <c r="BF9" s="47" t="s">
        <v>247</v>
      </c>
      <c r="BG9" s="47" t="s">
        <v>25</v>
      </c>
      <c r="BH9" s="40">
        <f t="shared" si="17"/>
        <v>0.1</v>
      </c>
      <c r="BI9" s="40"/>
      <c r="BJ9" s="39"/>
      <c r="BK9" s="39"/>
      <c r="BL9" s="40">
        <v>0.1</v>
      </c>
      <c r="BM9" s="39"/>
      <c r="BN9" s="29"/>
      <c r="BO9" s="29"/>
      <c r="BP9" s="29">
        <f t="shared" si="7"/>
        <v>6.0000000000002274E-2</v>
      </c>
      <c r="BQ9" s="39">
        <v>0.01</v>
      </c>
      <c r="BR9" s="39">
        <v>0.15</v>
      </c>
      <c r="BS9" s="29">
        <f t="shared" si="8"/>
        <v>0.49830000000000002</v>
      </c>
      <c r="BT9" s="39"/>
      <c r="BU9" s="39"/>
      <c r="BV9" s="39"/>
      <c r="BW9" s="39"/>
      <c r="BX9" s="40">
        <v>0.1</v>
      </c>
      <c r="BY9" s="39"/>
      <c r="BZ9" s="39">
        <f t="shared" si="12"/>
        <v>0</v>
      </c>
      <c r="CA9" s="29">
        <f t="shared" si="9"/>
        <v>2.0700000000000003</v>
      </c>
      <c r="CB9" s="39"/>
      <c r="CC9" s="29"/>
      <c r="CD9" s="29">
        <f t="shared" si="19"/>
        <v>-23.545000000000002</v>
      </c>
      <c r="CE9" s="29">
        <f t="shared" si="14"/>
        <v>0.54268120476021675</v>
      </c>
      <c r="CF9" s="29">
        <f t="shared" si="15"/>
        <v>0.54268120476021675</v>
      </c>
      <c r="CG9" s="29">
        <f t="shared" si="16"/>
        <v>1.0853624095204335</v>
      </c>
    </row>
    <row r="10" spans="1:103">
      <c r="A10" s="37" t="s">
        <v>276</v>
      </c>
      <c r="B10" s="47" t="s">
        <v>161</v>
      </c>
      <c r="C10" s="53">
        <v>29.822500000000002</v>
      </c>
      <c r="D10" s="53">
        <v>-90.465999999999994</v>
      </c>
      <c r="E10" s="54">
        <v>744870</v>
      </c>
      <c r="F10" s="54">
        <v>3301810</v>
      </c>
      <c r="G10" s="37" t="s">
        <v>28</v>
      </c>
      <c r="H10" s="55" t="s">
        <v>191</v>
      </c>
      <c r="I10" s="37" t="s">
        <v>129</v>
      </c>
      <c r="J10" s="37" t="s">
        <v>95</v>
      </c>
      <c r="K10" s="42" t="s">
        <v>153</v>
      </c>
      <c r="L10" s="55" t="s">
        <v>22</v>
      </c>
      <c r="M10" s="47"/>
      <c r="N10" s="29">
        <f t="shared" si="0"/>
        <v>1.9999999999999574E-2</v>
      </c>
      <c r="O10" s="39"/>
      <c r="P10" s="39">
        <f t="shared" si="18"/>
        <v>7.9999999999998295E-2</v>
      </c>
      <c r="Q10" s="37" t="s">
        <v>107</v>
      </c>
      <c r="R10" s="37" t="s">
        <v>27</v>
      </c>
      <c r="S10" s="39">
        <f t="shared" si="1"/>
        <v>24.6</v>
      </c>
      <c r="T10" s="39">
        <v>0</v>
      </c>
      <c r="U10" s="30" t="s">
        <v>133</v>
      </c>
      <c r="V10" s="56">
        <v>-0.7</v>
      </c>
      <c r="W10" s="39">
        <v>24.6</v>
      </c>
      <c r="X10" s="41">
        <v>24.62</v>
      </c>
      <c r="Y10" s="41">
        <f t="shared" si="2"/>
        <v>24.61</v>
      </c>
      <c r="Z10" s="57" t="s">
        <v>100</v>
      </c>
      <c r="AA10" s="41">
        <v>0</v>
      </c>
      <c r="AB10" s="29">
        <f t="shared" si="3"/>
        <v>-25.3</v>
      </c>
      <c r="AC10" s="29">
        <f t="shared" si="4"/>
        <v>-25.32</v>
      </c>
      <c r="AD10" s="29">
        <f t="shared" si="5"/>
        <v>-25.31</v>
      </c>
      <c r="AE10" s="30" t="s">
        <v>69</v>
      </c>
      <c r="AF10" s="42" t="s">
        <v>146</v>
      </c>
      <c r="AG10" s="48">
        <v>2</v>
      </c>
      <c r="AH10" s="48">
        <v>9208</v>
      </c>
      <c r="AI10" s="48">
        <v>18</v>
      </c>
      <c r="AJ10" s="58"/>
      <c r="AK10" s="49">
        <v>-30.105</v>
      </c>
      <c r="AL10" s="48"/>
      <c r="AM10" s="48"/>
      <c r="AN10" s="31">
        <f t="shared" si="6"/>
        <v>9208</v>
      </c>
      <c r="AO10" s="31">
        <f t="shared" si="10"/>
        <v>18</v>
      </c>
      <c r="AP10" s="59"/>
      <c r="AQ10" s="59"/>
      <c r="AR10" s="59">
        <v>10490</v>
      </c>
      <c r="AS10" s="60">
        <v>10250</v>
      </c>
      <c r="AT10" s="60">
        <v>10360</v>
      </c>
      <c r="AU10" s="39">
        <v>0.12</v>
      </c>
      <c r="AV10" s="39">
        <v>0.55000000000000004</v>
      </c>
      <c r="AW10" s="39"/>
      <c r="AX10" s="39"/>
      <c r="AY10" s="40"/>
      <c r="AZ10" s="39"/>
      <c r="BA10" s="39">
        <v>0.1</v>
      </c>
      <c r="BB10" s="40"/>
      <c r="BC10" s="40"/>
      <c r="BD10" s="39"/>
      <c r="BE10" s="39"/>
      <c r="BF10" s="47" t="s">
        <v>247</v>
      </c>
      <c r="BG10" s="47" t="s">
        <v>25</v>
      </c>
      <c r="BH10" s="40">
        <f t="shared" si="17"/>
        <v>0.1</v>
      </c>
      <c r="BI10" s="40"/>
      <c r="BJ10" s="39"/>
      <c r="BK10" s="39"/>
      <c r="BL10" s="40">
        <v>0.1</v>
      </c>
      <c r="BM10" s="39"/>
      <c r="BN10" s="29"/>
      <c r="BO10" s="29"/>
      <c r="BP10" s="29">
        <f t="shared" si="7"/>
        <v>3.9999999999999147E-2</v>
      </c>
      <c r="BQ10" s="39">
        <v>0.01</v>
      </c>
      <c r="BR10" s="39">
        <v>0.15</v>
      </c>
      <c r="BS10" s="29">
        <f t="shared" si="8"/>
        <v>0.49220000000000003</v>
      </c>
      <c r="BT10" s="39"/>
      <c r="BU10" s="39"/>
      <c r="BV10" s="39"/>
      <c r="BW10" s="39"/>
      <c r="BX10" s="40">
        <v>0.1</v>
      </c>
      <c r="BY10" s="39"/>
      <c r="BZ10" s="39">
        <f t="shared" si="12"/>
        <v>0</v>
      </c>
      <c r="CA10" s="29">
        <f t="shared" si="9"/>
        <v>2.0720000000000001</v>
      </c>
      <c r="CB10" s="39"/>
      <c r="CC10" s="29"/>
      <c r="CD10" s="29">
        <f t="shared" si="19"/>
        <v>-23.338000000000001</v>
      </c>
      <c r="CE10" s="29">
        <f t="shared" si="14"/>
        <v>0.53522036583074828</v>
      </c>
      <c r="CF10" s="29">
        <f t="shared" si="15"/>
        <v>0.53522036583074828</v>
      </c>
      <c r="CG10" s="29">
        <f t="shared" si="16"/>
        <v>1.0704407316614966</v>
      </c>
      <c r="CW10" s="9"/>
    </row>
    <row r="11" spans="1:103">
      <c r="A11" s="37" t="s">
        <v>276</v>
      </c>
      <c r="B11" s="47" t="s">
        <v>162</v>
      </c>
      <c r="C11" s="53">
        <v>29.787099999999999</v>
      </c>
      <c r="D11" s="53">
        <v>-90.500200000000007</v>
      </c>
      <c r="E11" s="54">
        <v>741655</v>
      </c>
      <c r="F11" s="54">
        <v>3297815</v>
      </c>
      <c r="G11" s="37" t="s">
        <v>28</v>
      </c>
      <c r="H11" s="55" t="s">
        <v>191</v>
      </c>
      <c r="I11" s="37" t="s">
        <v>130</v>
      </c>
      <c r="J11" s="37" t="s">
        <v>95</v>
      </c>
      <c r="K11" s="42" t="s">
        <v>154</v>
      </c>
      <c r="L11" s="55" t="s">
        <v>22</v>
      </c>
      <c r="M11" s="47"/>
      <c r="N11" s="29">
        <f t="shared" si="0"/>
        <v>1.9999999999999574E-2</v>
      </c>
      <c r="O11" s="39"/>
      <c r="P11" s="39">
        <f t="shared" si="18"/>
        <v>7.9999999999998295E-2</v>
      </c>
      <c r="Q11" s="37" t="s">
        <v>107</v>
      </c>
      <c r="R11" s="37" t="s">
        <v>86</v>
      </c>
      <c r="S11" s="39">
        <f t="shared" si="1"/>
        <v>24.8</v>
      </c>
      <c r="T11" s="39">
        <v>0</v>
      </c>
      <c r="U11" s="30" t="s">
        <v>133</v>
      </c>
      <c r="V11" s="39">
        <v>0.09</v>
      </c>
      <c r="W11" s="39">
        <v>24.8</v>
      </c>
      <c r="X11" s="41">
        <v>24.82</v>
      </c>
      <c r="Y11" s="41">
        <f t="shared" si="2"/>
        <v>24.810000000000002</v>
      </c>
      <c r="Z11" s="57" t="s">
        <v>100</v>
      </c>
      <c r="AA11" s="41">
        <v>0</v>
      </c>
      <c r="AB11" s="29">
        <f t="shared" si="3"/>
        <v>-24.71</v>
      </c>
      <c r="AC11" s="29">
        <f t="shared" si="4"/>
        <v>-24.73</v>
      </c>
      <c r="AD11" s="29">
        <f t="shared" si="5"/>
        <v>-24.720000000000002</v>
      </c>
      <c r="AE11" s="30" t="s">
        <v>69</v>
      </c>
      <c r="AF11" s="42" t="s">
        <v>147</v>
      </c>
      <c r="AG11" s="48">
        <v>2</v>
      </c>
      <c r="AH11" s="48">
        <v>9068</v>
      </c>
      <c r="AI11" s="48">
        <v>14</v>
      </c>
      <c r="AJ11" s="58"/>
      <c r="AK11" s="49">
        <v>-28.715</v>
      </c>
      <c r="AL11" s="48"/>
      <c r="AM11" s="48"/>
      <c r="AN11" s="31">
        <f t="shared" si="6"/>
        <v>9068</v>
      </c>
      <c r="AO11" s="31">
        <f t="shared" si="10"/>
        <v>14</v>
      </c>
      <c r="AP11" s="59"/>
      <c r="AQ11" s="59"/>
      <c r="AR11" s="59">
        <v>10250</v>
      </c>
      <c r="AS11" s="60">
        <v>10200</v>
      </c>
      <c r="AT11" s="60">
        <v>10230</v>
      </c>
      <c r="AU11" s="39">
        <v>0.12</v>
      </c>
      <c r="AV11" s="39">
        <v>0.55000000000000004</v>
      </c>
      <c r="AW11" s="39"/>
      <c r="AX11" s="39"/>
      <c r="AY11" s="40"/>
      <c r="AZ11" s="39"/>
      <c r="BA11" s="39">
        <v>0.1</v>
      </c>
      <c r="BB11" s="40"/>
      <c r="BC11" s="40"/>
      <c r="BD11" s="39"/>
      <c r="BE11" s="39"/>
      <c r="BF11" s="47" t="s">
        <v>247</v>
      </c>
      <c r="BG11" s="47" t="s">
        <v>25</v>
      </c>
      <c r="BH11" s="40">
        <f t="shared" si="17"/>
        <v>0.1</v>
      </c>
      <c r="BI11" s="40"/>
      <c r="BJ11" s="39"/>
      <c r="BK11" s="39"/>
      <c r="BL11" s="40">
        <v>0.1</v>
      </c>
      <c r="BM11" s="39"/>
      <c r="BN11" s="29"/>
      <c r="BO11" s="29"/>
      <c r="BP11" s="29">
        <f t="shared" si="7"/>
        <v>3.9999999999999147E-2</v>
      </c>
      <c r="BQ11" s="39">
        <v>0.01</v>
      </c>
      <c r="BR11" s="39">
        <v>0.15</v>
      </c>
      <c r="BS11" s="29">
        <f t="shared" si="8"/>
        <v>0.49620000000000003</v>
      </c>
      <c r="BT11" s="39"/>
      <c r="BU11" s="39"/>
      <c r="BV11" s="39"/>
      <c r="BW11" s="39"/>
      <c r="BX11" s="40">
        <v>0.1</v>
      </c>
      <c r="BY11" s="39"/>
      <c r="BZ11" s="39">
        <f t="shared" si="12"/>
        <v>0</v>
      </c>
      <c r="CA11" s="29">
        <f t="shared" si="9"/>
        <v>2.0460000000000003</v>
      </c>
      <c r="CB11" s="39"/>
      <c r="CC11" s="29"/>
      <c r="CD11" s="29">
        <f t="shared" si="19"/>
        <v>-22.774000000000004</v>
      </c>
      <c r="CE11" s="29">
        <f t="shared" si="14"/>
        <v>0.53890114121237487</v>
      </c>
      <c r="CF11" s="29">
        <f t="shared" si="15"/>
        <v>0.53890114121237487</v>
      </c>
      <c r="CG11" s="29">
        <f t="shared" si="16"/>
        <v>1.0778022824247497</v>
      </c>
    </row>
    <row r="12" spans="1:103">
      <c r="A12" s="37" t="s">
        <v>276</v>
      </c>
      <c r="B12" s="47" t="s">
        <v>162</v>
      </c>
      <c r="C12" s="53">
        <v>29.79</v>
      </c>
      <c r="D12" s="53">
        <v>-90.512600000000006</v>
      </c>
      <c r="E12" s="54">
        <v>740450</v>
      </c>
      <c r="F12" s="54">
        <v>3298105</v>
      </c>
      <c r="G12" s="37" t="s">
        <v>28</v>
      </c>
      <c r="H12" s="55" t="s">
        <v>191</v>
      </c>
      <c r="I12" s="37" t="s">
        <v>131</v>
      </c>
      <c r="J12" s="37" t="s">
        <v>95</v>
      </c>
      <c r="K12" s="42" t="s">
        <v>154</v>
      </c>
      <c r="L12" s="55" t="s">
        <v>22</v>
      </c>
      <c r="M12" s="47"/>
      <c r="N12" s="29">
        <f t="shared" si="0"/>
        <v>9.9999999999980105E-3</v>
      </c>
      <c r="O12" s="39"/>
      <c r="P12" s="39">
        <f t="shared" si="18"/>
        <v>3.9999999999992042E-2</v>
      </c>
      <c r="Q12" s="37" t="s">
        <v>107</v>
      </c>
      <c r="R12" s="37" t="s">
        <v>86</v>
      </c>
      <c r="S12" s="39">
        <f t="shared" si="1"/>
        <v>28.3</v>
      </c>
      <c r="T12" s="39">
        <v>0</v>
      </c>
      <c r="U12" s="30" t="s">
        <v>133</v>
      </c>
      <c r="V12" s="39">
        <v>0.37</v>
      </c>
      <c r="W12" s="39">
        <v>28.3</v>
      </c>
      <c r="X12" s="41">
        <v>28.31</v>
      </c>
      <c r="Y12" s="41">
        <f t="shared" si="2"/>
        <v>28.305</v>
      </c>
      <c r="Z12" s="57" t="s">
        <v>100</v>
      </c>
      <c r="AA12" s="41">
        <v>0</v>
      </c>
      <c r="AB12" s="29">
        <f t="shared" si="3"/>
        <v>-27.93</v>
      </c>
      <c r="AC12" s="29">
        <f t="shared" si="4"/>
        <v>-27.939999999999998</v>
      </c>
      <c r="AD12" s="29">
        <f t="shared" si="5"/>
        <v>-27.934999999999999</v>
      </c>
      <c r="AE12" s="30" t="s">
        <v>69</v>
      </c>
      <c r="AF12" s="42" t="s">
        <v>148</v>
      </c>
      <c r="AG12" s="48">
        <v>2</v>
      </c>
      <c r="AH12" s="48">
        <v>9445</v>
      </c>
      <c r="AI12" s="48">
        <v>14</v>
      </c>
      <c r="AJ12" s="58"/>
      <c r="AK12" s="49">
        <v>-30.1</v>
      </c>
      <c r="AL12" s="48"/>
      <c r="AM12" s="48"/>
      <c r="AN12" s="31">
        <f t="shared" si="6"/>
        <v>9445</v>
      </c>
      <c r="AO12" s="31">
        <f t="shared" si="10"/>
        <v>14</v>
      </c>
      <c r="AP12" s="59"/>
      <c r="AQ12" s="59"/>
      <c r="AR12" s="59">
        <v>10750</v>
      </c>
      <c r="AS12" s="60">
        <v>10580</v>
      </c>
      <c r="AT12" s="60">
        <v>10670</v>
      </c>
      <c r="AU12" s="39">
        <v>0.12</v>
      </c>
      <c r="AV12" s="39">
        <v>0.55000000000000004</v>
      </c>
      <c r="AW12" s="39"/>
      <c r="AX12" s="39"/>
      <c r="AY12" s="40"/>
      <c r="AZ12" s="39"/>
      <c r="BA12" s="39">
        <v>0.1</v>
      </c>
      <c r="BB12" s="40"/>
      <c r="BC12" s="40"/>
      <c r="BD12" s="39"/>
      <c r="BE12" s="39"/>
      <c r="BF12" s="47" t="s">
        <v>247</v>
      </c>
      <c r="BG12" s="47" t="s">
        <v>25</v>
      </c>
      <c r="BH12" s="40">
        <f t="shared" si="17"/>
        <v>0.1</v>
      </c>
      <c r="BI12" s="40"/>
      <c r="BJ12" s="39"/>
      <c r="BK12" s="39"/>
      <c r="BL12" s="40">
        <v>0.1</v>
      </c>
      <c r="BM12" s="39"/>
      <c r="BN12" s="29"/>
      <c r="BO12" s="29"/>
      <c r="BP12" s="29">
        <f t="shared" si="7"/>
        <v>1.9999999999996021E-2</v>
      </c>
      <c r="BQ12" s="39">
        <v>0.01</v>
      </c>
      <c r="BR12" s="39">
        <v>0.15</v>
      </c>
      <c r="BS12" s="29">
        <f t="shared" si="8"/>
        <v>0.56610000000000005</v>
      </c>
      <c r="BT12" s="39"/>
      <c r="BU12" s="39"/>
      <c r="BV12" s="39"/>
      <c r="BW12" s="39"/>
      <c r="BX12" s="40">
        <v>0.1</v>
      </c>
      <c r="BY12" s="39"/>
      <c r="BZ12" s="39">
        <f t="shared" si="12"/>
        <v>0</v>
      </c>
      <c r="CA12" s="29">
        <f t="shared" si="9"/>
        <v>2.1339999999999999</v>
      </c>
      <c r="CB12" s="39"/>
      <c r="CC12" s="29"/>
      <c r="CD12" s="29">
        <f t="shared" si="19"/>
        <v>-25.901</v>
      </c>
      <c r="CE12" s="29">
        <f t="shared" si="14"/>
        <v>0.60288407675107814</v>
      </c>
      <c r="CF12" s="29">
        <f t="shared" si="15"/>
        <v>0.60288407675107814</v>
      </c>
      <c r="CG12" s="29">
        <f t="shared" si="16"/>
        <v>1.2057681535021563</v>
      </c>
    </row>
    <row r="13" spans="1:103">
      <c r="A13" s="37" t="s">
        <v>276</v>
      </c>
      <c r="B13" s="47" t="s">
        <v>162</v>
      </c>
      <c r="C13" s="53">
        <v>29.7941</v>
      </c>
      <c r="D13" s="53">
        <v>-90.508899999999997</v>
      </c>
      <c r="E13" s="54">
        <v>740795</v>
      </c>
      <c r="F13" s="54">
        <v>3298575</v>
      </c>
      <c r="G13" s="37" t="s">
        <v>28</v>
      </c>
      <c r="H13" s="55" t="s">
        <v>191</v>
      </c>
      <c r="I13" s="37" t="s">
        <v>132</v>
      </c>
      <c r="J13" s="37" t="s">
        <v>95</v>
      </c>
      <c r="K13" s="42" t="s">
        <v>155</v>
      </c>
      <c r="L13" s="55" t="s">
        <v>22</v>
      </c>
      <c r="M13" s="47"/>
      <c r="N13" s="29">
        <f t="shared" si="0"/>
        <v>9.9999999999980105E-3</v>
      </c>
      <c r="O13" s="39"/>
      <c r="P13" s="39">
        <f t="shared" si="18"/>
        <v>3.9999999999992042E-2</v>
      </c>
      <c r="Q13" s="37" t="s">
        <v>107</v>
      </c>
      <c r="R13" s="37" t="s">
        <v>27</v>
      </c>
      <c r="S13" s="39">
        <f t="shared" si="1"/>
        <v>21.76</v>
      </c>
      <c r="T13" s="39">
        <v>0</v>
      </c>
      <c r="U13" s="30" t="s">
        <v>133</v>
      </c>
      <c r="V13" s="39">
        <v>-0.39</v>
      </c>
      <c r="W13" s="39">
        <v>21.76</v>
      </c>
      <c r="X13" s="41">
        <v>21.77</v>
      </c>
      <c r="Y13" s="41">
        <f t="shared" si="2"/>
        <v>21.765000000000001</v>
      </c>
      <c r="Z13" s="57" t="s">
        <v>100</v>
      </c>
      <c r="AA13" s="41">
        <v>0</v>
      </c>
      <c r="AB13" s="29">
        <f t="shared" si="3"/>
        <v>-22.150000000000002</v>
      </c>
      <c r="AC13" s="29">
        <f t="shared" si="4"/>
        <v>-22.16</v>
      </c>
      <c r="AD13" s="29">
        <f t="shared" si="5"/>
        <v>-22.155000000000001</v>
      </c>
      <c r="AE13" s="30" t="s">
        <v>69</v>
      </c>
      <c r="AF13" s="42" t="s">
        <v>149</v>
      </c>
      <c r="AG13" s="48">
        <v>2</v>
      </c>
      <c r="AH13" s="48">
        <v>8710</v>
      </c>
      <c r="AI13" s="48">
        <v>18</v>
      </c>
      <c r="AJ13" s="58"/>
      <c r="AK13" s="49">
        <v>-18.574999999999999</v>
      </c>
      <c r="AL13" s="48"/>
      <c r="AM13" s="48"/>
      <c r="AN13" s="31">
        <f t="shared" si="6"/>
        <v>8710</v>
      </c>
      <c r="AO13" s="31">
        <f t="shared" si="10"/>
        <v>18</v>
      </c>
      <c r="AP13" s="59"/>
      <c r="AQ13" s="59"/>
      <c r="AR13" s="59">
        <v>9720</v>
      </c>
      <c r="AS13" s="60">
        <v>9550</v>
      </c>
      <c r="AT13" s="60">
        <v>9630</v>
      </c>
      <c r="AU13" s="39">
        <v>0.12</v>
      </c>
      <c r="AV13" s="39">
        <v>0.55000000000000004</v>
      </c>
      <c r="AW13" s="39"/>
      <c r="AX13" s="39"/>
      <c r="AY13" s="40"/>
      <c r="AZ13" s="39"/>
      <c r="BA13" s="39">
        <v>0.1</v>
      </c>
      <c r="BB13" s="40"/>
      <c r="BC13" s="40"/>
      <c r="BD13" s="39"/>
      <c r="BE13" s="39"/>
      <c r="BF13" s="30" t="s">
        <v>23</v>
      </c>
      <c r="BG13" s="47" t="s">
        <v>24</v>
      </c>
      <c r="BH13" s="40">
        <f>(AV13+BA13)/2</f>
        <v>0.32500000000000001</v>
      </c>
      <c r="BI13" s="40">
        <f>AV13-BA13</f>
        <v>0.45000000000000007</v>
      </c>
      <c r="BJ13" s="39">
        <f t="shared" si="11"/>
        <v>0.67500000000000004</v>
      </c>
      <c r="BK13" s="39">
        <f>BI13/2</f>
        <v>0.22500000000000003</v>
      </c>
      <c r="BL13" s="40">
        <v>0.1</v>
      </c>
      <c r="BM13" s="39">
        <f>0.2*BI13</f>
        <v>9.0000000000000024E-2</v>
      </c>
      <c r="BN13" s="29">
        <f>(((BI13-BJ13)^2)^0.5)/2</f>
        <v>0.11249999999999999</v>
      </c>
      <c r="BO13" s="29"/>
      <c r="BP13" s="29">
        <f t="shared" si="7"/>
        <v>1.9999999999996021E-2</v>
      </c>
      <c r="BQ13" s="39">
        <v>0.01</v>
      </c>
      <c r="BR13" s="39">
        <v>0.15</v>
      </c>
      <c r="BS13" s="29">
        <f t="shared" si="8"/>
        <v>0.43530000000000002</v>
      </c>
      <c r="BT13" s="39"/>
      <c r="BU13" s="39"/>
      <c r="BV13" s="39"/>
      <c r="BW13" s="39"/>
      <c r="BX13" s="40">
        <v>0.1</v>
      </c>
      <c r="BY13" s="39"/>
      <c r="BZ13" s="39">
        <f t="shared" si="12"/>
        <v>0</v>
      </c>
      <c r="CA13" s="29">
        <f t="shared" si="9"/>
        <v>1.9260000000000002</v>
      </c>
      <c r="CB13" s="39"/>
      <c r="CC13" s="29">
        <f t="shared" si="13"/>
        <v>-20.554000000000002</v>
      </c>
      <c r="CD13" s="29"/>
      <c r="CE13" s="29">
        <f t="shared" si="14"/>
        <v>0.55124163485716493</v>
      </c>
      <c r="CF13" s="29">
        <f t="shared" si="15"/>
        <v>0.55124163485716493</v>
      </c>
      <c r="CG13" s="29">
        <f t="shared" si="16"/>
        <v>1.1024832697143299</v>
      </c>
    </row>
    <row r="14" spans="1:103" ht="15" customHeight="1">
      <c r="A14" s="37" t="s">
        <v>276</v>
      </c>
      <c r="B14" s="47" t="s">
        <v>161</v>
      </c>
      <c r="C14" s="53">
        <v>29.819299999999998</v>
      </c>
      <c r="D14" s="53">
        <v>-90.462599999999995</v>
      </c>
      <c r="E14" s="54">
        <v>745210</v>
      </c>
      <c r="F14" s="54">
        <v>3301460</v>
      </c>
      <c r="G14" s="37" t="s">
        <v>28</v>
      </c>
      <c r="H14" s="55" t="s">
        <v>191</v>
      </c>
      <c r="I14" s="37" t="s">
        <v>156</v>
      </c>
      <c r="J14" s="37" t="s">
        <v>95</v>
      </c>
      <c r="K14" s="42" t="s">
        <v>157</v>
      </c>
      <c r="L14" s="55" t="s">
        <v>22</v>
      </c>
      <c r="M14" s="47"/>
      <c r="N14" s="29">
        <f t="shared" si="0"/>
        <v>1.0000000000001563E-2</v>
      </c>
      <c r="O14" s="39"/>
      <c r="P14" s="39">
        <f t="shared" si="18"/>
        <v>4.0000000000006253E-2</v>
      </c>
      <c r="Q14" s="37" t="s">
        <v>107</v>
      </c>
      <c r="R14" s="37" t="s">
        <v>158</v>
      </c>
      <c r="S14" s="39">
        <f t="shared" si="1"/>
        <v>22.58</v>
      </c>
      <c r="T14" s="39">
        <v>0.08</v>
      </c>
      <c r="U14" s="30" t="s">
        <v>133</v>
      </c>
      <c r="V14" s="56">
        <v>-0.8</v>
      </c>
      <c r="W14" s="39">
        <v>22.58</v>
      </c>
      <c r="X14" s="41">
        <v>22.59</v>
      </c>
      <c r="Y14" s="41">
        <f t="shared" si="2"/>
        <v>22.585000000000001</v>
      </c>
      <c r="Z14" s="57" t="s">
        <v>100</v>
      </c>
      <c r="AA14" s="41">
        <v>0</v>
      </c>
      <c r="AB14" s="29">
        <f t="shared" si="3"/>
        <v>-23.38</v>
      </c>
      <c r="AC14" s="29">
        <f t="shared" si="4"/>
        <v>-23.39</v>
      </c>
      <c r="AD14" s="29">
        <f t="shared" si="5"/>
        <v>-23.385000000000002</v>
      </c>
      <c r="AE14" s="30" t="s">
        <v>69</v>
      </c>
      <c r="AF14" s="42" t="s">
        <v>159</v>
      </c>
      <c r="AG14" s="48">
        <v>2</v>
      </c>
      <c r="AH14" s="48">
        <v>8845</v>
      </c>
      <c r="AI14" s="48">
        <v>14</v>
      </c>
      <c r="AJ14" s="58"/>
      <c r="AK14" s="49">
        <v>-18.57</v>
      </c>
      <c r="AL14" s="48"/>
      <c r="AM14" s="48"/>
      <c r="AN14" s="31">
        <f t="shared" si="6"/>
        <v>8845</v>
      </c>
      <c r="AO14" s="31">
        <f t="shared" si="10"/>
        <v>14</v>
      </c>
      <c r="AP14" s="59"/>
      <c r="AQ14" s="59"/>
      <c r="AR14" s="59">
        <v>10150</v>
      </c>
      <c r="AS14" s="60">
        <v>9770</v>
      </c>
      <c r="AT14" s="60">
        <v>9970</v>
      </c>
      <c r="AU14" s="39">
        <v>0.12</v>
      </c>
      <c r="AV14" s="39">
        <v>0.55000000000000004</v>
      </c>
      <c r="AW14" s="39"/>
      <c r="AX14" s="39"/>
      <c r="AY14" s="40"/>
      <c r="AZ14" s="39"/>
      <c r="BA14" s="39">
        <v>0.1</v>
      </c>
      <c r="BB14" s="40"/>
      <c r="BC14" s="40"/>
      <c r="BD14" s="39"/>
      <c r="BE14" s="39"/>
      <c r="BF14" s="30" t="s">
        <v>23</v>
      </c>
      <c r="BG14" s="47" t="s">
        <v>24</v>
      </c>
      <c r="BH14" s="40">
        <f>(AV14+BA14)/2</f>
        <v>0.32500000000000001</v>
      </c>
      <c r="BI14" s="40">
        <f>AV14-BA14</f>
        <v>0.45000000000000007</v>
      </c>
      <c r="BJ14" s="39">
        <f t="shared" si="11"/>
        <v>0.67500000000000004</v>
      </c>
      <c r="BK14" s="39">
        <f>BI14/2</f>
        <v>0.22500000000000003</v>
      </c>
      <c r="BL14" s="40">
        <v>0.1</v>
      </c>
      <c r="BM14" s="39">
        <f>0.2*BI14</f>
        <v>9.0000000000000024E-2</v>
      </c>
      <c r="BN14" s="29">
        <f>(((BI14-BJ14)^2)^0.5)/2</f>
        <v>0.11249999999999999</v>
      </c>
      <c r="BO14" s="29"/>
      <c r="BP14" s="29">
        <f t="shared" si="7"/>
        <v>2.0000000000003126E-2</v>
      </c>
      <c r="BQ14" s="39">
        <v>0.01</v>
      </c>
      <c r="BR14" s="39">
        <v>0.15</v>
      </c>
      <c r="BS14" s="29">
        <f t="shared" si="8"/>
        <v>0.45170000000000005</v>
      </c>
      <c r="BT14" s="39"/>
      <c r="BU14" s="39"/>
      <c r="BV14" s="39"/>
      <c r="BW14" s="39"/>
      <c r="BX14" s="40">
        <v>0.1</v>
      </c>
      <c r="BY14" s="39"/>
      <c r="BZ14" s="39">
        <f>IF(S14&gt;18,T14*4,T14*2.5)</f>
        <v>0.32</v>
      </c>
      <c r="CA14" s="29">
        <f t="shared" si="9"/>
        <v>1.994</v>
      </c>
      <c r="CB14" s="39"/>
      <c r="CC14" s="29">
        <f t="shared" si="13"/>
        <v>-21.396000000000001</v>
      </c>
      <c r="CD14" s="29"/>
      <c r="CE14" s="29">
        <f t="shared" si="14"/>
        <v>0.56428196852283008</v>
      </c>
      <c r="CF14" s="29">
        <f t="shared" si="15"/>
        <v>0.56428196852283008</v>
      </c>
      <c r="CG14" s="29">
        <f t="shared" si="16"/>
        <v>1.1285639370456602</v>
      </c>
    </row>
    <row r="15" spans="1:103">
      <c r="A15" s="37" t="s">
        <v>276</v>
      </c>
      <c r="B15" s="47" t="s">
        <v>29</v>
      </c>
      <c r="C15" s="53">
        <v>30.0349</v>
      </c>
      <c r="D15" s="53">
        <v>-90.709299999999999</v>
      </c>
      <c r="E15" s="54">
        <v>720900</v>
      </c>
      <c r="F15" s="54">
        <v>3324660</v>
      </c>
      <c r="G15" s="37" t="s">
        <v>30</v>
      </c>
      <c r="H15" s="55" t="s">
        <v>191</v>
      </c>
      <c r="I15" s="37" t="s">
        <v>165</v>
      </c>
      <c r="J15" s="37" t="s">
        <v>95</v>
      </c>
      <c r="K15" s="42" t="s">
        <v>166</v>
      </c>
      <c r="L15" s="55" t="s">
        <v>22</v>
      </c>
      <c r="M15" s="47" t="s">
        <v>167</v>
      </c>
      <c r="N15" s="29">
        <f t="shared" si="0"/>
        <v>1.9999999999999574E-2</v>
      </c>
      <c r="O15" s="39"/>
      <c r="P15" s="39">
        <f>N15*2.5</f>
        <v>4.9999999999998934E-2</v>
      </c>
      <c r="Q15" s="37" t="s">
        <v>107</v>
      </c>
      <c r="R15" s="37" t="s">
        <v>27</v>
      </c>
      <c r="S15" s="39">
        <f t="shared" si="1"/>
        <v>13.72</v>
      </c>
      <c r="T15" s="39">
        <v>0</v>
      </c>
      <c r="U15" s="30" t="s">
        <v>340</v>
      </c>
      <c r="V15" s="56">
        <v>3.1</v>
      </c>
      <c r="W15" s="39">
        <v>13.72</v>
      </c>
      <c r="X15" s="41">
        <v>13.74</v>
      </c>
      <c r="Y15" s="41">
        <f t="shared" si="2"/>
        <v>13.73</v>
      </c>
      <c r="Z15" s="57" t="s">
        <v>100</v>
      </c>
      <c r="AA15" s="41">
        <v>0</v>
      </c>
      <c r="AB15" s="29">
        <f t="shared" si="3"/>
        <v>-10.620000000000001</v>
      </c>
      <c r="AC15" s="29">
        <f t="shared" si="4"/>
        <v>-10.64</v>
      </c>
      <c r="AD15" s="29">
        <f t="shared" si="5"/>
        <v>-10.63</v>
      </c>
      <c r="AE15" s="30" t="s">
        <v>69</v>
      </c>
      <c r="AF15" s="42" t="s">
        <v>169</v>
      </c>
      <c r="AG15" s="48"/>
      <c r="AH15" s="48">
        <v>6835</v>
      </c>
      <c r="AI15" s="48">
        <v>25</v>
      </c>
      <c r="AJ15" s="58"/>
      <c r="AK15" s="49"/>
      <c r="AL15" s="48"/>
      <c r="AM15" s="48"/>
      <c r="AN15" s="31">
        <f t="shared" si="6"/>
        <v>6835</v>
      </c>
      <c r="AO15" s="31">
        <f t="shared" si="10"/>
        <v>25</v>
      </c>
      <c r="AP15" s="59"/>
      <c r="AQ15" s="59"/>
      <c r="AR15" s="59">
        <v>7730</v>
      </c>
      <c r="AS15" s="60">
        <v>7600</v>
      </c>
      <c r="AT15" s="60">
        <v>7660</v>
      </c>
      <c r="AU15" s="39">
        <v>0.13500000000000001</v>
      </c>
      <c r="AV15" s="39">
        <v>0.56499999999999995</v>
      </c>
      <c r="AW15" s="39"/>
      <c r="AX15" s="39"/>
      <c r="AY15" s="39">
        <v>0.317</v>
      </c>
      <c r="AZ15" s="39">
        <v>0.158</v>
      </c>
      <c r="BA15" s="39">
        <v>0.127</v>
      </c>
      <c r="BB15" s="39">
        <v>0.11600000000000001</v>
      </c>
      <c r="BC15" s="39"/>
      <c r="BD15" s="39">
        <v>-4.2999999999999983E-2</v>
      </c>
      <c r="BE15" s="39"/>
      <c r="BF15" s="30" t="s">
        <v>23</v>
      </c>
      <c r="BG15" s="47" t="s">
        <v>24</v>
      </c>
      <c r="BH15" s="40">
        <f>(AV15+BA15)/2</f>
        <v>0.34599999999999997</v>
      </c>
      <c r="BI15" s="40">
        <f>AV15-BA15</f>
        <v>0.43799999999999994</v>
      </c>
      <c r="BJ15" s="39">
        <f t="shared" si="11"/>
        <v>0.43799999999999994</v>
      </c>
      <c r="BK15" s="39">
        <f>BI15/2</f>
        <v>0.21899999999999997</v>
      </c>
      <c r="BL15" s="40">
        <v>0.1</v>
      </c>
      <c r="BM15" s="39">
        <f>0.2*BI15</f>
        <v>8.7599999999999997E-2</v>
      </c>
      <c r="BN15" s="29">
        <f>(((BI15-BJ15)^2)^0.5)/2</f>
        <v>0</v>
      </c>
      <c r="BO15" s="29"/>
      <c r="BP15" s="29">
        <f t="shared" si="7"/>
        <v>2.4999999999999467E-2</v>
      </c>
      <c r="BQ15" s="39">
        <v>0.01</v>
      </c>
      <c r="BR15" s="39">
        <v>0.15</v>
      </c>
      <c r="BS15" s="29">
        <f t="shared" si="8"/>
        <v>0.27460000000000001</v>
      </c>
      <c r="BT15" s="39"/>
      <c r="BU15" s="39"/>
      <c r="BV15" s="39"/>
      <c r="BW15" s="39"/>
      <c r="BX15" s="40">
        <v>0.3</v>
      </c>
      <c r="BY15" s="39"/>
      <c r="BZ15" s="39">
        <f t="shared" si="12"/>
        <v>0</v>
      </c>
      <c r="CA15" s="29">
        <f t="shared" si="9"/>
        <v>1.532</v>
      </c>
      <c r="CB15" s="39"/>
      <c r="CC15" s="29">
        <f t="shared" si="13"/>
        <v>-9.4440000000000008</v>
      </c>
      <c r="CD15" s="29"/>
      <c r="CE15" s="29">
        <f t="shared" si="14"/>
        <v>0.5042468839764902</v>
      </c>
      <c r="CF15" s="29">
        <f t="shared" si="15"/>
        <v>0.5042468839764902</v>
      </c>
      <c r="CG15" s="29">
        <f t="shared" si="16"/>
        <v>1.0084937679529804</v>
      </c>
      <c r="CW15" s="9"/>
    </row>
    <row r="16" spans="1:103" ht="15.4">
      <c r="A16" s="37" t="s">
        <v>276</v>
      </c>
      <c r="B16" s="47" t="s">
        <v>29</v>
      </c>
      <c r="C16" s="53">
        <v>30.0349</v>
      </c>
      <c r="D16" s="53">
        <v>-90.709299999999999</v>
      </c>
      <c r="E16" s="54">
        <v>720900</v>
      </c>
      <c r="F16" s="54">
        <v>3324660</v>
      </c>
      <c r="G16" s="37" t="s">
        <v>30</v>
      </c>
      <c r="H16" s="55" t="s">
        <v>191</v>
      </c>
      <c r="I16" s="37" t="s">
        <v>171</v>
      </c>
      <c r="J16" s="37" t="s">
        <v>95</v>
      </c>
      <c r="K16" s="42" t="s">
        <v>172</v>
      </c>
      <c r="L16" s="55" t="s">
        <v>22</v>
      </c>
      <c r="M16" s="47" t="s">
        <v>167</v>
      </c>
      <c r="N16" s="29">
        <f>X16-W16</f>
        <v>1.9999999999999574E-2</v>
      </c>
      <c r="O16" s="39"/>
      <c r="P16" s="39">
        <f>N16*2.5</f>
        <v>4.9999999999998934E-2</v>
      </c>
      <c r="Q16" s="37" t="s">
        <v>107</v>
      </c>
      <c r="R16" s="37" t="s">
        <v>158</v>
      </c>
      <c r="S16" s="39">
        <f t="shared" si="1"/>
        <v>13.6</v>
      </c>
      <c r="T16" s="39">
        <v>0.12</v>
      </c>
      <c r="U16" s="30" t="s">
        <v>340</v>
      </c>
      <c r="V16" s="56">
        <v>3.1</v>
      </c>
      <c r="W16" s="39">
        <v>13.6</v>
      </c>
      <c r="X16" s="41">
        <v>13.62</v>
      </c>
      <c r="Y16" s="41">
        <f>(W16+X16)/2</f>
        <v>13.61</v>
      </c>
      <c r="Z16" s="57" t="s">
        <v>100</v>
      </c>
      <c r="AA16" s="41">
        <v>0</v>
      </c>
      <c r="AB16" s="29">
        <f>V16-W16+AA16</f>
        <v>-10.5</v>
      </c>
      <c r="AC16" s="29">
        <f>V16-X16+AA16</f>
        <v>-10.52</v>
      </c>
      <c r="AD16" s="29">
        <f>V16-Y16+AA16</f>
        <v>-10.51</v>
      </c>
      <c r="AE16" s="30" t="s">
        <v>69</v>
      </c>
      <c r="AF16" s="42" t="s">
        <v>174</v>
      </c>
      <c r="AG16" s="48">
        <v>3</v>
      </c>
      <c r="AH16" s="48">
        <v>6837</v>
      </c>
      <c r="AI16" s="48">
        <v>13</v>
      </c>
      <c r="AJ16" s="58"/>
      <c r="AK16" s="49"/>
      <c r="AL16" s="48"/>
      <c r="AM16" s="48"/>
      <c r="AN16" s="31">
        <f>AH16+AL16</f>
        <v>6837</v>
      </c>
      <c r="AO16" s="31">
        <f>(AI16^2+AJ16^2+AM16^2)^0.5</f>
        <v>13</v>
      </c>
      <c r="AP16" s="59"/>
      <c r="AQ16" s="59"/>
      <c r="AR16" s="59">
        <v>7700</v>
      </c>
      <c r="AS16" s="60">
        <v>7610</v>
      </c>
      <c r="AT16" s="60">
        <v>7660</v>
      </c>
      <c r="AU16" s="39">
        <v>0.13500000000000001</v>
      </c>
      <c r="AV16" s="39">
        <v>0.56499999999999995</v>
      </c>
      <c r="AW16" s="39"/>
      <c r="AX16" s="39"/>
      <c r="AY16" s="39">
        <v>0.317</v>
      </c>
      <c r="AZ16" s="39">
        <v>0.158</v>
      </c>
      <c r="BA16" s="39">
        <v>0.127</v>
      </c>
      <c r="BB16" s="39">
        <v>0.11600000000000001</v>
      </c>
      <c r="BC16" s="39"/>
      <c r="BD16" s="39">
        <v>-4.2999999999999983E-2</v>
      </c>
      <c r="BE16" s="39"/>
      <c r="BF16" s="30" t="s">
        <v>23</v>
      </c>
      <c r="BG16" s="47" t="s">
        <v>24</v>
      </c>
      <c r="BH16" s="40">
        <f>(AV16+BA16)/2</f>
        <v>0.34599999999999997</v>
      </c>
      <c r="BI16" s="40">
        <f>AV16-BA16</f>
        <v>0.43799999999999994</v>
      </c>
      <c r="BJ16" s="39">
        <f t="shared" si="11"/>
        <v>0.43799999999999994</v>
      </c>
      <c r="BK16" s="39">
        <f>BI16/2</f>
        <v>0.21899999999999997</v>
      </c>
      <c r="BL16" s="40">
        <v>0.1</v>
      </c>
      <c r="BM16" s="39">
        <f>0.2*BI16</f>
        <v>8.7599999999999997E-2</v>
      </c>
      <c r="BN16" s="29">
        <f>(((BI16-BJ16)^2)^0.5)/2</f>
        <v>0</v>
      </c>
      <c r="BO16" s="29"/>
      <c r="BP16" s="29">
        <f t="shared" si="7"/>
        <v>2.4999999999999467E-2</v>
      </c>
      <c r="BQ16" s="39">
        <v>0.01</v>
      </c>
      <c r="BR16" s="39">
        <v>0.15</v>
      </c>
      <c r="BS16" s="29">
        <f t="shared" si="8"/>
        <v>0.2722</v>
      </c>
      <c r="BT16" s="39"/>
      <c r="BU16" s="39"/>
      <c r="BV16" s="39"/>
      <c r="BW16" s="39"/>
      <c r="BX16" s="40">
        <v>0.3</v>
      </c>
      <c r="BY16" s="39"/>
      <c r="BZ16" s="39">
        <f t="shared" si="12"/>
        <v>0.3</v>
      </c>
      <c r="CA16" s="29">
        <f t="shared" si="9"/>
        <v>1.532</v>
      </c>
      <c r="CB16" s="39"/>
      <c r="CC16" s="29">
        <f t="shared" si="13"/>
        <v>-9.0239999999999991</v>
      </c>
      <c r="CD16" s="29"/>
      <c r="CE16" s="29">
        <f t="shared" si="14"/>
        <v>0.50294393325697839</v>
      </c>
      <c r="CF16" s="29">
        <f t="shared" si="15"/>
        <v>0.50294393325697839</v>
      </c>
      <c r="CG16" s="29">
        <f t="shared" si="16"/>
        <v>1.0058878665139568</v>
      </c>
      <c r="CW16" s="9"/>
    </row>
    <row r="17" spans="1:158">
      <c r="A17" s="37" t="s">
        <v>276</v>
      </c>
      <c r="B17" s="47" t="s">
        <v>29</v>
      </c>
      <c r="C17" s="53">
        <v>30.0349</v>
      </c>
      <c r="D17" s="53">
        <v>-90.709299999999999</v>
      </c>
      <c r="E17" s="54">
        <v>720900</v>
      </c>
      <c r="F17" s="54">
        <v>3324660</v>
      </c>
      <c r="G17" s="37" t="s">
        <v>30</v>
      </c>
      <c r="H17" s="55" t="s">
        <v>191</v>
      </c>
      <c r="I17" s="37" t="s">
        <v>175</v>
      </c>
      <c r="J17" s="37" t="s">
        <v>95</v>
      </c>
      <c r="K17" s="42" t="s">
        <v>166</v>
      </c>
      <c r="L17" s="55" t="s">
        <v>22</v>
      </c>
      <c r="M17" s="47" t="s">
        <v>167</v>
      </c>
      <c r="N17" s="29">
        <f>X17-W17</f>
        <v>1.9999999999999574E-2</v>
      </c>
      <c r="O17" s="39"/>
      <c r="P17" s="39">
        <f>N17*2.5</f>
        <v>4.9999999999998934E-2</v>
      </c>
      <c r="Q17" s="37" t="s">
        <v>107</v>
      </c>
      <c r="R17" s="37" t="s">
        <v>158</v>
      </c>
      <c r="S17" s="39">
        <f>W17</f>
        <v>13.5</v>
      </c>
      <c r="T17" s="39">
        <v>0.22</v>
      </c>
      <c r="U17" s="30" t="s">
        <v>340</v>
      </c>
      <c r="V17" s="56">
        <v>3.1</v>
      </c>
      <c r="W17" s="39">
        <v>13.5</v>
      </c>
      <c r="X17" s="41">
        <v>13.52</v>
      </c>
      <c r="Y17" s="41">
        <f>(W17+X17)/2</f>
        <v>13.51</v>
      </c>
      <c r="Z17" s="57" t="s">
        <v>100</v>
      </c>
      <c r="AA17" s="41">
        <v>0</v>
      </c>
      <c r="AB17" s="29">
        <f>V17-W17+AA17</f>
        <v>-10.4</v>
      </c>
      <c r="AC17" s="29">
        <f>V17-X17+AA17</f>
        <v>-10.42</v>
      </c>
      <c r="AD17" s="29">
        <f>V17-Y17+AA17</f>
        <v>-10.41</v>
      </c>
      <c r="AE17" s="30" t="s">
        <v>69</v>
      </c>
      <c r="AF17" s="42" t="s">
        <v>176</v>
      </c>
      <c r="AG17" s="48"/>
      <c r="AH17" s="48">
        <v>6680</v>
      </c>
      <c r="AI17" s="48">
        <v>20</v>
      </c>
      <c r="AJ17" s="58"/>
      <c r="AK17" s="49"/>
      <c r="AL17" s="48"/>
      <c r="AM17" s="48"/>
      <c r="AN17" s="31">
        <f>AH17+AL17</f>
        <v>6680</v>
      </c>
      <c r="AO17" s="31">
        <f>(AI17^2+AJ17^2+AM17^2)^0.5</f>
        <v>20</v>
      </c>
      <c r="AP17" s="59"/>
      <c r="AQ17" s="59"/>
      <c r="AR17" s="59">
        <v>7600</v>
      </c>
      <c r="AS17" s="60">
        <v>7500</v>
      </c>
      <c r="AT17" s="60">
        <v>7540</v>
      </c>
      <c r="AU17" s="39">
        <v>0.13500000000000001</v>
      </c>
      <c r="AV17" s="39">
        <v>0.56499999999999995</v>
      </c>
      <c r="AW17" s="39"/>
      <c r="AX17" s="39"/>
      <c r="AY17" s="39">
        <v>0.317</v>
      </c>
      <c r="AZ17" s="39">
        <v>0.158</v>
      </c>
      <c r="BA17" s="39">
        <v>0.127</v>
      </c>
      <c r="BB17" s="39">
        <v>0.11700000000000001</v>
      </c>
      <c r="BC17" s="39"/>
      <c r="BD17" s="39">
        <v>-4.2999999999999983E-2</v>
      </c>
      <c r="BE17" s="39"/>
      <c r="BF17" s="30" t="s">
        <v>23</v>
      </c>
      <c r="BG17" s="47" t="s">
        <v>24</v>
      </c>
      <c r="BH17" s="40">
        <f>(AV17+BA17)/2</f>
        <v>0.34599999999999997</v>
      </c>
      <c r="BI17" s="40">
        <f>AV17-BA17</f>
        <v>0.43799999999999994</v>
      </c>
      <c r="BJ17" s="39">
        <f t="shared" si="11"/>
        <v>0.43799999999999994</v>
      </c>
      <c r="BK17" s="39">
        <f>BI17/2</f>
        <v>0.21899999999999997</v>
      </c>
      <c r="BL17" s="40">
        <v>0.1</v>
      </c>
      <c r="BM17" s="39">
        <f>0.2*BI17</f>
        <v>8.7599999999999997E-2</v>
      </c>
      <c r="BN17" s="29">
        <f>(((BI17-BJ17)^2)^0.5)/2</f>
        <v>0</v>
      </c>
      <c r="BO17" s="29"/>
      <c r="BP17" s="29">
        <f t="shared" si="7"/>
        <v>2.4999999999999467E-2</v>
      </c>
      <c r="BQ17" s="39">
        <v>0.01</v>
      </c>
      <c r="BR17" s="39">
        <v>0.15</v>
      </c>
      <c r="BS17" s="29">
        <f t="shared" si="8"/>
        <v>0.2702</v>
      </c>
      <c r="BT17" s="39"/>
      <c r="BU17" s="39"/>
      <c r="BV17" s="39"/>
      <c r="BW17" s="39"/>
      <c r="BX17" s="40">
        <v>0.3</v>
      </c>
      <c r="BY17" s="39"/>
      <c r="BZ17" s="39">
        <f t="shared" si="12"/>
        <v>0.55000000000000004</v>
      </c>
      <c r="CA17" s="29">
        <f t="shared" si="9"/>
        <v>1.508</v>
      </c>
      <c r="CB17" s="39"/>
      <c r="CC17" s="29">
        <f t="shared" si="13"/>
        <v>-8.6980000000000004</v>
      </c>
      <c r="CD17" s="29"/>
      <c r="CE17" s="29">
        <f t="shared" si="14"/>
        <v>0.50186432429492334</v>
      </c>
      <c r="CF17" s="29">
        <f t="shared" si="15"/>
        <v>0.50186432429492334</v>
      </c>
      <c r="CG17" s="29">
        <f t="shared" si="16"/>
        <v>1.0037286485898467</v>
      </c>
      <c r="CW17" s="9"/>
    </row>
    <row r="18" spans="1:158" ht="15" customHeight="1">
      <c r="A18" s="37" t="s">
        <v>276</v>
      </c>
      <c r="B18" s="37" t="s">
        <v>29</v>
      </c>
      <c r="C18" s="53">
        <v>30.064</v>
      </c>
      <c r="D18" s="53">
        <v>-90.683000000000007</v>
      </c>
      <c r="E18" s="58">
        <v>723370</v>
      </c>
      <c r="F18" s="58">
        <v>3327940</v>
      </c>
      <c r="G18" s="37" t="s">
        <v>30</v>
      </c>
      <c r="H18" s="37" t="s">
        <v>279</v>
      </c>
      <c r="I18" s="37" t="s">
        <v>31</v>
      </c>
      <c r="J18" s="37" t="s">
        <v>41</v>
      </c>
      <c r="K18" s="37" t="s">
        <v>44</v>
      </c>
      <c r="L18" s="37" t="s">
        <v>50</v>
      </c>
      <c r="M18" s="47"/>
      <c r="N18" s="29">
        <f t="shared" ref="N18:N27" si="20">X18-W18</f>
        <v>3.0000000000000249E-2</v>
      </c>
      <c r="O18" s="39"/>
      <c r="P18" s="39">
        <f t="shared" ref="P18:P27" si="21">N18*2.5</f>
        <v>7.5000000000000622E-2</v>
      </c>
      <c r="Q18" s="37" t="s">
        <v>108</v>
      </c>
      <c r="R18" s="37" t="s">
        <v>27</v>
      </c>
      <c r="S18" s="39">
        <f t="shared" ref="S18:S27" si="22">W18</f>
        <v>7.84</v>
      </c>
      <c r="T18" s="40">
        <v>0</v>
      </c>
      <c r="U18" s="30" t="s">
        <v>111</v>
      </c>
      <c r="V18" s="39">
        <v>1.89</v>
      </c>
      <c r="W18" s="39">
        <v>7.84</v>
      </c>
      <c r="X18" s="41">
        <v>7.87</v>
      </c>
      <c r="Y18" s="41">
        <f t="shared" ref="Y18:Y27" si="23">(W18+X18)/2</f>
        <v>7.8550000000000004</v>
      </c>
      <c r="Z18" s="57" t="s">
        <v>100</v>
      </c>
      <c r="AA18" s="41">
        <v>0</v>
      </c>
      <c r="AB18" s="29">
        <f t="shared" ref="AB18:AB27" si="24">V18-W18+AA18</f>
        <v>-5.95</v>
      </c>
      <c r="AC18" s="29">
        <f t="shared" ref="AC18:AC27" si="25">V18-X18+AA18</f>
        <v>-5.98</v>
      </c>
      <c r="AD18" s="29">
        <f t="shared" ref="AD18:AD27" si="26">V18-Y18+AA18</f>
        <v>-5.9650000000000007</v>
      </c>
      <c r="AE18" s="30" t="s">
        <v>69</v>
      </c>
      <c r="AF18" s="37" t="s">
        <v>52</v>
      </c>
      <c r="AG18" s="58"/>
      <c r="AH18" s="58">
        <v>5795</v>
      </c>
      <c r="AI18" s="58">
        <v>46</v>
      </c>
      <c r="AJ18" s="58"/>
      <c r="AK18" s="61">
        <v>-19.100000000000001</v>
      </c>
      <c r="AL18" s="58"/>
      <c r="AM18" s="58"/>
      <c r="AN18" s="31">
        <f t="shared" ref="AN18:AN27" si="27">AH18+AL18</f>
        <v>5795</v>
      </c>
      <c r="AO18" s="31">
        <f t="shared" ref="AO18:AO27" si="28">(AI18^2+AJ18^2+AM18^2)^0.5</f>
        <v>46</v>
      </c>
      <c r="AP18" s="58"/>
      <c r="AQ18" s="59"/>
      <c r="AR18" s="62">
        <v>6720</v>
      </c>
      <c r="AS18" s="62">
        <v>6480</v>
      </c>
      <c r="AT18" s="62">
        <v>6590</v>
      </c>
      <c r="AU18" s="39">
        <v>0.13400000000000001</v>
      </c>
      <c r="AV18" s="39">
        <v>0.56299999999999994</v>
      </c>
      <c r="AW18" s="39"/>
      <c r="AX18" s="39"/>
      <c r="AY18" s="39">
        <v>0.316</v>
      </c>
      <c r="AZ18" s="39">
        <v>0.157</v>
      </c>
      <c r="BA18" s="39">
        <v>0.126</v>
      </c>
      <c r="BB18" s="39">
        <v>0.11600000000000001</v>
      </c>
      <c r="BC18" s="39"/>
      <c r="BD18" s="39">
        <v>-4.3999999999999984E-2</v>
      </c>
      <c r="BE18" s="39"/>
      <c r="BF18" s="30" t="s">
        <v>23</v>
      </c>
      <c r="BG18" s="47" t="s">
        <v>24</v>
      </c>
      <c r="BH18" s="40">
        <f t="shared" ref="BH18:BH29" si="29">(AV18+BA18)/2</f>
        <v>0.34449999999999997</v>
      </c>
      <c r="BI18" s="40">
        <f t="shared" ref="BI18:BI29" si="30">AV18-BA18</f>
        <v>0.43699999999999994</v>
      </c>
      <c r="BJ18" s="39">
        <f>IF(AR18&gt;8000,1.5*BI18,BI18)</f>
        <v>0.43699999999999994</v>
      </c>
      <c r="BK18" s="39">
        <f t="shared" ref="BK18:BK27" si="31">BI18/2</f>
        <v>0.21849999999999997</v>
      </c>
      <c r="BL18" s="40">
        <v>0.1</v>
      </c>
      <c r="BM18" s="39">
        <f t="shared" ref="BM18:BM27" si="32">0.2*BI18</f>
        <v>8.7399999999999992E-2</v>
      </c>
      <c r="BN18" s="29">
        <f t="shared" ref="BN18:BN27" si="33">(((BI18-BJ18)^2)^0.5)/2</f>
        <v>0</v>
      </c>
      <c r="BO18" s="29"/>
      <c r="BP18" s="29">
        <f t="shared" si="7"/>
        <v>3.7500000000000311E-2</v>
      </c>
      <c r="BQ18" s="29">
        <v>0.01</v>
      </c>
      <c r="BR18" s="39">
        <v>0.05</v>
      </c>
      <c r="BS18" s="29">
        <f t="shared" si="8"/>
        <v>0.15710000000000002</v>
      </c>
      <c r="BT18" s="39"/>
      <c r="BU18" s="39"/>
      <c r="BV18" s="39"/>
      <c r="BW18" s="40">
        <v>0.03</v>
      </c>
      <c r="BX18" s="40">
        <v>0.04</v>
      </c>
      <c r="BY18" s="29">
        <v>0.1</v>
      </c>
      <c r="BZ18" s="39">
        <f t="shared" si="12"/>
        <v>0</v>
      </c>
      <c r="CA18" s="29">
        <f t="shared" si="9"/>
        <v>1.3180000000000001</v>
      </c>
      <c r="CB18" s="29"/>
      <c r="CC18" s="29">
        <f t="shared" si="13"/>
        <v>-4.9915000000000003</v>
      </c>
      <c r="CD18" s="29"/>
      <c r="CE18" s="29">
        <f t="shared" si="14"/>
        <v>0.32644704011523834</v>
      </c>
      <c r="CF18" s="29">
        <f t="shared" si="15"/>
        <v>0.32644704011523834</v>
      </c>
      <c r="CG18" s="29">
        <f t="shared" si="16"/>
        <v>0.65289408023047668</v>
      </c>
      <c r="CH18" s="1"/>
      <c r="CK18" s="1"/>
      <c r="CL18" s="1"/>
      <c r="CM18" s="1"/>
      <c r="CN18" s="1"/>
      <c r="CO18" s="1"/>
    </row>
    <row r="19" spans="1:158" ht="15" customHeight="1">
      <c r="A19" s="37" t="s">
        <v>276</v>
      </c>
      <c r="B19" s="37" t="s">
        <v>29</v>
      </c>
      <c r="C19" s="53">
        <v>30.064699999999998</v>
      </c>
      <c r="D19" s="53">
        <v>-90.683199999999999</v>
      </c>
      <c r="E19" s="58">
        <v>723350</v>
      </c>
      <c r="F19" s="58">
        <v>3328020</v>
      </c>
      <c r="G19" s="37" t="s">
        <v>30</v>
      </c>
      <c r="H19" s="37" t="s">
        <v>279</v>
      </c>
      <c r="I19" s="37" t="s">
        <v>32</v>
      </c>
      <c r="J19" s="37" t="s">
        <v>41</v>
      </c>
      <c r="K19" s="37" t="s">
        <v>102</v>
      </c>
      <c r="L19" s="37" t="s">
        <v>26</v>
      </c>
      <c r="M19" s="47"/>
      <c r="N19" s="29">
        <f t="shared" si="20"/>
        <v>4.0000000000000036E-2</v>
      </c>
      <c r="O19" s="39"/>
      <c r="P19" s="39">
        <f t="shared" si="21"/>
        <v>0.10000000000000009</v>
      </c>
      <c r="Q19" s="37" t="s">
        <v>108</v>
      </c>
      <c r="R19" s="37" t="s">
        <v>27</v>
      </c>
      <c r="S19" s="39">
        <f t="shared" si="22"/>
        <v>7.95</v>
      </c>
      <c r="T19" s="40">
        <v>0</v>
      </c>
      <c r="U19" s="30" t="s">
        <v>111</v>
      </c>
      <c r="V19" s="39">
        <v>1.82</v>
      </c>
      <c r="W19" s="39">
        <v>7.95</v>
      </c>
      <c r="X19" s="41">
        <v>7.99</v>
      </c>
      <c r="Y19" s="41">
        <f t="shared" si="23"/>
        <v>7.9700000000000006</v>
      </c>
      <c r="Z19" s="57" t="s">
        <v>100</v>
      </c>
      <c r="AA19" s="41">
        <v>0</v>
      </c>
      <c r="AB19" s="29">
        <f t="shared" si="24"/>
        <v>-6.13</v>
      </c>
      <c r="AC19" s="29">
        <f t="shared" si="25"/>
        <v>-6.17</v>
      </c>
      <c r="AD19" s="29">
        <f t="shared" si="26"/>
        <v>-6.15</v>
      </c>
      <c r="AE19" s="30" t="s">
        <v>69</v>
      </c>
      <c r="AF19" s="37" t="s">
        <v>53</v>
      </c>
      <c r="AG19" s="58">
        <v>2</v>
      </c>
      <c r="AH19" s="58">
        <v>5915</v>
      </c>
      <c r="AI19" s="58">
        <v>30</v>
      </c>
      <c r="AJ19" s="58"/>
      <c r="AK19" s="61" t="s">
        <v>54</v>
      </c>
      <c r="AL19" s="58"/>
      <c r="AM19" s="58"/>
      <c r="AN19" s="31">
        <f t="shared" si="27"/>
        <v>5915</v>
      </c>
      <c r="AO19" s="31">
        <f t="shared" si="28"/>
        <v>30</v>
      </c>
      <c r="AP19" s="58"/>
      <c r="AQ19" s="59"/>
      <c r="AR19" s="62">
        <v>6800</v>
      </c>
      <c r="AS19" s="62">
        <v>6660</v>
      </c>
      <c r="AT19" s="62">
        <v>6730</v>
      </c>
      <c r="AU19" s="39">
        <v>0.13400000000000001</v>
      </c>
      <c r="AV19" s="39">
        <v>0.56299999999999994</v>
      </c>
      <c r="AW19" s="39"/>
      <c r="AX19" s="39"/>
      <c r="AY19" s="39">
        <v>0.316</v>
      </c>
      <c r="AZ19" s="39">
        <v>0.157</v>
      </c>
      <c r="BA19" s="39">
        <v>0.126</v>
      </c>
      <c r="BB19" s="39">
        <v>0.11600000000000001</v>
      </c>
      <c r="BC19" s="39"/>
      <c r="BD19" s="39">
        <v>-4.3999999999999984E-2</v>
      </c>
      <c r="BE19" s="39"/>
      <c r="BF19" s="30" t="s">
        <v>23</v>
      </c>
      <c r="BG19" s="47" t="s">
        <v>24</v>
      </c>
      <c r="BH19" s="40">
        <f t="shared" si="29"/>
        <v>0.34449999999999997</v>
      </c>
      <c r="BI19" s="40">
        <f t="shared" si="30"/>
        <v>0.43699999999999994</v>
      </c>
      <c r="BJ19" s="39">
        <f t="shared" si="11"/>
        <v>0.43699999999999994</v>
      </c>
      <c r="BK19" s="39">
        <f t="shared" si="31"/>
        <v>0.21849999999999997</v>
      </c>
      <c r="BL19" s="40">
        <v>0.1</v>
      </c>
      <c r="BM19" s="39">
        <f t="shared" si="32"/>
        <v>8.7399999999999992E-2</v>
      </c>
      <c r="BN19" s="29">
        <f t="shared" si="33"/>
        <v>0</v>
      </c>
      <c r="BO19" s="29"/>
      <c r="BP19" s="29">
        <f t="shared" si="7"/>
        <v>5.0000000000000044E-2</v>
      </c>
      <c r="BQ19" s="29">
        <v>0.01</v>
      </c>
      <c r="BR19" s="39">
        <v>0.05</v>
      </c>
      <c r="BS19" s="29">
        <f t="shared" si="8"/>
        <v>0.15940000000000001</v>
      </c>
      <c r="BT19" s="39"/>
      <c r="BU19" s="39"/>
      <c r="BV19" s="39"/>
      <c r="BW19" s="40">
        <v>0.03</v>
      </c>
      <c r="BX19" s="40">
        <v>0.04</v>
      </c>
      <c r="BY19" s="29">
        <v>0.1</v>
      </c>
      <c r="BZ19" s="39">
        <f t="shared" si="12"/>
        <v>0</v>
      </c>
      <c r="CA19" s="29">
        <f t="shared" si="9"/>
        <v>1.3460000000000001</v>
      </c>
      <c r="CB19" s="29"/>
      <c r="CC19" s="29">
        <f t="shared" si="13"/>
        <v>-5.1485000000000003</v>
      </c>
      <c r="CD19" s="29"/>
      <c r="CE19" s="29">
        <f t="shared" si="14"/>
        <v>0.32922540910446146</v>
      </c>
      <c r="CF19" s="29">
        <f t="shared" si="15"/>
        <v>0.32922540910446146</v>
      </c>
      <c r="CG19" s="29">
        <f t="shared" si="16"/>
        <v>0.65845081820892293</v>
      </c>
      <c r="CH19" s="1"/>
      <c r="CK19" s="1"/>
      <c r="CL19" s="1"/>
      <c r="CM19" s="1"/>
      <c r="CN19" s="1"/>
      <c r="CO19" s="1"/>
    </row>
    <row r="20" spans="1:158" ht="15" customHeight="1">
      <c r="A20" s="37" t="s">
        <v>276</v>
      </c>
      <c r="B20" s="37" t="s">
        <v>29</v>
      </c>
      <c r="C20" s="53">
        <v>30.067699999999999</v>
      </c>
      <c r="D20" s="53">
        <v>-90.684100000000001</v>
      </c>
      <c r="E20" s="58">
        <v>723260</v>
      </c>
      <c r="F20" s="58">
        <v>3328350</v>
      </c>
      <c r="G20" s="37" t="s">
        <v>30</v>
      </c>
      <c r="H20" s="37" t="s">
        <v>279</v>
      </c>
      <c r="I20" s="37" t="s">
        <v>33</v>
      </c>
      <c r="J20" s="37" t="s">
        <v>41</v>
      </c>
      <c r="K20" s="37" t="s">
        <v>45</v>
      </c>
      <c r="L20" s="37" t="s">
        <v>26</v>
      </c>
      <c r="M20" s="47"/>
      <c r="N20" s="29">
        <f t="shared" si="20"/>
        <v>4.0000000000000036E-2</v>
      </c>
      <c r="O20" s="39"/>
      <c r="P20" s="39">
        <f t="shared" si="21"/>
        <v>0.10000000000000009</v>
      </c>
      <c r="Q20" s="37" t="s">
        <v>108</v>
      </c>
      <c r="R20" s="37" t="s">
        <v>27</v>
      </c>
      <c r="S20" s="39">
        <f t="shared" si="22"/>
        <v>7.86</v>
      </c>
      <c r="T20" s="40">
        <v>0</v>
      </c>
      <c r="U20" s="30" t="s">
        <v>111</v>
      </c>
      <c r="V20" s="39">
        <v>1.63</v>
      </c>
      <c r="W20" s="39">
        <v>7.86</v>
      </c>
      <c r="X20" s="41">
        <v>7.9</v>
      </c>
      <c r="Y20" s="41">
        <f t="shared" si="23"/>
        <v>7.8800000000000008</v>
      </c>
      <c r="Z20" s="57" t="s">
        <v>100</v>
      </c>
      <c r="AA20" s="41">
        <v>0</v>
      </c>
      <c r="AB20" s="29">
        <f t="shared" si="24"/>
        <v>-6.23</v>
      </c>
      <c r="AC20" s="29">
        <f t="shared" si="25"/>
        <v>-6.2700000000000005</v>
      </c>
      <c r="AD20" s="29">
        <f t="shared" si="26"/>
        <v>-6.2500000000000009</v>
      </c>
      <c r="AE20" s="30" t="s">
        <v>69</v>
      </c>
      <c r="AF20" s="37" t="s">
        <v>55</v>
      </c>
      <c r="AG20" s="58"/>
      <c r="AH20" s="58">
        <v>5980</v>
      </c>
      <c r="AI20" s="58">
        <v>70</v>
      </c>
      <c r="AJ20" s="58"/>
      <c r="AK20" s="61">
        <v>-16.3</v>
      </c>
      <c r="AL20" s="58"/>
      <c r="AM20" s="58"/>
      <c r="AN20" s="31">
        <f t="shared" si="27"/>
        <v>5980</v>
      </c>
      <c r="AO20" s="31">
        <f t="shared" si="28"/>
        <v>70</v>
      </c>
      <c r="AP20" s="58"/>
      <c r="AQ20" s="59"/>
      <c r="AR20" s="62">
        <v>7000</v>
      </c>
      <c r="AS20" s="62">
        <v>6660</v>
      </c>
      <c r="AT20" s="62">
        <v>6820</v>
      </c>
      <c r="AU20" s="39">
        <v>0.13500000000000001</v>
      </c>
      <c r="AV20" s="39">
        <v>0.56400000000000006</v>
      </c>
      <c r="AW20" s="39"/>
      <c r="AX20" s="39"/>
      <c r="AY20" s="39">
        <v>0.317</v>
      </c>
      <c r="AZ20" s="39">
        <v>0.158</v>
      </c>
      <c r="BA20" s="39">
        <v>0.127</v>
      </c>
      <c r="BB20" s="39">
        <v>0.11700000000000001</v>
      </c>
      <c r="BC20" s="39"/>
      <c r="BD20" s="39">
        <v>-4.2999999999999983E-2</v>
      </c>
      <c r="BE20" s="39"/>
      <c r="BF20" s="30" t="s">
        <v>23</v>
      </c>
      <c r="BG20" s="47" t="s">
        <v>24</v>
      </c>
      <c r="BH20" s="40">
        <f t="shared" si="29"/>
        <v>0.34550000000000003</v>
      </c>
      <c r="BI20" s="40">
        <f t="shared" si="30"/>
        <v>0.43700000000000006</v>
      </c>
      <c r="BJ20" s="39">
        <f t="shared" si="11"/>
        <v>0.43700000000000006</v>
      </c>
      <c r="BK20" s="39">
        <f t="shared" si="31"/>
        <v>0.21850000000000003</v>
      </c>
      <c r="BL20" s="40">
        <v>0.1</v>
      </c>
      <c r="BM20" s="39">
        <f t="shared" si="32"/>
        <v>8.7400000000000019E-2</v>
      </c>
      <c r="BN20" s="29">
        <f t="shared" si="33"/>
        <v>0</v>
      </c>
      <c r="BO20" s="29"/>
      <c r="BP20" s="29">
        <f t="shared" si="7"/>
        <v>5.0000000000000044E-2</v>
      </c>
      <c r="BQ20" s="29">
        <v>0.01</v>
      </c>
      <c r="BR20" s="39">
        <v>0.05</v>
      </c>
      <c r="BS20" s="29">
        <f t="shared" si="8"/>
        <v>0.15760000000000002</v>
      </c>
      <c r="BT20" s="39"/>
      <c r="BU20" s="39"/>
      <c r="BV20" s="39"/>
      <c r="BW20" s="40">
        <v>0.03</v>
      </c>
      <c r="BX20" s="40">
        <v>0.04</v>
      </c>
      <c r="BY20" s="29">
        <v>0.1</v>
      </c>
      <c r="BZ20" s="39">
        <f t="shared" si="12"/>
        <v>0</v>
      </c>
      <c r="CA20" s="29">
        <f t="shared" si="9"/>
        <v>1.3640000000000001</v>
      </c>
      <c r="CB20" s="29"/>
      <c r="CC20" s="29">
        <f t="shared" si="13"/>
        <v>-5.2315000000000014</v>
      </c>
      <c r="CD20" s="29"/>
      <c r="CE20" s="29">
        <f t="shared" si="14"/>
        <v>0.32835768606810478</v>
      </c>
      <c r="CF20" s="29">
        <f t="shared" si="15"/>
        <v>0.32835768606810478</v>
      </c>
      <c r="CG20" s="29">
        <f t="shared" si="16"/>
        <v>0.65671537213620956</v>
      </c>
      <c r="CH20" s="1"/>
      <c r="CJ20" s="1"/>
      <c r="CK20" s="1"/>
      <c r="CL20" s="1"/>
      <c r="CM20" s="1"/>
      <c r="CN20" s="1"/>
      <c r="CO20" s="1"/>
    </row>
    <row r="21" spans="1:158" ht="15" customHeight="1">
      <c r="A21" s="37" t="s">
        <v>276</v>
      </c>
      <c r="B21" s="37" t="s">
        <v>29</v>
      </c>
      <c r="C21" s="53">
        <v>30.067399999999999</v>
      </c>
      <c r="D21" s="53">
        <v>-90.683999999999997</v>
      </c>
      <c r="E21" s="58">
        <v>723270</v>
      </c>
      <c r="F21" s="58">
        <v>3328310</v>
      </c>
      <c r="G21" s="37" t="s">
        <v>30</v>
      </c>
      <c r="H21" s="37" t="s">
        <v>279</v>
      </c>
      <c r="I21" s="37" t="s">
        <v>34</v>
      </c>
      <c r="J21" s="37" t="s">
        <v>21</v>
      </c>
      <c r="K21" s="37" t="s">
        <v>103</v>
      </c>
      <c r="L21" s="37" t="s">
        <v>22</v>
      </c>
      <c r="M21" s="47"/>
      <c r="N21" s="29">
        <f t="shared" si="20"/>
        <v>3.0000000000001137E-2</v>
      </c>
      <c r="O21" s="39"/>
      <c r="P21" s="39">
        <f t="shared" si="21"/>
        <v>7.5000000000002842E-2</v>
      </c>
      <c r="Q21" s="37" t="s">
        <v>108</v>
      </c>
      <c r="R21" s="37" t="s">
        <v>27</v>
      </c>
      <c r="S21" s="39">
        <f t="shared" si="22"/>
        <v>8.11</v>
      </c>
      <c r="T21" s="40">
        <v>0</v>
      </c>
      <c r="U21" s="30" t="s">
        <v>111</v>
      </c>
      <c r="V21" s="39">
        <v>1.6</v>
      </c>
      <c r="W21" s="39">
        <v>8.11</v>
      </c>
      <c r="X21" s="41">
        <v>8.14</v>
      </c>
      <c r="Y21" s="41">
        <f t="shared" si="23"/>
        <v>8.125</v>
      </c>
      <c r="Z21" s="57" t="s">
        <v>100</v>
      </c>
      <c r="AA21" s="41">
        <v>0</v>
      </c>
      <c r="AB21" s="29">
        <f t="shared" si="24"/>
        <v>-6.51</v>
      </c>
      <c r="AC21" s="29">
        <f t="shared" si="25"/>
        <v>-6.5400000000000009</v>
      </c>
      <c r="AD21" s="29">
        <f t="shared" si="26"/>
        <v>-6.5250000000000004</v>
      </c>
      <c r="AE21" s="30" t="s">
        <v>69</v>
      </c>
      <c r="AF21" s="37" t="s">
        <v>56</v>
      </c>
      <c r="AG21" s="58"/>
      <c r="AH21" s="58">
        <v>6002</v>
      </c>
      <c r="AI21" s="58">
        <v>48</v>
      </c>
      <c r="AJ21" s="58"/>
      <c r="AK21" s="61">
        <v>-27.8</v>
      </c>
      <c r="AL21" s="58"/>
      <c r="AM21" s="58"/>
      <c r="AN21" s="31">
        <f t="shared" si="27"/>
        <v>6002</v>
      </c>
      <c r="AO21" s="31">
        <f t="shared" si="28"/>
        <v>48</v>
      </c>
      <c r="AP21" s="58"/>
      <c r="AQ21" s="59"/>
      <c r="AR21" s="62">
        <v>6980</v>
      </c>
      <c r="AS21" s="62">
        <v>6720</v>
      </c>
      <c r="AT21" s="62">
        <v>6840</v>
      </c>
      <c r="AU21" s="39">
        <v>0.13400000000000001</v>
      </c>
      <c r="AV21" s="39">
        <v>0.56299999999999994</v>
      </c>
      <c r="AW21" s="39"/>
      <c r="AX21" s="39"/>
      <c r="AY21" s="39">
        <v>0.316</v>
      </c>
      <c r="AZ21" s="39">
        <v>0.157</v>
      </c>
      <c r="BA21" s="39">
        <v>0.126</v>
      </c>
      <c r="BB21" s="39">
        <v>0.11600000000000001</v>
      </c>
      <c r="BC21" s="39"/>
      <c r="BD21" s="39">
        <v>-4.3999999999999984E-2</v>
      </c>
      <c r="BE21" s="39"/>
      <c r="BF21" s="30" t="s">
        <v>23</v>
      </c>
      <c r="BG21" s="47" t="s">
        <v>24</v>
      </c>
      <c r="BH21" s="40">
        <f t="shared" si="29"/>
        <v>0.34449999999999997</v>
      </c>
      <c r="BI21" s="40">
        <f t="shared" si="30"/>
        <v>0.43699999999999994</v>
      </c>
      <c r="BJ21" s="39">
        <f t="shared" si="11"/>
        <v>0.43699999999999994</v>
      </c>
      <c r="BK21" s="39">
        <f t="shared" si="31"/>
        <v>0.21849999999999997</v>
      </c>
      <c r="BL21" s="40">
        <v>0.1</v>
      </c>
      <c r="BM21" s="39">
        <f t="shared" si="32"/>
        <v>8.7399999999999992E-2</v>
      </c>
      <c r="BN21" s="29">
        <f t="shared" si="33"/>
        <v>0</v>
      </c>
      <c r="BO21" s="29"/>
      <c r="BP21" s="29">
        <f t="shared" si="7"/>
        <v>3.7500000000001421E-2</v>
      </c>
      <c r="BQ21" s="29">
        <v>0.01</v>
      </c>
      <c r="BR21" s="39">
        <v>0.05</v>
      </c>
      <c r="BS21" s="29">
        <f t="shared" si="8"/>
        <v>0.16250000000000001</v>
      </c>
      <c r="BT21" s="39"/>
      <c r="BU21" s="39"/>
      <c r="BV21" s="39"/>
      <c r="BW21" s="40">
        <v>0.03</v>
      </c>
      <c r="BX21" s="40">
        <v>0.04</v>
      </c>
      <c r="BY21" s="29">
        <v>0.1</v>
      </c>
      <c r="BZ21" s="39">
        <f t="shared" si="12"/>
        <v>0</v>
      </c>
      <c r="CA21" s="29">
        <f t="shared" si="9"/>
        <v>1.3680000000000001</v>
      </c>
      <c r="CB21" s="29"/>
      <c r="CC21" s="29">
        <f t="shared" si="13"/>
        <v>-5.5015000000000001</v>
      </c>
      <c r="CD21" s="29"/>
      <c r="CE21" s="29">
        <f t="shared" si="14"/>
        <v>0.32907979275549587</v>
      </c>
      <c r="CF21" s="29">
        <f t="shared" si="15"/>
        <v>0.32907979275549587</v>
      </c>
      <c r="CG21" s="29">
        <f t="shared" si="16"/>
        <v>0.65815958551099174</v>
      </c>
      <c r="CH21" s="1"/>
      <c r="CJ21" s="1"/>
      <c r="CK21" s="1"/>
      <c r="CL21" s="1"/>
      <c r="CM21" s="1"/>
      <c r="CN21" s="1"/>
      <c r="CO21" s="1"/>
    </row>
    <row r="22" spans="1:158" ht="15" customHeight="1">
      <c r="A22" s="37" t="s">
        <v>276</v>
      </c>
      <c r="B22" s="37" t="s">
        <v>29</v>
      </c>
      <c r="C22" s="53">
        <v>30.066700000000001</v>
      </c>
      <c r="D22" s="53">
        <v>-90.683700000000002</v>
      </c>
      <c r="E22" s="58">
        <v>723300</v>
      </c>
      <c r="F22" s="58">
        <v>3328240</v>
      </c>
      <c r="G22" s="37" t="s">
        <v>30</v>
      </c>
      <c r="H22" s="37" t="s">
        <v>279</v>
      </c>
      <c r="I22" s="37" t="s">
        <v>35</v>
      </c>
      <c r="J22" s="37" t="s">
        <v>21</v>
      </c>
      <c r="K22" s="37" t="s">
        <v>104</v>
      </c>
      <c r="L22" s="37" t="s">
        <v>22</v>
      </c>
      <c r="M22" s="47"/>
      <c r="N22" s="29">
        <f t="shared" si="20"/>
        <v>6.0000000000000497E-2</v>
      </c>
      <c r="O22" s="39"/>
      <c r="P22" s="39">
        <f t="shared" si="21"/>
        <v>0.15000000000000124</v>
      </c>
      <c r="Q22" s="37" t="s">
        <v>108</v>
      </c>
      <c r="R22" s="37" t="s">
        <v>27</v>
      </c>
      <c r="S22" s="39">
        <f t="shared" si="22"/>
        <v>8.4499999999999993</v>
      </c>
      <c r="T22" s="40">
        <v>0</v>
      </c>
      <c r="U22" s="30" t="s">
        <v>111</v>
      </c>
      <c r="V22" s="39">
        <v>1.8</v>
      </c>
      <c r="W22" s="39">
        <v>8.4499999999999993</v>
      </c>
      <c r="X22" s="41">
        <v>8.51</v>
      </c>
      <c r="Y22" s="41">
        <f t="shared" si="23"/>
        <v>8.48</v>
      </c>
      <c r="Z22" s="57" t="s">
        <v>100</v>
      </c>
      <c r="AA22" s="41">
        <v>0</v>
      </c>
      <c r="AB22" s="29">
        <f t="shared" si="24"/>
        <v>-6.6499999999999995</v>
      </c>
      <c r="AC22" s="29">
        <f t="shared" si="25"/>
        <v>-6.71</v>
      </c>
      <c r="AD22" s="29">
        <f t="shared" si="26"/>
        <v>-6.6800000000000006</v>
      </c>
      <c r="AE22" s="30" t="s">
        <v>69</v>
      </c>
      <c r="AF22" s="37" t="s">
        <v>57</v>
      </c>
      <c r="AG22" s="58">
        <v>2</v>
      </c>
      <c r="AH22" s="58">
        <v>6179</v>
      </c>
      <c r="AI22" s="58">
        <v>30</v>
      </c>
      <c r="AJ22" s="58"/>
      <c r="AK22" s="61" t="s">
        <v>58</v>
      </c>
      <c r="AL22" s="58"/>
      <c r="AM22" s="58"/>
      <c r="AN22" s="31">
        <f t="shared" si="27"/>
        <v>6179</v>
      </c>
      <c r="AO22" s="31">
        <f t="shared" si="28"/>
        <v>30</v>
      </c>
      <c r="AP22" s="58"/>
      <c r="AQ22" s="59"/>
      <c r="AR22" s="62">
        <v>7170</v>
      </c>
      <c r="AS22" s="62">
        <v>6980</v>
      </c>
      <c r="AT22" s="62">
        <v>7080</v>
      </c>
      <c r="AU22" s="39">
        <v>0.13400000000000001</v>
      </c>
      <c r="AV22" s="39">
        <v>0.56299999999999994</v>
      </c>
      <c r="AW22" s="39"/>
      <c r="AX22" s="39"/>
      <c r="AY22" s="39">
        <v>0.316</v>
      </c>
      <c r="AZ22" s="39">
        <v>0.157</v>
      </c>
      <c r="BA22" s="39">
        <v>0.126</v>
      </c>
      <c r="BB22" s="39">
        <v>0.11600000000000001</v>
      </c>
      <c r="BC22" s="39"/>
      <c r="BD22" s="39">
        <v>-4.3999999999999984E-2</v>
      </c>
      <c r="BE22" s="39"/>
      <c r="BF22" s="30" t="s">
        <v>23</v>
      </c>
      <c r="BG22" s="47" t="s">
        <v>24</v>
      </c>
      <c r="BH22" s="40">
        <f t="shared" si="29"/>
        <v>0.34449999999999997</v>
      </c>
      <c r="BI22" s="40">
        <f t="shared" si="30"/>
        <v>0.43699999999999994</v>
      </c>
      <c r="BJ22" s="39">
        <f t="shared" si="11"/>
        <v>0.43699999999999994</v>
      </c>
      <c r="BK22" s="39">
        <f t="shared" si="31"/>
        <v>0.21849999999999997</v>
      </c>
      <c r="BL22" s="40">
        <v>0.1</v>
      </c>
      <c r="BM22" s="39">
        <f t="shared" si="32"/>
        <v>8.7399999999999992E-2</v>
      </c>
      <c r="BN22" s="29">
        <f t="shared" si="33"/>
        <v>0</v>
      </c>
      <c r="BO22" s="29"/>
      <c r="BP22" s="29">
        <f t="shared" si="7"/>
        <v>7.5000000000000622E-2</v>
      </c>
      <c r="BQ22" s="29">
        <v>0.01</v>
      </c>
      <c r="BR22" s="39">
        <v>0.05</v>
      </c>
      <c r="BS22" s="29">
        <f t="shared" si="8"/>
        <v>0.1696</v>
      </c>
      <c r="BT22" s="39"/>
      <c r="BU22" s="39"/>
      <c r="BV22" s="39"/>
      <c r="BW22" s="40">
        <v>0.03</v>
      </c>
      <c r="BX22" s="40">
        <v>0.04</v>
      </c>
      <c r="BY22" s="29">
        <v>0.1</v>
      </c>
      <c r="BZ22" s="39">
        <f t="shared" si="12"/>
        <v>0</v>
      </c>
      <c r="CA22" s="29">
        <f t="shared" si="9"/>
        <v>1.4160000000000001</v>
      </c>
      <c r="CB22" s="29"/>
      <c r="CC22" s="29">
        <f t="shared" si="13"/>
        <v>-5.6085000000000003</v>
      </c>
      <c r="CD22" s="29"/>
      <c r="CE22" s="29">
        <f t="shared" si="14"/>
        <v>0.33892502120675611</v>
      </c>
      <c r="CF22" s="29">
        <f t="shared" si="15"/>
        <v>0.33892502120675611</v>
      </c>
      <c r="CG22" s="29">
        <f t="shared" si="16"/>
        <v>0.67785004241351221</v>
      </c>
      <c r="CH22" s="1"/>
      <c r="CJ22" s="1"/>
      <c r="CK22" s="1"/>
      <c r="CL22" s="1"/>
      <c r="CM22" s="1"/>
      <c r="CN22" s="1"/>
      <c r="CO22" s="1"/>
    </row>
    <row r="23" spans="1:158" ht="15" customHeight="1">
      <c r="A23" s="37" t="s">
        <v>276</v>
      </c>
      <c r="B23" s="37" t="s">
        <v>29</v>
      </c>
      <c r="C23" s="53">
        <v>30.040700000000001</v>
      </c>
      <c r="D23" s="53">
        <v>-90.712100000000007</v>
      </c>
      <c r="E23" s="58">
        <v>720620</v>
      </c>
      <c r="F23" s="58">
        <v>3325300</v>
      </c>
      <c r="G23" s="37" t="s">
        <v>30</v>
      </c>
      <c r="H23" s="37" t="s">
        <v>279</v>
      </c>
      <c r="I23" s="37" t="s">
        <v>36</v>
      </c>
      <c r="J23" s="37" t="s">
        <v>21</v>
      </c>
      <c r="K23" s="37" t="s">
        <v>46</v>
      </c>
      <c r="L23" s="37" t="s">
        <v>22</v>
      </c>
      <c r="M23" s="47"/>
      <c r="N23" s="29">
        <f t="shared" si="20"/>
        <v>2.9999999999999361E-2</v>
      </c>
      <c r="O23" s="39"/>
      <c r="P23" s="39">
        <f t="shared" si="21"/>
        <v>7.4999999999998401E-2</v>
      </c>
      <c r="Q23" s="37" t="s">
        <v>109</v>
      </c>
      <c r="R23" s="37" t="s">
        <v>27</v>
      </c>
      <c r="S23" s="39">
        <f t="shared" si="22"/>
        <v>9.39</v>
      </c>
      <c r="T23" s="40">
        <v>0</v>
      </c>
      <c r="U23" s="30" t="s">
        <v>111</v>
      </c>
      <c r="V23" s="39">
        <v>1.96</v>
      </c>
      <c r="W23" s="39">
        <v>9.39</v>
      </c>
      <c r="X23" s="41">
        <v>9.42</v>
      </c>
      <c r="Y23" s="41">
        <f t="shared" si="23"/>
        <v>9.4050000000000011</v>
      </c>
      <c r="Z23" s="57" t="s">
        <v>100</v>
      </c>
      <c r="AA23" s="41">
        <v>0</v>
      </c>
      <c r="AB23" s="29">
        <f t="shared" si="24"/>
        <v>-7.4300000000000006</v>
      </c>
      <c r="AC23" s="29">
        <f t="shared" si="25"/>
        <v>-7.46</v>
      </c>
      <c r="AD23" s="29">
        <f t="shared" si="26"/>
        <v>-7.4450000000000012</v>
      </c>
      <c r="AE23" s="30" t="s">
        <v>69</v>
      </c>
      <c r="AF23" s="37" t="s">
        <v>59</v>
      </c>
      <c r="AG23" s="58">
        <v>2</v>
      </c>
      <c r="AH23" s="58">
        <v>6183</v>
      </c>
      <c r="AI23" s="58">
        <v>34</v>
      </c>
      <c r="AJ23" s="58"/>
      <c r="AK23" s="63" t="s">
        <v>60</v>
      </c>
      <c r="AL23" s="58"/>
      <c r="AM23" s="58"/>
      <c r="AN23" s="31">
        <f t="shared" si="27"/>
        <v>6183</v>
      </c>
      <c r="AO23" s="31">
        <f t="shared" si="28"/>
        <v>34</v>
      </c>
      <c r="AP23" s="58"/>
      <c r="AQ23" s="59"/>
      <c r="AR23" s="62">
        <v>7180</v>
      </c>
      <c r="AS23" s="62">
        <v>6960</v>
      </c>
      <c r="AT23" s="62">
        <v>7080</v>
      </c>
      <c r="AU23" s="39">
        <v>0.13500000000000001</v>
      </c>
      <c r="AV23" s="39">
        <v>0.56499999999999995</v>
      </c>
      <c r="AW23" s="39"/>
      <c r="AX23" s="39"/>
      <c r="AY23" s="39">
        <v>0.317</v>
      </c>
      <c r="AZ23" s="39">
        <v>0.158</v>
      </c>
      <c r="BA23" s="39">
        <v>0.127</v>
      </c>
      <c r="BB23" s="39">
        <v>0.11600000000000001</v>
      </c>
      <c r="BC23" s="39"/>
      <c r="BD23" s="39">
        <v>-4.2999999999999983E-2</v>
      </c>
      <c r="BE23" s="39"/>
      <c r="BF23" s="30" t="s">
        <v>23</v>
      </c>
      <c r="BG23" s="47" t="s">
        <v>24</v>
      </c>
      <c r="BH23" s="40">
        <f t="shared" si="29"/>
        <v>0.34599999999999997</v>
      </c>
      <c r="BI23" s="40">
        <f t="shared" si="30"/>
        <v>0.43799999999999994</v>
      </c>
      <c r="BJ23" s="39">
        <f t="shared" si="11"/>
        <v>0.43799999999999994</v>
      </c>
      <c r="BK23" s="39">
        <f t="shared" si="31"/>
        <v>0.21899999999999997</v>
      </c>
      <c r="BL23" s="40">
        <v>0.1</v>
      </c>
      <c r="BM23" s="39">
        <f t="shared" si="32"/>
        <v>8.7599999999999997E-2</v>
      </c>
      <c r="BN23" s="29">
        <f t="shared" si="33"/>
        <v>0</v>
      </c>
      <c r="BO23" s="29"/>
      <c r="BP23" s="29">
        <f t="shared" si="7"/>
        <v>3.7499999999999201E-2</v>
      </c>
      <c r="BQ23" s="29">
        <v>0.01</v>
      </c>
      <c r="BR23" s="39">
        <v>0.05</v>
      </c>
      <c r="BS23" s="29">
        <f t="shared" si="8"/>
        <v>0.18810000000000002</v>
      </c>
      <c r="BT23" s="39"/>
      <c r="BU23" s="39"/>
      <c r="BV23" s="39"/>
      <c r="BW23" s="40">
        <v>0.03</v>
      </c>
      <c r="BX23" s="40">
        <v>0.04</v>
      </c>
      <c r="BY23" s="29">
        <v>0.1</v>
      </c>
      <c r="BZ23" s="39">
        <f t="shared" si="12"/>
        <v>0</v>
      </c>
      <c r="CA23" s="29">
        <f t="shared" si="9"/>
        <v>1.4160000000000001</v>
      </c>
      <c r="CB23" s="29"/>
      <c r="CC23" s="29">
        <f t="shared" si="13"/>
        <v>-6.3750000000000009</v>
      </c>
      <c r="CD23" s="29"/>
      <c r="CE23" s="29">
        <f t="shared" si="14"/>
        <v>0.34281572309332597</v>
      </c>
      <c r="CF23" s="29">
        <f t="shared" si="15"/>
        <v>0.34281572309332597</v>
      </c>
      <c r="CG23" s="29">
        <f t="shared" si="16"/>
        <v>0.68563144618665195</v>
      </c>
      <c r="CH23" s="1"/>
      <c r="CI23" s="1"/>
      <c r="CJ23" s="1"/>
      <c r="CK23" s="1"/>
      <c r="CL23" s="1"/>
      <c r="CM23" s="1"/>
      <c r="CN23" s="1"/>
      <c r="CO23" s="1"/>
    </row>
    <row r="24" spans="1:158" ht="15" customHeight="1">
      <c r="A24" s="37" t="s">
        <v>276</v>
      </c>
      <c r="B24" s="37" t="s">
        <v>29</v>
      </c>
      <c r="C24" s="53">
        <v>30.039300000000001</v>
      </c>
      <c r="D24" s="53">
        <v>-90.711299999999994</v>
      </c>
      <c r="E24" s="58">
        <v>720700</v>
      </c>
      <c r="F24" s="58">
        <v>3325150</v>
      </c>
      <c r="G24" s="37" t="s">
        <v>30</v>
      </c>
      <c r="H24" s="37" t="s">
        <v>279</v>
      </c>
      <c r="I24" s="37" t="s">
        <v>37</v>
      </c>
      <c r="J24" s="37" t="s">
        <v>41</v>
      </c>
      <c r="K24" s="37" t="s">
        <v>47</v>
      </c>
      <c r="L24" s="37" t="s">
        <v>49</v>
      </c>
      <c r="M24" s="47"/>
      <c r="N24" s="29">
        <f t="shared" si="20"/>
        <v>2.9999999999999361E-2</v>
      </c>
      <c r="O24" s="39"/>
      <c r="P24" s="39">
        <f t="shared" si="21"/>
        <v>7.4999999999998401E-2</v>
      </c>
      <c r="Q24" s="37" t="s">
        <v>109</v>
      </c>
      <c r="R24" s="37" t="s">
        <v>27</v>
      </c>
      <c r="S24" s="39">
        <f t="shared" si="22"/>
        <v>10.25</v>
      </c>
      <c r="T24" s="40">
        <v>0</v>
      </c>
      <c r="U24" s="30" t="s">
        <v>111</v>
      </c>
      <c r="V24" s="39">
        <v>2</v>
      </c>
      <c r="W24" s="39">
        <v>10.25</v>
      </c>
      <c r="X24" s="41">
        <v>10.28</v>
      </c>
      <c r="Y24" s="41">
        <f t="shared" si="23"/>
        <v>10.265000000000001</v>
      </c>
      <c r="Z24" s="57" t="s">
        <v>100</v>
      </c>
      <c r="AA24" s="41">
        <v>0</v>
      </c>
      <c r="AB24" s="29">
        <f t="shared" si="24"/>
        <v>-8.25</v>
      </c>
      <c r="AC24" s="29">
        <f t="shared" si="25"/>
        <v>-8.2799999999999994</v>
      </c>
      <c r="AD24" s="29">
        <f t="shared" si="26"/>
        <v>-8.2650000000000006</v>
      </c>
      <c r="AE24" s="30" t="s">
        <v>69</v>
      </c>
      <c r="AF24" s="37" t="s">
        <v>61</v>
      </c>
      <c r="AG24" s="58"/>
      <c r="AH24" s="58">
        <v>6490</v>
      </c>
      <c r="AI24" s="58">
        <v>60</v>
      </c>
      <c r="AJ24" s="58"/>
      <c r="AK24" s="61">
        <v>-22</v>
      </c>
      <c r="AL24" s="58"/>
      <c r="AM24" s="58"/>
      <c r="AN24" s="31">
        <f t="shared" si="27"/>
        <v>6490</v>
      </c>
      <c r="AO24" s="31">
        <f t="shared" si="28"/>
        <v>60</v>
      </c>
      <c r="AP24" s="58"/>
      <c r="AQ24" s="59"/>
      <c r="AR24" s="62">
        <v>7510</v>
      </c>
      <c r="AS24" s="62">
        <v>7270</v>
      </c>
      <c r="AT24" s="62">
        <v>7390</v>
      </c>
      <c r="AU24" s="39">
        <v>0.13500000000000001</v>
      </c>
      <c r="AV24" s="39">
        <v>0.56499999999999995</v>
      </c>
      <c r="AW24" s="39"/>
      <c r="AX24" s="39"/>
      <c r="AY24" s="39">
        <v>0.317</v>
      </c>
      <c r="AZ24" s="39">
        <v>0.158</v>
      </c>
      <c r="BA24" s="39">
        <v>0.127</v>
      </c>
      <c r="BB24" s="39">
        <v>0.11600000000000001</v>
      </c>
      <c r="BC24" s="39"/>
      <c r="BD24" s="39">
        <v>-4.2999999999999983E-2</v>
      </c>
      <c r="BE24" s="39"/>
      <c r="BF24" s="30" t="s">
        <v>23</v>
      </c>
      <c r="BG24" s="47" t="s">
        <v>24</v>
      </c>
      <c r="BH24" s="40">
        <f t="shared" si="29"/>
        <v>0.34599999999999997</v>
      </c>
      <c r="BI24" s="40">
        <f t="shared" si="30"/>
        <v>0.43799999999999994</v>
      </c>
      <c r="BJ24" s="39">
        <f t="shared" si="11"/>
        <v>0.43799999999999994</v>
      </c>
      <c r="BK24" s="39">
        <f t="shared" si="31"/>
        <v>0.21899999999999997</v>
      </c>
      <c r="BL24" s="40">
        <v>0.1</v>
      </c>
      <c r="BM24" s="39">
        <f t="shared" si="32"/>
        <v>8.7599999999999997E-2</v>
      </c>
      <c r="BN24" s="29">
        <f t="shared" si="33"/>
        <v>0</v>
      </c>
      <c r="BO24" s="29"/>
      <c r="BP24" s="29">
        <f t="shared" si="7"/>
        <v>3.7499999999999201E-2</v>
      </c>
      <c r="BQ24" s="29">
        <v>0.01</v>
      </c>
      <c r="BR24" s="39">
        <v>0.05</v>
      </c>
      <c r="BS24" s="29">
        <f t="shared" si="8"/>
        <v>0.20530000000000001</v>
      </c>
      <c r="BT24" s="39"/>
      <c r="BU24" s="39"/>
      <c r="BV24" s="39"/>
      <c r="BW24" s="40">
        <v>0.03</v>
      </c>
      <c r="BX24" s="40">
        <v>0.04</v>
      </c>
      <c r="BY24" s="29">
        <v>0.1</v>
      </c>
      <c r="BZ24" s="39">
        <f t="shared" si="12"/>
        <v>0</v>
      </c>
      <c r="CA24" s="29">
        <f t="shared" si="9"/>
        <v>1.478</v>
      </c>
      <c r="CB24" s="29"/>
      <c r="CC24" s="29">
        <f t="shared" si="13"/>
        <v>-7.1330000000000009</v>
      </c>
      <c r="CD24" s="29"/>
      <c r="CE24" s="29">
        <f t="shared" si="14"/>
        <v>0.35254659266542338</v>
      </c>
      <c r="CF24" s="29">
        <f t="shared" si="15"/>
        <v>0.35254659266542338</v>
      </c>
      <c r="CG24" s="29">
        <f t="shared" si="16"/>
        <v>0.70509318533084675</v>
      </c>
      <c r="CH24" s="1"/>
      <c r="CI24" s="1"/>
      <c r="CJ24" s="1"/>
      <c r="CK24" s="1"/>
      <c r="CL24" s="1"/>
      <c r="CM24" s="1"/>
      <c r="CN24" s="1"/>
      <c r="CO24" s="1"/>
    </row>
    <row r="25" spans="1:158" ht="15" customHeight="1">
      <c r="A25" s="37" t="s">
        <v>276</v>
      </c>
      <c r="B25" s="37" t="s">
        <v>29</v>
      </c>
      <c r="C25" s="53">
        <v>30.038699999999999</v>
      </c>
      <c r="D25" s="53">
        <v>-90.710899999999995</v>
      </c>
      <c r="E25" s="58">
        <v>720740</v>
      </c>
      <c r="F25" s="58">
        <v>3325080</v>
      </c>
      <c r="G25" s="37" t="s">
        <v>30</v>
      </c>
      <c r="H25" s="37" t="s">
        <v>279</v>
      </c>
      <c r="I25" s="37" t="s">
        <v>38</v>
      </c>
      <c r="J25" s="37" t="s">
        <v>21</v>
      </c>
      <c r="K25" s="37" t="s">
        <v>105</v>
      </c>
      <c r="L25" s="37" t="s">
        <v>49</v>
      </c>
      <c r="M25" s="47"/>
      <c r="N25" s="29">
        <f t="shared" si="20"/>
        <v>2.000000000000135E-2</v>
      </c>
      <c r="O25" s="39"/>
      <c r="P25" s="39">
        <f t="shared" si="21"/>
        <v>5.0000000000003375E-2</v>
      </c>
      <c r="Q25" s="37" t="s">
        <v>109</v>
      </c>
      <c r="R25" s="37" t="s">
        <v>27</v>
      </c>
      <c r="S25" s="39">
        <f t="shared" si="22"/>
        <v>11.04</v>
      </c>
      <c r="T25" s="40">
        <v>0</v>
      </c>
      <c r="U25" s="30" t="s">
        <v>111</v>
      </c>
      <c r="V25" s="39">
        <v>1.94</v>
      </c>
      <c r="W25" s="39">
        <v>11.04</v>
      </c>
      <c r="X25" s="41">
        <v>11.06</v>
      </c>
      <c r="Y25" s="41">
        <f t="shared" si="23"/>
        <v>11.05</v>
      </c>
      <c r="Z25" s="57" t="s">
        <v>100</v>
      </c>
      <c r="AA25" s="41">
        <v>0</v>
      </c>
      <c r="AB25" s="29">
        <f t="shared" si="24"/>
        <v>-9.1</v>
      </c>
      <c r="AC25" s="29">
        <f t="shared" si="25"/>
        <v>-9.120000000000001</v>
      </c>
      <c r="AD25" s="29">
        <f t="shared" si="26"/>
        <v>-9.1100000000000012</v>
      </c>
      <c r="AE25" s="30" t="s">
        <v>69</v>
      </c>
      <c r="AF25" s="37" t="s">
        <v>62</v>
      </c>
      <c r="AG25" s="58">
        <v>4</v>
      </c>
      <c r="AH25" s="58">
        <v>6548</v>
      </c>
      <c r="AI25" s="58">
        <v>23</v>
      </c>
      <c r="AJ25" s="58"/>
      <c r="AK25" s="61" t="s">
        <v>63</v>
      </c>
      <c r="AL25" s="58"/>
      <c r="AM25" s="58"/>
      <c r="AN25" s="31">
        <f t="shared" si="27"/>
        <v>6548</v>
      </c>
      <c r="AO25" s="31">
        <f t="shared" si="28"/>
        <v>23</v>
      </c>
      <c r="AP25" s="58"/>
      <c r="AQ25" s="59"/>
      <c r="AR25" s="62">
        <v>7500</v>
      </c>
      <c r="AS25" s="62">
        <v>7420</v>
      </c>
      <c r="AT25" s="62">
        <v>7450</v>
      </c>
      <c r="AU25" s="39">
        <v>0.13500000000000001</v>
      </c>
      <c r="AV25" s="39">
        <v>0.56499999999999995</v>
      </c>
      <c r="AW25" s="39"/>
      <c r="AX25" s="39"/>
      <c r="AY25" s="39">
        <v>0.317</v>
      </c>
      <c r="AZ25" s="39">
        <v>0.158</v>
      </c>
      <c r="BA25" s="39">
        <v>0.127</v>
      </c>
      <c r="BB25" s="39">
        <v>0.11600000000000001</v>
      </c>
      <c r="BC25" s="39"/>
      <c r="BD25" s="39">
        <v>-4.2999999999999983E-2</v>
      </c>
      <c r="BE25" s="39"/>
      <c r="BF25" s="30" t="s">
        <v>23</v>
      </c>
      <c r="BG25" s="47" t="s">
        <v>24</v>
      </c>
      <c r="BH25" s="40">
        <f t="shared" si="29"/>
        <v>0.34599999999999997</v>
      </c>
      <c r="BI25" s="40">
        <f t="shared" si="30"/>
        <v>0.43799999999999994</v>
      </c>
      <c r="BJ25" s="39">
        <f t="shared" si="11"/>
        <v>0.43799999999999994</v>
      </c>
      <c r="BK25" s="39">
        <f t="shared" si="31"/>
        <v>0.21899999999999997</v>
      </c>
      <c r="BL25" s="40">
        <v>0.1</v>
      </c>
      <c r="BM25" s="39">
        <f t="shared" si="32"/>
        <v>8.7599999999999997E-2</v>
      </c>
      <c r="BN25" s="29">
        <f t="shared" si="33"/>
        <v>0</v>
      </c>
      <c r="BO25" s="29"/>
      <c r="BP25" s="29">
        <f t="shared" si="7"/>
        <v>2.5000000000001688E-2</v>
      </c>
      <c r="BQ25" s="29">
        <v>0.01</v>
      </c>
      <c r="BR25" s="39">
        <v>0.05</v>
      </c>
      <c r="BS25" s="29">
        <f t="shared" si="8"/>
        <v>0.22100000000000003</v>
      </c>
      <c r="BT25" s="39"/>
      <c r="BU25" s="39"/>
      <c r="BV25" s="39"/>
      <c r="BW25" s="40">
        <v>0.03</v>
      </c>
      <c r="BX25" s="40">
        <v>0.04</v>
      </c>
      <c r="BY25" s="29">
        <v>0.1</v>
      </c>
      <c r="BZ25" s="39">
        <f t="shared" si="12"/>
        <v>0</v>
      </c>
      <c r="CA25" s="29">
        <f t="shared" si="9"/>
        <v>1.49</v>
      </c>
      <c r="CB25" s="29"/>
      <c r="CC25" s="29">
        <f t="shared" si="13"/>
        <v>-7.9660000000000011</v>
      </c>
      <c r="CD25" s="29"/>
      <c r="CE25" s="29">
        <f t="shared" si="14"/>
        <v>0.36083342417242903</v>
      </c>
      <c r="CF25" s="29">
        <f t="shared" si="15"/>
        <v>0.36083342417242903</v>
      </c>
      <c r="CG25" s="29">
        <f t="shared" si="16"/>
        <v>0.72166684834485806</v>
      </c>
      <c r="CH25" s="1"/>
      <c r="CI25" s="1"/>
      <c r="CJ25" s="1"/>
      <c r="CK25" s="1"/>
      <c r="CL25" s="1"/>
      <c r="CM25" s="1"/>
      <c r="CN25" s="1"/>
      <c r="CO25" s="1"/>
    </row>
    <row r="26" spans="1:158" ht="15" customHeight="1">
      <c r="A26" s="37" t="s">
        <v>276</v>
      </c>
      <c r="B26" s="37" t="s">
        <v>29</v>
      </c>
      <c r="C26" s="53">
        <v>30.038499999999999</v>
      </c>
      <c r="D26" s="53">
        <v>-90.710800000000006</v>
      </c>
      <c r="E26" s="58">
        <v>720750</v>
      </c>
      <c r="F26" s="58">
        <v>3325060</v>
      </c>
      <c r="G26" s="37" t="s">
        <v>30</v>
      </c>
      <c r="H26" s="37" t="s">
        <v>279</v>
      </c>
      <c r="I26" s="37" t="s">
        <v>39</v>
      </c>
      <c r="J26" s="37" t="s">
        <v>21</v>
      </c>
      <c r="K26" s="37" t="s">
        <v>106</v>
      </c>
      <c r="L26" s="37" t="s">
        <v>22</v>
      </c>
      <c r="M26" s="47"/>
      <c r="N26" s="29">
        <f t="shared" si="20"/>
        <v>2.9999999999999361E-2</v>
      </c>
      <c r="O26" s="39"/>
      <c r="P26" s="39">
        <f t="shared" si="21"/>
        <v>7.4999999999998401E-2</v>
      </c>
      <c r="Q26" s="37" t="s">
        <v>109</v>
      </c>
      <c r="R26" s="37" t="s">
        <v>27</v>
      </c>
      <c r="S26" s="39">
        <f t="shared" si="22"/>
        <v>11.24</v>
      </c>
      <c r="T26" s="40">
        <v>0</v>
      </c>
      <c r="U26" s="30" t="s">
        <v>111</v>
      </c>
      <c r="V26" s="39">
        <v>1.79</v>
      </c>
      <c r="W26" s="39">
        <v>11.24</v>
      </c>
      <c r="X26" s="41">
        <v>11.27</v>
      </c>
      <c r="Y26" s="41">
        <f t="shared" si="23"/>
        <v>11.254999999999999</v>
      </c>
      <c r="Z26" s="57" t="s">
        <v>100</v>
      </c>
      <c r="AA26" s="41">
        <v>0</v>
      </c>
      <c r="AB26" s="29">
        <f t="shared" si="24"/>
        <v>-9.4499999999999993</v>
      </c>
      <c r="AC26" s="29">
        <f t="shared" si="25"/>
        <v>-9.48</v>
      </c>
      <c r="AD26" s="29">
        <f t="shared" si="26"/>
        <v>-9.4649999999999999</v>
      </c>
      <c r="AE26" s="30" t="s">
        <v>69</v>
      </c>
      <c r="AF26" s="37" t="s">
        <v>64</v>
      </c>
      <c r="AG26" s="58">
        <v>3</v>
      </c>
      <c r="AH26" s="58">
        <v>6723</v>
      </c>
      <c r="AI26" s="58">
        <v>28</v>
      </c>
      <c r="AJ26" s="58"/>
      <c r="AK26" s="61" t="s">
        <v>65</v>
      </c>
      <c r="AL26" s="58"/>
      <c r="AM26" s="58"/>
      <c r="AN26" s="31">
        <f t="shared" si="27"/>
        <v>6723</v>
      </c>
      <c r="AO26" s="31">
        <f t="shared" si="28"/>
        <v>28</v>
      </c>
      <c r="AP26" s="58"/>
      <c r="AQ26" s="59"/>
      <c r="AR26" s="62">
        <v>7660</v>
      </c>
      <c r="AS26" s="62">
        <v>7510</v>
      </c>
      <c r="AT26" s="62">
        <v>7590</v>
      </c>
      <c r="AU26" s="39">
        <v>0.13500000000000001</v>
      </c>
      <c r="AV26" s="39">
        <v>0.56499999999999995</v>
      </c>
      <c r="AW26" s="39"/>
      <c r="AX26" s="39"/>
      <c r="AY26" s="39">
        <v>0.317</v>
      </c>
      <c r="AZ26" s="39">
        <v>0.158</v>
      </c>
      <c r="BA26" s="39">
        <v>0.127</v>
      </c>
      <c r="BB26" s="39">
        <v>0.11600000000000001</v>
      </c>
      <c r="BC26" s="39"/>
      <c r="BD26" s="39">
        <v>-4.2999999999999983E-2</v>
      </c>
      <c r="BE26" s="39"/>
      <c r="BF26" s="30" t="s">
        <v>23</v>
      </c>
      <c r="BG26" s="47" t="s">
        <v>24</v>
      </c>
      <c r="BH26" s="40">
        <f t="shared" si="29"/>
        <v>0.34599999999999997</v>
      </c>
      <c r="BI26" s="40">
        <f t="shared" si="30"/>
        <v>0.43799999999999994</v>
      </c>
      <c r="BJ26" s="39">
        <f t="shared" si="11"/>
        <v>0.43799999999999994</v>
      </c>
      <c r="BK26" s="39">
        <f t="shared" si="31"/>
        <v>0.21899999999999997</v>
      </c>
      <c r="BL26" s="40">
        <v>0.1</v>
      </c>
      <c r="BM26" s="39">
        <f t="shared" si="32"/>
        <v>8.7599999999999997E-2</v>
      </c>
      <c r="BN26" s="29">
        <f t="shared" si="33"/>
        <v>0</v>
      </c>
      <c r="BO26" s="29"/>
      <c r="BP26" s="29">
        <f t="shared" si="7"/>
        <v>3.7499999999999201E-2</v>
      </c>
      <c r="BQ26" s="29">
        <v>0.01</v>
      </c>
      <c r="BR26" s="39">
        <v>0.05</v>
      </c>
      <c r="BS26" s="29">
        <f t="shared" si="8"/>
        <v>0.22509999999999999</v>
      </c>
      <c r="BT26" s="39"/>
      <c r="BU26" s="39"/>
      <c r="BV26" s="39"/>
      <c r="BW26" s="40">
        <v>0.03</v>
      </c>
      <c r="BX26" s="40">
        <v>0.04</v>
      </c>
      <c r="BY26" s="29">
        <v>0.1</v>
      </c>
      <c r="BZ26" s="39">
        <f t="shared" si="12"/>
        <v>0</v>
      </c>
      <c r="CA26" s="29">
        <f t="shared" si="9"/>
        <v>1.518</v>
      </c>
      <c r="CB26" s="29"/>
      <c r="CC26" s="29">
        <f t="shared" si="13"/>
        <v>-8.2929999999999993</v>
      </c>
      <c r="CD26" s="29"/>
      <c r="CE26" s="29">
        <f t="shared" si="14"/>
        <v>0.36443246287892622</v>
      </c>
      <c r="CF26" s="29">
        <f t="shared" si="15"/>
        <v>0.36443246287892622</v>
      </c>
      <c r="CG26" s="29">
        <f t="shared" si="16"/>
        <v>0.72886492575785244</v>
      </c>
      <c r="CH26" s="1"/>
      <c r="CI26" s="1"/>
      <c r="CJ26" s="1"/>
      <c r="CK26" s="1"/>
      <c r="CL26" s="1"/>
      <c r="CM26" s="1"/>
      <c r="CN26" s="1"/>
      <c r="CO26" s="1"/>
    </row>
    <row r="27" spans="1:158" ht="15" customHeight="1">
      <c r="A27" s="37" t="s">
        <v>276</v>
      </c>
      <c r="B27" s="37" t="s">
        <v>29</v>
      </c>
      <c r="C27" s="53">
        <v>30.037800000000001</v>
      </c>
      <c r="D27" s="53">
        <v>-90.710300000000004</v>
      </c>
      <c r="E27" s="58">
        <v>720800</v>
      </c>
      <c r="F27" s="58">
        <v>3324980</v>
      </c>
      <c r="G27" s="37" t="s">
        <v>30</v>
      </c>
      <c r="H27" s="37" t="s">
        <v>279</v>
      </c>
      <c r="I27" s="37" t="s">
        <v>40</v>
      </c>
      <c r="J27" s="37" t="s">
        <v>21</v>
      </c>
      <c r="K27" s="37" t="s">
        <v>170</v>
      </c>
      <c r="L27" s="37" t="s">
        <v>22</v>
      </c>
      <c r="M27" s="47"/>
      <c r="N27" s="29">
        <f t="shared" si="20"/>
        <v>3.0000000000001137E-2</v>
      </c>
      <c r="O27" s="39"/>
      <c r="P27" s="39">
        <f t="shared" si="21"/>
        <v>7.5000000000002842E-2</v>
      </c>
      <c r="Q27" s="37" t="s">
        <v>109</v>
      </c>
      <c r="R27" s="37" t="s">
        <v>27</v>
      </c>
      <c r="S27" s="39">
        <f t="shared" si="22"/>
        <v>12.19</v>
      </c>
      <c r="T27" s="40">
        <v>0</v>
      </c>
      <c r="U27" s="30" t="s">
        <v>111</v>
      </c>
      <c r="V27" s="39">
        <v>2</v>
      </c>
      <c r="W27" s="39">
        <v>12.19</v>
      </c>
      <c r="X27" s="41">
        <v>12.22</v>
      </c>
      <c r="Y27" s="41">
        <f t="shared" si="23"/>
        <v>12.205</v>
      </c>
      <c r="Z27" s="57" t="s">
        <v>100</v>
      </c>
      <c r="AA27" s="41">
        <v>0</v>
      </c>
      <c r="AB27" s="29">
        <f t="shared" si="24"/>
        <v>-10.19</v>
      </c>
      <c r="AC27" s="29">
        <f t="shared" si="25"/>
        <v>-10.220000000000001</v>
      </c>
      <c r="AD27" s="29">
        <f t="shared" si="26"/>
        <v>-10.205</v>
      </c>
      <c r="AE27" s="30" t="s">
        <v>69</v>
      </c>
      <c r="AF27" s="37" t="s">
        <v>66</v>
      </c>
      <c r="AG27" s="58"/>
      <c r="AH27" s="58">
        <v>7080</v>
      </c>
      <c r="AI27" s="58">
        <v>47</v>
      </c>
      <c r="AJ27" s="58"/>
      <c r="AK27" s="61">
        <v>-27.3</v>
      </c>
      <c r="AL27" s="58"/>
      <c r="AM27" s="58"/>
      <c r="AN27" s="31">
        <f t="shared" si="27"/>
        <v>7080</v>
      </c>
      <c r="AO27" s="31">
        <f t="shared" si="28"/>
        <v>47</v>
      </c>
      <c r="AP27" s="58"/>
      <c r="AQ27" s="59"/>
      <c r="AR27" s="62">
        <v>8000</v>
      </c>
      <c r="AS27" s="62">
        <v>7790</v>
      </c>
      <c r="AT27" s="62">
        <v>7900</v>
      </c>
      <c r="AU27" s="39">
        <v>0.13500000000000001</v>
      </c>
      <c r="AV27" s="39">
        <v>0.56499999999999995</v>
      </c>
      <c r="AW27" s="39"/>
      <c r="AX27" s="39"/>
      <c r="AY27" s="39">
        <v>0.317</v>
      </c>
      <c r="AZ27" s="39">
        <v>0.158</v>
      </c>
      <c r="BA27" s="39">
        <v>0.127</v>
      </c>
      <c r="BB27" s="39">
        <v>0.11700000000000001</v>
      </c>
      <c r="BC27" s="39"/>
      <c r="BD27" s="39">
        <v>-4.2999999999999983E-2</v>
      </c>
      <c r="BE27" s="39"/>
      <c r="BF27" s="30" t="s">
        <v>23</v>
      </c>
      <c r="BG27" s="47" t="s">
        <v>24</v>
      </c>
      <c r="BH27" s="40">
        <f t="shared" si="29"/>
        <v>0.34599999999999997</v>
      </c>
      <c r="BI27" s="40">
        <f t="shared" si="30"/>
        <v>0.43799999999999994</v>
      </c>
      <c r="BJ27" s="39">
        <f t="shared" si="11"/>
        <v>0.43799999999999994</v>
      </c>
      <c r="BK27" s="39">
        <f t="shared" si="31"/>
        <v>0.21899999999999997</v>
      </c>
      <c r="BL27" s="40">
        <v>0.1</v>
      </c>
      <c r="BM27" s="39">
        <f t="shared" si="32"/>
        <v>8.7599999999999997E-2</v>
      </c>
      <c r="BN27" s="29">
        <f t="shared" si="33"/>
        <v>0</v>
      </c>
      <c r="BO27" s="29"/>
      <c r="BP27" s="29">
        <f t="shared" si="7"/>
        <v>3.7500000000001421E-2</v>
      </c>
      <c r="BQ27" s="29">
        <v>0.01</v>
      </c>
      <c r="BR27" s="39">
        <v>0.05</v>
      </c>
      <c r="BS27" s="29">
        <f t="shared" si="8"/>
        <v>0.24410000000000001</v>
      </c>
      <c r="BT27" s="39"/>
      <c r="BU27" s="39"/>
      <c r="BV27" s="39"/>
      <c r="BW27" s="40">
        <v>0.03</v>
      </c>
      <c r="BX27" s="40">
        <v>0.04</v>
      </c>
      <c r="BY27" s="29">
        <v>0.1</v>
      </c>
      <c r="BZ27" s="39">
        <f t="shared" si="12"/>
        <v>0</v>
      </c>
      <c r="CA27" s="29">
        <f t="shared" si="9"/>
        <v>1.58</v>
      </c>
      <c r="CB27" s="29"/>
      <c r="CC27" s="29">
        <f t="shared" si="13"/>
        <v>-8.9710000000000001</v>
      </c>
      <c r="CD27" s="29"/>
      <c r="CE27" s="29">
        <f t="shared" si="14"/>
        <v>0.37646489876215566</v>
      </c>
      <c r="CF27" s="29">
        <f t="shared" si="15"/>
        <v>0.37646489876215566</v>
      </c>
      <c r="CG27" s="29">
        <f t="shared" si="16"/>
        <v>0.75292979752431133</v>
      </c>
      <c r="CH27" s="1"/>
      <c r="CI27" s="1"/>
      <c r="CJ27" s="1"/>
      <c r="CK27" s="1"/>
      <c r="CL27" s="1"/>
      <c r="CM27" s="1"/>
      <c r="CN27" s="1"/>
      <c r="CO27" s="1"/>
    </row>
    <row r="28" spans="1:158" ht="15" customHeight="1">
      <c r="A28" s="37" t="s">
        <v>276</v>
      </c>
      <c r="B28" s="47" t="s">
        <v>161</v>
      </c>
      <c r="C28" s="53">
        <v>29.8977</v>
      </c>
      <c r="D28" s="53">
        <v>-90.379499999999993</v>
      </c>
      <c r="E28" s="54">
        <v>753040</v>
      </c>
      <c r="F28" s="54">
        <v>3310340</v>
      </c>
      <c r="G28" s="37" t="s">
        <v>28</v>
      </c>
      <c r="H28" s="55" t="s">
        <v>135</v>
      </c>
      <c r="I28" s="30" t="s">
        <v>136</v>
      </c>
      <c r="J28" s="37" t="s">
        <v>95</v>
      </c>
      <c r="K28" s="42" t="s">
        <v>173</v>
      </c>
      <c r="L28" s="55" t="s">
        <v>22</v>
      </c>
      <c r="M28" s="47"/>
      <c r="N28" s="29">
        <f>X28-W28</f>
        <v>1.9999999999999574E-2</v>
      </c>
      <c r="O28" s="39"/>
      <c r="P28" s="39">
        <f>N28*2.5</f>
        <v>4.9999999999998934E-2</v>
      </c>
      <c r="Q28" s="37" t="s">
        <v>107</v>
      </c>
      <c r="R28" s="37" t="s">
        <v>27</v>
      </c>
      <c r="S28" s="39">
        <f>W28</f>
        <v>18.18</v>
      </c>
      <c r="T28" s="39">
        <v>0</v>
      </c>
      <c r="U28" s="30" t="s">
        <v>133</v>
      </c>
      <c r="V28" s="56">
        <v>0</v>
      </c>
      <c r="W28" s="39">
        <v>18.18</v>
      </c>
      <c r="X28" s="41">
        <v>18.2</v>
      </c>
      <c r="Y28" s="41">
        <f>(W28+X28)/2</f>
        <v>18.189999999999998</v>
      </c>
      <c r="Z28" s="57" t="s">
        <v>100</v>
      </c>
      <c r="AA28" s="41">
        <v>0</v>
      </c>
      <c r="AB28" s="29">
        <f>V28-W28+AA28</f>
        <v>-18.18</v>
      </c>
      <c r="AC28" s="29">
        <f>V28-X28+AA28</f>
        <v>-18.2</v>
      </c>
      <c r="AD28" s="29">
        <f>V28-Y28+AA28</f>
        <v>-18.189999999999998</v>
      </c>
      <c r="AE28" s="30" t="s">
        <v>69</v>
      </c>
      <c r="AF28" s="42" t="s">
        <v>138</v>
      </c>
      <c r="AG28" s="48">
        <v>3</v>
      </c>
      <c r="AH28" s="48">
        <v>7971</v>
      </c>
      <c r="AI28" s="48">
        <v>20</v>
      </c>
      <c r="AJ28" s="58"/>
      <c r="AK28" s="49">
        <v>-16.66</v>
      </c>
      <c r="AL28" s="48"/>
      <c r="AM28" s="48"/>
      <c r="AN28" s="31">
        <f>AH28+AL28</f>
        <v>7971</v>
      </c>
      <c r="AO28" s="31">
        <f>(AI28^2+AJ28^2+AM28^2)^0.5</f>
        <v>20</v>
      </c>
      <c r="AP28" s="59"/>
      <c r="AQ28" s="59"/>
      <c r="AR28" s="59">
        <v>8990</v>
      </c>
      <c r="AS28" s="60">
        <v>8650</v>
      </c>
      <c r="AT28" s="60">
        <v>8860</v>
      </c>
      <c r="AU28" s="39">
        <v>0.12</v>
      </c>
      <c r="AV28" s="39">
        <v>0.55000000000000004</v>
      </c>
      <c r="AW28" s="39"/>
      <c r="AX28" s="39"/>
      <c r="AY28" s="40"/>
      <c r="AZ28" s="39"/>
      <c r="BA28" s="39">
        <v>0.1</v>
      </c>
      <c r="BB28" s="40"/>
      <c r="BC28" s="40"/>
      <c r="BD28" s="39"/>
      <c r="BE28" s="39"/>
      <c r="BF28" s="30" t="s">
        <v>23</v>
      </c>
      <c r="BG28" s="47" t="s">
        <v>24</v>
      </c>
      <c r="BH28" s="40">
        <f t="shared" si="29"/>
        <v>0.32500000000000001</v>
      </c>
      <c r="BI28" s="40">
        <f t="shared" si="30"/>
        <v>0.45000000000000007</v>
      </c>
      <c r="BJ28" s="39">
        <f>IF(AR28&gt;8000,1.5*BI28,BI28)</f>
        <v>0.67500000000000004</v>
      </c>
      <c r="BK28" s="39">
        <f>BI28/2</f>
        <v>0.22500000000000003</v>
      </c>
      <c r="BL28" s="40">
        <v>0.1</v>
      </c>
      <c r="BM28" s="39">
        <f>0.2*BI28</f>
        <v>9.0000000000000024E-2</v>
      </c>
      <c r="BN28" s="29">
        <f>(((BI28-BJ28)^2)^0.5)/2</f>
        <v>0.11249999999999999</v>
      </c>
      <c r="BO28" s="29"/>
      <c r="BP28" s="29">
        <f t="shared" si="7"/>
        <v>2.4999999999999467E-2</v>
      </c>
      <c r="BQ28" s="39">
        <v>0.01</v>
      </c>
      <c r="BR28" s="39">
        <v>0.15</v>
      </c>
      <c r="BS28" s="29">
        <f t="shared" si="8"/>
        <v>0.36379999999999996</v>
      </c>
      <c r="BT28" s="39"/>
      <c r="BU28" s="39"/>
      <c r="BV28" s="39"/>
      <c r="BW28" s="39"/>
      <c r="BX28" s="40">
        <v>0.1</v>
      </c>
      <c r="BY28" s="39"/>
      <c r="BZ28" s="39">
        <f t="shared" si="12"/>
        <v>0</v>
      </c>
      <c r="CA28" s="29">
        <f t="shared" si="9"/>
        <v>1.772</v>
      </c>
      <c r="CB28" s="39"/>
      <c r="CC28" s="29">
        <f t="shared" si="13"/>
        <v>-16.742999999999999</v>
      </c>
      <c r="CD28" s="29"/>
      <c r="CE28" s="29">
        <f t="shared" si="14"/>
        <v>0.49694737145899054</v>
      </c>
      <c r="CF28" s="29">
        <f t="shared" si="15"/>
        <v>0.49694737145899054</v>
      </c>
      <c r="CG28" s="29">
        <f t="shared" si="16"/>
        <v>0.99389474291798108</v>
      </c>
    </row>
    <row r="29" spans="1:158" ht="15.4">
      <c r="A29" s="37" t="s">
        <v>276</v>
      </c>
      <c r="B29" s="47" t="s">
        <v>161</v>
      </c>
      <c r="C29" s="53">
        <v>29.898</v>
      </c>
      <c r="D29" s="53">
        <v>-90.388000000000005</v>
      </c>
      <c r="E29" s="54">
        <v>752220</v>
      </c>
      <c r="F29" s="54">
        <v>3310350</v>
      </c>
      <c r="G29" s="37" t="s">
        <v>28</v>
      </c>
      <c r="H29" s="55" t="s">
        <v>135</v>
      </c>
      <c r="I29" s="37" t="s">
        <v>137</v>
      </c>
      <c r="J29" s="37" t="s">
        <v>95</v>
      </c>
      <c r="K29" s="64" t="s">
        <v>150</v>
      </c>
      <c r="L29" s="55" t="s">
        <v>22</v>
      </c>
      <c r="M29" s="47"/>
      <c r="N29" s="29">
        <f>X29-W29</f>
        <v>1.9999999999999574E-2</v>
      </c>
      <c r="O29" s="39"/>
      <c r="P29" s="39">
        <f>N29*2.5</f>
        <v>4.9999999999998934E-2</v>
      </c>
      <c r="Q29" s="37" t="s">
        <v>107</v>
      </c>
      <c r="R29" s="37" t="s">
        <v>27</v>
      </c>
      <c r="S29" s="39">
        <f>W29</f>
        <v>18.72</v>
      </c>
      <c r="T29" s="39">
        <v>0</v>
      </c>
      <c r="U29" s="30" t="s">
        <v>133</v>
      </c>
      <c r="V29" s="56">
        <v>0.7</v>
      </c>
      <c r="W29" s="39">
        <v>18.72</v>
      </c>
      <c r="X29" s="41">
        <v>18.739999999999998</v>
      </c>
      <c r="Y29" s="41">
        <f>(W29+X29)/2</f>
        <v>18.729999999999997</v>
      </c>
      <c r="Z29" s="57" t="s">
        <v>100</v>
      </c>
      <c r="AA29" s="41">
        <v>0</v>
      </c>
      <c r="AB29" s="29">
        <f>V29-W29+AA29</f>
        <v>-18.02</v>
      </c>
      <c r="AC29" s="29">
        <f>V29-X29+AA29</f>
        <v>-18.04</v>
      </c>
      <c r="AD29" s="29">
        <f>V29-Y29+AA29</f>
        <v>-18.029999999999998</v>
      </c>
      <c r="AE29" s="30" t="s">
        <v>69</v>
      </c>
      <c r="AF29" s="42" t="s">
        <v>139</v>
      </c>
      <c r="AG29" s="48">
        <v>5</v>
      </c>
      <c r="AH29" s="48">
        <v>7936</v>
      </c>
      <c r="AI29" s="48">
        <v>30</v>
      </c>
      <c r="AJ29" s="58"/>
      <c r="AK29" s="49">
        <v>-21.05</v>
      </c>
      <c r="AL29" s="48"/>
      <c r="AM29" s="48"/>
      <c r="AN29" s="31">
        <f>AH29+AL29</f>
        <v>7936</v>
      </c>
      <c r="AO29" s="31">
        <f>(AI29^2+AJ29^2+AM29^2)^0.5</f>
        <v>30</v>
      </c>
      <c r="AP29" s="59"/>
      <c r="AQ29" s="59"/>
      <c r="AR29" s="59">
        <v>8990</v>
      </c>
      <c r="AS29" s="60">
        <v>8630</v>
      </c>
      <c r="AT29" s="60">
        <v>8790</v>
      </c>
      <c r="AU29" s="39">
        <v>0.12</v>
      </c>
      <c r="AV29" s="39">
        <v>0.55000000000000004</v>
      </c>
      <c r="AW29" s="39"/>
      <c r="AX29" s="39"/>
      <c r="AY29" s="40"/>
      <c r="AZ29" s="39"/>
      <c r="BA29" s="39">
        <v>0.1</v>
      </c>
      <c r="BB29" s="40"/>
      <c r="BC29" s="40"/>
      <c r="BD29" s="39"/>
      <c r="BE29" s="39"/>
      <c r="BF29" s="30" t="s">
        <v>23</v>
      </c>
      <c r="BG29" s="47" t="s">
        <v>24</v>
      </c>
      <c r="BH29" s="40">
        <f t="shared" si="29"/>
        <v>0.32500000000000001</v>
      </c>
      <c r="BI29" s="40">
        <f t="shared" si="30"/>
        <v>0.45000000000000007</v>
      </c>
      <c r="BJ29" s="39">
        <f t="shared" si="11"/>
        <v>0.67500000000000004</v>
      </c>
      <c r="BK29" s="39">
        <f>BI29/2</f>
        <v>0.22500000000000003</v>
      </c>
      <c r="BL29" s="40">
        <v>0.1</v>
      </c>
      <c r="BM29" s="39">
        <f>0.2*BI29</f>
        <v>9.0000000000000024E-2</v>
      </c>
      <c r="BN29" s="29">
        <f>(((BI29-BJ29)^2)^0.5)/2</f>
        <v>0.11249999999999999</v>
      </c>
      <c r="BO29" s="29"/>
      <c r="BP29" s="29">
        <f t="shared" si="7"/>
        <v>2.4999999999999467E-2</v>
      </c>
      <c r="BQ29" s="39">
        <v>0.01</v>
      </c>
      <c r="BR29" s="39">
        <v>0.15</v>
      </c>
      <c r="BS29" s="29">
        <f t="shared" si="8"/>
        <v>0.37459999999999993</v>
      </c>
      <c r="BT29" s="39"/>
      <c r="BU29" s="39"/>
      <c r="BV29" s="39"/>
      <c r="BW29" s="39"/>
      <c r="BX29" s="40">
        <v>0.1</v>
      </c>
      <c r="BY29" s="39"/>
      <c r="BZ29" s="39">
        <f t="shared" si="12"/>
        <v>0</v>
      </c>
      <c r="CA29" s="29">
        <f t="shared" si="9"/>
        <v>1.758</v>
      </c>
      <c r="CB29" s="39"/>
      <c r="CC29" s="29">
        <f t="shared" si="13"/>
        <v>-16.596999999999998</v>
      </c>
      <c r="CD29" s="29"/>
      <c r="CE29" s="29">
        <f t="shared" si="14"/>
        <v>0.50490732813061834</v>
      </c>
      <c r="CF29" s="29">
        <f t="shared" si="15"/>
        <v>0.50490732813061834</v>
      </c>
      <c r="CG29" s="29">
        <f t="shared" si="16"/>
        <v>1.0098146562612367</v>
      </c>
    </row>
    <row r="30" spans="1:158" s="37" customFormat="1" ht="15.4">
      <c r="A30" s="37" t="s">
        <v>277</v>
      </c>
      <c r="B30" s="37" t="s">
        <v>312</v>
      </c>
      <c r="C30" s="38">
        <v>51.9561417663</v>
      </c>
      <c r="D30" s="38">
        <v>3.9956373946500001</v>
      </c>
      <c r="H30" s="37" t="s">
        <v>183</v>
      </c>
      <c r="I30" s="37" t="s">
        <v>205</v>
      </c>
      <c r="J30" s="37" t="s">
        <v>280</v>
      </c>
      <c r="K30" s="37" t="s">
        <v>334</v>
      </c>
      <c r="L30" s="37" t="s">
        <v>22</v>
      </c>
      <c r="N30" s="39">
        <v>0.01</v>
      </c>
      <c r="O30" s="39"/>
      <c r="P30" s="39">
        <f t="shared" ref="P30:P79" si="34">N30*2.5</f>
        <v>2.5000000000000001E-2</v>
      </c>
      <c r="Q30" s="37" t="s">
        <v>235</v>
      </c>
      <c r="S30" s="39">
        <f>Y30</f>
        <v>19.63</v>
      </c>
      <c r="T30" s="39">
        <v>0</v>
      </c>
      <c r="U30" s="37" t="s">
        <v>333</v>
      </c>
      <c r="V30" s="40">
        <f>AD30+Y30</f>
        <v>-5.000000000002558E-3</v>
      </c>
      <c r="Y30" s="41">
        <v>19.63</v>
      </c>
      <c r="Z30" s="37" t="s">
        <v>243</v>
      </c>
      <c r="AD30" s="29">
        <v>-19.635000000000002</v>
      </c>
      <c r="AE30" s="37" t="s">
        <v>69</v>
      </c>
      <c r="AF30" s="42" t="s">
        <v>254</v>
      </c>
      <c r="AH30" s="31">
        <v>7700</v>
      </c>
      <c r="AI30" s="31">
        <v>60</v>
      </c>
      <c r="AK30" s="31">
        <v>-27.3</v>
      </c>
      <c r="AN30" s="31">
        <f t="shared" ref="AN30:AN79" si="35">AH30+AL30</f>
        <v>7700</v>
      </c>
      <c r="AO30" s="31">
        <f>(AI30^2+AJ30^2+AM30^2)^0.5</f>
        <v>60</v>
      </c>
      <c r="AP30" s="31"/>
      <c r="AQ30" s="31"/>
      <c r="AR30" s="31">
        <v>8600</v>
      </c>
      <c r="AS30" s="31">
        <v>8390</v>
      </c>
      <c r="AT30" s="31">
        <v>8490</v>
      </c>
      <c r="AU30" s="29"/>
      <c r="AV30" s="29">
        <v>1.59</v>
      </c>
      <c r="AW30" s="29">
        <v>1.19</v>
      </c>
      <c r="AX30" s="29">
        <v>0.79</v>
      </c>
      <c r="AY30" s="29"/>
      <c r="AZ30" s="29"/>
      <c r="BA30" s="29">
        <v>0</v>
      </c>
      <c r="BB30" s="29"/>
      <c r="BC30" s="29">
        <v>-0.71</v>
      </c>
      <c r="BD30" s="29"/>
      <c r="BE30" s="29">
        <v>-1.1100000000000001</v>
      </c>
      <c r="BF30" s="37" t="s">
        <v>23</v>
      </c>
      <c r="BG30" s="37" t="s">
        <v>24</v>
      </c>
      <c r="BH30" s="29">
        <f t="shared" ref="BH30:BH46" si="36">(AV30+BA30)/2</f>
        <v>0.79500000000000004</v>
      </c>
      <c r="BI30" s="29">
        <f t="shared" ref="BI30:BI79" si="37">AV30-BA30</f>
        <v>1.59</v>
      </c>
      <c r="BJ30" s="29">
        <f t="shared" ref="BJ30:BJ56" si="38">BI30</f>
        <v>1.59</v>
      </c>
      <c r="BK30" s="29">
        <f t="shared" ref="BK30:BK79" si="39">BI30/2</f>
        <v>0.79500000000000004</v>
      </c>
      <c r="BL30" s="29">
        <f>0.2*BH30</f>
        <v>0.15900000000000003</v>
      </c>
      <c r="BM30" s="29">
        <f t="shared" ref="BM30:BM79" si="40">0.2*BI30</f>
        <v>0.31800000000000006</v>
      </c>
      <c r="BN30" s="29">
        <f t="shared" ref="BN30:BN57" si="41">(((BI30-BJ30)^2)^0.5)/2</f>
        <v>0</v>
      </c>
      <c r="BO30" s="29"/>
      <c r="BP30" s="29">
        <f t="shared" si="7"/>
        <v>1.2500000000000001E-2</v>
      </c>
      <c r="BQ30" s="29">
        <v>0.02</v>
      </c>
      <c r="BR30" s="29">
        <v>0.05</v>
      </c>
      <c r="BS30" s="29">
        <f t="shared" si="8"/>
        <v>0.3926</v>
      </c>
      <c r="BT30" s="29"/>
      <c r="BU30" s="29"/>
      <c r="BV30" s="29">
        <v>0.1963</v>
      </c>
      <c r="BW30" s="29"/>
      <c r="BX30" s="29"/>
      <c r="BY30" s="29">
        <v>0.02</v>
      </c>
      <c r="BZ30" s="39">
        <f t="shared" si="12"/>
        <v>0</v>
      </c>
      <c r="CA30" s="29">
        <f t="shared" ref="CA30:CA56" si="42">AT30*0.0001</f>
        <v>0.84900000000000009</v>
      </c>
      <c r="CB30" s="29">
        <v>0.18</v>
      </c>
      <c r="CC30" s="29">
        <f t="shared" si="13"/>
        <v>-19.401000000000003</v>
      </c>
      <c r="CD30" s="29"/>
      <c r="CE30" s="29">
        <f t="shared" si="14"/>
        <v>0.97701315241914721</v>
      </c>
      <c r="CF30" s="29">
        <f t="shared" si="15"/>
        <v>0.97701315241914721</v>
      </c>
      <c r="CG30" s="29">
        <f t="shared" si="16"/>
        <v>1.9540263048382944</v>
      </c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</row>
    <row r="31" spans="1:158" s="37" customFormat="1" ht="15.4">
      <c r="A31" s="37" t="s">
        <v>277</v>
      </c>
      <c r="B31" s="37" t="s">
        <v>312</v>
      </c>
      <c r="C31" s="38">
        <v>51.961024328100002</v>
      </c>
      <c r="D31" s="38">
        <v>4.0003170001599999</v>
      </c>
      <c r="H31" s="37" t="s">
        <v>183</v>
      </c>
      <c r="I31" s="37" t="s">
        <v>244</v>
      </c>
      <c r="J31" s="37" t="s">
        <v>280</v>
      </c>
      <c r="K31" s="37" t="s">
        <v>335</v>
      </c>
      <c r="L31" s="37" t="s">
        <v>22</v>
      </c>
      <c r="N31" s="39">
        <v>0.03</v>
      </c>
      <c r="O31" s="39"/>
      <c r="P31" s="39">
        <f t="shared" si="34"/>
        <v>7.4999999999999997E-2</v>
      </c>
      <c r="Q31" s="37" t="s">
        <v>235</v>
      </c>
      <c r="S31" s="39">
        <f t="shared" ref="S31:S62" si="43">Y31</f>
        <v>21.43</v>
      </c>
      <c r="T31" s="39">
        <v>0.35</v>
      </c>
      <c r="U31" s="37" t="s">
        <v>333</v>
      </c>
      <c r="V31" s="40">
        <f t="shared" ref="V31:V56" si="44">AD31+Y31</f>
        <v>-1.5000000000000568E-2</v>
      </c>
      <c r="Y31" s="41">
        <v>21.43</v>
      </c>
      <c r="Z31" s="37" t="s">
        <v>243</v>
      </c>
      <c r="AD31" s="29">
        <v>-21.445</v>
      </c>
      <c r="AE31" s="37" t="s">
        <v>69</v>
      </c>
      <c r="AF31" s="42" t="s">
        <v>255</v>
      </c>
      <c r="AH31" s="31">
        <v>7910</v>
      </c>
      <c r="AI31" s="31">
        <v>80</v>
      </c>
      <c r="AK31" s="31">
        <v>-26.3</v>
      </c>
      <c r="AN31" s="31">
        <f t="shared" si="35"/>
        <v>7910</v>
      </c>
      <c r="AO31" s="31">
        <f t="shared" ref="AO31:AO79" si="45">(AI31^2+AJ31^2+AM31^2)^0.5</f>
        <v>80</v>
      </c>
      <c r="AP31" s="31"/>
      <c r="AQ31" s="31"/>
      <c r="AR31" s="31">
        <v>9000</v>
      </c>
      <c r="AS31" s="31">
        <v>8550</v>
      </c>
      <c r="AT31" s="31">
        <v>8770</v>
      </c>
      <c r="AU31" s="29"/>
      <c r="AV31" s="29">
        <v>1.59</v>
      </c>
      <c r="AW31" s="29">
        <v>1.19</v>
      </c>
      <c r="AX31" s="29">
        <v>0.79</v>
      </c>
      <c r="AY31" s="29"/>
      <c r="AZ31" s="29"/>
      <c r="BA31" s="29">
        <v>0</v>
      </c>
      <c r="BB31" s="29"/>
      <c r="BC31" s="29">
        <v>-0.71</v>
      </c>
      <c r="BD31" s="29"/>
      <c r="BE31" s="29">
        <v>-1.1100000000000001</v>
      </c>
      <c r="BF31" s="37" t="s">
        <v>23</v>
      </c>
      <c r="BG31" s="37" t="s">
        <v>24</v>
      </c>
      <c r="BH31" s="29">
        <f t="shared" si="36"/>
        <v>0.79500000000000004</v>
      </c>
      <c r="BI31" s="29">
        <f t="shared" si="37"/>
        <v>1.59</v>
      </c>
      <c r="BJ31" s="29">
        <f t="shared" si="38"/>
        <v>1.59</v>
      </c>
      <c r="BK31" s="29">
        <f t="shared" si="39"/>
        <v>0.79500000000000004</v>
      </c>
      <c r="BL31" s="29">
        <f t="shared" ref="BL31:BL79" si="46">0.2*BH31</f>
        <v>0.15900000000000003</v>
      </c>
      <c r="BM31" s="29">
        <f t="shared" si="40"/>
        <v>0.31800000000000006</v>
      </c>
      <c r="BN31" s="29">
        <f t="shared" si="41"/>
        <v>0</v>
      </c>
      <c r="BO31" s="29"/>
      <c r="BP31" s="29">
        <f t="shared" si="7"/>
        <v>3.7499999999999999E-2</v>
      </c>
      <c r="BQ31" s="29">
        <v>0.02</v>
      </c>
      <c r="BR31" s="29">
        <v>0.05</v>
      </c>
      <c r="BS31" s="29">
        <f t="shared" si="8"/>
        <v>0.42859999999999998</v>
      </c>
      <c r="BT31" s="29"/>
      <c r="BU31" s="29"/>
      <c r="BV31" s="29">
        <v>0.21429999999999999</v>
      </c>
      <c r="BW31" s="29"/>
      <c r="BX31" s="29"/>
      <c r="BY31" s="29">
        <v>0.02</v>
      </c>
      <c r="BZ31" s="39">
        <f t="shared" si="12"/>
        <v>1.4</v>
      </c>
      <c r="CA31" s="29">
        <f t="shared" si="42"/>
        <v>0.877</v>
      </c>
      <c r="CB31" s="29">
        <v>0.19220000000000001</v>
      </c>
      <c r="CC31" s="29">
        <f t="shared" si="13"/>
        <v>-19.770800000000005</v>
      </c>
      <c r="CD31" s="29"/>
      <c r="CE31" s="29">
        <f t="shared" si="14"/>
        <v>0.99637277160709281</v>
      </c>
      <c r="CF31" s="29">
        <f t="shared" si="15"/>
        <v>0.99637277160709281</v>
      </c>
      <c r="CG31" s="29">
        <f t="shared" si="16"/>
        <v>1.9927455432141856</v>
      </c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</row>
    <row r="32" spans="1:158" s="37" customFormat="1">
      <c r="A32" s="37" t="s">
        <v>277</v>
      </c>
      <c r="B32" s="37" t="s">
        <v>314</v>
      </c>
      <c r="C32" s="38">
        <v>51.781480645199998</v>
      </c>
      <c r="D32" s="38">
        <v>4.3738978709099996</v>
      </c>
      <c r="H32" s="37" t="s">
        <v>245</v>
      </c>
      <c r="J32" s="37" t="s">
        <v>280</v>
      </c>
      <c r="K32" s="37" t="s">
        <v>311</v>
      </c>
      <c r="L32" s="37" t="s">
        <v>22</v>
      </c>
      <c r="N32" s="39">
        <v>0.01</v>
      </c>
      <c r="O32" s="39"/>
      <c r="P32" s="39">
        <f t="shared" si="34"/>
        <v>2.5000000000000001E-2</v>
      </c>
      <c r="Q32" s="37" t="s">
        <v>236</v>
      </c>
      <c r="R32" s="37" t="s">
        <v>238</v>
      </c>
      <c r="S32" s="39">
        <f t="shared" si="43"/>
        <v>13.88</v>
      </c>
      <c r="T32" s="39">
        <v>0.01</v>
      </c>
      <c r="V32" s="40">
        <f t="shared" si="44"/>
        <v>-0.42499999999999893</v>
      </c>
      <c r="Y32" s="41">
        <v>13.88</v>
      </c>
      <c r="Z32" s="37" t="s">
        <v>243</v>
      </c>
      <c r="AD32" s="29">
        <v>-14.305</v>
      </c>
      <c r="AE32" s="37" t="s">
        <v>69</v>
      </c>
      <c r="AF32" s="42" t="s">
        <v>250</v>
      </c>
      <c r="AH32" s="31">
        <v>7185</v>
      </c>
      <c r="AI32" s="31">
        <v>40</v>
      </c>
      <c r="AK32" s="31"/>
      <c r="AN32" s="31">
        <f t="shared" si="35"/>
        <v>7185</v>
      </c>
      <c r="AO32" s="31">
        <f t="shared" si="45"/>
        <v>40</v>
      </c>
      <c r="AP32" s="31"/>
      <c r="AQ32" s="31"/>
      <c r="AR32" s="31">
        <v>8170</v>
      </c>
      <c r="AS32" s="31">
        <v>7870</v>
      </c>
      <c r="AT32" s="31">
        <v>7990</v>
      </c>
      <c r="AU32" s="29"/>
      <c r="AV32" s="29">
        <v>1.59</v>
      </c>
      <c r="AW32" s="29">
        <v>1.19</v>
      </c>
      <c r="AX32" s="29">
        <v>0.79</v>
      </c>
      <c r="AY32" s="29"/>
      <c r="AZ32" s="29"/>
      <c r="BA32" s="29">
        <v>0</v>
      </c>
      <c r="BB32" s="29"/>
      <c r="BC32" s="29">
        <v>-0.71</v>
      </c>
      <c r="BD32" s="29"/>
      <c r="BE32" s="29">
        <v>-1.1100000000000001</v>
      </c>
      <c r="BF32" s="37" t="s">
        <v>23</v>
      </c>
      <c r="BG32" s="37" t="s">
        <v>24</v>
      </c>
      <c r="BH32" s="29">
        <f t="shared" si="36"/>
        <v>0.79500000000000004</v>
      </c>
      <c r="BI32" s="29">
        <f t="shared" si="37"/>
        <v>1.59</v>
      </c>
      <c r="BJ32" s="29">
        <f t="shared" si="38"/>
        <v>1.59</v>
      </c>
      <c r="BK32" s="29">
        <f t="shared" si="39"/>
        <v>0.79500000000000004</v>
      </c>
      <c r="BL32" s="29">
        <f t="shared" si="46"/>
        <v>0.15900000000000003</v>
      </c>
      <c r="BM32" s="29">
        <f t="shared" si="40"/>
        <v>0.31800000000000006</v>
      </c>
      <c r="BN32" s="29">
        <f t="shared" si="41"/>
        <v>0</v>
      </c>
      <c r="BO32" s="29"/>
      <c r="BP32" s="29">
        <f t="shared" si="7"/>
        <v>1.2500000000000001E-2</v>
      </c>
      <c r="BQ32" s="29">
        <v>0.02</v>
      </c>
      <c r="BR32" s="29">
        <v>0.05</v>
      </c>
      <c r="BS32" s="29">
        <f t="shared" si="8"/>
        <v>0.27760000000000001</v>
      </c>
      <c r="BT32" s="29"/>
      <c r="BU32" s="29"/>
      <c r="BV32" s="29"/>
      <c r="BW32" s="29">
        <v>0.01</v>
      </c>
      <c r="BX32" s="29"/>
      <c r="BY32" s="29">
        <v>0.02</v>
      </c>
      <c r="BZ32" s="39">
        <f t="shared" si="12"/>
        <v>2.5000000000000001E-2</v>
      </c>
      <c r="CA32" s="29">
        <f t="shared" si="42"/>
        <v>0.79900000000000004</v>
      </c>
      <c r="CB32" s="29">
        <v>-0.33985714285714286</v>
      </c>
      <c r="CC32" s="29">
        <f t="shared" si="13"/>
        <v>-14.615857142857143</v>
      </c>
      <c r="CD32" s="29"/>
      <c r="CE32" s="29">
        <f t="shared" si="14"/>
        <v>0.91599563863590516</v>
      </c>
      <c r="CF32" s="29">
        <f t="shared" si="15"/>
        <v>0.91599563863590516</v>
      </c>
      <c r="CG32" s="29">
        <f t="shared" si="16"/>
        <v>1.8319912772718103</v>
      </c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</row>
    <row r="33" spans="1:158" s="37" customFormat="1">
      <c r="A33" s="37" t="s">
        <v>277</v>
      </c>
      <c r="B33" s="37" t="s">
        <v>315</v>
      </c>
      <c r="C33" s="38">
        <v>52.1180537794</v>
      </c>
      <c r="D33" s="38">
        <v>4.3913587967799996</v>
      </c>
      <c r="H33" s="37" t="s">
        <v>245</v>
      </c>
      <c r="J33" s="37" t="s">
        <v>280</v>
      </c>
      <c r="K33" s="37" t="s">
        <v>311</v>
      </c>
      <c r="L33" s="37" t="s">
        <v>22</v>
      </c>
      <c r="N33" s="39">
        <v>0.02</v>
      </c>
      <c r="O33" s="39"/>
      <c r="P33" s="39">
        <f t="shared" si="34"/>
        <v>0.05</v>
      </c>
      <c r="Q33" s="37" t="s">
        <v>235</v>
      </c>
      <c r="R33" s="37" t="s">
        <v>238</v>
      </c>
      <c r="S33" s="39">
        <f t="shared" si="43"/>
        <v>15.14</v>
      </c>
      <c r="T33" s="39">
        <v>0.02</v>
      </c>
      <c r="V33" s="40">
        <f t="shared" si="44"/>
        <v>-0.39999999999999858</v>
      </c>
      <c r="Y33" s="41">
        <v>15.14</v>
      </c>
      <c r="Z33" s="37" t="s">
        <v>243</v>
      </c>
      <c r="AD33" s="29">
        <v>-15.54</v>
      </c>
      <c r="AE33" s="37" t="s">
        <v>69</v>
      </c>
      <c r="AF33" s="42" t="s">
        <v>251</v>
      </c>
      <c r="AH33" s="31">
        <v>7350</v>
      </c>
      <c r="AI33" s="31">
        <v>45</v>
      </c>
      <c r="AK33" s="31"/>
      <c r="AN33" s="31">
        <f t="shared" si="35"/>
        <v>7350</v>
      </c>
      <c r="AO33" s="31">
        <f t="shared" si="45"/>
        <v>45</v>
      </c>
      <c r="AP33" s="31"/>
      <c r="AQ33" s="31"/>
      <c r="AR33" s="31">
        <v>8320</v>
      </c>
      <c r="AS33" s="31">
        <v>8020</v>
      </c>
      <c r="AT33" s="31">
        <v>8140</v>
      </c>
      <c r="AU33" s="29"/>
      <c r="AV33" s="29">
        <v>1.59</v>
      </c>
      <c r="AW33" s="29">
        <v>1.19</v>
      </c>
      <c r="AX33" s="29">
        <v>0.79</v>
      </c>
      <c r="AY33" s="29"/>
      <c r="AZ33" s="29"/>
      <c r="BA33" s="29">
        <v>0</v>
      </c>
      <c r="BB33" s="29"/>
      <c r="BC33" s="29">
        <v>-0.71</v>
      </c>
      <c r="BD33" s="29"/>
      <c r="BE33" s="29">
        <v>-1.1100000000000001</v>
      </c>
      <c r="BF33" s="37" t="s">
        <v>23</v>
      </c>
      <c r="BG33" s="37" t="s">
        <v>24</v>
      </c>
      <c r="BH33" s="29">
        <f t="shared" si="36"/>
        <v>0.79500000000000004</v>
      </c>
      <c r="BI33" s="29">
        <f t="shared" si="37"/>
        <v>1.59</v>
      </c>
      <c r="BJ33" s="29">
        <f t="shared" si="38"/>
        <v>1.59</v>
      </c>
      <c r="BK33" s="29">
        <f t="shared" si="39"/>
        <v>0.79500000000000004</v>
      </c>
      <c r="BL33" s="29">
        <f t="shared" si="46"/>
        <v>0.15900000000000003</v>
      </c>
      <c r="BM33" s="29">
        <f t="shared" si="40"/>
        <v>0.31800000000000006</v>
      </c>
      <c r="BN33" s="29">
        <f t="shared" si="41"/>
        <v>0</v>
      </c>
      <c r="BO33" s="29"/>
      <c r="BP33" s="29">
        <f t="shared" si="7"/>
        <v>2.5000000000000001E-2</v>
      </c>
      <c r="BQ33" s="29">
        <v>0.02</v>
      </c>
      <c r="BR33" s="29">
        <v>0.05</v>
      </c>
      <c r="BS33" s="29">
        <f t="shared" si="8"/>
        <v>0.30280000000000001</v>
      </c>
      <c r="BT33" s="29"/>
      <c r="BU33" s="29"/>
      <c r="BV33" s="29"/>
      <c r="BW33" s="29">
        <v>0.01</v>
      </c>
      <c r="BX33" s="29"/>
      <c r="BY33" s="29">
        <v>0.02</v>
      </c>
      <c r="BZ33" s="39">
        <f t="shared" si="12"/>
        <v>0.05</v>
      </c>
      <c r="CA33" s="29">
        <f t="shared" si="42"/>
        <v>0.81400000000000006</v>
      </c>
      <c r="CB33" s="29">
        <v>0.64542999999999995</v>
      </c>
      <c r="CC33" s="29">
        <f t="shared" si="13"/>
        <v>-14.825570000000001</v>
      </c>
      <c r="CD33" s="29"/>
      <c r="CE33" s="29">
        <f t="shared" si="14"/>
        <v>0.92419848517512726</v>
      </c>
      <c r="CF33" s="29">
        <f t="shared" si="15"/>
        <v>0.92419848517512726</v>
      </c>
      <c r="CG33" s="29">
        <f t="shared" si="16"/>
        <v>1.8483969703502545</v>
      </c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</row>
    <row r="34" spans="1:158" s="37" customFormat="1">
      <c r="A34" s="37" t="s">
        <v>277</v>
      </c>
      <c r="B34" s="37" t="s">
        <v>314</v>
      </c>
      <c r="C34" s="38">
        <v>51.774029258100001</v>
      </c>
      <c r="D34" s="38">
        <v>4.2606512700200003</v>
      </c>
      <c r="H34" s="37" t="s">
        <v>245</v>
      </c>
      <c r="J34" s="37" t="s">
        <v>280</v>
      </c>
      <c r="K34" s="37" t="s">
        <v>311</v>
      </c>
      <c r="L34" s="37" t="s">
        <v>22</v>
      </c>
      <c r="N34" s="39">
        <v>0.05</v>
      </c>
      <c r="O34" s="39"/>
      <c r="P34" s="39">
        <f t="shared" si="34"/>
        <v>0.125</v>
      </c>
      <c r="Q34" s="37" t="s">
        <v>236</v>
      </c>
      <c r="R34" s="37" t="s">
        <v>238</v>
      </c>
      <c r="S34" s="39">
        <f t="shared" si="43"/>
        <v>17.600000000000001</v>
      </c>
      <c r="T34" s="39">
        <v>0.05</v>
      </c>
      <c r="V34" s="40">
        <f t="shared" si="44"/>
        <v>1.370000000000001</v>
      </c>
      <c r="Y34" s="41">
        <v>17.600000000000001</v>
      </c>
      <c r="Z34" s="37" t="s">
        <v>243</v>
      </c>
      <c r="AD34" s="29">
        <v>-16.23</v>
      </c>
      <c r="AE34" s="37" t="s">
        <v>69</v>
      </c>
      <c r="AF34" s="42" t="s">
        <v>252</v>
      </c>
      <c r="AH34" s="31">
        <v>7485</v>
      </c>
      <c r="AI34" s="31">
        <v>90</v>
      </c>
      <c r="AJ34" s="31"/>
      <c r="AK34" s="31">
        <v>-28.13</v>
      </c>
      <c r="AN34" s="31">
        <f t="shared" si="35"/>
        <v>7485</v>
      </c>
      <c r="AO34" s="31">
        <f t="shared" si="45"/>
        <v>90</v>
      </c>
      <c r="AP34" s="31"/>
      <c r="AQ34" s="31"/>
      <c r="AR34" s="31">
        <v>8430</v>
      </c>
      <c r="AS34" s="31">
        <v>8030</v>
      </c>
      <c r="AT34" s="31">
        <v>8280</v>
      </c>
      <c r="AU34" s="29"/>
      <c r="AV34" s="29">
        <v>1.59</v>
      </c>
      <c r="AW34" s="29">
        <v>1.19</v>
      </c>
      <c r="AX34" s="29">
        <v>0.79</v>
      </c>
      <c r="AY34" s="29"/>
      <c r="AZ34" s="29"/>
      <c r="BA34" s="29">
        <v>0</v>
      </c>
      <c r="BB34" s="29"/>
      <c r="BC34" s="29">
        <v>-0.71</v>
      </c>
      <c r="BD34" s="29"/>
      <c r="BE34" s="29">
        <v>-1.1100000000000001</v>
      </c>
      <c r="BF34" s="37" t="s">
        <v>23</v>
      </c>
      <c r="BG34" s="37" t="s">
        <v>24</v>
      </c>
      <c r="BH34" s="29">
        <f t="shared" si="36"/>
        <v>0.79500000000000004</v>
      </c>
      <c r="BI34" s="29">
        <f t="shared" si="37"/>
        <v>1.59</v>
      </c>
      <c r="BJ34" s="29">
        <f t="shared" si="38"/>
        <v>1.59</v>
      </c>
      <c r="BK34" s="29">
        <f t="shared" si="39"/>
        <v>0.79500000000000004</v>
      </c>
      <c r="BL34" s="29">
        <f t="shared" si="46"/>
        <v>0.15900000000000003</v>
      </c>
      <c r="BM34" s="29">
        <f t="shared" si="40"/>
        <v>0.31800000000000006</v>
      </c>
      <c r="BN34" s="29">
        <f t="shared" si="41"/>
        <v>0</v>
      </c>
      <c r="BO34" s="29"/>
      <c r="BP34" s="29">
        <v>2.5000000000000001E-2</v>
      </c>
      <c r="BQ34" s="29">
        <v>0.02</v>
      </c>
      <c r="BR34" s="29">
        <v>0.05</v>
      </c>
      <c r="BS34" s="29">
        <f t="shared" si="8"/>
        <v>0.35200000000000004</v>
      </c>
      <c r="BT34" s="29"/>
      <c r="BU34" s="29"/>
      <c r="BV34" s="29"/>
      <c r="BW34" s="29">
        <v>0.01</v>
      </c>
      <c r="BX34" s="29"/>
      <c r="BY34" s="29">
        <v>0.02</v>
      </c>
      <c r="BZ34" s="39">
        <f t="shared" si="12"/>
        <v>0.125</v>
      </c>
      <c r="CA34" s="29">
        <f t="shared" si="42"/>
        <v>0.82800000000000007</v>
      </c>
      <c r="CB34" s="29">
        <v>-0.38642857142857173</v>
      </c>
      <c r="CC34" s="29">
        <f t="shared" si="13"/>
        <v>-16.458428571428573</v>
      </c>
      <c r="CD34" s="29"/>
      <c r="CE34" s="29">
        <f t="shared" si="14"/>
        <v>0.94146640938484893</v>
      </c>
      <c r="CF34" s="29">
        <f t="shared" si="15"/>
        <v>0.94146640938484893</v>
      </c>
      <c r="CG34" s="29">
        <f t="shared" si="16"/>
        <v>1.8829328187696979</v>
      </c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</row>
    <row r="35" spans="1:158" s="37" customFormat="1">
      <c r="A35" s="37" t="s">
        <v>277</v>
      </c>
      <c r="B35" s="37" t="s">
        <v>312</v>
      </c>
      <c r="C35" s="38">
        <v>51.999650000000003</v>
      </c>
      <c r="D35" s="38">
        <v>3.98908</v>
      </c>
      <c r="H35" s="37" t="s">
        <v>183</v>
      </c>
      <c r="I35" s="37" t="s">
        <v>206</v>
      </c>
      <c r="J35" s="37" t="s">
        <v>280</v>
      </c>
      <c r="K35" s="37" t="s">
        <v>22</v>
      </c>
      <c r="L35" s="37" t="s">
        <v>22</v>
      </c>
      <c r="N35" s="39">
        <v>0.03</v>
      </c>
      <c r="O35" s="39"/>
      <c r="P35" s="39">
        <f t="shared" si="34"/>
        <v>7.4999999999999997E-2</v>
      </c>
      <c r="Q35" s="37" t="s">
        <v>235</v>
      </c>
      <c r="S35" s="39">
        <f t="shared" si="43"/>
        <v>20.65</v>
      </c>
      <c r="T35" s="39">
        <v>0.15</v>
      </c>
      <c r="U35" s="37" t="s">
        <v>333</v>
      </c>
      <c r="V35" s="40">
        <f t="shared" si="44"/>
        <v>-1.5000000000000568E-2</v>
      </c>
      <c r="Y35" s="41">
        <v>20.65</v>
      </c>
      <c r="Z35" s="37" t="s">
        <v>243</v>
      </c>
      <c r="AD35" s="29">
        <v>-20.664999999999999</v>
      </c>
      <c r="AE35" s="37" t="s">
        <v>69</v>
      </c>
      <c r="AF35" s="42" t="s">
        <v>253</v>
      </c>
      <c r="AH35" s="31">
        <v>7720</v>
      </c>
      <c r="AI35" s="31">
        <v>40</v>
      </c>
      <c r="AJ35" s="31">
        <v>100</v>
      </c>
      <c r="AN35" s="31">
        <f t="shared" si="35"/>
        <v>7720</v>
      </c>
      <c r="AO35" s="31">
        <f t="shared" si="45"/>
        <v>107.70329614269008</v>
      </c>
      <c r="AP35" s="31"/>
      <c r="AQ35" s="31"/>
      <c r="AR35" s="31">
        <v>8980</v>
      </c>
      <c r="AS35" s="31">
        <v>8330</v>
      </c>
      <c r="AT35" s="31">
        <v>8540</v>
      </c>
      <c r="AU35" s="29"/>
      <c r="AV35" s="29">
        <v>1.59</v>
      </c>
      <c r="AW35" s="29">
        <v>1.19</v>
      </c>
      <c r="AX35" s="29">
        <v>0.79</v>
      </c>
      <c r="AY35" s="29"/>
      <c r="AZ35" s="29"/>
      <c r="BA35" s="29">
        <v>0</v>
      </c>
      <c r="BB35" s="29"/>
      <c r="BC35" s="29">
        <v>-0.71</v>
      </c>
      <c r="BD35" s="29"/>
      <c r="BE35" s="29">
        <v>-1.1100000000000001</v>
      </c>
      <c r="BF35" s="37" t="s">
        <v>23</v>
      </c>
      <c r="BG35" s="37" t="s">
        <v>24</v>
      </c>
      <c r="BH35" s="29">
        <f t="shared" si="36"/>
        <v>0.79500000000000004</v>
      </c>
      <c r="BI35" s="29">
        <f t="shared" si="37"/>
        <v>1.59</v>
      </c>
      <c r="BJ35" s="29">
        <f t="shared" si="38"/>
        <v>1.59</v>
      </c>
      <c r="BK35" s="29">
        <f t="shared" si="39"/>
        <v>0.79500000000000004</v>
      </c>
      <c r="BL35" s="29">
        <f t="shared" si="46"/>
        <v>0.15900000000000003</v>
      </c>
      <c r="BM35" s="29">
        <f t="shared" si="40"/>
        <v>0.31800000000000006</v>
      </c>
      <c r="BN35" s="29">
        <f t="shared" si="41"/>
        <v>0</v>
      </c>
      <c r="BO35" s="29"/>
      <c r="BP35" s="29">
        <v>1.4999999999999999E-2</v>
      </c>
      <c r="BQ35" s="29">
        <v>0.02</v>
      </c>
      <c r="BR35" s="29">
        <v>0.05</v>
      </c>
      <c r="BS35" s="29">
        <f t="shared" si="8"/>
        <v>0.41299999999999998</v>
      </c>
      <c r="BT35" s="29"/>
      <c r="BU35" s="29"/>
      <c r="BV35" s="29">
        <v>0.20649999999999999</v>
      </c>
      <c r="BW35" s="29"/>
      <c r="BX35" s="29"/>
      <c r="BY35" s="29">
        <v>0.02</v>
      </c>
      <c r="BZ35" s="39">
        <f t="shared" si="12"/>
        <v>0.6</v>
      </c>
      <c r="CA35" s="29">
        <f t="shared" si="42"/>
        <v>0.85400000000000009</v>
      </c>
      <c r="CB35" s="29">
        <v>0.32040000000000002</v>
      </c>
      <c r="CC35" s="29">
        <f t="shared" si="13"/>
        <v>-19.685600000000001</v>
      </c>
      <c r="CD35" s="29"/>
      <c r="CE35" s="29">
        <f t="shared" si="14"/>
        <v>0.98750506327815857</v>
      </c>
      <c r="CF35" s="29">
        <f t="shared" si="15"/>
        <v>0.98750506327815857</v>
      </c>
      <c r="CG35" s="29">
        <f t="shared" si="16"/>
        <v>1.9750101265563171</v>
      </c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</row>
    <row r="36" spans="1:158" s="37" customFormat="1" ht="15.4">
      <c r="A36" s="37" t="s">
        <v>277</v>
      </c>
      <c r="B36" s="37" t="s">
        <v>316</v>
      </c>
      <c r="C36" s="38">
        <v>51.868733172399999</v>
      </c>
      <c r="D36" s="38">
        <v>4.5503594677299999</v>
      </c>
      <c r="H36" s="37" t="s">
        <v>184</v>
      </c>
      <c r="I36" s="37" t="s">
        <v>207</v>
      </c>
      <c r="J36" s="37" t="s">
        <v>21</v>
      </c>
      <c r="K36" s="37" t="s">
        <v>358</v>
      </c>
      <c r="L36" s="37" t="s">
        <v>22</v>
      </c>
      <c r="N36" s="39">
        <v>0.03</v>
      </c>
      <c r="O36" s="39"/>
      <c r="P36" s="39">
        <f t="shared" si="34"/>
        <v>7.4999999999999997E-2</v>
      </c>
      <c r="Q36" s="37" t="s">
        <v>22</v>
      </c>
      <c r="R36" s="37" t="s">
        <v>324</v>
      </c>
      <c r="S36" s="39">
        <f t="shared" si="43"/>
        <v>6.88</v>
      </c>
      <c r="T36" s="39">
        <v>0.01</v>
      </c>
      <c r="V36" s="40">
        <f t="shared" si="44"/>
        <v>-1.1050000000000004</v>
      </c>
      <c r="Y36" s="41">
        <v>6.88</v>
      </c>
      <c r="Z36" s="37" t="s">
        <v>243</v>
      </c>
      <c r="AD36" s="29">
        <v>-7.9850000000000003</v>
      </c>
      <c r="AE36" s="37" t="s">
        <v>69</v>
      </c>
      <c r="AF36" s="42" t="s">
        <v>285</v>
      </c>
      <c r="AH36" s="31">
        <v>6200</v>
      </c>
      <c r="AI36" s="31">
        <v>50</v>
      </c>
      <c r="AJ36" s="31"/>
      <c r="AN36" s="31">
        <f t="shared" si="35"/>
        <v>6200</v>
      </c>
      <c r="AO36" s="31">
        <f t="shared" si="45"/>
        <v>50</v>
      </c>
      <c r="AP36" s="31"/>
      <c r="AQ36" s="31"/>
      <c r="AR36" s="31">
        <v>7260</v>
      </c>
      <c r="AS36" s="31">
        <v>6950</v>
      </c>
      <c r="AT36" s="31">
        <v>7090</v>
      </c>
      <c r="AU36" s="29"/>
      <c r="AV36" s="29">
        <v>1.59</v>
      </c>
      <c r="AW36" s="29">
        <v>1.19</v>
      </c>
      <c r="AX36" s="29">
        <v>0.79</v>
      </c>
      <c r="AY36" s="29"/>
      <c r="AZ36" s="29"/>
      <c r="BA36" s="29">
        <v>0</v>
      </c>
      <c r="BB36" s="29"/>
      <c r="BC36" s="29">
        <v>-0.71</v>
      </c>
      <c r="BD36" s="29"/>
      <c r="BE36" s="29">
        <v>-1.1100000000000001</v>
      </c>
      <c r="BF36" s="37" t="s">
        <v>23</v>
      </c>
      <c r="BG36" s="37" t="s">
        <v>24</v>
      </c>
      <c r="BH36" s="29">
        <f t="shared" si="36"/>
        <v>0.79500000000000004</v>
      </c>
      <c r="BI36" s="29">
        <f t="shared" si="37"/>
        <v>1.59</v>
      </c>
      <c r="BJ36" s="29">
        <f t="shared" si="38"/>
        <v>1.59</v>
      </c>
      <c r="BK36" s="29">
        <f t="shared" si="39"/>
        <v>0.79500000000000004</v>
      </c>
      <c r="BL36" s="29">
        <f t="shared" si="46"/>
        <v>0.15900000000000003</v>
      </c>
      <c r="BM36" s="29">
        <f t="shared" si="40"/>
        <v>0.31800000000000006</v>
      </c>
      <c r="BN36" s="29">
        <f t="shared" si="41"/>
        <v>0</v>
      </c>
      <c r="BO36" s="29"/>
      <c r="BP36" s="29">
        <v>1.4999999999999999E-2</v>
      </c>
      <c r="BQ36" s="29">
        <v>0.02</v>
      </c>
      <c r="BR36" s="29">
        <v>0.05</v>
      </c>
      <c r="BS36" s="29">
        <f t="shared" si="8"/>
        <v>0.1376</v>
      </c>
      <c r="BT36" s="29"/>
      <c r="BU36" s="29"/>
      <c r="BV36" s="29"/>
      <c r="BW36" s="29">
        <v>0.01</v>
      </c>
      <c r="BX36" s="29"/>
      <c r="BY36" s="29">
        <v>0.02</v>
      </c>
      <c r="BZ36" s="39">
        <f t="shared" si="12"/>
        <v>2.5000000000000001E-2</v>
      </c>
      <c r="CA36" s="29">
        <f t="shared" si="42"/>
        <v>0.70900000000000007</v>
      </c>
      <c r="CB36" s="29">
        <v>-0.12257142857142871</v>
      </c>
      <c r="CC36" s="29">
        <f t="shared" si="13"/>
        <v>-8.168571428571429</v>
      </c>
      <c r="CD36" s="29"/>
      <c r="CE36" s="29">
        <f t="shared" si="14"/>
        <v>0.88373568446679795</v>
      </c>
      <c r="CF36" s="29">
        <f t="shared" si="15"/>
        <v>0.88373568446679795</v>
      </c>
      <c r="CG36" s="29">
        <f t="shared" si="16"/>
        <v>1.7674713689335959</v>
      </c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</row>
    <row r="37" spans="1:158" s="37" customFormat="1" ht="15.4">
      <c r="A37" s="37" t="s">
        <v>277</v>
      </c>
      <c r="B37" s="37" t="s">
        <v>316</v>
      </c>
      <c r="C37" s="38">
        <v>51.868733172399999</v>
      </c>
      <c r="D37" s="38">
        <v>4.5503594677299999</v>
      </c>
      <c r="H37" s="37" t="s">
        <v>184</v>
      </c>
      <c r="I37" s="37" t="s">
        <v>208</v>
      </c>
      <c r="J37" s="37" t="s">
        <v>21</v>
      </c>
      <c r="K37" s="37" t="s">
        <v>336</v>
      </c>
      <c r="L37" s="37" t="s">
        <v>22</v>
      </c>
      <c r="N37" s="39">
        <v>0.01</v>
      </c>
      <c r="O37" s="39"/>
      <c r="P37" s="39">
        <f t="shared" si="34"/>
        <v>2.5000000000000001E-2</v>
      </c>
      <c r="Q37" s="37" t="s">
        <v>22</v>
      </c>
      <c r="R37" s="37" t="s">
        <v>324</v>
      </c>
      <c r="S37" s="39">
        <f t="shared" si="43"/>
        <v>7.79</v>
      </c>
      <c r="T37" s="39">
        <v>0.03</v>
      </c>
      <c r="V37" s="40">
        <f t="shared" si="44"/>
        <v>-1.1249999999999991</v>
      </c>
      <c r="Y37" s="41">
        <v>7.79</v>
      </c>
      <c r="Z37" s="37" t="s">
        <v>243</v>
      </c>
      <c r="AD37" s="29">
        <v>-8.9149999999999991</v>
      </c>
      <c r="AE37" s="37" t="s">
        <v>69</v>
      </c>
      <c r="AF37" s="42" t="s">
        <v>286</v>
      </c>
      <c r="AH37" s="31">
        <v>6360</v>
      </c>
      <c r="AI37" s="31">
        <v>50</v>
      </c>
      <c r="AJ37" s="31"/>
      <c r="AN37" s="31">
        <f t="shared" si="35"/>
        <v>6360</v>
      </c>
      <c r="AO37" s="31">
        <f t="shared" si="45"/>
        <v>50</v>
      </c>
      <c r="AP37" s="31"/>
      <c r="AQ37" s="31"/>
      <c r="AR37" s="31">
        <v>7430</v>
      </c>
      <c r="AS37" s="31">
        <v>7160</v>
      </c>
      <c r="AT37" s="31">
        <v>7290</v>
      </c>
      <c r="AU37" s="29"/>
      <c r="AV37" s="29">
        <v>1.59</v>
      </c>
      <c r="AW37" s="29">
        <v>1.19</v>
      </c>
      <c r="AX37" s="29">
        <v>0.79</v>
      </c>
      <c r="AY37" s="29"/>
      <c r="AZ37" s="29"/>
      <c r="BA37" s="29">
        <v>0</v>
      </c>
      <c r="BB37" s="29"/>
      <c r="BC37" s="29">
        <v>-0.71</v>
      </c>
      <c r="BD37" s="29"/>
      <c r="BE37" s="29">
        <v>-1.1100000000000001</v>
      </c>
      <c r="BF37" s="37" t="s">
        <v>23</v>
      </c>
      <c r="BG37" s="37" t="s">
        <v>24</v>
      </c>
      <c r="BH37" s="29">
        <f t="shared" si="36"/>
        <v>0.79500000000000004</v>
      </c>
      <c r="BI37" s="29">
        <f t="shared" si="37"/>
        <v>1.59</v>
      </c>
      <c r="BJ37" s="29">
        <f t="shared" si="38"/>
        <v>1.59</v>
      </c>
      <c r="BK37" s="29">
        <f t="shared" si="39"/>
        <v>0.79500000000000004</v>
      </c>
      <c r="BL37" s="29">
        <f t="shared" si="46"/>
        <v>0.15900000000000003</v>
      </c>
      <c r="BM37" s="29">
        <f t="shared" si="40"/>
        <v>0.31800000000000006</v>
      </c>
      <c r="BN37" s="29">
        <f t="shared" si="41"/>
        <v>0</v>
      </c>
      <c r="BO37" s="29"/>
      <c r="BP37" s="29">
        <v>5.0000000000000001E-3</v>
      </c>
      <c r="BQ37" s="29">
        <v>0.02</v>
      </c>
      <c r="BR37" s="29">
        <v>0.05</v>
      </c>
      <c r="BS37" s="29">
        <f t="shared" si="8"/>
        <v>0.15579999999999999</v>
      </c>
      <c r="BT37" s="29"/>
      <c r="BU37" s="29"/>
      <c r="BV37" s="29"/>
      <c r="BW37" s="29">
        <v>0.01</v>
      </c>
      <c r="BX37" s="29"/>
      <c r="BY37" s="29">
        <v>0.02</v>
      </c>
      <c r="BZ37" s="39">
        <f t="shared" si="12"/>
        <v>7.4999999999999997E-2</v>
      </c>
      <c r="CA37" s="29">
        <f t="shared" si="42"/>
        <v>0.72899999999999998</v>
      </c>
      <c r="CB37" s="29">
        <v>-0.12257142857142871</v>
      </c>
      <c r="CC37" s="29">
        <f t="shared" si="13"/>
        <v>-9.0285714285714285</v>
      </c>
      <c r="CD37" s="29"/>
      <c r="CE37" s="29">
        <f t="shared" si="14"/>
        <v>0.8866389569604981</v>
      </c>
      <c r="CF37" s="29">
        <f t="shared" si="15"/>
        <v>0.8866389569604981</v>
      </c>
      <c r="CG37" s="29">
        <f t="shared" si="16"/>
        <v>1.7732779139209962</v>
      </c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</row>
    <row r="38" spans="1:158" s="37" customFormat="1" ht="15.4">
      <c r="A38" s="37" t="s">
        <v>277</v>
      </c>
      <c r="B38" s="37" t="s">
        <v>316</v>
      </c>
      <c r="C38" s="38">
        <v>51.868733172399999</v>
      </c>
      <c r="D38" s="38">
        <v>4.5503594677299999</v>
      </c>
      <c r="H38" s="37" t="s">
        <v>184</v>
      </c>
      <c r="I38" s="37" t="s">
        <v>209</v>
      </c>
      <c r="J38" s="37" t="s">
        <v>21</v>
      </c>
      <c r="K38" s="37" t="s">
        <v>359</v>
      </c>
      <c r="L38" s="37" t="s">
        <v>22</v>
      </c>
      <c r="N38" s="39">
        <v>0.01</v>
      </c>
      <c r="O38" s="39"/>
      <c r="P38" s="39">
        <f t="shared" si="34"/>
        <v>2.5000000000000001E-2</v>
      </c>
      <c r="Q38" s="37" t="s">
        <v>22</v>
      </c>
      <c r="R38" s="37" t="s">
        <v>324</v>
      </c>
      <c r="S38" s="39">
        <f t="shared" si="43"/>
        <v>8.83</v>
      </c>
      <c r="T38" s="39">
        <v>0.03</v>
      </c>
      <c r="V38" s="40">
        <f t="shared" si="44"/>
        <v>-1.0749999999999993</v>
      </c>
      <c r="Y38" s="41">
        <v>8.83</v>
      </c>
      <c r="Z38" s="37" t="s">
        <v>243</v>
      </c>
      <c r="AD38" s="29">
        <v>-9.9049999999999994</v>
      </c>
      <c r="AE38" s="37" t="s">
        <v>69</v>
      </c>
      <c r="AF38" s="42" t="s">
        <v>287</v>
      </c>
      <c r="AH38" s="31">
        <v>6660</v>
      </c>
      <c r="AI38" s="31">
        <v>60</v>
      </c>
      <c r="AJ38" s="31"/>
      <c r="AN38" s="31">
        <f t="shared" si="35"/>
        <v>6660</v>
      </c>
      <c r="AO38" s="31">
        <f t="shared" si="45"/>
        <v>60</v>
      </c>
      <c r="AP38" s="31"/>
      <c r="AQ38" s="31"/>
      <c r="AR38" s="31">
        <v>7660</v>
      </c>
      <c r="AS38" s="31">
        <v>7420</v>
      </c>
      <c r="AT38" s="31">
        <v>7530</v>
      </c>
      <c r="AU38" s="29"/>
      <c r="AV38" s="29">
        <v>1.59</v>
      </c>
      <c r="AW38" s="29">
        <v>1.19</v>
      </c>
      <c r="AX38" s="29">
        <v>0.79</v>
      </c>
      <c r="AY38" s="29"/>
      <c r="AZ38" s="29"/>
      <c r="BA38" s="29">
        <v>0</v>
      </c>
      <c r="BB38" s="29"/>
      <c r="BC38" s="29">
        <v>-0.71</v>
      </c>
      <c r="BD38" s="29"/>
      <c r="BE38" s="29">
        <v>-1.1100000000000001</v>
      </c>
      <c r="BF38" s="37" t="s">
        <v>23</v>
      </c>
      <c r="BG38" s="37" t="s">
        <v>24</v>
      </c>
      <c r="BH38" s="29">
        <f t="shared" si="36"/>
        <v>0.79500000000000004</v>
      </c>
      <c r="BI38" s="29">
        <f t="shared" si="37"/>
        <v>1.59</v>
      </c>
      <c r="BJ38" s="29">
        <f t="shared" si="38"/>
        <v>1.59</v>
      </c>
      <c r="BK38" s="29">
        <f t="shared" si="39"/>
        <v>0.79500000000000004</v>
      </c>
      <c r="BL38" s="29">
        <f t="shared" si="46"/>
        <v>0.15900000000000003</v>
      </c>
      <c r="BM38" s="29">
        <f t="shared" si="40"/>
        <v>0.31800000000000006</v>
      </c>
      <c r="BN38" s="29">
        <f t="shared" si="41"/>
        <v>0</v>
      </c>
      <c r="BO38" s="29"/>
      <c r="BP38" s="29">
        <v>5.0000000000000001E-3</v>
      </c>
      <c r="BQ38" s="29">
        <v>0.02</v>
      </c>
      <c r="BR38" s="29">
        <v>0.05</v>
      </c>
      <c r="BS38" s="29">
        <f t="shared" si="8"/>
        <v>0.17660000000000001</v>
      </c>
      <c r="BT38" s="29"/>
      <c r="BU38" s="29"/>
      <c r="BV38" s="29"/>
      <c r="BW38" s="29">
        <v>0.01</v>
      </c>
      <c r="BX38" s="29"/>
      <c r="BY38" s="29">
        <v>0.02</v>
      </c>
      <c r="BZ38" s="39">
        <f t="shared" si="12"/>
        <v>7.4999999999999997E-2</v>
      </c>
      <c r="CA38" s="29">
        <f t="shared" si="42"/>
        <v>0.753</v>
      </c>
      <c r="CB38" s="29">
        <v>-0.13257142857142842</v>
      </c>
      <c r="CC38" s="29">
        <f t="shared" si="13"/>
        <v>-10.004571428571428</v>
      </c>
      <c r="CD38" s="29"/>
      <c r="CE38" s="29">
        <f t="shared" si="14"/>
        <v>0.89052937065545457</v>
      </c>
      <c r="CF38" s="29">
        <f t="shared" si="15"/>
        <v>0.89052937065545457</v>
      </c>
      <c r="CG38" s="29">
        <f t="shared" si="16"/>
        <v>1.7810587413109091</v>
      </c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</row>
    <row r="39" spans="1:158" s="37" customFormat="1">
      <c r="A39" s="37" t="s">
        <v>277</v>
      </c>
      <c r="B39" s="37" t="s">
        <v>317</v>
      </c>
      <c r="C39" s="38">
        <v>51.956283233199997</v>
      </c>
      <c r="D39" s="38">
        <v>4.4930072213600001</v>
      </c>
      <c r="H39" s="37" t="s">
        <v>319</v>
      </c>
      <c r="I39" s="37" t="s">
        <v>210</v>
      </c>
      <c r="J39" s="37" t="s">
        <v>21</v>
      </c>
      <c r="K39" s="37" t="s">
        <v>22</v>
      </c>
      <c r="L39" s="37" t="s">
        <v>22</v>
      </c>
      <c r="N39" s="39">
        <v>0.04</v>
      </c>
      <c r="O39" s="39"/>
      <c r="P39" s="39">
        <f t="shared" si="34"/>
        <v>0.1</v>
      </c>
      <c r="Q39" s="37" t="s">
        <v>22</v>
      </c>
      <c r="R39" s="37" t="s">
        <v>324</v>
      </c>
      <c r="S39" s="39">
        <f t="shared" si="43"/>
        <v>7.79</v>
      </c>
      <c r="T39" s="39">
        <v>0.01</v>
      </c>
      <c r="V39" s="40">
        <f t="shared" si="44"/>
        <v>-2.5300000000000002</v>
      </c>
      <c r="Y39" s="41">
        <v>7.79</v>
      </c>
      <c r="Z39" s="37" t="s">
        <v>243</v>
      </c>
      <c r="AD39" s="29">
        <v>-10.32</v>
      </c>
      <c r="AE39" s="37" t="s">
        <v>69</v>
      </c>
      <c r="AF39" s="42" t="s">
        <v>288</v>
      </c>
      <c r="AH39" s="31">
        <v>6665</v>
      </c>
      <c r="AI39" s="31">
        <v>40</v>
      </c>
      <c r="AJ39" s="31">
        <v>100</v>
      </c>
      <c r="AN39" s="31">
        <f t="shared" si="35"/>
        <v>6665</v>
      </c>
      <c r="AO39" s="31">
        <f t="shared" si="45"/>
        <v>107.70329614269008</v>
      </c>
      <c r="AP39" s="31"/>
      <c r="AQ39" s="31"/>
      <c r="AR39" s="31">
        <v>7720</v>
      </c>
      <c r="AS39" s="31">
        <v>7320</v>
      </c>
      <c r="AT39" s="31">
        <v>7540</v>
      </c>
      <c r="AU39" s="29"/>
      <c r="AV39" s="29">
        <v>1.59</v>
      </c>
      <c r="AW39" s="29">
        <v>1.19</v>
      </c>
      <c r="AX39" s="29">
        <v>0.79</v>
      </c>
      <c r="AY39" s="29"/>
      <c r="AZ39" s="29"/>
      <c r="BA39" s="29">
        <v>0</v>
      </c>
      <c r="BB39" s="29"/>
      <c r="BC39" s="29">
        <v>-0.71</v>
      </c>
      <c r="BD39" s="29"/>
      <c r="BE39" s="29">
        <v>-1.1100000000000001</v>
      </c>
      <c r="BF39" s="37" t="s">
        <v>23</v>
      </c>
      <c r="BG39" s="37" t="s">
        <v>24</v>
      </c>
      <c r="BH39" s="29">
        <f t="shared" si="36"/>
        <v>0.79500000000000004</v>
      </c>
      <c r="BI39" s="29">
        <f t="shared" si="37"/>
        <v>1.59</v>
      </c>
      <c r="BJ39" s="29">
        <f t="shared" si="38"/>
        <v>1.59</v>
      </c>
      <c r="BK39" s="29">
        <f t="shared" si="39"/>
        <v>0.79500000000000004</v>
      </c>
      <c r="BL39" s="29">
        <f t="shared" si="46"/>
        <v>0.15900000000000003</v>
      </c>
      <c r="BM39" s="29">
        <f t="shared" si="40"/>
        <v>0.31800000000000006</v>
      </c>
      <c r="BN39" s="29">
        <f t="shared" si="41"/>
        <v>0</v>
      </c>
      <c r="BO39" s="29"/>
      <c r="BP39" s="29">
        <v>0.02</v>
      </c>
      <c r="BQ39" s="29">
        <v>0.02</v>
      </c>
      <c r="BR39" s="29">
        <v>0.05</v>
      </c>
      <c r="BS39" s="29">
        <f t="shared" si="8"/>
        <v>0.15579999999999999</v>
      </c>
      <c r="BT39" s="29"/>
      <c r="BU39" s="29"/>
      <c r="BV39" s="29"/>
      <c r="BW39" s="29">
        <v>0.01</v>
      </c>
      <c r="BX39" s="29"/>
      <c r="BY39" s="29">
        <v>0.02</v>
      </c>
      <c r="BZ39" s="39">
        <f t="shared" si="12"/>
        <v>2.5000000000000001E-2</v>
      </c>
      <c r="CA39" s="29">
        <f t="shared" si="42"/>
        <v>0.754</v>
      </c>
      <c r="CB39" s="29">
        <v>0.1107142857142855</v>
      </c>
      <c r="CC39" s="29">
        <f t="shared" si="13"/>
        <v>-10.225285714285715</v>
      </c>
      <c r="CD39" s="29"/>
      <c r="CE39" s="29">
        <f t="shared" si="14"/>
        <v>0.88685040452152908</v>
      </c>
      <c r="CF39" s="29">
        <f t="shared" si="15"/>
        <v>0.88685040452152908</v>
      </c>
      <c r="CG39" s="29">
        <f t="shared" si="16"/>
        <v>1.7737008090430582</v>
      </c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</row>
    <row r="40" spans="1:158" s="37" customFormat="1">
      <c r="A40" s="37" t="s">
        <v>277</v>
      </c>
      <c r="B40" s="37" t="s">
        <v>317</v>
      </c>
      <c r="C40" s="38">
        <v>51.956283233199997</v>
      </c>
      <c r="D40" s="38">
        <v>4.4930072213600001</v>
      </c>
      <c r="H40" s="37" t="s">
        <v>320</v>
      </c>
      <c r="I40" s="37" t="s">
        <v>211</v>
      </c>
      <c r="J40" s="37" t="s">
        <v>21</v>
      </c>
      <c r="K40" s="37" t="s">
        <v>22</v>
      </c>
      <c r="L40" s="37" t="s">
        <v>22</v>
      </c>
      <c r="N40" s="39">
        <v>0.04</v>
      </c>
      <c r="O40" s="39"/>
      <c r="P40" s="39">
        <f t="shared" si="34"/>
        <v>0.1</v>
      </c>
      <c r="Q40" s="37" t="s">
        <v>22</v>
      </c>
      <c r="R40" s="37" t="s">
        <v>324</v>
      </c>
      <c r="S40" s="39">
        <f t="shared" si="43"/>
        <v>8.43</v>
      </c>
      <c r="T40" s="39">
        <v>0.01</v>
      </c>
      <c r="V40" s="40">
        <f t="shared" si="44"/>
        <v>-2.3000000000000007</v>
      </c>
      <c r="Y40" s="41">
        <v>8.43</v>
      </c>
      <c r="Z40" s="37" t="s">
        <v>243</v>
      </c>
      <c r="AD40" s="29">
        <v>-10.73</v>
      </c>
      <c r="AE40" s="37" t="s">
        <v>69</v>
      </c>
      <c r="AF40" s="42" t="s">
        <v>289</v>
      </c>
      <c r="AH40" s="31">
        <v>6850</v>
      </c>
      <c r="AI40" s="31">
        <v>40</v>
      </c>
      <c r="AJ40" s="31">
        <v>100</v>
      </c>
      <c r="AN40" s="31">
        <f t="shared" si="35"/>
        <v>6850</v>
      </c>
      <c r="AO40" s="31">
        <f t="shared" si="45"/>
        <v>107.70329614269008</v>
      </c>
      <c r="AP40" s="31"/>
      <c r="AQ40" s="31"/>
      <c r="AR40" s="31">
        <v>7940</v>
      </c>
      <c r="AS40" s="31">
        <v>7510</v>
      </c>
      <c r="AT40" s="31">
        <v>7710</v>
      </c>
      <c r="AU40" s="29"/>
      <c r="AV40" s="29">
        <v>1.59</v>
      </c>
      <c r="AW40" s="29">
        <v>1.19</v>
      </c>
      <c r="AX40" s="29">
        <v>0.79</v>
      </c>
      <c r="AY40" s="29"/>
      <c r="AZ40" s="29"/>
      <c r="BA40" s="29">
        <v>0</v>
      </c>
      <c r="BB40" s="29"/>
      <c r="BC40" s="29">
        <v>-0.71</v>
      </c>
      <c r="BD40" s="29"/>
      <c r="BE40" s="29">
        <v>-1.1100000000000001</v>
      </c>
      <c r="BF40" s="37" t="s">
        <v>23</v>
      </c>
      <c r="BG40" s="37" t="s">
        <v>24</v>
      </c>
      <c r="BH40" s="29">
        <f t="shared" si="36"/>
        <v>0.79500000000000004</v>
      </c>
      <c r="BI40" s="29">
        <f t="shared" si="37"/>
        <v>1.59</v>
      </c>
      <c r="BJ40" s="29">
        <f t="shared" si="38"/>
        <v>1.59</v>
      </c>
      <c r="BK40" s="29">
        <f t="shared" si="39"/>
        <v>0.79500000000000004</v>
      </c>
      <c r="BL40" s="29">
        <f t="shared" si="46"/>
        <v>0.15900000000000003</v>
      </c>
      <c r="BM40" s="29">
        <f t="shared" si="40"/>
        <v>0.31800000000000006</v>
      </c>
      <c r="BN40" s="29">
        <f t="shared" si="41"/>
        <v>0</v>
      </c>
      <c r="BO40" s="29"/>
      <c r="BP40" s="29">
        <v>0.02</v>
      </c>
      <c r="BQ40" s="29">
        <v>0.02</v>
      </c>
      <c r="BR40" s="29">
        <v>0.05</v>
      </c>
      <c r="BS40" s="29">
        <f t="shared" si="8"/>
        <v>0.1686</v>
      </c>
      <c r="BT40" s="29"/>
      <c r="BU40" s="29"/>
      <c r="BV40" s="29"/>
      <c r="BW40" s="29">
        <v>0.01</v>
      </c>
      <c r="BX40" s="29"/>
      <c r="BY40" s="29">
        <v>0.02</v>
      </c>
      <c r="BZ40" s="39">
        <f t="shared" si="12"/>
        <v>2.5000000000000001E-2</v>
      </c>
      <c r="CA40" s="29">
        <f t="shared" si="42"/>
        <v>0.77100000000000002</v>
      </c>
      <c r="CB40" s="29">
        <v>0.1107142857142855</v>
      </c>
      <c r="CC40" s="29">
        <f t="shared" si="13"/>
        <v>-10.618285714285713</v>
      </c>
      <c r="CD40" s="29"/>
      <c r="CE40" s="29">
        <f t="shared" si="14"/>
        <v>0.88918837149391461</v>
      </c>
      <c r="CF40" s="29">
        <f t="shared" si="15"/>
        <v>0.88918837149391461</v>
      </c>
      <c r="CG40" s="29">
        <f t="shared" si="16"/>
        <v>1.7783767429878292</v>
      </c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</row>
    <row r="41" spans="1:158" s="37" customFormat="1">
      <c r="A41" s="37" t="s">
        <v>277</v>
      </c>
      <c r="B41" s="37" t="s">
        <v>317</v>
      </c>
      <c r="C41" s="38">
        <v>51.956283233199997</v>
      </c>
      <c r="D41" s="38">
        <v>4.4930072213600001</v>
      </c>
      <c r="H41" s="37" t="s">
        <v>319</v>
      </c>
      <c r="I41" s="37" t="s">
        <v>212</v>
      </c>
      <c r="J41" s="37" t="s">
        <v>21</v>
      </c>
      <c r="K41" s="37" t="s">
        <v>22</v>
      </c>
      <c r="L41" s="37" t="s">
        <v>22</v>
      </c>
      <c r="N41" s="39">
        <v>0.03</v>
      </c>
      <c r="O41" s="39"/>
      <c r="P41" s="39">
        <f t="shared" si="34"/>
        <v>7.4999999999999997E-2</v>
      </c>
      <c r="Q41" s="37" t="s">
        <v>22</v>
      </c>
      <c r="R41" s="37" t="s">
        <v>324</v>
      </c>
      <c r="S41" s="39">
        <f t="shared" si="43"/>
        <v>8.86</v>
      </c>
      <c r="T41" s="39">
        <v>0.01</v>
      </c>
      <c r="V41" s="40">
        <f t="shared" si="44"/>
        <v>-2.2750000000000004</v>
      </c>
      <c r="Y41" s="41">
        <v>8.86</v>
      </c>
      <c r="Z41" s="37" t="s">
        <v>243</v>
      </c>
      <c r="AD41" s="29">
        <v>-11.135</v>
      </c>
      <c r="AE41" s="37" t="s">
        <v>69</v>
      </c>
      <c r="AF41" s="42" t="s">
        <v>290</v>
      </c>
      <c r="AH41" s="31">
        <v>6920</v>
      </c>
      <c r="AI41" s="31">
        <v>45</v>
      </c>
      <c r="AJ41" s="31">
        <v>100</v>
      </c>
      <c r="AN41" s="31">
        <f t="shared" si="35"/>
        <v>6920</v>
      </c>
      <c r="AO41" s="31">
        <f t="shared" si="45"/>
        <v>109.65856099730654</v>
      </c>
      <c r="AP41" s="31"/>
      <c r="AQ41" s="31"/>
      <c r="AR41" s="31">
        <v>7960</v>
      </c>
      <c r="AS41" s="31">
        <v>7570</v>
      </c>
      <c r="AT41" s="31">
        <v>7770</v>
      </c>
      <c r="AU41" s="29"/>
      <c r="AV41" s="29">
        <v>1.59</v>
      </c>
      <c r="AW41" s="29">
        <v>1.19</v>
      </c>
      <c r="AX41" s="29">
        <v>0.79</v>
      </c>
      <c r="AY41" s="29"/>
      <c r="AZ41" s="29"/>
      <c r="BA41" s="29">
        <v>0</v>
      </c>
      <c r="BB41" s="29"/>
      <c r="BC41" s="29">
        <v>-0.71</v>
      </c>
      <c r="BD41" s="29"/>
      <c r="BE41" s="29">
        <v>-1.1100000000000001</v>
      </c>
      <c r="BF41" s="37" t="s">
        <v>23</v>
      </c>
      <c r="BG41" s="37" t="s">
        <v>24</v>
      </c>
      <c r="BH41" s="29">
        <f t="shared" si="36"/>
        <v>0.79500000000000004</v>
      </c>
      <c r="BI41" s="29">
        <f t="shared" si="37"/>
        <v>1.59</v>
      </c>
      <c r="BJ41" s="29">
        <f t="shared" si="38"/>
        <v>1.59</v>
      </c>
      <c r="BK41" s="29">
        <f t="shared" si="39"/>
        <v>0.79500000000000004</v>
      </c>
      <c r="BL41" s="29">
        <f t="shared" si="46"/>
        <v>0.15900000000000003</v>
      </c>
      <c r="BM41" s="29">
        <f t="shared" si="40"/>
        <v>0.31800000000000006</v>
      </c>
      <c r="BN41" s="29">
        <f t="shared" si="41"/>
        <v>0</v>
      </c>
      <c r="BO41" s="29"/>
      <c r="BP41" s="29">
        <v>1.4999999999999999E-2</v>
      </c>
      <c r="BQ41" s="29">
        <v>0.02</v>
      </c>
      <c r="BR41" s="29">
        <v>0.05</v>
      </c>
      <c r="BS41" s="29">
        <f t="shared" si="8"/>
        <v>0.1772</v>
      </c>
      <c r="BT41" s="29"/>
      <c r="BU41" s="29"/>
      <c r="BV41" s="29"/>
      <c r="BW41" s="29">
        <v>0.01</v>
      </c>
      <c r="BX41" s="29"/>
      <c r="BY41" s="29">
        <v>0.02</v>
      </c>
      <c r="BZ41" s="39">
        <f t="shared" si="12"/>
        <v>2.5000000000000001E-2</v>
      </c>
      <c r="CA41" s="29">
        <f t="shared" si="42"/>
        <v>0.77700000000000002</v>
      </c>
      <c r="CB41" s="29">
        <v>0.1107142857142855</v>
      </c>
      <c r="CC41" s="29">
        <f t="shared" si="13"/>
        <v>-11.017285714285714</v>
      </c>
      <c r="CD41" s="29"/>
      <c r="CE41" s="29">
        <f t="shared" si="14"/>
        <v>0.89076082087168595</v>
      </c>
      <c r="CF41" s="29">
        <f t="shared" si="15"/>
        <v>0.89076082087168595</v>
      </c>
      <c r="CG41" s="29">
        <f t="shared" si="16"/>
        <v>1.7815216417433719</v>
      </c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</row>
    <row r="42" spans="1:158" s="37" customFormat="1">
      <c r="A42" s="37" t="s">
        <v>277</v>
      </c>
      <c r="B42" s="37" t="s">
        <v>317</v>
      </c>
      <c r="C42" s="38">
        <v>51.956283233199997</v>
      </c>
      <c r="D42" s="38">
        <v>4.4930072213600001</v>
      </c>
      <c r="H42" s="37" t="s">
        <v>321</v>
      </c>
      <c r="I42" s="37" t="s">
        <v>213</v>
      </c>
      <c r="J42" s="37" t="s">
        <v>21</v>
      </c>
      <c r="K42" s="37" t="s">
        <v>22</v>
      </c>
      <c r="L42" s="37" t="s">
        <v>22</v>
      </c>
      <c r="N42" s="39">
        <v>0.04</v>
      </c>
      <c r="O42" s="39"/>
      <c r="P42" s="39">
        <f t="shared" si="34"/>
        <v>0.1</v>
      </c>
      <c r="Q42" s="37" t="s">
        <v>22</v>
      </c>
      <c r="R42" s="37" t="s">
        <v>324</v>
      </c>
      <c r="S42" s="39">
        <f t="shared" si="43"/>
        <v>9.48</v>
      </c>
      <c r="T42" s="39">
        <v>0.02</v>
      </c>
      <c r="V42" s="40">
        <f t="shared" si="44"/>
        <v>-2.2999999999999989</v>
      </c>
      <c r="Y42" s="41">
        <v>9.48</v>
      </c>
      <c r="Z42" s="37" t="s">
        <v>243</v>
      </c>
      <c r="AD42" s="29">
        <v>-11.78</v>
      </c>
      <c r="AE42" s="37" t="s">
        <v>69</v>
      </c>
      <c r="AF42" s="42" t="s">
        <v>291</v>
      </c>
      <c r="AH42" s="31">
        <v>7105</v>
      </c>
      <c r="AI42" s="31">
        <v>40</v>
      </c>
      <c r="AJ42" s="31">
        <v>100</v>
      </c>
      <c r="AN42" s="31">
        <f t="shared" si="35"/>
        <v>7105</v>
      </c>
      <c r="AO42" s="31">
        <f t="shared" si="45"/>
        <v>107.70329614269008</v>
      </c>
      <c r="AP42" s="31"/>
      <c r="AQ42" s="31"/>
      <c r="AR42" s="31">
        <v>8170</v>
      </c>
      <c r="AS42" s="31">
        <v>7690</v>
      </c>
      <c r="AT42" s="31">
        <v>7920</v>
      </c>
      <c r="AU42" s="29"/>
      <c r="AV42" s="29">
        <v>1.59</v>
      </c>
      <c r="AW42" s="29">
        <v>1.19</v>
      </c>
      <c r="AX42" s="29">
        <v>0.79</v>
      </c>
      <c r="AY42" s="29"/>
      <c r="AZ42" s="29"/>
      <c r="BA42" s="29">
        <v>0</v>
      </c>
      <c r="BB42" s="29"/>
      <c r="BC42" s="29">
        <v>-0.71</v>
      </c>
      <c r="BD42" s="29"/>
      <c r="BE42" s="29">
        <v>-1.1100000000000001</v>
      </c>
      <c r="BF42" s="37" t="s">
        <v>23</v>
      </c>
      <c r="BG42" s="37" t="s">
        <v>24</v>
      </c>
      <c r="BH42" s="29">
        <f t="shared" si="36"/>
        <v>0.79500000000000004</v>
      </c>
      <c r="BI42" s="29">
        <f t="shared" si="37"/>
        <v>1.59</v>
      </c>
      <c r="BJ42" s="29">
        <f t="shared" si="38"/>
        <v>1.59</v>
      </c>
      <c r="BK42" s="29">
        <f t="shared" si="39"/>
        <v>0.79500000000000004</v>
      </c>
      <c r="BL42" s="29">
        <f t="shared" si="46"/>
        <v>0.15900000000000003</v>
      </c>
      <c r="BM42" s="29">
        <f t="shared" si="40"/>
        <v>0.31800000000000006</v>
      </c>
      <c r="BN42" s="29">
        <f t="shared" si="41"/>
        <v>0</v>
      </c>
      <c r="BO42" s="29"/>
      <c r="BP42" s="29">
        <v>0.02</v>
      </c>
      <c r="BQ42" s="29">
        <v>0.02</v>
      </c>
      <c r="BR42" s="29">
        <v>0.05</v>
      </c>
      <c r="BS42" s="29">
        <f t="shared" si="8"/>
        <v>0.18960000000000002</v>
      </c>
      <c r="BT42" s="29"/>
      <c r="BU42" s="29"/>
      <c r="BV42" s="29"/>
      <c r="BW42" s="29">
        <v>0.01</v>
      </c>
      <c r="BX42" s="29"/>
      <c r="BY42" s="29">
        <v>0.02</v>
      </c>
      <c r="BZ42" s="39">
        <f t="shared" si="12"/>
        <v>0.05</v>
      </c>
      <c r="CA42" s="29">
        <f t="shared" si="42"/>
        <v>0.79200000000000004</v>
      </c>
      <c r="CB42" s="29">
        <v>0.1107142857142855</v>
      </c>
      <c r="CC42" s="29">
        <f t="shared" si="13"/>
        <v>-11.622285714285713</v>
      </c>
      <c r="CD42" s="29"/>
      <c r="CE42" s="29">
        <f t="shared" si="14"/>
        <v>0.89340817099464664</v>
      </c>
      <c r="CF42" s="29">
        <f t="shared" si="15"/>
        <v>0.89340817099464664</v>
      </c>
      <c r="CG42" s="29">
        <f t="shared" si="16"/>
        <v>1.7868163419892933</v>
      </c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</row>
    <row r="43" spans="1:158" s="37" customFormat="1" ht="15.4">
      <c r="A43" s="37" t="s">
        <v>277</v>
      </c>
      <c r="B43" s="37" t="s">
        <v>317</v>
      </c>
      <c r="C43" s="38">
        <v>51.955838289799999</v>
      </c>
      <c r="D43" s="38">
        <v>4.4935980201300003</v>
      </c>
      <c r="H43" s="37" t="s">
        <v>185</v>
      </c>
      <c r="I43" s="37" t="s">
        <v>214</v>
      </c>
      <c r="J43" s="37" t="s">
        <v>21</v>
      </c>
      <c r="K43" s="37" t="s">
        <v>348</v>
      </c>
      <c r="L43" s="37" t="s">
        <v>22</v>
      </c>
      <c r="N43" s="39">
        <v>0.01</v>
      </c>
      <c r="O43" s="39"/>
      <c r="P43" s="39">
        <f t="shared" si="34"/>
        <v>2.5000000000000001E-2</v>
      </c>
      <c r="Q43" s="37" t="s">
        <v>22</v>
      </c>
      <c r="R43" s="37" t="s">
        <v>324</v>
      </c>
      <c r="S43" s="39">
        <f t="shared" si="43"/>
        <v>6.35</v>
      </c>
      <c r="T43" s="39">
        <v>0.01</v>
      </c>
      <c r="V43" s="40">
        <f t="shared" si="44"/>
        <v>-1.4550000000000001</v>
      </c>
      <c r="Y43" s="41">
        <v>6.35</v>
      </c>
      <c r="Z43" s="37" t="s">
        <v>243</v>
      </c>
      <c r="AD43" s="29">
        <v>-7.8049999999999997</v>
      </c>
      <c r="AE43" s="37" t="s">
        <v>69</v>
      </c>
      <c r="AF43" s="42" t="s">
        <v>354</v>
      </c>
      <c r="AH43" s="31">
        <v>6120</v>
      </c>
      <c r="AI43" s="31">
        <v>50</v>
      </c>
      <c r="AJ43" s="31"/>
      <c r="AN43" s="31">
        <f t="shared" si="35"/>
        <v>6120</v>
      </c>
      <c r="AO43" s="31">
        <f t="shared" si="45"/>
        <v>50</v>
      </c>
      <c r="AP43" s="31"/>
      <c r="AQ43" s="31"/>
      <c r="AR43" s="31">
        <v>7170</v>
      </c>
      <c r="AS43" s="31">
        <v>6850</v>
      </c>
      <c r="AT43" s="31">
        <v>7010</v>
      </c>
      <c r="AU43" s="29"/>
      <c r="AV43" s="29">
        <v>1.59</v>
      </c>
      <c r="AW43" s="29">
        <v>1.19</v>
      </c>
      <c r="AX43" s="29">
        <v>0.79</v>
      </c>
      <c r="AY43" s="29"/>
      <c r="AZ43" s="29"/>
      <c r="BA43" s="29">
        <v>0</v>
      </c>
      <c r="BB43" s="29"/>
      <c r="BC43" s="29">
        <v>-0.71</v>
      </c>
      <c r="BD43" s="29"/>
      <c r="BE43" s="29">
        <v>-1.1100000000000001</v>
      </c>
      <c r="BF43" s="37" t="s">
        <v>23</v>
      </c>
      <c r="BG43" s="37" t="s">
        <v>24</v>
      </c>
      <c r="BH43" s="29">
        <f t="shared" si="36"/>
        <v>0.79500000000000004</v>
      </c>
      <c r="BI43" s="29">
        <f t="shared" si="37"/>
        <v>1.59</v>
      </c>
      <c r="BJ43" s="29">
        <f t="shared" si="38"/>
        <v>1.59</v>
      </c>
      <c r="BK43" s="29">
        <f t="shared" si="39"/>
        <v>0.79500000000000004</v>
      </c>
      <c r="BL43" s="29">
        <f t="shared" si="46"/>
        <v>0.15900000000000003</v>
      </c>
      <c r="BM43" s="29">
        <f t="shared" si="40"/>
        <v>0.31800000000000006</v>
      </c>
      <c r="BN43" s="29">
        <f t="shared" si="41"/>
        <v>0</v>
      </c>
      <c r="BO43" s="29"/>
      <c r="BP43" s="29">
        <v>5.0000000000000001E-3</v>
      </c>
      <c r="BQ43" s="29">
        <v>0.02</v>
      </c>
      <c r="BR43" s="29">
        <v>0.05</v>
      </c>
      <c r="BS43" s="29">
        <f t="shared" si="8"/>
        <v>0.127</v>
      </c>
      <c r="BT43" s="29"/>
      <c r="BU43" s="29"/>
      <c r="BV43" s="29"/>
      <c r="BW43" s="29">
        <v>0.01</v>
      </c>
      <c r="BX43" s="29"/>
      <c r="BY43" s="29">
        <v>0.02</v>
      </c>
      <c r="BZ43" s="39">
        <f t="shared" si="12"/>
        <v>2.5000000000000001E-2</v>
      </c>
      <c r="CA43" s="29">
        <f t="shared" si="42"/>
        <v>0.70100000000000007</v>
      </c>
      <c r="CB43" s="29">
        <v>9.4399999999999998E-2</v>
      </c>
      <c r="CC43" s="29">
        <f t="shared" si="13"/>
        <v>-7.7795999999999985</v>
      </c>
      <c r="CD43" s="29"/>
      <c r="CE43" s="29">
        <f t="shared" si="14"/>
        <v>0.88203401294961403</v>
      </c>
      <c r="CF43" s="29">
        <f t="shared" si="15"/>
        <v>0.88203401294961403</v>
      </c>
      <c r="CG43" s="29">
        <f t="shared" si="16"/>
        <v>1.7640680258992281</v>
      </c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</row>
    <row r="44" spans="1:158" s="37" customFormat="1">
      <c r="A44" s="37" t="s">
        <v>277</v>
      </c>
      <c r="B44" s="37" t="s">
        <v>318</v>
      </c>
      <c r="C44" s="43">
        <v>51.907499999999999</v>
      </c>
      <c r="D44" s="43">
        <v>4.3575999999999997</v>
      </c>
      <c r="H44" s="37" t="s">
        <v>185</v>
      </c>
      <c r="I44" s="37" t="s">
        <v>215</v>
      </c>
      <c r="J44" s="37" t="s">
        <v>225</v>
      </c>
      <c r="K44" s="37" t="s">
        <v>22</v>
      </c>
      <c r="L44" s="37" t="s">
        <v>22</v>
      </c>
      <c r="N44" s="39">
        <v>0.04</v>
      </c>
      <c r="O44" s="39"/>
      <c r="P44" s="39">
        <f t="shared" si="34"/>
        <v>0.1</v>
      </c>
      <c r="Q44" s="37" t="s">
        <v>22</v>
      </c>
      <c r="R44" s="37" t="s">
        <v>239</v>
      </c>
      <c r="S44" s="39">
        <f t="shared" si="43"/>
        <v>8.35</v>
      </c>
      <c r="T44" s="39">
        <v>0.01</v>
      </c>
      <c r="V44" s="40">
        <f t="shared" si="44"/>
        <v>-0.4399999999999995</v>
      </c>
      <c r="Y44" s="41">
        <v>8.35</v>
      </c>
      <c r="Z44" s="37" t="s">
        <v>243</v>
      </c>
      <c r="AD44" s="29">
        <v>-8.7899999999999991</v>
      </c>
      <c r="AE44" s="37" t="s">
        <v>69</v>
      </c>
      <c r="AF44" s="42" t="s">
        <v>355</v>
      </c>
      <c r="AH44" s="44">
        <v>6410</v>
      </c>
      <c r="AI44" s="44">
        <v>45</v>
      </c>
      <c r="AJ44" s="44">
        <v>100</v>
      </c>
      <c r="AN44" s="31">
        <f t="shared" si="35"/>
        <v>6410</v>
      </c>
      <c r="AO44" s="31">
        <f t="shared" si="45"/>
        <v>109.65856099730654</v>
      </c>
      <c r="AP44" s="31"/>
      <c r="AQ44" s="31"/>
      <c r="AR44" s="31">
        <v>7570</v>
      </c>
      <c r="AS44" s="31">
        <v>7020</v>
      </c>
      <c r="AT44" s="31">
        <v>7320</v>
      </c>
      <c r="AU44" s="29"/>
      <c r="AV44" s="29">
        <v>1.59</v>
      </c>
      <c r="AW44" s="29">
        <v>1.19</v>
      </c>
      <c r="AX44" s="29">
        <v>0.79</v>
      </c>
      <c r="AY44" s="29"/>
      <c r="AZ44" s="29"/>
      <c r="BA44" s="29">
        <v>0</v>
      </c>
      <c r="BB44" s="29"/>
      <c r="BC44" s="29">
        <v>-0.71</v>
      </c>
      <c r="BD44" s="29"/>
      <c r="BE44" s="29">
        <v>-1.1100000000000001</v>
      </c>
      <c r="BF44" s="37" t="s">
        <v>23</v>
      </c>
      <c r="BG44" s="37" t="s">
        <v>24</v>
      </c>
      <c r="BH44" s="29">
        <f t="shared" si="36"/>
        <v>0.79500000000000004</v>
      </c>
      <c r="BI44" s="29">
        <f t="shared" si="37"/>
        <v>1.59</v>
      </c>
      <c r="BJ44" s="29">
        <f t="shared" si="38"/>
        <v>1.59</v>
      </c>
      <c r="BK44" s="29">
        <f t="shared" si="39"/>
        <v>0.79500000000000004</v>
      </c>
      <c r="BL44" s="29">
        <f t="shared" si="46"/>
        <v>0.15900000000000003</v>
      </c>
      <c r="BM44" s="29">
        <f t="shared" si="40"/>
        <v>0.31800000000000006</v>
      </c>
      <c r="BN44" s="29">
        <f t="shared" si="41"/>
        <v>0</v>
      </c>
      <c r="BO44" s="29"/>
      <c r="BP44" s="29">
        <v>0.02</v>
      </c>
      <c r="BQ44" s="29">
        <v>0.02</v>
      </c>
      <c r="BR44" s="29">
        <v>0.05</v>
      </c>
      <c r="BS44" s="29">
        <f t="shared" si="8"/>
        <v>0.16700000000000001</v>
      </c>
      <c r="BT44" s="29"/>
      <c r="BU44" s="29"/>
      <c r="BV44" s="29"/>
      <c r="BW44" s="29">
        <v>0.01</v>
      </c>
      <c r="BX44" s="29"/>
      <c r="BY44" s="29">
        <v>0.02</v>
      </c>
      <c r="BZ44" s="39">
        <f t="shared" si="12"/>
        <v>2.5000000000000001E-2</v>
      </c>
      <c r="CA44" s="29">
        <f>AT44*0.0001</f>
        <v>0.73199999999999998</v>
      </c>
      <c r="CB44" s="29">
        <v>0</v>
      </c>
      <c r="CC44" s="29">
        <f t="shared" si="13"/>
        <v>-8.8279999999999994</v>
      </c>
      <c r="CD44" s="29"/>
      <c r="CE44" s="29">
        <f t="shared" si="14"/>
        <v>0.88888638194090919</v>
      </c>
      <c r="CF44" s="29">
        <f t="shared" si="15"/>
        <v>0.88888638194090919</v>
      </c>
      <c r="CG44" s="29">
        <f t="shared" si="16"/>
        <v>1.7777727638818184</v>
      </c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</row>
    <row r="45" spans="1:158" s="37" customFormat="1">
      <c r="A45" s="37" t="s">
        <v>277</v>
      </c>
      <c r="B45" s="37" t="s">
        <v>318</v>
      </c>
      <c r="C45" s="43">
        <v>51.907499999999999</v>
      </c>
      <c r="D45" s="43">
        <v>4.3575999999999997</v>
      </c>
      <c r="H45" s="37" t="s">
        <v>185</v>
      </c>
      <c r="I45" s="37" t="s">
        <v>216</v>
      </c>
      <c r="J45" s="37" t="s">
        <v>225</v>
      </c>
      <c r="K45" s="37" t="s">
        <v>22</v>
      </c>
      <c r="L45" s="37" t="s">
        <v>22</v>
      </c>
      <c r="N45" s="39">
        <v>0.03</v>
      </c>
      <c r="O45" s="39"/>
      <c r="P45" s="39">
        <f t="shared" si="34"/>
        <v>7.4999999999999997E-2</v>
      </c>
      <c r="Q45" s="37" t="s">
        <v>22</v>
      </c>
      <c r="R45" s="37" t="s">
        <v>239</v>
      </c>
      <c r="S45" s="39">
        <f t="shared" si="43"/>
        <v>8</v>
      </c>
      <c r="T45" s="39">
        <v>0.01</v>
      </c>
      <c r="V45" s="40">
        <f t="shared" si="44"/>
        <v>-0.35500000000000043</v>
      </c>
      <c r="Y45" s="41">
        <v>8</v>
      </c>
      <c r="Z45" s="37" t="s">
        <v>243</v>
      </c>
      <c r="AD45" s="29">
        <v>-8.3550000000000004</v>
      </c>
      <c r="AE45" s="37" t="s">
        <v>69</v>
      </c>
      <c r="AF45" s="42" t="s">
        <v>267</v>
      </c>
      <c r="AH45" s="31">
        <v>6160</v>
      </c>
      <c r="AI45" s="31">
        <v>45</v>
      </c>
      <c r="AJ45" s="31">
        <v>100</v>
      </c>
      <c r="AN45" s="31">
        <f t="shared" si="35"/>
        <v>6160</v>
      </c>
      <c r="AO45" s="31">
        <f t="shared" si="45"/>
        <v>109.65856099730654</v>
      </c>
      <c r="AP45" s="31"/>
      <c r="AQ45" s="31"/>
      <c r="AR45" s="31">
        <v>7310</v>
      </c>
      <c r="AS45" s="31">
        <v>6740</v>
      </c>
      <c r="AT45" s="31">
        <v>7040</v>
      </c>
      <c r="AU45" s="29"/>
      <c r="AV45" s="29">
        <v>1.59</v>
      </c>
      <c r="AW45" s="29">
        <v>1.19</v>
      </c>
      <c r="AX45" s="29">
        <v>0.79</v>
      </c>
      <c r="AY45" s="29"/>
      <c r="AZ45" s="29"/>
      <c r="BA45" s="29">
        <v>0</v>
      </c>
      <c r="BB45" s="29"/>
      <c r="BC45" s="29">
        <v>-0.71</v>
      </c>
      <c r="BD45" s="29"/>
      <c r="BE45" s="29">
        <v>-1.1100000000000001</v>
      </c>
      <c r="BF45" s="37" t="s">
        <v>23</v>
      </c>
      <c r="BG45" s="37" t="s">
        <v>24</v>
      </c>
      <c r="BH45" s="29">
        <f t="shared" si="36"/>
        <v>0.79500000000000004</v>
      </c>
      <c r="BI45" s="29">
        <f t="shared" si="37"/>
        <v>1.59</v>
      </c>
      <c r="BJ45" s="29">
        <f t="shared" si="38"/>
        <v>1.59</v>
      </c>
      <c r="BK45" s="29">
        <f t="shared" si="39"/>
        <v>0.79500000000000004</v>
      </c>
      <c r="BL45" s="29">
        <f t="shared" si="46"/>
        <v>0.15900000000000003</v>
      </c>
      <c r="BM45" s="29">
        <f t="shared" si="40"/>
        <v>0.31800000000000006</v>
      </c>
      <c r="BN45" s="29">
        <f t="shared" si="41"/>
        <v>0</v>
      </c>
      <c r="BO45" s="29"/>
      <c r="BP45" s="29">
        <v>1.4999999999999999E-2</v>
      </c>
      <c r="BQ45" s="29">
        <v>0.02</v>
      </c>
      <c r="BR45" s="29">
        <v>0.05</v>
      </c>
      <c r="BS45" s="29">
        <f t="shared" si="8"/>
        <v>0.16</v>
      </c>
      <c r="BT45" s="29"/>
      <c r="BU45" s="29"/>
      <c r="BV45" s="29"/>
      <c r="BW45" s="29">
        <v>0.01</v>
      </c>
      <c r="BX45" s="29"/>
      <c r="BY45" s="29">
        <v>0.02</v>
      </c>
      <c r="BZ45" s="39">
        <f t="shared" si="12"/>
        <v>2.5000000000000001E-2</v>
      </c>
      <c r="CA45" s="29">
        <f t="shared" si="42"/>
        <v>0.70400000000000007</v>
      </c>
      <c r="CB45" s="29">
        <v>0</v>
      </c>
      <c r="CC45" s="29">
        <f t="shared" si="13"/>
        <v>-8.4209999999999994</v>
      </c>
      <c r="CD45" s="29"/>
      <c r="CE45" s="29">
        <f t="shared" si="14"/>
        <v>0.88749929577436837</v>
      </c>
      <c r="CF45" s="29">
        <f t="shared" si="15"/>
        <v>0.88749929577436837</v>
      </c>
      <c r="CG45" s="29">
        <f t="shared" si="16"/>
        <v>1.7749985915487367</v>
      </c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</row>
    <row r="46" spans="1:158" s="37" customFormat="1">
      <c r="A46" s="37" t="s">
        <v>277</v>
      </c>
      <c r="B46" s="37" t="s">
        <v>318</v>
      </c>
      <c r="C46" s="43">
        <v>51.907499999999999</v>
      </c>
      <c r="D46" s="43">
        <v>4.3575999999999997</v>
      </c>
      <c r="H46" s="37" t="s">
        <v>185</v>
      </c>
      <c r="I46" s="37" t="s">
        <v>217</v>
      </c>
      <c r="J46" s="37" t="s">
        <v>225</v>
      </c>
      <c r="K46" s="37" t="s">
        <v>22</v>
      </c>
      <c r="L46" s="37" t="s">
        <v>22</v>
      </c>
      <c r="N46" s="39">
        <v>0.03</v>
      </c>
      <c r="O46" s="39"/>
      <c r="P46" s="39">
        <f t="shared" si="34"/>
        <v>7.4999999999999997E-2</v>
      </c>
      <c r="Q46" s="37" t="s">
        <v>22</v>
      </c>
      <c r="R46" s="37" t="s">
        <v>239</v>
      </c>
      <c r="S46" s="39">
        <f t="shared" si="43"/>
        <v>7.76</v>
      </c>
      <c r="T46" s="39">
        <v>0.01</v>
      </c>
      <c r="V46" s="40">
        <f t="shared" si="44"/>
        <v>-0.34500000000000064</v>
      </c>
      <c r="Y46" s="41">
        <v>7.76</v>
      </c>
      <c r="Z46" s="37" t="s">
        <v>243</v>
      </c>
      <c r="AD46" s="29">
        <v>-8.1050000000000004</v>
      </c>
      <c r="AE46" s="37" t="s">
        <v>69</v>
      </c>
      <c r="AF46" s="42" t="s">
        <v>268</v>
      </c>
      <c r="AH46" s="31">
        <v>6150</v>
      </c>
      <c r="AI46" s="31">
        <v>50</v>
      </c>
      <c r="AJ46" s="31">
        <v>100</v>
      </c>
      <c r="AN46" s="31">
        <f t="shared" si="35"/>
        <v>6150</v>
      </c>
      <c r="AO46" s="31">
        <f t="shared" si="45"/>
        <v>111.80339887498948</v>
      </c>
      <c r="AP46" s="31"/>
      <c r="AQ46" s="31"/>
      <c r="AR46" s="31">
        <v>7280</v>
      </c>
      <c r="AS46" s="31">
        <v>6740</v>
      </c>
      <c r="AT46" s="31">
        <v>7030</v>
      </c>
      <c r="AU46" s="29"/>
      <c r="AV46" s="29">
        <v>1.59</v>
      </c>
      <c r="AW46" s="29">
        <v>1.19</v>
      </c>
      <c r="AX46" s="29">
        <v>0.79</v>
      </c>
      <c r="AY46" s="29"/>
      <c r="AZ46" s="29"/>
      <c r="BA46" s="29">
        <v>0</v>
      </c>
      <c r="BB46" s="29"/>
      <c r="BC46" s="29">
        <v>-0.71</v>
      </c>
      <c r="BD46" s="29"/>
      <c r="BE46" s="29">
        <v>-1.1100000000000001</v>
      </c>
      <c r="BF46" s="37" t="s">
        <v>23</v>
      </c>
      <c r="BG46" s="37" t="s">
        <v>24</v>
      </c>
      <c r="BH46" s="29">
        <f t="shared" si="36"/>
        <v>0.79500000000000004</v>
      </c>
      <c r="BI46" s="29">
        <f t="shared" si="37"/>
        <v>1.59</v>
      </c>
      <c r="BJ46" s="29">
        <f t="shared" si="38"/>
        <v>1.59</v>
      </c>
      <c r="BK46" s="29">
        <f t="shared" si="39"/>
        <v>0.79500000000000004</v>
      </c>
      <c r="BL46" s="29">
        <f t="shared" si="46"/>
        <v>0.15900000000000003</v>
      </c>
      <c r="BM46" s="29">
        <f t="shared" si="40"/>
        <v>0.31800000000000006</v>
      </c>
      <c r="BN46" s="29">
        <f t="shared" si="41"/>
        <v>0</v>
      </c>
      <c r="BO46" s="29"/>
      <c r="BP46" s="29">
        <v>1.4999999999999999E-2</v>
      </c>
      <c r="BQ46" s="29">
        <v>0.02</v>
      </c>
      <c r="BR46" s="29">
        <v>0.05</v>
      </c>
      <c r="BS46" s="29">
        <f t="shared" si="8"/>
        <v>0.1552</v>
      </c>
      <c r="BT46" s="29"/>
      <c r="BU46" s="29"/>
      <c r="BV46" s="29"/>
      <c r="BW46" s="29">
        <v>0.01</v>
      </c>
      <c r="BX46" s="29"/>
      <c r="BY46" s="29">
        <v>0.02</v>
      </c>
      <c r="BZ46" s="39">
        <f t="shared" si="12"/>
        <v>2.5000000000000001E-2</v>
      </c>
      <c r="CA46" s="29">
        <f t="shared" si="42"/>
        <v>0.70300000000000007</v>
      </c>
      <c r="CB46" s="29">
        <v>0</v>
      </c>
      <c r="CC46" s="29">
        <f t="shared" si="13"/>
        <v>-8.1720000000000006</v>
      </c>
      <c r="CD46" s="29"/>
      <c r="CE46" s="29">
        <f t="shared" si="14"/>
        <v>0.88664651355543034</v>
      </c>
      <c r="CF46" s="29">
        <f t="shared" si="15"/>
        <v>0.88664651355543034</v>
      </c>
      <c r="CG46" s="29">
        <f t="shared" si="16"/>
        <v>1.7732930271108607</v>
      </c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</row>
    <row r="47" spans="1:158" s="37" customFormat="1" ht="15.4">
      <c r="A47" s="37" t="s">
        <v>277</v>
      </c>
      <c r="B47" s="37" t="s">
        <v>318</v>
      </c>
      <c r="C47" s="38">
        <v>51.921180319800001</v>
      </c>
      <c r="D47" s="38">
        <v>4.2987887676799996</v>
      </c>
      <c r="H47" s="37" t="s">
        <v>245</v>
      </c>
      <c r="J47" s="37" t="s">
        <v>280</v>
      </c>
      <c r="K47" s="37" t="s">
        <v>356</v>
      </c>
      <c r="L47" s="37" t="s">
        <v>22</v>
      </c>
      <c r="N47" s="39">
        <v>0.01</v>
      </c>
      <c r="O47" s="39"/>
      <c r="P47" s="39">
        <f t="shared" si="34"/>
        <v>2.5000000000000001E-2</v>
      </c>
      <c r="Q47" s="37" t="s">
        <v>228</v>
      </c>
      <c r="R47" s="37" t="s">
        <v>240</v>
      </c>
      <c r="S47" s="39">
        <f t="shared" si="43"/>
        <v>15.44</v>
      </c>
      <c r="T47" s="39">
        <v>0.05</v>
      </c>
      <c r="V47" s="40">
        <f t="shared" si="44"/>
        <v>-2.3050000000000015</v>
      </c>
      <c r="Y47" s="41">
        <v>15.44</v>
      </c>
      <c r="Z47" s="37" t="s">
        <v>243</v>
      </c>
      <c r="AD47" s="29">
        <v>-17.745000000000001</v>
      </c>
      <c r="AE47" s="37" t="s">
        <v>69</v>
      </c>
      <c r="AF47" s="42" t="s">
        <v>266</v>
      </c>
      <c r="AH47" s="31">
        <v>7870</v>
      </c>
      <c r="AI47" s="31">
        <v>45</v>
      </c>
      <c r="AJ47" s="31"/>
      <c r="AK47" s="29">
        <v>-25.43</v>
      </c>
      <c r="AN47" s="31">
        <f t="shared" si="35"/>
        <v>7870</v>
      </c>
      <c r="AO47" s="31">
        <f t="shared" si="45"/>
        <v>45</v>
      </c>
      <c r="AP47" s="31"/>
      <c r="AQ47" s="31"/>
      <c r="AR47" s="31">
        <v>8980</v>
      </c>
      <c r="AS47" s="31">
        <v>8550</v>
      </c>
      <c r="AT47" s="31">
        <v>8690</v>
      </c>
      <c r="AU47" s="29"/>
      <c r="AV47" s="29">
        <v>1.59</v>
      </c>
      <c r="AW47" s="29">
        <v>1.19</v>
      </c>
      <c r="AX47" s="29">
        <v>0.79</v>
      </c>
      <c r="AY47" s="29"/>
      <c r="AZ47" s="29"/>
      <c r="BA47" s="29">
        <v>0</v>
      </c>
      <c r="BB47" s="29"/>
      <c r="BC47" s="29">
        <v>-0.71</v>
      </c>
      <c r="BD47" s="29"/>
      <c r="BE47" s="29">
        <v>-1.1100000000000001</v>
      </c>
      <c r="BF47" s="47" t="s">
        <v>247</v>
      </c>
      <c r="BG47" s="37" t="s">
        <v>25</v>
      </c>
      <c r="BH47" s="29">
        <f>BA47</f>
        <v>0</v>
      </c>
      <c r="BI47" s="29"/>
      <c r="BJ47" s="29"/>
      <c r="BK47" s="29"/>
      <c r="BL47" s="29">
        <f t="shared" si="46"/>
        <v>0</v>
      </c>
      <c r="BM47" s="29"/>
      <c r="BN47" s="29"/>
      <c r="BO47" s="29"/>
      <c r="BP47" s="29">
        <v>5.0000000000000001E-3</v>
      </c>
      <c r="BQ47" s="29">
        <v>0.02</v>
      </c>
      <c r="BR47" s="29">
        <v>0.05</v>
      </c>
      <c r="BS47" s="29">
        <f t="shared" si="8"/>
        <v>0.30880000000000002</v>
      </c>
      <c r="BT47" s="29"/>
      <c r="BU47" s="29"/>
      <c r="BV47" s="29"/>
      <c r="BW47" s="29">
        <v>0.01</v>
      </c>
      <c r="BX47" s="29"/>
      <c r="BY47" s="29">
        <v>0.02</v>
      </c>
      <c r="BZ47" s="39">
        <f t="shared" si="12"/>
        <v>0.125</v>
      </c>
      <c r="CA47" s="29">
        <f t="shared" si="42"/>
        <v>0.86899999999999999</v>
      </c>
      <c r="CB47" s="29">
        <v>4.7142857142856709E-2</v>
      </c>
      <c r="CD47" s="29">
        <f t="shared" ref="CD47:CD52" si="47">AD47-BH47+CA47+BZ47+CB47</f>
        <v>-16.703857142857146</v>
      </c>
      <c r="CE47" s="29">
        <f t="shared" si="14"/>
        <v>0.31429673876768116</v>
      </c>
      <c r="CF47" s="29">
        <f t="shared" si="15"/>
        <v>0.31429673876768116</v>
      </c>
      <c r="CG47" s="29">
        <f t="shared" si="16"/>
        <v>0.62859347753536232</v>
      </c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</row>
    <row r="48" spans="1:158" s="37" customFormat="1">
      <c r="A48" s="37" t="s">
        <v>277</v>
      </c>
      <c r="B48" s="37" t="s">
        <v>313</v>
      </c>
      <c r="C48" s="38">
        <v>51.975409999999997</v>
      </c>
      <c r="D48" s="38">
        <v>4.0244600000000004</v>
      </c>
      <c r="H48" s="37" t="s">
        <v>186</v>
      </c>
      <c r="J48" s="37" t="s">
        <v>281</v>
      </c>
      <c r="K48" s="37" t="s">
        <v>234</v>
      </c>
      <c r="L48" s="37" t="s">
        <v>22</v>
      </c>
      <c r="N48" s="39">
        <v>0.01</v>
      </c>
      <c r="O48" s="39"/>
      <c r="P48" s="39">
        <f t="shared" si="34"/>
        <v>2.5000000000000001E-2</v>
      </c>
      <c r="Q48" s="37" t="s">
        <v>22</v>
      </c>
      <c r="R48" s="37" t="s">
        <v>240</v>
      </c>
      <c r="S48" s="39">
        <f t="shared" si="43"/>
        <v>20.309999999999999</v>
      </c>
      <c r="T48" s="39">
        <v>0.01</v>
      </c>
      <c r="V48" s="40">
        <f t="shared" si="44"/>
        <v>4.9999999999990052E-3</v>
      </c>
      <c r="Y48" s="41">
        <v>20.309999999999999</v>
      </c>
      <c r="Z48" s="37" t="s">
        <v>243</v>
      </c>
      <c r="AD48" s="29">
        <v>-20.305</v>
      </c>
      <c r="AE48" s="37" t="s">
        <v>69</v>
      </c>
      <c r="AF48" s="42" t="s">
        <v>265</v>
      </c>
      <c r="AH48" s="31">
        <v>8100</v>
      </c>
      <c r="AI48" s="31">
        <v>50</v>
      </c>
      <c r="AJ48" s="31"/>
      <c r="AN48" s="31">
        <f t="shared" si="35"/>
        <v>8100</v>
      </c>
      <c r="AO48" s="31">
        <f t="shared" si="45"/>
        <v>50</v>
      </c>
      <c r="AP48" s="31"/>
      <c r="AQ48" s="31"/>
      <c r="AR48" s="31">
        <v>9260</v>
      </c>
      <c r="AS48" s="31">
        <v>8780</v>
      </c>
      <c r="AT48" s="31">
        <v>9040</v>
      </c>
      <c r="AU48" s="29"/>
      <c r="AV48" s="29">
        <v>1.59</v>
      </c>
      <c r="AW48" s="29">
        <v>1.19</v>
      </c>
      <c r="AX48" s="29">
        <v>0.79</v>
      </c>
      <c r="AY48" s="29"/>
      <c r="AZ48" s="29"/>
      <c r="BA48" s="29">
        <v>0</v>
      </c>
      <c r="BB48" s="29"/>
      <c r="BC48" s="29">
        <v>-0.71</v>
      </c>
      <c r="BD48" s="29"/>
      <c r="BE48" s="29">
        <v>-1.1100000000000001</v>
      </c>
      <c r="BF48" s="47" t="s">
        <v>247</v>
      </c>
      <c r="BG48" s="37" t="s">
        <v>25</v>
      </c>
      <c r="BH48" s="29">
        <f t="shared" ref="BH48:BH52" si="48">BA48</f>
        <v>0</v>
      </c>
      <c r="BI48" s="29"/>
      <c r="BJ48" s="29"/>
      <c r="BK48" s="29"/>
      <c r="BL48" s="29">
        <f t="shared" si="46"/>
        <v>0</v>
      </c>
      <c r="BM48" s="29"/>
      <c r="BN48" s="29"/>
      <c r="BO48" s="29"/>
      <c r="BP48" s="29">
        <v>5.0000000000000001E-3</v>
      </c>
      <c r="BQ48" s="29">
        <v>0.02</v>
      </c>
      <c r="BR48" s="29">
        <v>0.05</v>
      </c>
      <c r="BS48" s="29">
        <f t="shared" si="8"/>
        <v>0.40620000000000001</v>
      </c>
      <c r="BT48" s="29"/>
      <c r="BU48" s="29"/>
      <c r="BV48" s="29">
        <v>0.2031</v>
      </c>
      <c r="BW48" s="29"/>
      <c r="BX48" s="29"/>
      <c r="BY48" s="29">
        <v>0.02</v>
      </c>
      <c r="BZ48" s="39">
        <f t="shared" si="12"/>
        <v>0.04</v>
      </c>
      <c r="CA48" s="29">
        <f t="shared" si="42"/>
        <v>0.90400000000000003</v>
      </c>
      <c r="CB48" s="29">
        <v>0.2332857142857144</v>
      </c>
      <c r="CD48" s="29">
        <f t="shared" si="47"/>
        <v>-19.127714285714287</v>
      </c>
      <c r="CE48" s="29">
        <f t="shared" si="14"/>
        <v>0.45779149183880646</v>
      </c>
      <c r="CF48" s="29">
        <f t="shared" si="15"/>
        <v>0.45779149183880646</v>
      </c>
      <c r="CG48" s="29">
        <f t="shared" si="16"/>
        <v>0.91558298367761293</v>
      </c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</row>
    <row r="49" spans="1:158" s="37" customFormat="1">
      <c r="A49" s="37" t="s">
        <v>277</v>
      </c>
      <c r="B49" s="37" t="s">
        <v>313</v>
      </c>
      <c r="C49" s="38">
        <v>51.972659999999998</v>
      </c>
      <c r="D49" s="38">
        <v>4.0357099999999999</v>
      </c>
      <c r="H49" s="37" t="s">
        <v>186</v>
      </c>
      <c r="J49" s="37" t="s">
        <v>281</v>
      </c>
      <c r="K49" s="37" t="s">
        <v>234</v>
      </c>
      <c r="L49" s="37" t="s">
        <v>22</v>
      </c>
      <c r="N49" s="39">
        <v>0.03</v>
      </c>
      <c r="O49" s="39"/>
      <c r="P49" s="39">
        <f t="shared" si="34"/>
        <v>7.4999999999999997E-2</v>
      </c>
      <c r="Q49" s="37" t="s">
        <v>229</v>
      </c>
      <c r="R49" s="37" t="s">
        <v>49</v>
      </c>
      <c r="S49" s="39">
        <f t="shared" si="43"/>
        <v>19.59</v>
      </c>
      <c r="T49" s="39">
        <v>0.16</v>
      </c>
      <c r="V49" s="40">
        <f t="shared" si="44"/>
        <v>-1.5000000000000568E-2</v>
      </c>
      <c r="Y49" s="41">
        <v>19.59</v>
      </c>
      <c r="Z49" s="37" t="s">
        <v>243</v>
      </c>
      <c r="AD49" s="29">
        <v>-19.605</v>
      </c>
      <c r="AE49" s="37" t="s">
        <v>69</v>
      </c>
      <c r="AF49" s="42" t="s">
        <v>256</v>
      </c>
      <c r="AH49" s="31">
        <v>7755</v>
      </c>
      <c r="AI49" s="31">
        <v>40</v>
      </c>
      <c r="AJ49" s="31"/>
      <c r="AN49" s="31">
        <f t="shared" si="35"/>
        <v>7755</v>
      </c>
      <c r="AO49" s="31">
        <f t="shared" si="45"/>
        <v>40</v>
      </c>
      <c r="AP49" s="31"/>
      <c r="AQ49" s="31"/>
      <c r="AR49" s="31">
        <v>8600</v>
      </c>
      <c r="AS49" s="31">
        <v>8430</v>
      </c>
      <c r="AT49" s="31">
        <v>8530</v>
      </c>
      <c r="AU49" s="29"/>
      <c r="AV49" s="29">
        <v>1.59</v>
      </c>
      <c r="AW49" s="29">
        <v>1.19</v>
      </c>
      <c r="AX49" s="29">
        <v>0.79</v>
      </c>
      <c r="AY49" s="29"/>
      <c r="AZ49" s="29"/>
      <c r="BA49" s="29">
        <v>0</v>
      </c>
      <c r="BB49" s="29"/>
      <c r="BC49" s="29">
        <v>-0.71</v>
      </c>
      <c r="BD49" s="29"/>
      <c r="BE49" s="29">
        <v>-1.1100000000000001</v>
      </c>
      <c r="BF49" s="47" t="s">
        <v>247</v>
      </c>
      <c r="BG49" s="37" t="s">
        <v>25</v>
      </c>
      <c r="BH49" s="29">
        <f t="shared" si="48"/>
        <v>0</v>
      </c>
      <c r="BI49" s="29"/>
      <c r="BJ49" s="29"/>
      <c r="BK49" s="29"/>
      <c r="BL49" s="29">
        <f t="shared" si="46"/>
        <v>0</v>
      </c>
      <c r="BM49" s="29"/>
      <c r="BN49" s="29"/>
      <c r="BO49" s="29"/>
      <c r="BP49" s="29">
        <v>1.4999999999999999E-2</v>
      </c>
      <c r="BQ49" s="29">
        <v>0.02</v>
      </c>
      <c r="BR49" s="29">
        <v>0.05</v>
      </c>
      <c r="BS49" s="29">
        <f t="shared" si="8"/>
        <v>0.39179999999999998</v>
      </c>
      <c r="BT49" s="29"/>
      <c r="BU49" s="29"/>
      <c r="BV49" s="29">
        <v>0.19589999999999999</v>
      </c>
      <c r="BW49" s="29"/>
      <c r="BX49" s="29"/>
      <c r="BY49" s="29">
        <v>0.02</v>
      </c>
      <c r="BZ49" s="39">
        <f t="shared" si="12"/>
        <v>0.64</v>
      </c>
      <c r="CA49" s="29">
        <f t="shared" si="42"/>
        <v>0.85300000000000009</v>
      </c>
      <c r="CB49" s="29">
        <v>0.23128571428571432</v>
      </c>
      <c r="CD49" s="29">
        <f t="shared" si="47"/>
        <v>-17.880714285714284</v>
      </c>
      <c r="CE49" s="29">
        <f t="shared" si="14"/>
        <v>0.44205095860092869</v>
      </c>
      <c r="CF49" s="29">
        <f t="shared" si="15"/>
        <v>0.44205095860092869</v>
      </c>
      <c r="CG49" s="29">
        <f t="shared" si="16"/>
        <v>0.88410191720185738</v>
      </c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</row>
    <row r="50" spans="1:158" s="37" customFormat="1">
      <c r="A50" s="37" t="s">
        <v>277</v>
      </c>
      <c r="B50" s="37" t="s">
        <v>313</v>
      </c>
      <c r="C50" s="38">
        <v>51.972270000000002</v>
      </c>
      <c r="D50" s="38">
        <v>4.0368199999999996</v>
      </c>
      <c r="H50" s="37" t="s">
        <v>186</v>
      </c>
      <c r="J50" s="37" t="s">
        <v>281</v>
      </c>
      <c r="K50" s="37" t="s">
        <v>234</v>
      </c>
      <c r="L50" s="37" t="s">
        <v>22</v>
      </c>
      <c r="N50" s="39">
        <v>0.03</v>
      </c>
      <c r="O50" s="39"/>
      <c r="P50" s="39">
        <f t="shared" si="34"/>
        <v>7.4999999999999997E-2</v>
      </c>
      <c r="Q50" s="37" t="s">
        <v>22</v>
      </c>
      <c r="R50" s="37" t="s">
        <v>240</v>
      </c>
      <c r="S50" s="39">
        <f t="shared" si="43"/>
        <v>19.7</v>
      </c>
      <c r="T50" s="39">
        <v>0.01</v>
      </c>
      <c r="V50" s="40">
        <f t="shared" si="44"/>
        <v>-1.0000000000001563E-2</v>
      </c>
      <c r="Y50" s="41">
        <v>19.7</v>
      </c>
      <c r="Z50" s="37" t="s">
        <v>243</v>
      </c>
      <c r="AD50" s="29">
        <v>-19.71</v>
      </c>
      <c r="AE50" s="37" t="s">
        <v>69</v>
      </c>
      <c r="AF50" s="42" t="s">
        <v>257</v>
      </c>
      <c r="AH50" s="31">
        <v>7875</v>
      </c>
      <c r="AI50" s="31">
        <v>40</v>
      </c>
      <c r="AJ50" s="31"/>
      <c r="AN50" s="31">
        <f t="shared" si="35"/>
        <v>7875</v>
      </c>
      <c r="AO50" s="31">
        <f t="shared" si="45"/>
        <v>40</v>
      </c>
      <c r="AP50" s="31"/>
      <c r="AQ50" s="31"/>
      <c r="AR50" s="31">
        <v>8980</v>
      </c>
      <c r="AS50" s="31">
        <v>8550</v>
      </c>
      <c r="AT50" s="31">
        <v>8690</v>
      </c>
      <c r="AU50" s="29"/>
      <c r="AV50" s="29">
        <v>1.59</v>
      </c>
      <c r="AW50" s="29">
        <v>1.19</v>
      </c>
      <c r="AX50" s="29">
        <v>0.79</v>
      </c>
      <c r="AY50" s="29"/>
      <c r="AZ50" s="29"/>
      <c r="BA50" s="29">
        <v>0</v>
      </c>
      <c r="BB50" s="29"/>
      <c r="BC50" s="29">
        <v>-0.71</v>
      </c>
      <c r="BD50" s="29"/>
      <c r="BE50" s="29">
        <v>-1.1100000000000001</v>
      </c>
      <c r="BF50" s="47" t="s">
        <v>247</v>
      </c>
      <c r="BG50" s="37" t="s">
        <v>25</v>
      </c>
      <c r="BH50" s="29">
        <f t="shared" si="48"/>
        <v>0</v>
      </c>
      <c r="BI50" s="29"/>
      <c r="BJ50" s="29"/>
      <c r="BK50" s="29"/>
      <c r="BL50" s="29">
        <f t="shared" si="46"/>
        <v>0</v>
      </c>
      <c r="BM50" s="29"/>
      <c r="BN50" s="29"/>
      <c r="BO50" s="29"/>
      <c r="BP50" s="29">
        <v>1.4999999999999999E-2</v>
      </c>
      <c r="BQ50" s="29">
        <v>0.02</v>
      </c>
      <c r="BR50" s="29">
        <v>0.05</v>
      </c>
      <c r="BS50" s="29">
        <f t="shared" si="8"/>
        <v>0.39400000000000002</v>
      </c>
      <c r="BT50" s="29"/>
      <c r="BU50" s="29"/>
      <c r="BV50" s="29">
        <v>0.19700000000000001</v>
      </c>
      <c r="BW50" s="29"/>
      <c r="BX50" s="29"/>
      <c r="BY50" s="29">
        <v>0.02</v>
      </c>
      <c r="BZ50" s="39">
        <f t="shared" si="12"/>
        <v>0.04</v>
      </c>
      <c r="CA50" s="29">
        <f t="shared" si="42"/>
        <v>0.86899999999999999</v>
      </c>
      <c r="CB50" s="29">
        <v>0.2282857142857142</v>
      </c>
      <c r="CD50" s="29">
        <f t="shared" si="47"/>
        <v>-18.572714285714287</v>
      </c>
      <c r="CE50" s="29">
        <f t="shared" si="14"/>
        <v>0.4444884700416874</v>
      </c>
      <c r="CF50" s="29">
        <f t="shared" si="15"/>
        <v>0.4444884700416874</v>
      </c>
      <c r="CG50" s="29">
        <f t="shared" si="16"/>
        <v>0.8889769400833748</v>
      </c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</row>
    <row r="51" spans="1:158" s="37" customFormat="1">
      <c r="A51" s="37" t="s">
        <v>277</v>
      </c>
      <c r="B51" s="37" t="s">
        <v>313</v>
      </c>
      <c r="C51" s="38">
        <v>51.975490000000001</v>
      </c>
      <c r="D51" s="38">
        <v>4.0234199999999998</v>
      </c>
      <c r="H51" s="37" t="s">
        <v>186</v>
      </c>
      <c r="J51" s="37" t="s">
        <v>281</v>
      </c>
      <c r="K51" s="37" t="s">
        <v>234</v>
      </c>
      <c r="L51" s="37" t="s">
        <v>22</v>
      </c>
      <c r="N51" s="39">
        <v>0.03</v>
      </c>
      <c r="O51" s="39"/>
      <c r="P51" s="39">
        <f t="shared" si="34"/>
        <v>7.4999999999999997E-2</v>
      </c>
      <c r="Q51" s="37" t="s">
        <v>22</v>
      </c>
      <c r="R51" s="37" t="s">
        <v>239</v>
      </c>
      <c r="S51" s="39">
        <f t="shared" si="43"/>
        <v>19.850000000000001</v>
      </c>
      <c r="T51" s="39">
        <v>0</v>
      </c>
      <c r="V51" s="40">
        <f t="shared" si="44"/>
        <v>-1.4999999999997016E-2</v>
      </c>
      <c r="Y51" s="41">
        <v>19.850000000000001</v>
      </c>
      <c r="Z51" s="37" t="s">
        <v>243</v>
      </c>
      <c r="AD51" s="29">
        <v>-19.864999999999998</v>
      </c>
      <c r="AE51" s="37" t="s">
        <v>69</v>
      </c>
      <c r="AF51" s="42" t="s">
        <v>258</v>
      </c>
      <c r="AH51" s="31">
        <v>7880</v>
      </c>
      <c r="AI51" s="31">
        <v>55</v>
      </c>
      <c r="AJ51" s="31"/>
      <c r="AN51" s="31">
        <f t="shared" si="35"/>
        <v>7880</v>
      </c>
      <c r="AO51" s="31">
        <f t="shared" si="45"/>
        <v>55</v>
      </c>
      <c r="AP51" s="31"/>
      <c r="AQ51" s="31"/>
      <c r="AR51" s="31">
        <v>8980</v>
      </c>
      <c r="AS51" s="31">
        <v>8550</v>
      </c>
      <c r="AT51" s="31">
        <v>8730</v>
      </c>
      <c r="AU51" s="29"/>
      <c r="AV51" s="29">
        <v>1.59</v>
      </c>
      <c r="AW51" s="29">
        <v>1.19</v>
      </c>
      <c r="AX51" s="29">
        <v>0.79</v>
      </c>
      <c r="AY51" s="29"/>
      <c r="AZ51" s="29"/>
      <c r="BA51" s="29">
        <v>0</v>
      </c>
      <c r="BB51" s="29"/>
      <c r="BC51" s="29">
        <v>-0.71</v>
      </c>
      <c r="BD51" s="29"/>
      <c r="BE51" s="29">
        <v>-1.1100000000000001</v>
      </c>
      <c r="BF51" s="47" t="s">
        <v>247</v>
      </c>
      <c r="BG51" s="37" t="s">
        <v>25</v>
      </c>
      <c r="BH51" s="29">
        <f t="shared" si="48"/>
        <v>0</v>
      </c>
      <c r="BI51" s="29"/>
      <c r="BJ51" s="29"/>
      <c r="BK51" s="29"/>
      <c r="BL51" s="29">
        <f t="shared" si="46"/>
        <v>0</v>
      </c>
      <c r="BM51" s="29"/>
      <c r="BN51" s="29"/>
      <c r="BO51" s="29"/>
      <c r="BP51" s="29">
        <v>1.4999999999999999E-2</v>
      </c>
      <c r="BQ51" s="29">
        <v>0.02</v>
      </c>
      <c r="BR51" s="29">
        <v>0.05</v>
      </c>
      <c r="BS51" s="29">
        <f t="shared" si="8"/>
        <v>0.39700000000000002</v>
      </c>
      <c r="BT51" s="29"/>
      <c r="BU51" s="29"/>
      <c r="BV51" s="29">
        <v>0.19850000000000001</v>
      </c>
      <c r="BW51" s="29"/>
      <c r="BX51" s="29"/>
      <c r="BY51" s="29">
        <v>0.02</v>
      </c>
      <c r="BZ51" s="39">
        <f t="shared" si="12"/>
        <v>0</v>
      </c>
      <c r="CA51" s="29">
        <f t="shared" si="42"/>
        <v>0.873</v>
      </c>
      <c r="CB51" s="29">
        <v>0.23828571428571468</v>
      </c>
      <c r="CD51" s="29">
        <f t="shared" si="47"/>
        <v>-18.753714285714281</v>
      </c>
      <c r="CE51" s="29">
        <f t="shared" si="14"/>
        <v>0.44781273988130355</v>
      </c>
      <c r="CF51" s="29">
        <f t="shared" si="15"/>
        <v>0.44781273988130355</v>
      </c>
      <c r="CG51" s="29">
        <f t="shared" si="16"/>
        <v>0.89562547976260709</v>
      </c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</row>
    <row r="52" spans="1:158" s="37" customFormat="1">
      <c r="A52" s="37" t="s">
        <v>277</v>
      </c>
      <c r="B52" s="37" t="s">
        <v>313</v>
      </c>
      <c r="C52" s="38">
        <v>51.975650000000002</v>
      </c>
      <c r="D52" s="38">
        <v>4.0239099999999999</v>
      </c>
      <c r="H52" s="37" t="s">
        <v>186</v>
      </c>
      <c r="J52" s="37" t="s">
        <v>281</v>
      </c>
      <c r="K52" s="37" t="s">
        <v>234</v>
      </c>
      <c r="L52" s="37" t="s">
        <v>22</v>
      </c>
      <c r="N52" s="39">
        <v>0.02</v>
      </c>
      <c r="O52" s="39"/>
      <c r="P52" s="39">
        <f t="shared" si="34"/>
        <v>0.05</v>
      </c>
      <c r="Q52" s="37" t="s">
        <v>22</v>
      </c>
      <c r="R52" s="37" t="s">
        <v>239</v>
      </c>
      <c r="S52" s="39">
        <f t="shared" si="43"/>
        <v>19.899999999999999</v>
      </c>
      <c r="T52" s="39">
        <v>0</v>
      </c>
      <c r="V52" s="40">
        <f t="shared" si="44"/>
        <v>-1.0000000000001563E-2</v>
      </c>
      <c r="Y52" s="41">
        <v>19.899999999999999</v>
      </c>
      <c r="Z52" s="37" t="s">
        <v>243</v>
      </c>
      <c r="AD52" s="29">
        <v>-19.91</v>
      </c>
      <c r="AE52" s="37" t="s">
        <v>69</v>
      </c>
      <c r="AF52" s="42" t="s">
        <v>259</v>
      </c>
      <c r="AH52" s="31">
        <v>8030</v>
      </c>
      <c r="AI52" s="31">
        <v>60</v>
      </c>
      <c r="AJ52" s="31"/>
      <c r="AN52" s="31">
        <f t="shared" si="35"/>
        <v>8030</v>
      </c>
      <c r="AO52" s="31">
        <f t="shared" si="45"/>
        <v>60</v>
      </c>
      <c r="AP52" s="31"/>
      <c r="AQ52" s="31"/>
      <c r="AR52" s="31">
        <v>9090</v>
      </c>
      <c r="AS52" s="31">
        <v>8640</v>
      </c>
      <c r="AT52" s="31">
        <v>8890</v>
      </c>
      <c r="AU52" s="29"/>
      <c r="AV52" s="29">
        <v>1.59</v>
      </c>
      <c r="AW52" s="29">
        <v>1.19</v>
      </c>
      <c r="AX52" s="29">
        <v>0.79</v>
      </c>
      <c r="AY52" s="29"/>
      <c r="AZ52" s="29"/>
      <c r="BA52" s="29">
        <v>0</v>
      </c>
      <c r="BB52" s="29"/>
      <c r="BC52" s="29">
        <v>-0.71</v>
      </c>
      <c r="BD52" s="29"/>
      <c r="BE52" s="29">
        <v>-1.1100000000000001</v>
      </c>
      <c r="BF52" s="47" t="s">
        <v>247</v>
      </c>
      <c r="BG52" s="37" t="s">
        <v>25</v>
      </c>
      <c r="BH52" s="29">
        <f t="shared" si="48"/>
        <v>0</v>
      </c>
      <c r="BI52" s="29"/>
      <c r="BJ52" s="29"/>
      <c r="BK52" s="29"/>
      <c r="BL52" s="29">
        <f t="shared" si="46"/>
        <v>0</v>
      </c>
      <c r="BM52" s="29"/>
      <c r="BN52" s="29"/>
      <c r="BO52" s="29"/>
      <c r="BP52" s="29">
        <v>0.01</v>
      </c>
      <c r="BQ52" s="29">
        <v>0.02</v>
      </c>
      <c r="BR52" s="29">
        <v>0.05</v>
      </c>
      <c r="BS52" s="29">
        <f t="shared" si="8"/>
        <v>0.39799999999999996</v>
      </c>
      <c r="BT52" s="29"/>
      <c r="BU52" s="29"/>
      <c r="BV52" s="29">
        <v>0.19899999999999998</v>
      </c>
      <c r="BW52" s="29"/>
      <c r="BX52" s="29"/>
      <c r="BY52" s="29">
        <v>0.02</v>
      </c>
      <c r="BZ52" s="39">
        <f t="shared" si="12"/>
        <v>0</v>
      </c>
      <c r="CA52" s="29">
        <f t="shared" si="42"/>
        <v>0.88900000000000001</v>
      </c>
      <c r="CB52" s="29">
        <v>0.2411428571428578</v>
      </c>
      <c r="CD52" s="29">
        <f t="shared" si="47"/>
        <v>-18.779857142857143</v>
      </c>
      <c r="CE52" s="29">
        <f t="shared" si="14"/>
        <v>0.44878168411823577</v>
      </c>
      <c r="CF52" s="29">
        <f t="shared" si="15"/>
        <v>0.44878168411823577</v>
      </c>
      <c r="CG52" s="29">
        <f t="shared" si="16"/>
        <v>0.89756336823647154</v>
      </c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</row>
    <row r="53" spans="1:158" s="37" customFormat="1">
      <c r="A53" s="37" t="s">
        <v>277</v>
      </c>
      <c r="B53" s="37" t="s">
        <v>317</v>
      </c>
      <c r="C53" s="38">
        <v>51.956283233199997</v>
      </c>
      <c r="D53" s="38">
        <v>4.4930072213600001</v>
      </c>
      <c r="H53" s="37" t="s">
        <v>320</v>
      </c>
      <c r="I53" s="37" t="s">
        <v>218</v>
      </c>
      <c r="J53" s="37" t="s">
        <v>21</v>
      </c>
      <c r="K53" s="37" t="s">
        <v>22</v>
      </c>
      <c r="L53" s="37" t="s">
        <v>22</v>
      </c>
      <c r="N53" s="39">
        <v>0.02</v>
      </c>
      <c r="O53" s="39"/>
      <c r="P53" s="39">
        <f t="shared" si="34"/>
        <v>0.05</v>
      </c>
      <c r="Q53" s="37" t="s">
        <v>22</v>
      </c>
      <c r="R53" s="37" t="s">
        <v>324</v>
      </c>
      <c r="S53" s="39">
        <f t="shared" si="43"/>
        <v>5.58</v>
      </c>
      <c r="T53" s="39">
        <v>0.01</v>
      </c>
      <c r="V53" s="40">
        <f t="shared" si="44"/>
        <v>-1.2699999999999996</v>
      </c>
      <c r="Y53" s="41">
        <v>5.58</v>
      </c>
      <c r="Z53" s="37" t="s">
        <v>243</v>
      </c>
      <c r="AD53" s="29">
        <v>-6.85</v>
      </c>
      <c r="AE53" s="37" t="s">
        <v>69</v>
      </c>
      <c r="AF53" s="42" t="s">
        <v>292</v>
      </c>
      <c r="AH53" s="31">
        <v>5830</v>
      </c>
      <c r="AI53" s="31">
        <v>110</v>
      </c>
      <c r="AJ53" s="31">
        <v>100</v>
      </c>
      <c r="AN53" s="31">
        <f t="shared" si="35"/>
        <v>5830</v>
      </c>
      <c r="AO53" s="31">
        <f t="shared" si="45"/>
        <v>148.66068747318505</v>
      </c>
      <c r="AP53" s="31"/>
      <c r="AQ53" s="31"/>
      <c r="AR53" s="31">
        <v>7000</v>
      </c>
      <c r="AS53" s="31">
        <v>6300</v>
      </c>
      <c r="AT53" s="31">
        <v>6660</v>
      </c>
      <c r="AU53" s="29"/>
      <c r="AV53" s="29">
        <v>1.59</v>
      </c>
      <c r="AW53" s="29">
        <v>1.19</v>
      </c>
      <c r="AX53" s="29">
        <v>0.79</v>
      </c>
      <c r="AY53" s="29"/>
      <c r="AZ53" s="29"/>
      <c r="BA53" s="29">
        <v>0</v>
      </c>
      <c r="BB53" s="29"/>
      <c r="BC53" s="29">
        <v>-0.71</v>
      </c>
      <c r="BD53" s="29"/>
      <c r="BE53" s="29">
        <v>-1.1100000000000001</v>
      </c>
      <c r="BF53" s="37" t="s">
        <v>23</v>
      </c>
      <c r="BG53" s="37" t="s">
        <v>24</v>
      </c>
      <c r="BH53" s="29">
        <f>(AV53+BA53)/2</f>
        <v>0.79500000000000004</v>
      </c>
      <c r="BI53" s="29">
        <f t="shared" si="37"/>
        <v>1.59</v>
      </c>
      <c r="BJ53" s="29">
        <f t="shared" si="38"/>
        <v>1.59</v>
      </c>
      <c r="BK53" s="29">
        <f t="shared" si="39"/>
        <v>0.79500000000000004</v>
      </c>
      <c r="BL53" s="29">
        <f t="shared" si="46"/>
        <v>0.15900000000000003</v>
      </c>
      <c r="BM53" s="29">
        <f t="shared" si="40"/>
        <v>0.31800000000000006</v>
      </c>
      <c r="BN53" s="29">
        <f t="shared" si="41"/>
        <v>0</v>
      </c>
      <c r="BO53" s="29"/>
      <c r="BP53" s="29">
        <v>0.01</v>
      </c>
      <c r="BQ53" s="29">
        <v>0.02</v>
      </c>
      <c r="BR53" s="29">
        <v>0.05</v>
      </c>
      <c r="BS53" s="29">
        <f t="shared" si="8"/>
        <v>0.1116</v>
      </c>
      <c r="BT53" s="29"/>
      <c r="BU53" s="29"/>
      <c r="BV53" s="29"/>
      <c r="BW53" s="29">
        <v>0.01</v>
      </c>
      <c r="BX53" s="29"/>
      <c r="BY53" s="29">
        <v>0.02</v>
      </c>
      <c r="BZ53" s="39">
        <f t="shared" si="12"/>
        <v>2.5000000000000001E-2</v>
      </c>
      <c r="CA53" s="29">
        <f t="shared" si="42"/>
        <v>0.66600000000000004</v>
      </c>
      <c r="CB53" s="29">
        <v>7.9857142857142877E-2</v>
      </c>
      <c r="CC53" s="29">
        <f t="shared" si="13"/>
        <v>-6.8741428571428562</v>
      </c>
      <c r="CD53" s="29"/>
      <c r="CE53" s="29">
        <f t="shared" si="14"/>
        <v>0.87999122722899903</v>
      </c>
      <c r="CF53" s="29">
        <f t="shared" si="15"/>
        <v>0.87999122722899903</v>
      </c>
      <c r="CG53" s="29">
        <f t="shared" si="16"/>
        <v>1.7599824544579981</v>
      </c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</row>
    <row r="54" spans="1:158" s="37" customFormat="1">
      <c r="A54" s="37" t="s">
        <v>277</v>
      </c>
      <c r="B54" s="37" t="s">
        <v>318</v>
      </c>
      <c r="C54" s="38">
        <v>51.907499999999999</v>
      </c>
      <c r="D54" s="38">
        <v>4.3575999999999997</v>
      </c>
      <c r="H54" s="37" t="s">
        <v>187</v>
      </c>
      <c r="I54" s="37" t="s">
        <v>219</v>
      </c>
      <c r="J54" s="37" t="s">
        <v>225</v>
      </c>
      <c r="K54" s="37" t="s">
        <v>22</v>
      </c>
      <c r="L54" s="37" t="s">
        <v>22</v>
      </c>
      <c r="N54" s="39">
        <v>0.03</v>
      </c>
      <c r="O54" s="39"/>
      <c r="P54" s="39">
        <f t="shared" si="34"/>
        <v>7.4999999999999997E-2</v>
      </c>
      <c r="Q54" s="37" t="s">
        <v>22</v>
      </c>
      <c r="R54" s="37" t="s">
        <v>239</v>
      </c>
      <c r="S54" s="39">
        <f t="shared" si="43"/>
        <v>6.94</v>
      </c>
      <c r="T54" s="39">
        <v>0.01</v>
      </c>
      <c r="V54" s="40">
        <f t="shared" si="44"/>
        <v>-0.3149999999999995</v>
      </c>
      <c r="Y54" s="41">
        <v>6.94</v>
      </c>
      <c r="Z54" s="37" t="s">
        <v>243</v>
      </c>
      <c r="AD54" s="29">
        <v>-7.2549999999999999</v>
      </c>
      <c r="AE54" s="37" t="s">
        <v>69</v>
      </c>
      <c r="AF54" s="42" t="s">
        <v>260</v>
      </c>
      <c r="AH54" s="31">
        <v>5900</v>
      </c>
      <c r="AI54" s="31">
        <v>60</v>
      </c>
      <c r="AJ54" s="31">
        <v>100</v>
      </c>
      <c r="AN54" s="31">
        <f t="shared" si="35"/>
        <v>5900</v>
      </c>
      <c r="AO54" s="31">
        <f t="shared" si="45"/>
        <v>116.61903789690601</v>
      </c>
      <c r="AP54" s="31"/>
      <c r="AQ54" s="31"/>
      <c r="AR54" s="31">
        <v>7150</v>
      </c>
      <c r="AS54" s="31">
        <v>6410</v>
      </c>
      <c r="AT54" s="31">
        <v>6730</v>
      </c>
      <c r="AU54" s="29"/>
      <c r="AV54" s="29">
        <v>1.59</v>
      </c>
      <c r="AW54" s="29">
        <v>1.19</v>
      </c>
      <c r="AX54" s="29">
        <v>0.79</v>
      </c>
      <c r="AY54" s="29"/>
      <c r="AZ54" s="29"/>
      <c r="BA54" s="29">
        <v>0</v>
      </c>
      <c r="BB54" s="29"/>
      <c r="BC54" s="29">
        <v>-0.71</v>
      </c>
      <c r="BD54" s="29"/>
      <c r="BE54" s="29">
        <v>-1.1100000000000001</v>
      </c>
      <c r="BF54" s="37" t="s">
        <v>23</v>
      </c>
      <c r="BG54" s="37" t="s">
        <v>24</v>
      </c>
      <c r="BH54" s="29">
        <f t="shared" ref="BH54:BH79" si="49">(AV54+BA54)/2</f>
        <v>0.79500000000000004</v>
      </c>
      <c r="BI54" s="29">
        <f t="shared" si="37"/>
        <v>1.59</v>
      </c>
      <c r="BJ54" s="29">
        <f t="shared" si="38"/>
        <v>1.59</v>
      </c>
      <c r="BK54" s="29">
        <f t="shared" si="39"/>
        <v>0.79500000000000004</v>
      </c>
      <c r="BL54" s="29">
        <f t="shared" si="46"/>
        <v>0.15900000000000003</v>
      </c>
      <c r="BM54" s="29">
        <f t="shared" si="40"/>
        <v>0.31800000000000006</v>
      </c>
      <c r="BN54" s="29">
        <f t="shared" si="41"/>
        <v>0</v>
      </c>
      <c r="BO54" s="29"/>
      <c r="BP54" s="29">
        <v>1.4999999999999999E-2</v>
      </c>
      <c r="BQ54" s="29">
        <v>0.02</v>
      </c>
      <c r="BR54" s="29">
        <v>0.05</v>
      </c>
      <c r="BS54" s="29">
        <f t="shared" si="8"/>
        <v>0.13880000000000001</v>
      </c>
      <c r="BT54" s="29"/>
      <c r="BU54" s="29"/>
      <c r="BV54" s="29"/>
      <c r="BW54" s="29">
        <v>0.01</v>
      </c>
      <c r="BX54" s="29"/>
      <c r="BY54" s="29">
        <v>0.02</v>
      </c>
      <c r="BZ54" s="39">
        <f t="shared" si="12"/>
        <v>2.5000000000000001E-2</v>
      </c>
      <c r="CA54" s="29">
        <f t="shared" si="42"/>
        <v>0.67300000000000004</v>
      </c>
      <c r="CB54" s="29">
        <v>0</v>
      </c>
      <c r="CC54" s="29">
        <f t="shared" si="13"/>
        <v>-7.3520000000000003</v>
      </c>
      <c r="CD54" s="29"/>
      <c r="CE54" s="29">
        <f t="shared" si="14"/>
        <v>0.88392332246637773</v>
      </c>
      <c r="CF54" s="29">
        <f t="shared" si="15"/>
        <v>0.88392332246637773</v>
      </c>
      <c r="CG54" s="29">
        <f t="shared" ref="CG54:CG79" si="50">CE54+CF54</f>
        <v>1.7678466449327555</v>
      </c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</row>
    <row r="55" spans="1:158" s="37" customFormat="1" ht="15.4">
      <c r="A55" s="37" t="s">
        <v>277</v>
      </c>
      <c r="B55" s="37" t="s">
        <v>316</v>
      </c>
      <c r="C55" s="38">
        <v>51.868751354399997</v>
      </c>
      <c r="D55" s="38">
        <v>4.5503881699899997</v>
      </c>
      <c r="H55" s="37" t="s">
        <v>188</v>
      </c>
      <c r="I55" s="37" t="s">
        <v>220</v>
      </c>
      <c r="J55" s="37" t="s">
        <v>21</v>
      </c>
      <c r="K55" s="37" t="s">
        <v>337</v>
      </c>
      <c r="L55" s="37" t="s">
        <v>22</v>
      </c>
      <c r="N55" s="39">
        <v>0.01</v>
      </c>
      <c r="O55" s="39"/>
      <c r="P55" s="39">
        <f t="shared" si="34"/>
        <v>2.5000000000000001E-2</v>
      </c>
      <c r="Q55" s="37" t="s">
        <v>22</v>
      </c>
      <c r="R55" s="37" t="s">
        <v>324</v>
      </c>
      <c r="S55" s="39">
        <f t="shared" si="43"/>
        <v>6.05</v>
      </c>
      <c r="T55" s="39">
        <v>0.02</v>
      </c>
      <c r="V55" s="40">
        <f t="shared" si="44"/>
        <v>-1.0650000000000004</v>
      </c>
      <c r="Y55" s="41">
        <v>6.05</v>
      </c>
      <c r="Z55" s="37" t="s">
        <v>243</v>
      </c>
      <c r="AD55" s="29">
        <v>-7.1150000000000002</v>
      </c>
      <c r="AE55" s="37" t="s">
        <v>69</v>
      </c>
      <c r="AF55" s="42" t="s">
        <v>293</v>
      </c>
      <c r="AH55" s="31">
        <v>5930</v>
      </c>
      <c r="AI55" s="31">
        <v>50</v>
      </c>
      <c r="AN55" s="31">
        <f t="shared" si="35"/>
        <v>5930</v>
      </c>
      <c r="AO55" s="31">
        <f t="shared" si="45"/>
        <v>50</v>
      </c>
      <c r="AP55" s="31"/>
      <c r="AQ55" s="31"/>
      <c r="AR55" s="31">
        <v>6890</v>
      </c>
      <c r="AS55" s="31">
        <v>6650</v>
      </c>
      <c r="AT55" s="31">
        <v>6760</v>
      </c>
      <c r="AU55" s="29"/>
      <c r="AV55" s="29">
        <v>1.59</v>
      </c>
      <c r="AW55" s="29">
        <v>1.19</v>
      </c>
      <c r="AX55" s="29">
        <v>0.79</v>
      </c>
      <c r="AY55" s="29"/>
      <c r="AZ55" s="29"/>
      <c r="BA55" s="29">
        <v>0</v>
      </c>
      <c r="BB55" s="29"/>
      <c r="BC55" s="29">
        <v>-0.71</v>
      </c>
      <c r="BD55" s="29"/>
      <c r="BE55" s="29">
        <v>-1.1100000000000001</v>
      </c>
      <c r="BF55" s="37" t="s">
        <v>23</v>
      </c>
      <c r="BG55" s="37" t="s">
        <v>24</v>
      </c>
      <c r="BH55" s="29">
        <f t="shared" si="49"/>
        <v>0.79500000000000004</v>
      </c>
      <c r="BI55" s="29">
        <f t="shared" si="37"/>
        <v>1.59</v>
      </c>
      <c r="BJ55" s="29">
        <f t="shared" si="38"/>
        <v>1.59</v>
      </c>
      <c r="BK55" s="29">
        <f t="shared" si="39"/>
        <v>0.79500000000000004</v>
      </c>
      <c r="BL55" s="29">
        <f t="shared" si="46"/>
        <v>0.15900000000000003</v>
      </c>
      <c r="BM55" s="29">
        <f t="shared" si="40"/>
        <v>0.31800000000000006</v>
      </c>
      <c r="BN55" s="29">
        <f t="shared" si="41"/>
        <v>0</v>
      </c>
      <c r="BO55" s="29"/>
      <c r="BP55" s="29">
        <v>5.0000000000000001E-3</v>
      </c>
      <c r="BQ55" s="29">
        <v>0.02</v>
      </c>
      <c r="BR55" s="29">
        <v>0.05</v>
      </c>
      <c r="BS55" s="29">
        <f t="shared" si="8"/>
        <v>0.121</v>
      </c>
      <c r="BT55" s="29"/>
      <c r="BU55" s="29"/>
      <c r="BV55" s="29"/>
      <c r="BW55" s="29">
        <v>0.01</v>
      </c>
      <c r="BX55" s="29"/>
      <c r="BY55" s="29">
        <v>0.02</v>
      </c>
      <c r="BZ55" s="39">
        <f t="shared" ref="BZ55:BZ79" si="51">IF(S55&gt;18,T55*4,T55*2.5)</f>
        <v>0.05</v>
      </c>
      <c r="CA55" s="29">
        <f t="shared" si="42"/>
        <v>0.67600000000000005</v>
      </c>
      <c r="CB55" s="29">
        <v>-0.11085714285714261</v>
      </c>
      <c r="CC55" s="29">
        <f t="shared" ref="CC55:CC79" si="52">AD55-BH55+CA55+BZ55+CB55</f>
        <v>-7.2948571428571425</v>
      </c>
      <c r="CD55" s="29"/>
      <c r="CE55" s="29">
        <f t="shared" ref="CE55:CE79" si="53">(SQRT(BK55^2+BL55^2+BM55^2+BN55^2+BP55^2+BQ55^2+BR55^2+BS55^2+BU55^2+BV55^2+BW55^2+BX55^2+BY55^2))</f>
        <v>0.88119010434752387</v>
      </c>
      <c r="CF55" s="29">
        <f t="shared" ref="CF55:CF79" si="54">(SQRT(BK55^2+BL55^2+BM55^2+BN55^2+BP55^2+BQ55^2+BR55^2+BS55^2+BU55^2+BV55^2+BW55^2+BX55^2+BY55^2))</f>
        <v>0.88119010434752387</v>
      </c>
      <c r="CG55" s="29">
        <f t="shared" si="50"/>
        <v>1.7623802086950477</v>
      </c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</row>
    <row r="56" spans="1:158" s="37" customFormat="1">
      <c r="A56" s="37" t="s">
        <v>277</v>
      </c>
      <c r="B56" s="37" t="s">
        <v>318</v>
      </c>
      <c r="C56" s="38">
        <v>51.907499999999999</v>
      </c>
      <c r="D56" s="38">
        <v>4.3575999999999997</v>
      </c>
      <c r="H56" s="37" t="s">
        <v>185</v>
      </c>
      <c r="I56" s="37" t="s">
        <v>221</v>
      </c>
      <c r="J56" s="37" t="s">
        <v>225</v>
      </c>
      <c r="K56" s="37" t="s">
        <v>22</v>
      </c>
      <c r="L56" s="37" t="s">
        <v>22</v>
      </c>
      <c r="N56" s="39">
        <v>0.04</v>
      </c>
      <c r="O56" s="39"/>
      <c r="P56" s="39">
        <f t="shared" si="34"/>
        <v>0.1</v>
      </c>
      <c r="Q56" s="37" t="s">
        <v>22</v>
      </c>
      <c r="R56" s="37" t="s">
        <v>239</v>
      </c>
      <c r="S56" s="39">
        <f t="shared" si="43"/>
        <v>7.4700000000000006</v>
      </c>
      <c r="T56" s="39">
        <v>0.01</v>
      </c>
      <c r="V56" s="40">
        <f t="shared" si="44"/>
        <v>-0.32999999999999918</v>
      </c>
      <c r="Y56" s="41">
        <v>7.4700000000000006</v>
      </c>
      <c r="Z56" s="37" t="s">
        <v>243</v>
      </c>
      <c r="AD56" s="29">
        <v>-7.8</v>
      </c>
      <c r="AE56" s="37" t="s">
        <v>69</v>
      </c>
      <c r="AF56" s="42" t="s">
        <v>264</v>
      </c>
      <c r="AH56" s="31">
        <v>6170</v>
      </c>
      <c r="AI56" s="31">
        <v>45</v>
      </c>
      <c r="AJ56" s="31">
        <v>100</v>
      </c>
      <c r="AN56" s="31">
        <f t="shared" si="35"/>
        <v>6170</v>
      </c>
      <c r="AO56" s="31">
        <f t="shared" si="45"/>
        <v>109.65856099730654</v>
      </c>
      <c r="AP56" s="31"/>
      <c r="AQ56" s="31"/>
      <c r="AR56" s="31">
        <v>7320</v>
      </c>
      <c r="AS56" s="31">
        <v>6780</v>
      </c>
      <c r="AT56" s="31">
        <v>7050</v>
      </c>
      <c r="AU56" s="29"/>
      <c r="AV56" s="29">
        <v>1.59</v>
      </c>
      <c r="AW56" s="29">
        <v>1.19</v>
      </c>
      <c r="AX56" s="29">
        <v>0.79</v>
      </c>
      <c r="AY56" s="29"/>
      <c r="AZ56" s="29"/>
      <c r="BA56" s="29">
        <v>0</v>
      </c>
      <c r="BB56" s="29"/>
      <c r="BC56" s="29">
        <v>-0.71</v>
      </c>
      <c r="BD56" s="29"/>
      <c r="BE56" s="29">
        <v>-1.1100000000000001</v>
      </c>
      <c r="BF56" s="37" t="s">
        <v>23</v>
      </c>
      <c r="BG56" s="37" t="s">
        <v>24</v>
      </c>
      <c r="BH56" s="29">
        <f t="shared" si="49"/>
        <v>0.79500000000000004</v>
      </c>
      <c r="BI56" s="29">
        <f t="shared" si="37"/>
        <v>1.59</v>
      </c>
      <c r="BJ56" s="29">
        <f t="shared" si="38"/>
        <v>1.59</v>
      </c>
      <c r="BK56" s="29">
        <f t="shared" si="39"/>
        <v>0.79500000000000004</v>
      </c>
      <c r="BL56" s="29">
        <f t="shared" si="46"/>
        <v>0.15900000000000003</v>
      </c>
      <c r="BM56" s="29">
        <f t="shared" si="40"/>
        <v>0.31800000000000006</v>
      </c>
      <c r="BN56" s="29">
        <f t="shared" si="41"/>
        <v>0</v>
      </c>
      <c r="BO56" s="29"/>
      <c r="BP56" s="29">
        <v>0.02</v>
      </c>
      <c r="BQ56" s="29">
        <v>0.02</v>
      </c>
      <c r="BR56" s="29">
        <v>0.05</v>
      </c>
      <c r="BS56" s="29">
        <f t="shared" si="8"/>
        <v>0.14940000000000001</v>
      </c>
      <c r="BT56" s="29"/>
      <c r="BU56" s="29"/>
      <c r="BV56" s="29"/>
      <c r="BW56" s="29">
        <v>0.01</v>
      </c>
      <c r="BX56" s="29"/>
      <c r="BY56" s="29">
        <v>0.02</v>
      </c>
      <c r="BZ56" s="39">
        <f t="shared" si="51"/>
        <v>2.5000000000000001E-2</v>
      </c>
      <c r="CA56" s="29">
        <f t="shared" si="42"/>
        <v>0.70500000000000007</v>
      </c>
      <c r="CB56" s="29">
        <v>0</v>
      </c>
      <c r="CC56" s="29">
        <f t="shared" si="52"/>
        <v>-7.8650000000000002</v>
      </c>
      <c r="CD56" s="29"/>
      <c r="CE56" s="29">
        <f t="shared" si="53"/>
        <v>0.88574847445536131</v>
      </c>
      <c r="CF56" s="29">
        <f t="shared" si="54"/>
        <v>0.88574847445536131</v>
      </c>
      <c r="CG56" s="29">
        <f t="shared" si="50"/>
        <v>1.7714969489107226</v>
      </c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</row>
    <row r="57" spans="1:158" s="37" customFormat="1" ht="15.4">
      <c r="A57" s="37" t="s">
        <v>178</v>
      </c>
      <c r="B57" s="37" t="s">
        <v>309</v>
      </c>
      <c r="C57" s="45">
        <v>31.031500000000001</v>
      </c>
      <c r="D57" s="45">
        <v>121.1266</v>
      </c>
      <c r="H57" s="37" t="s">
        <v>180</v>
      </c>
      <c r="I57" s="37" t="s">
        <v>192</v>
      </c>
      <c r="J57" s="37" t="s">
        <v>225</v>
      </c>
      <c r="K57" s="37" t="s">
        <v>226</v>
      </c>
      <c r="L57" s="37" t="s">
        <v>231</v>
      </c>
      <c r="N57" s="29">
        <v>0.05</v>
      </c>
      <c r="O57" s="39"/>
      <c r="P57" s="39">
        <f t="shared" ref="P57:P63" si="55">N57*2.5</f>
        <v>0.125</v>
      </c>
      <c r="Q57" s="37" t="s">
        <v>248</v>
      </c>
      <c r="R57" s="37" t="s">
        <v>249</v>
      </c>
      <c r="S57" s="39">
        <f t="shared" si="43"/>
        <v>13</v>
      </c>
      <c r="T57" s="39">
        <v>0.35</v>
      </c>
      <c r="U57" s="37" t="s">
        <v>330</v>
      </c>
      <c r="V57" s="44">
        <v>1.45</v>
      </c>
      <c r="Y57" s="41">
        <v>13</v>
      </c>
      <c r="Z57" s="37" t="s">
        <v>329</v>
      </c>
      <c r="AD57" s="29">
        <v>-10.65</v>
      </c>
      <c r="AE57" s="37" t="s">
        <v>69</v>
      </c>
      <c r="AF57" s="37" t="s">
        <v>269</v>
      </c>
      <c r="AH57" s="48">
        <v>7360</v>
      </c>
      <c r="AI57" s="48">
        <v>40</v>
      </c>
      <c r="AK57" s="49">
        <v>-12.4</v>
      </c>
      <c r="AN57" s="31">
        <f t="shared" si="35"/>
        <v>7360</v>
      </c>
      <c r="AO57" s="31">
        <f t="shared" si="45"/>
        <v>40</v>
      </c>
      <c r="AP57" s="31"/>
      <c r="AQ57" s="31"/>
      <c r="AR57" s="31">
        <v>8320</v>
      </c>
      <c r="AS57" s="31">
        <v>8020</v>
      </c>
      <c r="AT57" s="31">
        <v>8150</v>
      </c>
      <c r="AU57" s="29"/>
      <c r="AV57" s="29">
        <v>2.48</v>
      </c>
      <c r="AW57" s="29"/>
      <c r="AX57" s="29">
        <v>0.57999999999999996</v>
      </c>
      <c r="AY57" s="29"/>
      <c r="AZ57" s="29"/>
      <c r="BA57" s="29">
        <v>0</v>
      </c>
      <c r="BB57" s="29"/>
      <c r="BC57" s="29">
        <v>-0.62</v>
      </c>
      <c r="BD57" s="29"/>
      <c r="BE57" s="29">
        <v>-2.02</v>
      </c>
      <c r="BF57" s="37" t="s">
        <v>23</v>
      </c>
      <c r="BG57" s="37" t="s">
        <v>24</v>
      </c>
      <c r="BH57" s="29">
        <f t="shared" si="49"/>
        <v>1.24</v>
      </c>
      <c r="BI57" s="29">
        <f t="shared" ref="BI57:BI66" si="56">AV57-BA57</f>
        <v>2.48</v>
      </c>
      <c r="BJ57" s="29">
        <f>IF(AR57&gt;8000,BI57+(0.5*BI57),BI57+(0.1*BI57))</f>
        <v>3.7199999999999998</v>
      </c>
      <c r="BK57" s="29">
        <f t="shared" ref="BK57:BK66" si="57">BI57/2</f>
        <v>1.24</v>
      </c>
      <c r="BL57" s="29">
        <f t="shared" si="46"/>
        <v>0.248</v>
      </c>
      <c r="BM57" s="29">
        <f t="shared" ref="BM57:BM69" si="58">0.2*BI57</f>
        <v>0.496</v>
      </c>
      <c r="BN57" s="29">
        <f t="shared" si="41"/>
        <v>0.61999999999999988</v>
      </c>
      <c r="BO57" s="29"/>
      <c r="BP57" s="29">
        <v>6.25E-2</v>
      </c>
      <c r="BQ57" s="33">
        <v>0.01</v>
      </c>
      <c r="BR57" s="29">
        <v>0.15</v>
      </c>
      <c r="BS57" s="29">
        <f t="shared" si="8"/>
        <v>0.26</v>
      </c>
      <c r="BT57" s="29"/>
      <c r="BU57" s="29"/>
      <c r="BV57" s="29"/>
      <c r="BW57" s="29">
        <v>0.03</v>
      </c>
      <c r="BX57" s="29"/>
      <c r="BY57" s="29">
        <v>0.1</v>
      </c>
      <c r="BZ57" s="39">
        <f t="shared" ref="BZ57:BZ69" si="59">IF(S57&gt;18,T57*4,T57*2.5)</f>
        <v>0.875</v>
      </c>
      <c r="CA57" s="29">
        <f t="shared" ref="CA57:CA69" si="60">AT57*0.0002</f>
        <v>1.6300000000000001</v>
      </c>
      <c r="CB57" s="29">
        <v>6.3299999999999995E-2</v>
      </c>
      <c r="CC57" s="29">
        <f t="shared" ref="CC57:CC66" si="61">AD57-BH57+CA57+BZ57+CB57</f>
        <v>-9.3216999999999999</v>
      </c>
      <c r="CD57" s="29"/>
      <c r="CE57" s="29">
        <f t="shared" ref="CE57:CE69" si="62">(SQRT(BK57^2+BL57^2+BM57^2+BN57^2+BP57^2+BQ57^2+BR57^2+BS57^2+BU57^2+BV57^2+BW57^2+BX57^2+BY57^2))</f>
        <v>1.5279156553946294</v>
      </c>
      <c r="CF57" s="29">
        <f t="shared" ref="CF57:CF69" si="63">(SQRT(BK57^2+BL57^2+BM57^2+BN57^2+BP57^2+BQ57^2+BR57^2+BS57^2+BU57^2+BV57^2+BW57^2+BX57^2+BY57^2))</f>
        <v>1.5279156553946294</v>
      </c>
      <c r="CG57" s="29">
        <f t="shared" ref="CG57:CG69" si="64">CE57+CF57</f>
        <v>3.0558313107892587</v>
      </c>
      <c r="CH57" s="9"/>
      <c r="CI57" s="9"/>
      <c r="CJ57" s="9"/>
      <c r="CK57" s="9"/>
      <c r="CL57" s="9"/>
      <c r="CM57" s="9"/>
      <c r="CN57" s="32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</row>
    <row r="58" spans="1:158" s="37" customFormat="1" ht="15.4">
      <c r="A58" s="37" t="s">
        <v>178</v>
      </c>
      <c r="B58" s="37" t="s">
        <v>309</v>
      </c>
      <c r="C58" s="45">
        <v>31.031400000000001</v>
      </c>
      <c r="D58" s="45">
        <v>121.1157</v>
      </c>
      <c r="H58" s="37" t="s">
        <v>180</v>
      </c>
      <c r="I58" s="37" t="s">
        <v>193</v>
      </c>
      <c r="J58" s="37" t="s">
        <v>225</v>
      </c>
      <c r="K58" s="37" t="s">
        <v>226</v>
      </c>
      <c r="L58" s="37" t="s">
        <v>231</v>
      </c>
      <c r="N58" s="39">
        <v>0.05</v>
      </c>
      <c r="O58" s="39"/>
      <c r="P58" s="39">
        <f t="shared" si="55"/>
        <v>0.125</v>
      </c>
      <c r="Q58" s="37" t="s">
        <v>248</v>
      </c>
      <c r="R58" s="37" t="s">
        <v>249</v>
      </c>
      <c r="S58" s="39">
        <f>Y58</f>
        <v>11</v>
      </c>
      <c r="T58" s="39">
        <v>0.27</v>
      </c>
      <c r="U58" s="37" t="s">
        <v>330</v>
      </c>
      <c r="V58" s="44">
        <v>1.42</v>
      </c>
      <c r="Y58" s="41">
        <v>11</v>
      </c>
      <c r="Z58" s="37" t="s">
        <v>329</v>
      </c>
      <c r="AD58" s="29">
        <v>-8.9499999999999993</v>
      </c>
      <c r="AE58" s="37" t="s">
        <v>69</v>
      </c>
      <c r="AF58" s="37" t="s">
        <v>270</v>
      </c>
      <c r="AH58" s="48">
        <v>7330</v>
      </c>
      <c r="AI58" s="48">
        <v>40</v>
      </c>
      <c r="AK58" s="49">
        <v>-24.3</v>
      </c>
      <c r="AN58" s="31">
        <f t="shared" si="35"/>
        <v>7330</v>
      </c>
      <c r="AO58" s="31">
        <f t="shared" si="45"/>
        <v>40</v>
      </c>
      <c r="AP58" s="31"/>
      <c r="AQ58" s="31"/>
      <c r="AR58" s="31">
        <v>8290</v>
      </c>
      <c r="AS58" s="31">
        <v>8020</v>
      </c>
      <c r="AT58" s="31">
        <v>8120</v>
      </c>
      <c r="AU58" s="29"/>
      <c r="AV58" s="29">
        <v>2.48</v>
      </c>
      <c r="AW58" s="29"/>
      <c r="AX58" s="29">
        <v>0.57999999999999996</v>
      </c>
      <c r="AY58" s="29"/>
      <c r="AZ58" s="29"/>
      <c r="BA58" s="29">
        <v>0</v>
      </c>
      <c r="BB58" s="29"/>
      <c r="BC58" s="29">
        <v>-0.62</v>
      </c>
      <c r="BD58" s="29"/>
      <c r="BE58" s="29">
        <v>-2.02</v>
      </c>
      <c r="BF58" s="37" t="s">
        <v>23</v>
      </c>
      <c r="BG58" s="37" t="s">
        <v>24</v>
      </c>
      <c r="BH58" s="29">
        <f t="shared" si="49"/>
        <v>1.24</v>
      </c>
      <c r="BI58" s="29">
        <f t="shared" si="56"/>
        <v>2.48</v>
      </c>
      <c r="BJ58" s="29">
        <f t="shared" ref="BJ58:BJ79" si="65">IF(AR58&gt;8000,BI58+(0.5*BI58),BI58+(0.1*BI58))</f>
        <v>3.7199999999999998</v>
      </c>
      <c r="BK58" s="29">
        <f t="shared" si="57"/>
        <v>1.24</v>
      </c>
      <c r="BL58" s="29">
        <f t="shared" si="46"/>
        <v>0.248</v>
      </c>
      <c r="BM58" s="29">
        <f t="shared" si="58"/>
        <v>0.496</v>
      </c>
      <c r="BN58" s="29">
        <f t="shared" ref="BN58:BN69" si="66">(((BI58-BJ58)^2)^0.5)/2</f>
        <v>0.61999999999999988</v>
      </c>
      <c r="BO58" s="29"/>
      <c r="BP58" s="29">
        <v>6.25E-2</v>
      </c>
      <c r="BQ58" s="33">
        <v>0.01</v>
      </c>
      <c r="BR58" s="29">
        <v>0.15</v>
      </c>
      <c r="BS58" s="29">
        <f t="shared" si="8"/>
        <v>0.22</v>
      </c>
      <c r="BT58" s="29"/>
      <c r="BU58" s="29"/>
      <c r="BV58" s="29"/>
      <c r="BW58" s="29">
        <v>0.03</v>
      </c>
      <c r="BX58" s="29"/>
      <c r="BY58" s="29">
        <v>0.1</v>
      </c>
      <c r="BZ58" s="39">
        <f t="shared" si="59"/>
        <v>0.67500000000000004</v>
      </c>
      <c r="CA58" s="29">
        <f t="shared" si="60"/>
        <v>1.6240000000000001</v>
      </c>
      <c r="CB58" s="29">
        <v>5.1200000000000002E-2</v>
      </c>
      <c r="CC58" s="29">
        <f t="shared" si="61"/>
        <v>-7.8397999999999994</v>
      </c>
      <c r="CD58" s="29"/>
      <c r="CE58" s="29">
        <f t="shared" si="62"/>
        <v>1.5216196140954545</v>
      </c>
      <c r="CF58" s="29">
        <f t="shared" si="63"/>
        <v>1.5216196140954545</v>
      </c>
      <c r="CG58" s="29">
        <f t="shared" si="64"/>
        <v>3.0432392281909091</v>
      </c>
      <c r="CH58" s="9"/>
      <c r="CI58" s="9"/>
      <c r="CJ58" s="9"/>
      <c r="CK58" s="9"/>
      <c r="CL58" s="9"/>
      <c r="CM58" s="9"/>
      <c r="CN58" s="32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</row>
    <row r="59" spans="1:158" s="37" customFormat="1" ht="15.4">
      <c r="A59" s="37" t="s">
        <v>178</v>
      </c>
      <c r="B59" s="37" t="s">
        <v>309</v>
      </c>
      <c r="C59" s="45">
        <v>31.031300000000002</v>
      </c>
      <c r="D59" s="45">
        <v>121.1063</v>
      </c>
      <c r="H59" s="37" t="s">
        <v>180</v>
      </c>
      <c r="I59" s="37" t="s">
        <v>194</v>
      </c>
      <c r="J59" s="37" t="s">
        <v>225</v>
      </c>
      <c r="K59" s="37" t="s">
        <v>226</v>
      </c>
      <c r="L59" s="37" t="s">
        <v>231</v>
      </c>
      <c r="N59" s="39">
        <v>0.05</v>
      </c>
      <c r="O59" s="39"/>
      <c r="P59" s="39">
        <f t="shared" si="55"/>
        <v>0.125</v>
      </c>
      <c r="Q59" s="37" t="s">
        <v>248</v>
      </c>
      <c r="R59" s="37" t="s">
        <v>249</v>
      </c>
      <c r="S59" s="39">
        <f t="shared" si="43"/>
        <v>15</v>
      </c>
      <c r="T59" s="39">
        <v>0.3</v>
      </c>
      <c r="U59" s="37" t="s">
        <v>330</v>
      </c>
      <c r="V59" s="44">
        <v>1.73</v>
      </c>
      <c r="Y59" s="41">
        <v>15</v>
      </c>
      <c r="Z59" s="37" t="s">
        <v>329</v>
      </c>
      <c r="AD59" s="29">
        <v>-12.07</v>
      </c>
      <c r="AE59" s="37" t="s">
        <v>69</v>
      </c>
      <c r="AF59" s="37" t="s">
        <v>271</v>
      </c>
      <c r="AH59" s="48">
        <v>7480</v>
      </c>
      <c r="AI59" s="48">
        <v>40</v>
      </c>
      <c r="AK59" s="49">
        <v>-25.1</v>
      </c>
      <c r="AN59" s="31">
        <f t="shared" si="35"/>
        <v>7480</v>
      </c>
      <c r="AO59" s="31">
        <f t="shared" si="45"/>
        <v>40</v>
      </c>
      <c r="AP59" s="31"/>
      <c r="AQ59" s="31"/>
      <c r="AR59" s="31">
        <v>8350</v>
      </c>
      <c r="AS59" s="31">
        <v>8030</v>
      </c>
      <c r="AT59" s="31">
        <v>8230</v>
      </c>
      <c r="AU59" s="29"/>
      <c r="AV59" s="29">
        <v>2.48</v>
      </c>
      <c r="AW59" s="29"/>
      <c r="AX59" s="29">
        <v>0.57999999999999996</v>
      </c>
      <c r="AY59" s="29"/>
      <c r="AZ59" s="29"/>
      <c r="BA59" s="29">
        <v>0</v>
      </c>
      <c r="BB59" s="29"/>
      <c r="BC59" s="29">
        <v>-0.62</v>
      </c>
      <c r="BD59" s="29"/>
      <c r="BE59" s="29">
        <v>-2.02</v>
      </c>
      <c r="BF59" s="37" t="s">
        <v>23</v>
      </c>
      <c r="BG59" s="37" t="s">
        <v>24</v>
      </c>
      <c r="BH59" s="29">
        <f t="shared" si="49"/>
        <v>1.24</v>
      </c>
      <c r="BI59" s="29">
        <f t="shared" si="56"/>
        <v>2.48</v>
      </c>
      <c r="BJ59" s="29">
        <f t="shared" si="65"/>
        <v>3.7199999999999998</v>
      </c>
      <c r="BK59" s="29">
        <f t="shared" si="57"/>
        <v>1.24</v>
      </c>
      <c r="BL59" s="29">
        <f t="shared" si="46"/>
        <v>0.248</v>
      </c>
      <c r="BM59" s="29">
        <f t="shared" si="58"/>
        <v>0.496</v>
      </c>
      <c r="BN59" s="29">
        <f t="shared" si="66"/>
        <v>0.61999999999999988</v>
      </c>
      <c r="BO59" s="29"/>
      <c r="BP59" s="29">
        <v>6.25E-2</v>
      </c>
      <c r="BQ59" s="33">
        <v>0.01</v>
      </c>
      <c r="BR59" s="29">
        <v>0.15</v>
      </c>
      <c r="BS59" s="29">
        <f t="shared" si="8"/>
        <v>0.3</v>
      </c>
      <c r="BT59" s="29"/>
      <c r="BU59" s="29"/>
      <c r="BV59" s="29"/>
      <c r="BW59" s="29">
        <v>0.03</v>
      </c>
      <c r="BX59" s="29"/>
      <c r="BY59" s="29">
        <v>0.1</v>
      </c>
      <c r="BZ59" s="39">
        <f t="shared" si="59"/>
        <v>0.75</v>
      </c>
      <c r="CA59" s="29">
        <f t="shared" si="60"/>
        <v>1.6460000000000001</v>
      </c>
      <c r="CB59" s="29">
        <v>4.0300000000000002E-2</v>
      </c>
      <c r="CC59" s="29">
        <f t="shared" si="61"/>
        <v>-10.873699999999999</v>
      </c>
      <c r="CD59" s="29"/>
      <c r="CE59" s="29">
        <f t="shared" si="62"/>
        <v>1.5352284032025985</v>
      </c>
      <c r="CF59" s="29">
        <f t="shared" si="63"/>
        <v>1.5352284032025985</v>
      </c>
      <c r="CG59" s="29">
        <f t="shared" si="64"/>
        <v>3.0704568064051969</v>
      </c>
      <c r="CH59" s="9"/>
      <c r="CI59" s="9"/>
      <c r="CJ59" s="9"/>
      <c r="CK59" s="9"/>
      <c r="CL59" s="9"/>
      <c r="CM59" s="9"/>
      <c r="CN59" s="32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</row>
    <row r="60" spans="1:158" s="37" customFormat="1" ht="15.4">
      <c r="A60" s="37" t="s">
        <v>178</v>
      </c>
      <c r="B60" s="37" t="s">
        <v>309</v>
      </c>
      <c r="C60" s="45">
        <v>30.991099999999999</v>
      </c>
      <c r="D60" s="45">
        <v>121.1073</v>
      </c>
      <c r="H60" s="37" t="s">
        <v>180</v>
      </c>
      <c r="I60" s="37" t="s">
        <v>195</v>
      </c>
      <c r="J60" s="37" t="s">
        <v>225</v>
      </c>
      <c r="K60" s="37" t="s">
        <v>226</v>
      </c>
      <c r="L60" s="37" t="s">
        <v>231</v>
      </c>
      <c r="N60" s="39">
        <v>0.05</v>
      </c>
      <c r="O60" s="39"/>
      <c r="P60" s="39">
        <f t="shared" si="55"/>
        <v>0.125</v>
      </c>
      <c r="Q60" s="37" t="s">
        <v>248</v>
      </c>
      <c r="R60" s="37" t="s">
        <v>249</v>
      </c>
      <c r="S60" s="39">
        <f t="shared" si="43"/>
        <v>16</v>
      </c>
      <c r="T60" s="39">
        <v>0.18</v>
      </c>
      <c r="U60" s="37" t="s">
        <v>330</v>
      </c>
      <c r="V60" s="44">
        <v>1.89</v>
      </c>
      <c r="Y60" s="41">
        <v>16</v>
      </c>
      <c r="Z60" s="37" t="s">
        <v>329</v>
      </c>
      <c r="AD60" s="29">
        <v>-13.45</v>
      </c>
      <c r="AE60" s="37" t="s">
        <v>69</v>
      </c>
      <c r="AF60" s="37" t="s">
        <v>272</v>
      </c>
      <c r="AH60" s="48">
        <v>7520</v>
      </c>
      <c r="AI60" s="48">
        <v>40</v>
      </c>
      <c r="AK60" s="49">
        <v>-10.6</v>
      </c>
      <c r="AN60" s="31">
        <f t="shared" si="35"/>
        <v>7520</v>
      </c>
      <c r="AO60" s="31">
        <f t="shared" si="45"/>
        <v>40</v>
      </c>
      <c r="AP60" s="31"/>
      <c r="AQ60" s="31"/>
      <c r="AR60" s="31">
        <v>8410</v>
      </c>
      <c r="AS60" s="31">
        <v>8200</v>
      </c>
      <c r="AT60" s="31">
        <v>8320</v>
      </c>
      <c r="AU60" s="29"/>
      <c r="AV60" s="29">
        <v>2.48</v>
      </c>
      <c r="AW60" s="29"/>
      <c r="AX60" s="29">
        <v>0.57999999999999996</v>
      </c>
      <c r="AY60" s="29"/>
      <c r="AZ60" s="29"/>
      <c r="BA60" s="29">
        <v>0</v>
      </c>
      <c r="BB60" s="29"/>
      <c r="BC60" s="29">
        <v>-0.62</v>
      </c>
      <c r="BD60" s="29"/>
      <c r="BE60" s="29">
        <v>-2.02</v>
      </c>
      <c r="BF60" s="37" t="s">
        <v>23</v>
      </c>
      <c r="BG60" s="37" t="s">
        <v>24</v>
      </c>
      <c r="BH60" s="29">
        <f t="shared" si="49"/>
        <v>1.24</v>
      </c>
      <c r="BI60" s="29">
        <f t="shared" si="56"/>
        <v>2.48</v>
      </c>
      <c r="BJ60" s="29">
        <f t="shared" si="65"/>
        <v>3.7199999999999998</v>
      </c>
      <c r="BK60" s="29">
        <f t="shared" si="57"/>
        <v>1.24</v>
      </c>
      <c r="BL60" s="29">
        <f t="shared" si="46"/>
        <v>0.248</v>
      </c>
      <c r="BM60" s="29">
        <f t="shared" si="58"/>
        <v>0.496</v>
      </c>
      <c r="BN60" s="29">
        <f t="shared" si="66"/>
        <v>0.61999999999999988</v>
      </c>
      <c r="BO60" s="29"/>
      <c r="BP60" s="29">
        <v>6.25E-2</v>
      </c>
      <c r="BQ60" s="33">
        <v>0.01</v>
      </c>
      <c r="BR60" s="29">
        <v>0.15</v>
      </c>
      <c r="BS60" s="29">
        <f t="shared" si="8"/>
        <v>0.32</v>
      </c>
      <c r="BT60" s="29"/>
      <c r="BU60" s="29"/>
      <c r="BV60" s="29"/>
      <c r="BW60" s="29">
        <v>0.03</v>
      </c>
      <c r="BX60" s="29"/>
      <c r="BY60" s="29">
        <v>0.1</v>
      </c>
      <c r="BZ60" s="39">
        <f t="shared" si="59"/>
        <v>0.44999999999999996</v>
      </c>
      <c r="CA60" s="29">
        <f t="shared" si="60"/>
        <v>1.6640000000000001</v>
      </c>
      <c r="CB60" s="29">
        <v>2.2200000000000001E-2</v>
      </c>
      <c r="CC60" s="29">
        <f t="shared" si="61"/>
        <v>-12.553800000000001</v>
      </c>
      <c r="CD60" s="29"/>
      <c r="CE60" s="29">
        <f t="shared" si="62"/>
        <v>1.5392615924526929</v>
      </c>
      <c r="CF60" s="29">
        <f t="shared" si="63"/>
        <v>1.5392615924526929</v>
      </c>
      <c r="CG60" s="29">
        <f t="shared" si="64"/>
        <v>3.0785231849053858</v>
      </c>
      <c r="CH60" s="9"/>
      <c r="CI60" s="9"/>
      <c r="CJ60" s="9"/>
      <c r="CK60" s="9"/>
      <c r="CL60" s="9"/>
      <c r="CM60" s="9"/>
      <c r="CN60" s="32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</row>
    <row r="61" spans="1:158" s="37" customFormat="1" ht="15.4">
      <c r="A61" s="37" t="s">
        <v>178</v>
      </c>
      <c r="B61" s="37" t="s">
        <v>309</v>
      </c>
      <c r="C61" s="45">
        <v>30.937999999999999</v>
      </c>
      <c r="D61" s="45">
        <v>121.134</v>
      </c>
      <c r="H61" s="37" t="s">
        <v>180</v>
      </c>
      <c r="I61" s="37" t="s">
        <v>196</v>
      </c>
      <c r="J61" s="37" t="s">
        <v>225</v>
      </c>
      <c r="K61" s="37" t="s">
        <v>226</v>
      </c>
      <c r="L61" s="37" t="s">
        <v>232</v>
      </c>
      <c r="N61" s="39">
        <v>0.05</v>
      </c>
      <c r="O61" s="39"/>
      <c r="P61" s="39">
        <f t="shared" si="55"/>
        <v>0.125</v>
      </c>
      <c r="Q61" s="37" t="s">
        <v>248</v>
      </c>
      <c r="R61" s="37" t="s">
        <v>249</v>
      </c>
      <c r="S61" s="39">
        <f t="shared" si="43"/>
        <v>12.8</v>
      </c>
      <c r="T61" s="39">
        <v>0.42</v>
      </c>
      <c r="U61" s="37" t="s">
        <v>330</v>
      </c>
      <c r="V61" s="44">
        <v>0.86</v>
      </c>
      <c r="Y61" s="41">
        <v>12.8</v>
      </c>
      <c r="Z61" s="37" t="s">
        <v>329</v>
      </c>
      <c r="AD61" s="29">
        <v>-10.93</v>
      </c>
      <c r="AE61" s="37" t="s">
        <v>69</v>
      </c>
      <c r="AF61" s="37" t="s">
        <v>273</v>
      </c>
      <c r="AH61" s="48">
        <v>7220</v>
      </c>
      <c r="AI61" s="48">
        <v>40</v>
      </c>
      <c r="AK61" s="49">
        <v>-27.1</v>
      </c>
      <c r="AN61" s="31">
        <f t="shared" si="35"/>
        <v>7220</v>
      </c>
      <c r="AO61" s="31">
        <f t="shared" si="45"/>
        <v>40</v>
      </c>
      <c r="AP61" s="31"/>
      <c r="AQ61" s="31"/>
      <c r="AR61" s="31">
        <v>8170</v>
      </c>
      <c r="AS61" s="31">
        <v>7950</v>
      </c>
      <c r="AT61" s="31">
        <v>8040</v>
      </c>
      <c r="AU61" s="29"/>
      <c r="AV61" s="29">
        <v>2.48</v>
      </c>
      <c r="AW61" s="29"/>
      <c r="AX61" s="29">
        <v>0.57999999999999996</v>
      </c>
      <c r="AY61" s="29"/>
      <c r="AZ61" s="29"/>
      <c r="BA61" s="29">
        <v>0</v>
      </c>
      <c r="BB61" s="29"/>
      <c r="BC61" s="29">
        <v>-0.62</v>
      </c>
      <c r="BD61" s="29"/>
      <c r="BE61" s="29">
        <v>-2.02</v>
      </c>
      <c r="BF61" s="37" t="s">
        <v>23</v>
      </c>
      <c r="BG61" s="37" t="s">
        <v>24</v>
      </c>
      <c r="BH61" s="29">
        <f t="shared" si="49"/>
        <v>1.24</v>
      </c>
      <c r="BI61" s="29">
        <f t="shared" si="56"/>
        <v>2.48</v>
      </c>
      <c r="BJ61" s="29">
        <f t="shared" si="65"/>
        <v>3.7199999999999998</v>
      </c>
      <c r="BK61" s="29">
        <f t="shared" si="57"/>
        <v>1.24</v>
      </c>
      <c r="BL61" s="29">
        <f t="shared" si="46"/>
        <v>0.248</v>
      </c>
      <c r="BM61" s="29">
        <f t="shared" si="58"/>
        <v>0.496</v>
      </c>
      <c r="BN61" s="29">
        <f t="shared" si="66"/>
        <v>0.61999999999999988</v>
      </c>
      <c r="BO61" s="29"/>
      <c r="BP61" s="29">
        <v>6.25E-2</v>
      </c>
      <c r="BQ61" s="33">
        <v>0.01</v>
      </c>
      <c r="BR61" s="29">
        <v>0.15</v>
      </c>
      <c r="BS61" s="29">
        <f t="shared" si="8"/>
        <v>0.25600000000000001</v>
      </c>
      <c r="BT61" s="29"/>
      <c r="BU61" s="29"/>
      <c r="BV61" s="29"/>
      <c r="BW61" s="29">
        <v>0.03</v>
      </c>
      <c r="BX61" s="29"/>
      <c r="BY61" s="29">
        <v>0.1</v>
      </c>
      <c r="BZ61" s="39">
        <f t="shared" si="59"/>
        <v>1.05</v>
      </c>
      <c r="CA61" s="29">
        <f t="shared" si="60"/>
        <v>1.6080000000000001</v>
      </c>
      <c r="CB61" s="29">
        <v>2.7E-2</v>
      </c>
      <c r="CC61" s="29">
        <f t="shared" si="61"/>
        <v>-9.4849999999999994</v>
      </c>
      <c r="CD61" s="29"/>
      <c r="CE61" s="29">
        <f t="shared" si="62"/>
        <v>1.5272400760849618</v>
      </c>
      <c r="CF61" s="29">
        <f t="shared" si="63"/>
        <v>1.5272400760849618</v>
      </c>
      <c r="CG61" s="29">
        <f t="shared" si="64"/>
        <v>3.0544801521699236</v>
      </c>
      <c r="CH61" s="9"/>
      <c r="CI61" s="9"/>
      <c r="CJ61" s="9"/>
      <c r="CK61" s="9"/>
      <c r="CL61" s="9"/>
      <c r="CM61" s="9"/>
      <c r="CN61" s="32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</row>
    <row r="62" spans="1:158" s="37" customFormat="1" ht="15.4">
      <c r="A62" s="37" t="s">
        <v>178</v>
      </c>
      <c r="B62" s="37" t="s">
        <v>309</v>
      </c>
      <c r="C62" s="45">
        <v>30.922999999999998</v>
      </c>
      <c r="D62" s="45">
        <v>121.131</v>
      </c>
      <c r="H62" s="37" t="s">
        <v>180</v>
      </c>
      <c r="I62" s="37" t="s">
        <v>197</v>
      </c>
      <c r="J62" s="37" t="s">
        <v>225</v>
      </c>
      <c r="K62" s="37" t="s">
        <v>226</v>
      </c>
      <c r="L62" s="37" t="s">
        <v>232</v>
      </c>
      <c r="N62" s="39">
        <v>0.1</v>
      </c>
      <c r="O62" s="39"/>
      <c r="P62" s="39">
        <f t="shared" si="55"/>
        <v>0.25</v>
      </c>
      <c r="Q62" s="37" t="s">
        <v>248</v>
      </c>
      <c r="R62" s="37" t="s">
        <v>325</v>
      </c>
      <c r="S62" s="39">
        <f t="shared" si="43"/>
        <v>21.3</v>
      </c>
      <c r="T62" s="39">
        <v>0.27</v>
      </c>
      <c r="U62" s="37" t="s">
        <v>330</v>
      </c>
      <c r="V62" s="44">
        <v>0.42</v>
      </c>
      <c r="Y62" s="41">
        <v>21.3</v>
      </c>
      <c r="Z62" s="37" t="s">
        <v>329</v>
      </c>
      <c r="AD62" s="29">
        <v>-20.43</v>
      </c>
      <c r="AE62" s="37" t="s">
        <v>69</v>
      </c>
      <c r="AF62" s="37" t="s">
        <v>274</v>
      </c>
      <c r="AH62" s="48">
        <v>7920</v>
      </c>
      <c r="AI62" s="48">
        <v>40</v>
      </c>
      <c r="AK62" s="49">
        <v>-26.7</v>
      </c>
      <c r="AN62" s="31">
        <f t="shared" si="35"/>
        <v>7920</v>
      </c>
      <c r="AO62" s="31">
        <f t="shared" si="45"/>
        <v>40</v>
      </c>
      <c r="AP62" s="31"/>
      <c r="AQ62" s="31"/>
      <c r="AR62" s="31">
        <v>8990</v>
      </c>
      <c r="AS62" s="31">
        <v>8600</v>
      </c>
      <c r="AT62" s="31">
        <v>8770</v>
      </c>
      <c r="AU62" s="29"/>
      <c r="AV62" s="29">
        <v>2.48</v>
      </c>
      <c r="AW62" s="29"/>
      <c r="AX62" s="29">
        <v>0.57999999999999996</v>
      </c>
      <c r="AY62" s="29"/>
      <c r="AZ62" s="29"/>
      <c r="BA62" s="29">
        <v>0</v>
      </c>
      <c r="BB62" s="29"/>
      <c r="BC62" s="29">
        <v>-0.62</v>
      </c>
      <c r="BD62" s="29"/>
      <c r="BE62" s="29">
        <v>-2.02</v>
      </c>
      <c r="BF62" s="37" t="s">
        <v>23</v>
      </c>
      <c r="BG62" s="37" t="s">
        <v>24</v>
      </c>
      <c r="BH62" s="29">
        <f t="shared" si="49"/>
        <v>1.24</v>
      </c>
      <c r="BI62" s="29">
        <f t="shared" si="56"/>
        <v>2.48</v>
      </c>
      <c r="BJ62" s="29">
        <f t="shared" si="65"/>
        <v>3.7199999999999998</v>
      </c>
      <c r="BK62" s="29">
        <f t="shared" si="57"/>
        <v>1.24</v>
      </c>
      <c r="BL62" s="29">
        <f t="shared" si="46"/>
        <v>0.248</v>
      </c>
      <c r="BM62" s="29">
        <f t="shared" si="58"/>
        <v>0.496</v>
      </c>
      <c r="BN62" s="29">
        <f t="shared" si="66"/>
        <v>0.61999999999999988</v>
      </c>
      <c r="BO62" s="29"/>
      <c r="BP62" s="29">
        <v>0.125</v>
      </c>
      <c r="BQ62" s="33">
        <v>0.01</v>
      </c>
      <c r="BR62" s="29">
        <v>0.15</v>
      </c>
      <c r="BS62" s="29">
        <f t="shared" si="8"/>
        <v>0.42600000000000005</v>
      </c>
      <c r="BT62" s="29"/>
      <c r="BU62" s="29"/>
      <c r="BV62" s="29"/>
      <c r="BW62" s="29">
        <v>0.03</v>
      </c>
      <c r="BX62" s="29"/>
      <c r="BY62" s="29">
        <v>0.1</v>
      </c>
      <c r="BZ62" s="39">
        <f t="shared" si="59"/>
        <v>1.08</v>
      </c>
      <c r="CA62" s="29">
        <f t="shared" si="60"/>
        <v>1.754</v>
      </c>
      <c r="CB62" s="29">
        <v>2.0500000000000001E-2</v>
      </c>
      <c r="CC62" s="29">
        <f t="shared" si="61"/>
        <v>-18.8155</v>
      </c>
      <c r="CD62" s="29"/>
      <c r="CE62" s="29">
        <f t="shared" si="62"/>
        <v>1.5684772870526369</v>
      </c>
      <c r="CF62" s="29">
        <f t="shared" si="63"/>
        <v>1.5684772870526369</v>
      </c>
      <c r="CG62" s="29">
        <f t="shared" si="64"/>
        <v>3.1369545741052738</v>
      </c>
      <c r="CH62" s="9"/>
      <c r="CI62" s="9"/>
      <c r="CJ62" s="9"/>
      <c r="CK62" s="9"/>
      <c r="CL62" s="9"/>
      <c r="CM62" s="9"/>
      <c r="CN62" s="32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</row>
    <row r="63" spans="1:158" s="37" customFormat="1" ht="15.4">
      <c r="A63" s="37" t="s">
        <v>178</v>
      </c>
      <c r="B63" s="37" t="s">
        <v>331</v>
      </c>
      <c r="C63" s="45">
        <v>30.958333</v>
      </c>
      <c r="D63" s="45">
        <v>120.640278</v>
      </c>
      <c r="H63" s="37" t="s">
        <v>181</v>
      </c>
      <c r="J63" s="37" t="s">
        <v>225</v>
      </c>
      <c r="K63" s="37" t="s">
        <v>22</v>
      </c>
      <c r="L63" s="37" t="s">
        <v>231</v>
      </c>
      <c r="N63" s="39">
        <v>0.02</v>
      </c>
      <c r="O63" s="39"/>
      <c r="P63" s="39">
        <f t="shared" si="55"/>
        <v>0.05</v>
      </c>
      <c r="Q63" s="37" t="s">
        <v>248</v>
      </c>
      <c r="S63" s="39">
        <f>Y63</f>
        <v>3.76</v>
      </c>
      <c r="T63" s="39">
        <v>0.1</v>
      </c>
      <c r="V63" s="44">
        <v>1.6</v>
      </c>
      <c r="W63" s="37">
        <v>3.77</v>
      </c>
      <c r="X63" s="37">
        <v>3.75</v>
      </c>
      <c r="Y63" s="41">
        <f>(W63+X63)/2</f>
        <v>3.76</v>
      </c>
      <c r="Z63" s="37" t="s">
        <v>329</v>
      </c>
      <c r="AD63" s="29">
        <f>V63-Y63+AA63</f>
        <v>-2.1599999999999997</v>
      </c>
      <c r="AE63" s="37" t="s">
        <v>69</v>
      </c>
      <c r="AF63" s="37" t="s">
        <v>198</v>
      </c>
      <c r="AH63" s="31">
        <v>6290</v>
      </c>
      <c r="AI63" s="31">
        <v>112</v>
      </c>
      <c r="AN63" s="31">
        <f t="shared" si="35"/>
        <v>6290</v>
      </c>
      <c r="AO63" s="31">
        <f t="shared" si="45"/>
        <v>112</v>
      </c>
      <c r="AP63" s="31"/>
      <c r="AQ63" s="31"/>
      <c r="AR63" s="31">
        <v>7430</v>
      </c>
      <c r="AS63" s="31">
        <v>6930</v>
      </c>
      <c r="AT63" s="31">
        <v>7180</v>
      </c>
      <c r="AU63" s="29"/>
      <c r="AV63" s="29">
        <v>2.48</v>
      </c>
      <c r="AW63" s="29"/>
      <c r="AX63" s="29">
        <v>0.57999999999999996</v>
      </c>
      <c r="AY63" s="29"/>
      <c r="AZ63" s="29"/>
      <c r="BA63" s="29">
        <v>0</v>
      </c>
      <c r="BB63" s="29"/>
      <c r="BC63" s="29">
        <v>-0.62</v>
      </c>
      <c r="BD63" s="29"/>
      <c r="BE63" s="29">
        <v>-2.02</v>
      </c>
      <c r="BF63" s="37" t="s">
        <v>23</v>
      </c>
      <c r="BG63" s="37" t="s">
        <v>24</v>
      </c>
      <c r="BH63" s="29">
        <f>(AV63+BA63)/2</f>
        <v>1.24</v>
      </c>
      <c r="BI63" s="29">
        <f t="shared" si="56"/>
        <v>2.48</v>
      </c>
      <c r="BJ63" s="29">
        <f t="shared" si="65"/>
        <v>2.7279999999999998</v>
      </c>
      <c r="BK63" s="29">
        <f t="shared" si="57"/>
        <v>1.24</v>
      </c>
      <c r="BL63" s="29">
        <f t="shared" si="46"/>
        <v>0.248</v>
      </c>
      <c r="BM63" s="29">
        <f t="shared" si="58"/>
        <v>0.496</v>
      </c>
      <c r="BN63" s="29">
        <f t="shared" si="66"/>
        <v>0.12399999999999989</v>
      </c>
      <c r="BO63" s="29"/>
      <c r="BP63" s="29">
        <v>2.5000000000000001E-2</v>
      </c>
      <c r="BQ63" s="33">
        <v>0.01</v>
      </c>
      <c r="BR63" s="29">
        <v>0.15</v>
      </c>
      <c r="BS63" s="29">
        <f t="shared" si="8"/>
        <v>7.5200000000000003E-2</v>
      </c>
      <c r="BT63" s="29"/>
      <c r="BU63" s="29"/>
      <c r="BV63" s="29"/>
      <c r="BW63" s="29">
        <v>0.03</v>
      </c>
      <c r="BX63" s="29"/>
      <c r="BY63" s="29">
        <v>0.1</v>
      </c>
      <c r="BZ63" s="39">
        <f t="shared" si="59"/>
        <v>0.25</v>
      </c>
      <c r="CA63" s="29">
        <f t="shared" si="60"/>
        <v>1.4360000000000002</v>
      </c>
      <c r="CB63" s="29">
        <v>-0.28849999999999998</v>
      </c>
      <c r="CC63" s="29">
        <f t="shared" si="61"/>
        <v>-2.0024999999999995</v>
      </c>
      <c r="CD63" s="29"/>
      <c r="CE63" s="29">
        <f t="shared" si="62"/>
        <v>1.3785050018044911</v>
      </c>
      <c r="CF63" s="29">
        <f t="shared" si="63"/>
        <v>1.3785050018044911</v>
      </c>
      <c r="CG63" s="29">
        <f t="shared" si="64"/>
        <v>2.7570100036089822</v>
      </c>
      <c r="CH63" s="9"/>
      <c r="CI63" s="9"/>
      <c r="CJ63" s="9"/>
      <c r="CK63" s="9"/>
      <c r="CL63" s="9"/>
      <c r="CM63" s="9"/>
      <c r="CN63" s="32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</row>
    <row r="64" spans="1:158" s="37" customFormat="1" ht="15.4">
      <c r="A64" s="37" t="s">
        <v>178</v>
      </c>
      <c r="B64" s="37" t="s">
        <v>278</v>
      </c>
      <c r="C64" s="50">
        <v>30.1</v>
      </c>
      <c r="D64" s="50">
        <v>121.39</v>
      </c>
      <c r="H64" s="37" t="s">
        <v>182</v>
      </c>
      <c r="I64" s="37" t="s">
        <v>199</v>
      </c>
      <c r="J64" s="37" t="s">
        <v>225</v>
      </c>
      <c r="K64" s="37" t="s">
        <v>227</v>
      </c>
      <c r="L64" s="37" t="s">
        <v>233</v>
      </c>
      <c r="O64" s="46">
        <v>0.1</v>
      </c>
      <c r="P64" s="39">
        <f t="shared" ref="P64:P76" si="67">O64*2.5</f>
        <v>0.25</v>
      </c>
      <c r="Q64" s="37" t="s">
        <v>248</v>
      </c>
      <c r="S64" s="39">
        <f>Y64</f>
        <v>3.55</v>
      </c>
      <c r="T64" s="46">
        <v>0.1</v>
      </c>
      <c r="U64" s="37" t="s">
        <v>330</v>
      </c>
      <c r="V64" s="51">
        <v>4</v>
      </c>
      <c r="Y64" s="41">
        <f>V64-AD64</f>
        <v>3.55</v>
      </c>
      <c r="Z64" s="37" t="s">
        <v>329</v>
      </c>
      <c r="AD64" s="29">
        <v>0.45</v>
      </c>
      <c r="AE64" s="37" t="s">
        <v>69</v>
      </c>
      <c r="AF64" s="37" t="s">
        <v>275</v>
      </c>
      <c r="AH64" s="31">
        <v>5470</v>
      </c>
      <c r="AI64" s="31">
        <v>30</v>
      </c>
      <c r="AN64" s="31">
        <f t="shared" si="35"/>
        <v>5470</v>
      </c>
      <c r="AO64" s="31">
        <f t="shared" si="45"/>
        <v>30</v>
      </c>
      <c r="AP64" s="31"/>
      <c r="AQ64" s="31"/>
      <c r="AR64" s="31">
        <v>6310</v>
      </c>
      <c r="AS64" s="31">
        <v>6200</v>
      </c>
      <c r="AT64" s="31">
        <v>6260</v>
      </c>
      <c r="AU64" s="29"/>
      <c r="AV64" s="29">
        <v>2.0299999999999998</v>
      </c>
      <c r="AW64" s="29"/>
      <c r="AX64" s="29">
        <v>0.23</v>
      </c>
      <c r="AY64" s="29"/>
      <c r="AZ64" s="29"/>
      <c r="BA64" s="29">
        <v>0</v>
      </c>
      <c r="BB64" s="29"/>
      <c r="BC64" s="29">
        <v>-0.47</v>
      </c>
      <c r="BD64" s="29"/>
      <c r="BE64" s="29">
        <v>-2.0699999999999998</v>
      </c>
      <c r="BF64" s="37" t="s">
        <v>23</v>
      </c>
      <c r="BG64" s="37" t="s">
        <v>24</v>
      </c>
      <c r="BH64" s="29">
        <f t="shared" si="49"/>
        <v>1.0149999999999999</v>
      </c>
      <c r="BI64" s="29">
        <f t="shared" si="56"/>
        <v>2.0299999999999998</v>
      </c>
      <c r="BJ64" s="29">
        <f t="shared" si="65"/>
        <v>2.2329999999999997</v>
      </c>
      <c r="BK64" s="29">
        <f t="shared" si="57"/>
        <v>1.0149999999999999</v>
      </c>
      <c r="BL64" s="29">
        <f t="shared" si="46"/>
        <v>0.20299999999999999</v>
      </c>
      <c r="BM64" s="29">
        <f t="shared" si="58"/>
        <v>0.40599999999999997</v>
      </c>
      <c r="BN64" s="29">
        <f t="shared" si="66"/>
        <v>0.10149999999999992</v>
      </c>
      <c r="BO64" s="29"/>
      <c r="BP64" s="29">
        <v>0.125</v>
      </c>
      <c r="BQ64" s="33">
        <v>0.01</v>
      </c>
      <c r="BR64" s="29">
        <v>0.15</v>
      </c>
      <c r="BS64" s="29">
        <f t="shared" si="8"/>
        <v>7.0999999999999994E-2</v>
      </c>
      <c r="BT64" s="29"/>
      <c r="BU64" s="29"/>
      <c r="BV64" s="29"/>
      <c r="BW64" s="29">
        <v>0.03</v>
      </c>
      <c r="BX64" s="29"/>
      <c r="BY64" s="29">
        <v>0.1</v>
      </c>
      <c r="BZ64" s="39">
        <f t="shared" si="59"/>
        <v>0.25</v>
      </c>
      <c r="CA64" s="29">
        <f t="shared" si="60"/>
        <v>1.252</v>
      </c>
      <c r="CB64" s="29">
        <v>0.17649999999999999</v>
      </c>
      <c r="CC64" s="29">
        <f t="shared" si="61"/>
        <v>1.1135000000000002</v>
      </c>
      <c r="CD64" s="29"/>
      <c r="CE64" s="29">
        <f t="shared" si="62"/>
        <v>1.1404991231912456</v>
      </c>
      <c r="CF64" s="29">
        <f t="shared" si="63"/>
        <v>1.1404991231912456</v>
      </c>
      <c r="CG64" s="29">
        <f t="shared" si="64"/>
        <v>2.2809982463824912</v>
      </c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</row>
    <row r="65" spans="1:158" s="37" customFormat="1" ht="15" customHeight="1">
      <c r="A65" s="37" t="s">
        <v>178</v>
      </c>
      <c r="B65" s="37" t="s">
        <v>310</v>
      </c>
      <c r="C65" s="45">
        <v>30.693100000000001</v>
      </c>
      <c r="D65" s="45">
        <v>120.33880000000001</v>
      </c>
      <c r="H65" s="37" t="s">
        <v>339</v>
      </c>
      <c r="I65" s="37" t="s">
        <v>200</v>
      </c>
      <c r="J65" s="37" t="s">
        <v>225</v>
      </c>
      <c r="K65" s="37" t="s">
        <v>227</v>
      </c>
      <c r="L65" s="37" t="s">
        <v>231</v>
      </c>
      <c r="O65" s="46">
        <v>0.1</v>
      </c>
      <c r="P65" s="39">
        <f t="shared" si="67"/>
        <v>0.25</v>
      </c>
      <c r="Q65" s="37" t="s">
        <v>323</v>
      </c>
      <c r="R65" s="37" t="s">
        <v>51</v>
      </c>
      <c r="S65" s="39">
        <f t="shared" ref="S65:S79" si="68">Y65</f>
        <v>28.68</v>
      </c>
      <c r="T65" s="39">
        <v>0.42</v>
      </c>
      <c r="V65" s="40">
        <f>AD65+Y65</f>
        <v>2.1099999999999994</v>
      </c>
      <c r="Y65" s="41">
        <v>28.68</v>
      </c>
      <c r="Z65" s="37" t="s">
        <v>329</v>
      </c>
      <c r="AD65" s="29">
        <v>-26.57</v>
      </c>
      <c r="AE65" s="37" t="s">
        <v>69</v>
      </c>
      <c r="AN65" s="31"/>
      <c r="AO65" s="31"/>
      <c r="AP65" s="31"/>
      <c r="AQ65" s="31"/>
      <c r="AR65" s="31">
        <v>9630</v>
      </c>
      <c r="AS65" s="31">
        <v>9540</v>
      </c>
      <c r="AT65" s="31">
        <v>9585</v>
      </c>
      <c r="AU65" s="29"/>
      <c r="AV65" s="29">
        <v>2.0299999999999998</v>
      </c>
      <c r="AW65" s="29"/>
      <c r="AX65" s="29">
        <v>0.23</v>
      </c>
      <c r="AY65" s="29"/>
      <c r="AZ65" s="29"/>
      <c r="BA65" s="29">
        <v>0</v>
      </c>
      <c r="BB65" s="29"/>
      <c r="BC65" s="29">
        <v>-0.47</v>
      </c>
      <c r="BD65" s="29"/>
      <c r="BE65" s="29">
        <v>-2.0699999999999998</v>
      </c>
      <c r="BF65" s="37" t="s">
        <v>23</v>
      </c>
      <c r="BG65" s="37" t="s">
        <v>24</v>
      </c>
      <c r="BH65" s="29">
        <f t="shared" si="49"/>
        <v>1.0149999999999999</v>
      </c>
      <c r="BI65" s="29">
        <f t="shared" si="56"/>
        <v>2.0299999999999998</v>
      </c>
      <c r="BJ65" s="29">
        <f t="shared" si="65"/>
        <v>3.0449999999999999</v>
      </c>
      <c r="BK65" s="29">
        <f t="shared" si="57"/>
        <v>1.0149999999999999</v>
      </c>
      <c r="BL65" s="29">
        <f t="shared" si="46"/>
        <v>0.20299999999999999</v>
      </c>
      <c r="BM65" s="29">
        <f t="shared" si="58"/>
        <v>0.40599999999999997</v>
      </c>
      <c r="BN65" s="29">
        <f t="shared" si="66"/>
        <v>0.50750000000000006</v>
      </c>
      <c r="BO65" s="29"/>
      <c r="BP65" s="29">
        <v>0.125</v>
      </c>
      <c r="BQ65" s="33">
        <v>0.01</v>
      </c>
      <c r="BR65" s="29">
        <v>0.15</v>
      </c>
      <c r="BS65" s="29">
        <f t="shared" si="8"/>
        <v>0.5736</v>
      </c>
      <c r="BT65" s="29"/>
      <c r="BU65" s="29"/>
      <c r="BV65" s="29"/>
      <c r="BW65" s="29">
        <v>0.03</v>
      </c>
      <c r="BX65" s="29"/>
      <c r="BY65" s="29">
        <v>0.1</v>
      </c>
      <c r="BZ65" s="39">
        <f t="shared" si="59"/>
        <v>1.68</v>
      </c>
      <c r="CA65" s="29">
        <f t="shared" si="60"/>
        <v>1.917</v>
      </c>
      <c r="CB65" s="29">
        <v>-0.85</v>
      </c>
      <c r="CC65" s="29">
        <f t="shared" si="61"/>
        <v>-24.838000000000001</v>
      </c>
      <c r="CD65" s="29"/>
      <c r="CE65" s="29">
        <f t="shared" si="62"/>
        <v>1.3681988927052966</v>
      </c>
      <c r="CF65" s="29">
        <f t="shared" si="63"/>
        <v>1.3681988927052966</v>
      </c>
      <c r="CG65" s="29">
        <f t="shared" si="64"/>
        <v>2.7363977854105932</v>
      </c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</row>
    <row r="66" spans="1:158" s="37" customFormat="1" ht="15" customHeight="1">
      <c r="A66" s="37" t="s">
        <v>178</v>
      </c>
      <c r="B66" s="37" t="s">
        <v>310</v>
      </c>
      <c r="C66" s="45">
        <v>30.693000000000001</v>
      </c>
      <c r="D66" s="45">
        <v>120.33880000000001</v>
      </c>
      <c r="H66" s="37" t="s">
        <v>339</v>
      </c>
      <c r="I66" s="37" t="s">
        <v>201</v>
      </c>
      <c r="J66" s="37" t="s">
        <v>225</v>
      </c>
      <c r="K66" s="37" t="s">
        <v>227</v>
      </c>
      <c r="L66" s="37" t="s">
        <v>231</v>
      </c>
      <c r="O66" s="46">
        <v>0.1</v>
      </c>
      <c r="P66" s="39">
        <f t="shared" si="67"/>
        <v>0.25</v>
      </c>
      <c r="Q66" s="37" t="s">
        <v>323</v>
      </c>
      <c r="R66" s="37" t="s">
        <v>51</v>
      </c>
      <c r="S66" s="39">
        <f t="shared" si="68"/>
        <v>28.77</v>
      </c>
      <c r="T66" s="39">
        <v>0.33</v>
      </c>
      <c r="V66" s="40">
        <f t="shared" ref="V66:V69" si="69">AD66+Y66</f>
        <v>2.1999999999999993</v>
      </c>
      <c r="Y66" s="41">
        <v>28.77</v>
      </c>
      <c r="Z66" s="37" t="s">
        <v>329</v>
      </c>
      <c r="AD66" s="29">
        <v>-26.57</v>
      </c>
      <c r="AE66" s="37" t="s">
        <v>69</v>
      </c>
      <c r="AN66" s="31"/>
      <c r="AO66" s="31"/>
      <c r="AP66" s="31"/>
      <c r="AQ66" s="31"/>
      <c r="AR66" s="31">
        <v>9743</v>
      </c>
      <c r="AS66" s="31">
        <v>9600</v>
      </c>
      <c r="AT66" s="31">
        <v>9673</v>
      </c>
      <c r="AU66" s="29"/>
      <c r="AV66" s="29">
        <v>2.0299999999999998</v>
      </c>
      <c r="AW66" s="29"/>
      <c r="AX66" s="29">
        <v>0.23</v>
      </c>
      <c r="AY66" s="29"/>
      <c r="AZ66" s="29"/>
      <c r="BA66" s="29">
        <v>0</v>
      </c>
      <c r="BB66" s="29"/>
      <c r="BC66" s="29">
        <v>-0.47</v>
      </c>
      <c r="BD66" s="29"/>
      <c r="BE66" s="29">
        <v>-2.0699999999999998</v>
      </c>
      <c r="BF66" s="37" t="s">
        <v>23</v>
      </c>
      <c r="BG66" s="37" t="s">
        <v>24</v>
      </c>
      <c r="BH66" s="29">
        <f t="shared" si="49"/>
        <v>1.0149999999999999</v>
      </c>
      <c r="BI66" s="29">
        <f t="shared" si="56"/>
        <v>2.0299999999999998</v>
      </c>
      <c r="BJ66" s="29">
        <f t="shared" si="65"/>
        <v>3.0449999999999999</v>
      </c>
      <c r="BK66" s="29">
        <f t="shared" si="57"/>
        <v>1.0149999999999999</v>
      </c>
      <c r="BL66" s="29">
        <f t="shared" si="46"/>
        <v>0.20299999999999999</v>
      </c>
      <c r="BM66" s="29">
        <f t="shared" si="58"/>
        <v>0.40599999999999997</v>
      </c>
      <c r="BN66" s="29">
        <f t="shared" si="66"/>
        <v>0.50750000000000006</v>
      </c>
      <c r="BO66" s="29"/>
      <c r="BP66" s="29">
        <v>0.125</v>
      </c>
      <c r="BQ66" s="33">
        <v>0.01</v>
      </c>
      <c r="BR66" s="29">
        <v>0.15</v>
      </c>
      <c r="BS66" s="29">
        <f t="shared" si="8"/>
        <v>0.57540000000000002</v>
      </c>
      <c r="BT66" s="29"/>
      <c r="BU66" s="29"/>
      <c r="BV66" s="29"/>
      <c r="BW66" s="29">
        <v>0.03</v>
      </c>
      <c r="BX66" s="29"/>
      <c r="BY66" s="29">
        <v>0.1</v>
      </c>
      <c r="BZ66" s="39">
        <f t="shared" si="59"/>
        <v>1.32</v>
      </c>
      <c r="CA66" s="29">
        <f t="shared" si="60"/>
        <v>1.9346000000000001</v>
      </c>
      <c r="CB66" s="29">
        <v>-0.85</v>
      </c>
      <c r="CC66" s="29">
        <f t="shared" si="61"/>
        <v>-25.180400000000002</v>
      </c>
      <c r="CD66" s="29"/>
      <c r="CE66" s="29">
        <f t="shared" si="62"/>
        <v>1.3689544952261925</v>
      </c>
      <c r="CF66" s="29">
        <f t="shared" si="63"/>
        <v>1.3689544952261925</v>
      </c>
      <c r="CG66" s="29">
        <f t="shared" si="64"/>
        <v>2.737908990452385</v>
      </c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</row>
    <row r="67" spans="1:158" s="37" customFormat="1" ht="15" customHeight="1">
      <c r="A67" s="37" t="s">
        <v>178</v>
      </c>
      <c r="B67" s="37" t="s">
        <v>310</v>
      </c>
      <c r="C67" s="45">
        <v>30.69012</v>
      </c>
      <c r="D67" s="45">
        <v>120.34990000000001</v>
      </c>
      <c r="H67" s="37" t="s">
        <v>339</v>
      </c>
      <c r="I67" s="37" t="s">
        <v>202</v>
      </c>
      <c r="J67" s="37" t="s">
        <v>225</v>
      </c>
      <c r="K67" s="37" t="s">
        <v>227</v>
      </c>
      <c r="L67" s="37" t="s">
        <v>283</v>
      </c>
      <c r="O67" s="46">
        <v>0.1</v>
      </c>
      <c r="P67" s="39">
        <f t="shared" si="67"/>
        <v>0.25</v>
      </c>
      <c r="Q67" s="37" t="s">
        <v>249</v>
      </c>
      <c r="R67" s="37" t="s">
        <v>51</v>
      </c>
      <c r="S67" s="39">
        <f t="shared" si="68"/>
        <v>20.36</v>
      </c>
      <c r="T67" s="39">
        <v>0.14000000000000001</v>
      </c>
      <c r="V67" s="40">
        <f t="shared" si="69"/>
        <v>1.620000000000001</v>
      </c>
      <c r="Y67" s="41">
        <v>20.36</v>
      </c>
      <c r="Z67" s="37" t="s">
        <v>329</v>
      </c>
      <c r="AD67" s="29">
        <v>-18.739999999999998</v>
      </c>
      <c r="AE67" s="37" t="s">
        <v>69</v>
      </c>
      <c r="AN67" s="31"/>
      <c r="AO67" s="31"/>
      <c r="AP67" s="31"/>
      <c r="AQ67" s="31"/>
      <c r="AR67" s="31">
        <v>9130</v>
      </c>
      <c r="AS67" s="31">
        <v>9020</v>
      </c>
      <c r="AT67" s="31">
        <v>9075</v>
      </c>
      <c r="AU67" s="29"/>
      <c r="AV67" s="29">
        <v>2.0299999999999998</v>
      </c>
      <c r="AW67" s="29"/>
      <c r="AX67" s="29">
        <v>0.23</v>
      </c>
      <c r="AY67" s="29"/>
      <c r="AZ67" s="29"/>
      <c r="BA67" s="29">
        <v>0</v>
      </c>
      <c r="BB67" s="29"/>
      <c r="BC67" s="29">
        <v>-0.47</v>
      </c>
      <c r="BD67" s="29"/>
      <c r="BE67" s="29">
        <v>-2.0699999999999998</v>
      </c>
      <c r="BF67" s="47" t="s">
        <v>247</v>
      </c>
      <c r="BG67" s="37" t="s">
        <v>25</v>
      </c>
      <c r="BH67" s="29">
        <f>BA67</f>
        <v>0</v>
      </c>
      <c r="BI67" s="29"/>
      <c r="BJ67" s="29"/>
      <c r="BK67" s="29"/>
      <c r="BL67" s="29">
        <f t="shared" si="46"/>
        <v>0</v>
      </c>
      <c r="BM67" s="29"/>
      <c r="BN67" s="29"/>
      <c r="BO67" s="29"/>
      <c r="BP67" s="29">
        <v>0.125</v>
      </c>
      <c r="BQ67" s="33">
        <v>0.01</v>
      </c>
      <c r="BR67" s="29">
        <v>0.15</v>
      </c>
      <c r="BS67" s="29">
        <f t="shared" ref="BS67:BS79" si="70">0.02*Y67</f>
        <v>0.40720000000000001</v>
      </c>
      <c r="BT67" s="29"/>
      <c r="BU67" s="29"/>
      <c r="BV67" s="29"/>
      <c r="BW67" s="29">
        <v>0.03</v>
      </c>
      <c r="BX67" s="29"/>
      <c r="BY67" s="29">
        <v>0.1</v>
      </c>
      <c r="BZ67" s="39">
        <f t="shared" si="59"/>
        <v>0.56000000000000005</v>
      </c>
      <c r="CA67" s="29">
        <f t="shared" si="60"/>
        <v>1.8150000000000002</v>
      </c>
      <c r="CB67" s="29">
        <v>-0.78</v>
      </c>
      <c r="CC67" s="29"/>
      <c r="CD67" s="29">
        <f>AD67-BH67+CA67+BZ67+CB67</f>
        <v>-17.145</v>
      </c>
      <c r="CE67" s="29">
        <f t="shared" si="62"/>
        <v>0.46361281259257708</v>
      </c>
      <c r="CF67" s="29">
        <f t="shared" si="63"/>
        <v>0.46361281259257708</v>
      </c>
      <c r="CG67" s="29">
        <f t="shared" si="64"/>
        <v>0.92722562518515417</v>
      </c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</row>
    <row r="68" spans="1:158" s="37" customFormat="1" ht="15" customHeight="1">
      <c r="A68" s="37" t="s">
        <v>178</v>
      </c>
      <c r="B68" s="37" t="s">
        <v>310</v>
      </c>
      <c r="C68" s="45">
        <v>30.70937</v>
      </c>
      <c r="D68" s="45">
        <v>120.46080000000001</v>
      </c>
      <c r="H68" s="37" t="s">
        <v>339</v>
      </c>
      <c r="I68" s="37" t="s">
        <v>203</v>
      </c>
      <c r="J68" s="37" t="s">
        <v>225</v>
      </c>
      <c r="K68" s="37" t="s">
        <v>227</v>
      </c>
      <c r="L68" s="37" t="s">
        <v>231</v>
      </c>
      <c r="O68" s="46">
        <v>0.1</v>
      </c>
      <c r="P68" s="39">
        <f t="shared" si="67"/>
        <v>0.25</v>
      </c>
      <c r="Q68" s="37" t="s">
        <v>296</v>
      </c>
      <c r="R68" s="37" t="s">
        <v>51</v>
      </c>
      <c r="S68" s="39">
        <f t="shared" si="68"/>
        <v>4.24</v>
      </c>
      <c r="T68" s="39">
        <v>0.26</v>
      </c>
      <c r="V68" s="40">
        <f t="shared" si="69"/>
        <v>2.3500000000000005</v>
      </c>
      <c r="Y68" s="41">
        <v>4.24</v>
      </c>
      <c r="Z68" s="37" t="s">
        <v>329</v>
      </c>
      <c r="AD68" s="29">
        <v>-1.89</v>
      </c>
      <c r="AE68" s="37" t="s">
        <v>69</v>
      </c>
      <c r="AN68" s="31"/>
      <c r="AO68" s="31"/>
      <c r="AP68" s="31"/>
      <c r="AQ68" s="31"/>
      <c r="AR68" s="31">
        <v>7685</v>
      </c>
      <c r="AS68" s="31">
        <v>7625</v>
      </c>
      <c r="AT68" s="31">
        <v>7655</v>
      </c>
      <c r="AU68" s="29"/>
      <c r="AV68" s="29">
        <v>2.0299999999999998</v>
      </c>
      <c r="AW68" s="29"/>
      <c r="AX68" s="29">
        <v>0.23</v>
      </c>
      <c r="AY68" s="29"/>
      <c r="AZ68" s="29"/>
      <c r="BA68" s="29">
        <v>0</v>
      </c>
      <c r="BB68" s="29"/>
      <c r="BC68" s="29">
        <v>-0.47</v>
      </c>
      <c r="BD68" s="29"/>
      <c r="BE68" s="29">
        <v>-2.0699999999999998</v>
      </c>
      <c r="BF68" s="37" t="s">
        <v>23</v>
      </c>
      <c r="BG68" s="37" t="s">
        <v>24</v>
      </c>
      <c r="BH68" s="29">
        <f t="shared" si="49"/>
        <v>1.0149999999999999</v>
      </c>
      <c r="BI68" s="29">
        <f>AV68-BA68</f>
        <v>2.0299999999999998</v>
      </c>
      <c r="BJ68" s="29">
        <f t="shared" si="65"/>
        <v>2.2329999999999997</v>
      </c>
      <c r="BK68" s="29">
        <f>BI68/2</f>
        <v>1.0149999999999999</v>
      </c>
      <c r="BL68" s="29">
        <f t="shared" si="46"/>
        <v>0.20299999999999999</v>
      </c>
      <c r="BM68" s="29">
        <f t="shared" si="58"/>
        <v>0.40599999999999997</v>
      </c>
      <c r="BN68" s="29">
        <f t="shared" si="66"/>
        <v>0.10149999999999992</v>
      </c>
      <c r="BO68" s="29"/>
      <c r="BP68" s="29">
        <v>0.125</v>
      </c>
      <c r="BQ68" s="33">
        <v>0.01</v>
      </c>
      <c r="BR68" s="29">
        <v>0.15</v>
      </c>
      <c r="BS68" s="29">
        <f t="shared" si="70"/>
        <v>8.48E-2</v>
      </c>
      <c r="BT68" s="29"/>
      <c r="BU68" s="29"/>
      <c r="BV68" s="29"/>
      <c r="BW68" s="29">
        <v>0.03</v>
      </c>
      <c r="BX68" s="29"/>
      <c r="BY68" s="29">
        <v>0.1</v>
      </c>
      <c r="BZ68" s="39">
        <f t="shared" si="59"/>
        <v>0.65</v>
      </c>
      <c r="CA68" s="29">
        <f t="shared" si="60"/>
        <v>1.5310000000000001</v>
      </c>
      <c r="CB68" s="29">
        <v>-0.45</v>
      </c>
      <c r="CC68" s="29">
        <f>AD68-BH68+CA68+BZ68+CB68</f>
        <v>-1.1739999999999997</v>
      </c>
      <c r="CD68" s="29"/>
      <c r="CE68" s="29">
        <f t="shared" si="62"/>
        <v>1.1414413213126637</v>
      </c>
      <c r="CF68" s="29">
        <f t="shared" si="63"/>
        <v>1.1414413213126637</v>
      </c>
      <c r="CG68" s="29">
        <f t="shared" si="64"/>
        <v>2.2828826426253275</v>
      </c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</row>
    <row r="69" spans="1:158" s="37" customFormat="1" ht="15" customHeight="1">
      <c r="A69" s="37" t="s">
        <v>178</v>
      </c>
      <c r="B69" s="37" t="s">
        <v>310</v>
      </c>
      <c r="C69" s="45">
        <v>30.70937</v>
      </c>
      <c r="D69" s="45">
        <v>120.46080000000001</v>
      </c>
      <c r="H69" s="37" t="s">
        <v>339</v>
      </c>
      <c r="I69" s="37" t="s">
        <v>204</v>
      </c>
      <c r="J69" s="37" t="s">
        <v>225</v>
      </c>
      <c r="K69" s="37" t="s">
        <v>227</v>
      </c>
      <c r="L69" s="37" t="s">
        <v>231</v>
      </c>
      <c r="O69" s="46">
        <v>0.1</v>
      </c>
      <c r="P69" s="39">
        <f t="shared" si="67"/>
        <v>0.25</v>
      </c>
      <c r="Q69" s="37" t="s">
        <v>296</v>
      </c>
      <c r="R69" s="37" t="s">
        <v>51</v>
      </c>
      <c r="S69" s="39">
        <f t="shared" si="68"/>
        <v>4.37</v>
      </c>
      <c r="T69" s="39">
        <v>0.13</v>
      </c>
      <c r="V69" s="40">
        <f t="shared" si="69"/>
        <v>2.35</v>
      </c>
      <c r="Y69" s="41">
        <v>4.37</v>
      </c>
      <c r="Z69" s="37" t="s">
        <v>329</v>
      </c>
      <c r="AD69" s="29">
        <v>-2.02</v>
      </c>
      <c r="AE69" s="37" t="s">
        <v>69</v>
      </c>
      <c r="AN69" s="31"/>
      <c r="AO69" s="31"/>
      <c r="AP69" s="31"/>
      <c r="AQ69" s="31"/>
      <c r="AR69" s="31">
        <v>7660</v>
      </c>
      <c r="AS69" s="31">
        <v>7610</v>
      </c>
      <c r="AT69" s="31">
        <v>7635</v>
      </c>
      <c r="AU69" s="29"/>
      <c r="AV69" s="29">
        <v>2.0299999999999998</v>
      </c>
      <c r="AW69" s="29"/>
      <c r="AX69" s="29">
        <v>0.23</v>
      </c>
      <c r="AY69" s="29"/>
      <c r="AZ69" s="29"/>
      <c r="BA69" s="29">
        <v>0</v>
      </c>
      <c r="BB69" s="29"/>
      <c r="BC69" s="29">
        <v>-0.47</v>
      </c>
      <c r="BD69" s="29"/>
      <c r="BE69" s="29">
        <v>-2.0699999999999998</v>
      </c>
      <c r="BF69" s="37" t="s">
        <v>23</v>
      </c>
      <c r="BG69" s="37" t="s">
        <v>24</v>
      </c>
      <c r="BH69" s="29">
        <f t="shared" si="49"/>
        <v>1.0149999999999999</v>
      </c>
      <c r="BI69" s="29">
        <f>AV69-BA69</f>
        <v>2.0299999999999998</v>
      </c>
      <c r="BJ69" s="29">
        <f t="shared" si="65"/>
        <v>2.2329999999999997</v>
      </c>
      <c r="BK69" s="29">
        <f>BI69/2</f>
        <v>1.0149999999999999</v>
      </c>
      <c r="BL69" s="29">
        <f t="shared" si="46"/>
        <v>0.20299999999999999</v>
      </c>
      <c r="BM69" s="29">
        <f t="shared" si="58"/>
        <v>0.40599999999999997</v>
      </c>
      <c r="BN69" s="29">
        <f t="shared" si="66"/>
        <v>0.10149999999999992</v>
      </c>
      <c r="BO69" s="29"/>
      <c r="BP69" s="29">
        <v>0.125</v>
      </c>
      <c r="BQ69" s="33">
        <v>0.01</v>
      </c>
      <c r="BR69" s="29">
        <v>0.15</v>
      </c>
      <c r="BS69" s="29">
        <f t="shared" si="70"/>
        <v>8.7400000000000005E-2</v>
      </c>
      <c r="BT69" s="29"/>
      <c r="BU69" s="29"/>
      <c r="BV69" s="29"/>
      <c r="BW69" s="29">
        <v>0.03</v>
      </c>
      <c r="BX69" s="29"/>
      <c r="BY69" s="29">
        <v>0.1</v>
      </c>
      <c r="BZ69" s="39">
        <f t="shared" si="59"/>
        <v>0.32500000000000001</v>
      </c>
      <c r="CA69" s="29">
        <f t="shared" si="60"/>
        <v>1.5270000000000001</v>
      </c>
      <c r="CB69" s="29">
        <v>-0.45</v>
      </c>
      <c r="CC69" s="29">
        <f>AD69-BH69+CA69+BZ69+CB69</f>
        <v>-1.633</v>
      </c>
      <c r="CD69" s="29"/>
      <c r="CE69" s="29">
        <f t="shared" si="62"/>
        <v>1.1416374249296488</v>
      </c>
      <c r="CF69" s="29">
        <f t="shared" si="63"/>
        <v>1.1416374249296488</v>
      </c>
      <c r="CG69" s="29">
        <f t="shared" si="64"/>
        <v>2.2832748498592976</v>
      </c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</row>
    <row r="70" spans="1:158" s="37" customFormat="1" ht="15.4">
      <c r="A70" s="37" t="s">
        <v>177</v>
      </c>
      <c r="B70" s="37" t="s">
        <v>332</v>
      </c>
      <c r="C70" s="52">
        <v>1.53</v>
      </c>
      <c r="D70" s="52">
        <v>103.46</v>
      </c>
      <c r="H70" s="37" t="s">
        <v>189</v>
      </c>
      <c r="J70" s="37" t="s">
        <v>21</v>
      </c>
      <c r="K70" s="37" t="s">
        <v>22</v>
      </c>
      <c r="L70" s="37" t="s">
        <v>22</v>
      </c>
      <c r="O70" s="46">
        <v>0.1</v>
      </c>
      <c r="P70" s="39">
        <f t="shared" si="67"/>
        <v>0.25</v>
      </c>
      <c r="Q70" s="37" t="s">
        <v>237</v>
      </c>
      <c r="R70" s="37" t="s">
        <v>241</v>
      </c>
      <c r="S70" s="39"/>
      <c r="T70" s="46">
        <v>0.1</v>
      </c>
      <c r="V70" s="51">
        <v>-3</v>
      </c>
      <c r="Y70" s="41">
        <f>V70-(AD70)</f>
        <v>-3.65</v>
      </c>
      <c r="Z70" s="37" t="s">
        <v>242</v>
      </c>
      <c r="AD70" s="29">
        <v>0.65</v>
      </c>
      <c r="AE70" s="37" t="s">
        <v>69</v>
      </c>
      <c r="AF70" s="42" t="s">
        <v>302</v>
      </c>
      <c r="AH70" s="31">
        <v>6260</v>
      </c>
      <c r="AI70" s="31">
        <v>75</v>
      </c>
      <c r="AK70" s="44">
        <v>-29.2</v>
      </c>
      <c r="AN70" s="31">
        <f>AH70+AL70</f>
        <v>6260</v>
      </c>
      <c r="AO70" s="31">
        <f t="shared" si="45"/>
        <v>75</v>
      </c>
      <c r="AP70" s="31"/>
      <c r="AQ70" s="31"/>
      <c r="AR70" s="31">
        <v>7330</v>
      </c>
      <c r="AS70" s="31">
        <v>6950</v>
      </c>
      <c r="AT70" s="31">
        <v>7160</v>
      </c>
      <c r="AU70" s="29"/>
      <c r="AV70" s="29">
        <v>1.7</v>
      </c>
      <c r="AW70" s="29">
        <v>1.1000000000000001</v>
      </c>
      <c r="AX70" s="29">
        <v>0.4</v>
      </c>
      <c r="AY70" s="29"/>
      <c r="AZ70" s="29"/>
      <c r="BA70" s="29">
        <v>0</v>
      </c>
      <c r="BB70" s="29"/>
      <c r="BC70" s="29">
        <v>-0.5</v>
      </c>
      <c r="BD70" s="29"/>
      <c r="BE70" s="29">
        <v>-1.9</v>
      </c>
      <c r="BF70" s="37" t="s">
        <v>23</v>
      </c>
      <c r="BG70" s="37" t="s">
        <v>24</v>
      </c>
      <c r="BH70" s="29">
        <f t="shared" si="49"/>
        <v>0.85</v>
      </c>
      <c r="BI70" s="29">
        <f t="shared" si="37"/>
        <v>1.7</v>
      </c>
      <c r="BJ70" s="29">
        <f t="shared" si="65"/>
        <v>1.8699999999999999</v>
      </c>
      <c r="BK70" s="29">
        <f t="shared" si="39"/>
        <v>0.85</v>
      </c>
      <c r="BL70" s="29">
        <f t="shared" si="46"/>
        <v>0.17</v>
      </c>
      <c r="BM70" s="29">
        <f t="shared" si="40"/>
        <v>0.34</v>
      </c>
      <c r="BN70" s="29">
        <f t="shared" ref="BN70:BN79" si="71">(((BI70-BJ70)^2)^0.5)/2</f>
        <v>8.4999999999999964E-2</v>
      </c>
      <c r="BO70" s="29"/>
      <c r="BP70" s="29">
        <v>0.125</v>
      </c>
      <c r="BQ70" s="33">
        <v>0.01</v>
      </c>
      <c r="BR70" s="29">
        <v>0.05</v>
      </c>
      <c r="BS70" s="29">
        <f t="shared" si="70"/>
        <v>-7.2999999999999995E-2</v>
      </c>
      <c r="BT70" s="29"/>
      <c r="BV70" s="33">
        <v>0.5</v>
      </c>
      <c r="BW70" s="29">
        <v>0.03</v>
      </c>
      <c r="BX70" s="29"/>
      <c r="BY70" s="29"/>
      <c r="BZ70" s="39">
        <f t="shared" si="51"/>
        <v>0.25</v>
      </c>
      <c r="CA70" s="29">
        <f t="shared" ref="CA70:CA79" si="72">AT70*0.0001</f>
        <v>0.71600000000000008</v>
      </c>
      <c r="CB70" s="29">
        <v>-0.04</v>
      </c>
      <c r="CC70" s="29">
        <f t="shared" si="52"/>
        <v>0.72600000000000009</v>
      </c>
      <c r="CD70" s="29"/>
      <c r="CE70" s="29">
        <f>(SQRT(BK70^2+BL70^2+BM70^2+BN70^2+BP70^2+BQ70^2+BR70^2+BS70^2+BV70^2+BW70^2+BX70^2+BY70^2))</f>
        <v>1.0717644330728651</v>
      </c>
      <c r="CF70" s="29">
        <f>(SQRT(BK70^2+BL70^2+BM70^2+BN70^2+BP70^2+BQ70^2+BR70^2+BS70^2+BV70^2+BW70^2+BX70^2+BY70^2))</f>
        <v>1.0717644330728651</v>
      </c>
      <c r="CG70" s="29">
        <f t="shared" si="50"/>
        <v>2.1435288661457301</v>
      </c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</row>
    <row r="71" spans="1:158" s="37" customFormat="1" ht="15.4">
      <c r="A71" s="37" t="s">
        <v>177</v>
      </c>
      <c r="B71" s="37" t="s">
        <v>332</v>
      </c>
      <c r="C71" s="52">
        <v>1.61</v>
      </c>
      <c r="D71" s="52">
        <v>103.41</v>
      </c>
      <c r="H71" s="37" t="s">
        <v>189</v>
      </c>
      <c r="J71" s="37" t="s">
        <v>21</v>
      </c>
      <c r="K71" s="37" t="s">
        <v>22</v>
      </c>
      <c r="L71" s="37" t="s">
        <v>22</v>
      </c>
      <c r="O71" s="46">
        <v>0.1</v>
      </c>
      <c r="P71" s="39">
        <f t="shared" si="67"/>
        <v>0.25</v>
      </c>
      <c r="Q71" s="37" t="s">
        <v>22</v>
      </c>
      <c r="R71" s="37" t="s">
        <v>241</v>
      </c>
      <c r="S71" s="39"/>
      <c r="T71" s="46">
        <v>0.1</v>
      </c>
      <c r="V71" s="51">
        <v>2.6</v>
      </c>
      <c r="Y71" s="41">
        <f>V71-(AD71)</f>
        <v>3.02</v>
      </c>
      <c r="Z71" s="37" t="s">
        <v>242</v>
      </c>
      <c r="AD71" s="29">
        <v>-0.42</v>
      </c>
      <c r="AE71" s="37" t="s">
        <v>69</v>
      </c>
      <c r="AF71" s="42" t="s">
        <v>303</v>
      </c>
      <c r="AH71" s="31">
        <v>6945</v>
      </c>
      <c r="AI71" s="31">
        <v>120</v>
      </c>
      <c r="AK71" s="44">
        <v>-27.2</v>
      </c>
      <c r="AN71" s="31">
        <f t="shared" si="35"/>
        <v>6945</v>
      </c>
      <c r="AO71" s="31">
        <f t="shared" si="45"/>
        <v>120</v>
      </c>
      <c r="AP71" s="31"/>
      <c r="AQ71" s="31"/>
      <c r="AR71" s="31">
        <v>8010</v>
      </c>
      <c r="AS71" s="31">
        <v>7570</v>
      </c>
      <c r="AT71" s="31">
        <v>7790</v>
      </c>
      <c r="AU71" s="29"/>
      <c r="AV71" s="29">
        <v>1.7</v>
      </c>
      <c r="AW71" s="29">
        <v>1.1000000000000001</v>
      </c>
      <c r="AX71" s="29">
        <v>0.4</v>
      </c>
      <c r="AY71" s="29"/>
      <c r="AZ71" s="29"/>
      <c r="BA71" s="29">
        <v>0</v>
      </c>
      <c r="BB71" s="29"/>
      <c r="BC71" s="29">
        <v>-0.5</v>
      </c>
      <c r="BD71" s="29"/>
      <c r="BE71" s="29">
        <v>-1.9</v>
      </c>
      <c r="BF71" s="37" t="s">
        <v>23</v>
      </c>
      <c r="BG71" s="37" t="s">
        <v>24</v>
      </c>
      <c r="BH71" s="29">
        <f t="shared" si="49"/>
        <v>0.85</v>
      </c>
      <c r="BI71" s="29">
        <f t="shared" si="37"/>
        <v>1.7</v>
      </c>
      <c r="BJ71" s="29">
        <f t="shared" si="65"/>
        <v>2.5499999999999998</v>
      </c>
      <c r="BK71" s="29">
        <f t="shared" si="39"/>
        <v>0.85</v>
      </c>
      <c r="BL71" s="29">
        <f t="shared" si="46"/>
        <v>0.17</v>
      </c>
      <c r="BM71" s="29">
        <f t="shared" si="40"/>
        <v>0.34</v>
      </c>
      <c r="BN71" s="29">
        <f t="shared" si="71"/>
        <v>0.42499999999999993</v>
      </c>
      <c r="BO71" s="29"/>
      <c r="BP71" s="29">
        <v>0.125</v>
      </c>
      <c r="BQ71" s="33">
        <v>0.01</v>
      </c>
      <c r="BR71" s="29">
        <v>0.05</v>
      </c>
      <c r="BS71" s="29">
        <f t="shared" si="70"/>
        <v>6.0400000000000002E-2</v>
      </c>
      <c r="BT71" s="29"/>
      <c r="BV71" s="33">
        <v>0.5</v>
      </c>
      <c r="BW71" s="29">
        <v>0.03</v>
      </c>
      <c r="BX71" s="29"/>
      <c r="BY71" s="29"/>
      <c r="BZ71" s="39">
        <f t="shared" si="51"/>
        <v>0.25</v>
      </c>
      <c r="CA71" s="29">
        <f t="shared" si="72"/>
        <v>0.77900000000000003</v>
      </c>
      <c r="CB71" s="29">
        <v>0</v>
      </c>
      <c r="CC71" s="29">
        <f t="shared" si="52"/>
        <v>-0.24099999999999999</v>
      </c>
      <c r="CD71" s="29"/>
      <c r="CE71" s="29">
        <f t="shared" ref="CE71:CE76" si="73">(SQRT(BK71^2+BL71^2+BM71^2+BN71^2+BP71^2+BQ71^2+BR71^2+BS71^2+BV71^2+BW71^2+BX71^2+BY71^2))</f>
        <v>1.1490857931416609</v>
      </c>
      <c r="CF71" s="29">
        <f t="shared" ref="CF71:CF76" si="74">(SQRT(BK71^2+BL71^2+BM71^2+BN71^2+BP71^2+BQ71^2+BR71^2+BS71^2+BV71^2+BW71^2+BX71^2+BY71^2))</f>
        <v>1.1490857931416609</v>
      </c>
      <c r="CG71" s="29">
        <f t="shared" si="50"/>
        <v>2.2981715862833219</v>
      </c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</row>
    <row r="72" spans="1:158" s="37" customFormat="1" ht="15.4">
      <c r="A72" s="37" t="s">
        <v>177</v>
      </c>
      <c r="B72" s="37" t="s">
        <v>332</v>
      </c>
      <c r="C72" s="52">
        <v>2.16</v>
      </c>
      <c r="D72" s="52">
        <v>102.6</v>
      </c>
      <c r="H72" s="37" t="s">
        <v>189</v>
      </c>
      <c r="J72" s="37" t="s">
        <v>21</v>
      </c>
      <c r="K72" s="37" t="s">
        <v>22</v>
      </c>
      <c r="L72" s="37" t="s">
        <v>22</v>
      </c>
      <c r="O72" s="46">
        <v>0.1</v>
      </c>
      <c r="P72" s="39">
        <f t="shared" si="67"/>
        <v>0.25</v>
      </c>
      <c r="Q72" s="37" t="s">
        <v>22</v>
      </c>
      <c r="R72" s="37" t="s">
        <v>241</v>
      </c>
      <c r="S72" s="39"/>
      <c r="T72" s="46">
        <v>0.1</v>
      </c>
      <c r="V72" s="51">
        <v>7</v>
      </c>
      <c r="Y72" s="41">
        <f t="shared" ref="Y72:Y75" si="75">V72-(AD72)</f>
        <v>9.7200000000000006</v>
      </c>
      <c r="Z72" s="37" t="s">
        <v>242</v>
      </c>
      <c r="AD72" s="29">
        <v>-2.72</v>
      </c>
      <c r="AE72" s="37" t="s">
        <v>69</v>
      </c>
      <c r="AF72" s="42" t="s">
        <v>304</v>
      </c>
      <c r="AH72" s="31">
        <v>7015</v>
      </c>
      <c r="AI72" s="31">
        <v>80</v>
      </c>
      <c r="AK72" s="44">
        <v>-29.3</v>
      </c>
      <c r="AN72" s="31">
        <f t="shared" si="35"/>
        <v>7015</v>
      </c>
      <c r="AO72" s="31">
        <f t="shared" si="45"/>
        <v>80</v>
      </c>
      <c r="AP72" s="31"/>
      <c r="AQ72" s="31"/>
      <c r="AR72" s="31">
        <v>7980</v>
      </c>
      <c r="AS72" s="31">
        <v>7680</v>
      </c>
      <c r="AT72" s="31">
        <v>7840</v>
      </c>
      <c r="AU72" s="29"/>
      <c r="AV72" s="29">
        <v>1.9</v>
      </c>
      <c r="AW72" s="29">
        <v>1.3</v>
      </c>
      <c r="AX72" s="29">
        <v>0.5</v>
      </c>
      <c r="AY72" s="29"/>
      <c r="AZ72" s="29"/>
      <c r="BA72" s="29">
        <v>0</v>
      </c>
      <c r="BB72" s="29"/>
      <c r="BC72" s="29">
        <v>-0.4</v>
      </c>
      <c r="BD72" s="29"/>
      <c r="BE72" s="29">
        <v>-1.6</v>
      </c>
      <c r="BF72" s="37" t="s">
        <v>23</v>
      </c>
      <c r="BG72" s="37" t="s">
        <v>24</v>
      </c>
      <c r="BH72" s="29">
        <f t="shared" si="49"/>
        <v>0.95</v>
      </c>
      <c r="BI72" s="29">
        <f t="shared" si="37"/>
        <v>1.9</v>
      </c>
      <c r="BJ72" s="29">
        <f t="shared" si="65"/>
        <v>2.09</v>
      </c>
      <c r="BK72" s="29">
        <f t="shared" si="39"/>
        <v>0.95</v>
      </c>
      <c r="BL72" s="29">
        <f t="shared" si="46"/>
        <v>0.19</v>
      </c>
      <c r="BM72" s="29">
        <f t="shared" si="40"/>
        <v>0.38</v>
      </c>
      <c r="BN72" s="29">
        <f t="shared" si="71"/>
        <v>9.4999999999999973E-2</v>
      </c>
      <c r="BO72" s="29"/>
      <c r="BP72" s="29">
        <v>0.125</v>
      </c>
      <c r="BQ72" s="33">
        <v>0.01</v>
      </c>
      <c r="BR72" s="29">
        <v>0.05</v>
      </c>
      <c r="BS72" s="29">
        <f t="shared" si="70"/>
        <v>0.19440000000000002</v>
      </c>
      <c r="BT72" s="29"/>
      <c r="BV72" s="33">
        <v>0.5</v>
      </c>
      <c r="BW72" s="29">
        <v>0.03</v>
      </c>
      <c r="BX72" s="29"/>
      <c r="BY72" s="29"/>
      <c r="BZ72" s="39">
        <f t="shared" si="51"/>
        <v>0.25</v>
      </c>
      <c r="CA72" s="29">
        <f t="shared" si="72"/>
        <v>0.78400000000000003</v>
      </c>
      <c r="CB72" s="29">
        <v>-0.69016666699999996</v>
      </c>
      <c r="CC72" s="29">
        <f t="shared" si="52"/>
        <v>-3.3261666669999999</v>
      </c>
      <c r="CD72" s="29"/>
      <c r="CE72" s="29">
        <f t="shared" si="73"/>
        <v>1.1827685149681657</v>
      </c>
      <c r="CF72" s="29">
        <f t="shared" si="74"/>
        <v>1.1827685149681657</v>
      </c>
      <c r="CG72" s="29">
        <f t="shared" si="50"/>
        <v>2.3655370299363314</v>
      </c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</row>
    <row r="73" spans="1:158" s="37" customFormat="1" ht="15.4">
      <c r="A73" s="37" t="s">
        <v>177</v>
      </c>
      <c r="B73" s="37" t="s">
        <v>332</v>
      </c>
      <c r="C73" s="52">
        <v>1.98</v>
      </c>
      <c r="D73" s="52">
        <v>102.66</v>
      </c>
      <c r="H73" s="37" t="s">
        <v>189</v>
      </c>
      <c r="J73" s="37" t="s">
        <v>21</v>
      </c>
      <c r="K73" s="37" t="s">
        <v>22</v>
      </c>
      <c r="L73" s="37" t="s">
        <v>22</v>
      </c>
      <c r="O73" s="46">
        <v>0.1</v>
      </c>
      <c r="P73" s="39">
        <f t="shared" si="67"/>
        <v>0.25</v>
      </c>
      <c r="Q73" s="37" t="s">
        <v>22</v>
      </c>
      <c r="R73" s="37" t="s">
        <v>241</v>
      </c>
      <c r="S73" s="39"/>
      <c r="T73" s="46">
        <v>0.1</v>
      </c>
      <c r="V73" s="51">
        <v>7</v>
      </c>
      <c r="Y73" s="41">
        <f t="shared" si="75"/>
        <v>12.05</v>
      </c>
      <c r="Z73" s="37" t="s">
        <v>242</v>
      </c>
      <c r="AD73" s="29">
        <v>-5.05</v>
      </c>
      <c r="AE73" s="37" t="s">
        <v>69</v>
      </c>
      <c r="AF73" s="42" t="s">
        <v>305</v>
      </c>
      <c r="AH73" s="31">
        <v>7340</v>
      </c>
      <c r="AI73" s="31">
        <v>100</v>
      </c>
      <c r="AK73" s="44">
        <v>-27.5</v>
      </c>
      <c r="AN73" s="31">
        <f t="shared" si="35"/>
        <v>7340</v>
      </c>
      <c r="AO73" s="31">
        <f t="shared" si="45"/>
        <v>100</v>
      </c>
      <c r="AP73" s="31"/>
      <c r="AQ73" s="31"/>
      <c r="AR73" s="31">
        <v>8360</v>
      </c>
      <c r="AS73" s="31">
        <v>7970</v>
      </c>
      <c r="AT73" s="31">
        <v>8160</v>
      </c>
      <c r="AU73" s="29"/>
      <c r="AV73" s="29">
        <v>1.9</v>
      </c>
      <c r="AW73" s="29">
        <v>1.3</v>
      </c>
      <c r="AX73" s="29">
        <v>0.5</v>
      </c>
      <c r="AY73" s="29"/>
      <c r="AZ73" s="29"/>
      <c r="BA73" s="29">
        <v>0</v>
      </c>
      <c r="BB73" s="29"/>
      <c r="BC73" s="29">
        <v>-0.4</v>
      </c>
      <c r="BD73" s="29"/>
      <c r="BE73" s="29">
        <v>-1.6</v>
      </c>
      <c r="BF73" s="37" t="s">
        <v>23</v>
      </c>
      <c r="BG73" s="37" t="s">
        <v>24</v>
      </c>
      <c r="BH73" s="29">
        <f t="shared" si="49"/>
        <v>0.95</v>
      </c>
      <c r="BI73" s="29">
        <f t="shared" si="37"/>
        <v>1.9</v>
      </c>
      <c r="BJ73" s="29">
        <f t="shared" si="65"/>
        <v>2.8499999999999996</v>
      </c>
      <c r="BK73" s="29">
        <f t="shared" si="39"/>
        <v>0.95</v>
      </c>
      <c r="BL73" s="29">
        <f t="shared" si="46"/>
        <v>0.19</v>
      </c>
      <c r="BM73" s="29">
        <f t="shared" si="40"/>
        <v>0.38</v>
      </c>
      <c r="BN73" s="29">
        <f t="shared" si="71"/>
        <v>0.47499999999999987</v>
      </c>
      <c r="BO73" s="29"/>
      <c r="BP73" s="29">
        <v>0.125</v>
      </c>
      <c r="BQ73" s="33">
        <v>0.01</v>
      </c>
      <c r="BR73" s="29">
        <v>0.05</v>
      </c>
      <c r="BS73" s="29">
        <f t="shared" si="70"/>
        <v>0.24100000000000002</v>
      </c>
      <c r="BT73" s="29"/>
      <c r="BV73" s="33">
        <v>0.5</v>
      </c>
      <c r="BW73" s="29">
        <v>0.03</v>
      </c>
      <c r="BX73" s="29"/>
      <c r="BY73" s="29"/>
      <c r="BZ73" s="39">
        <f t="shared" si="51"/>
        <v>0.25</v>
      </c>
      <c r="CA73" s="29">
        <f t="shared" si="72"/>
        <v>0.81600000000000006</v>
      </c>
      <c r="CB73" s="29">
        <v>-0.79349999999999998</v>
      </c>
      <c r="CC73" s="29">
        <f t="shared" si="52"/>
        <v>-5.7275</v>
      </c>
      <c r="CD73" s="29"/>
      <c r="CE73" s="29">
        <f t="shared" si="73"/>
        <v>1.2789960906898816</v>
      </c>
      <c r="CF73" s="29">
        <f t="shared" si="74"/>
        <v>1.2789960906898816</v>
      </c>
      <c r="CG73" s="29">
        <f t="shared" si="50"/>
        <v>2.5579921813797633</v>
      </c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</row>
    <row r="74" spans="1:158" s="37" customFormat="1" ht="15.4">
      <c r="A74" s="37" t="s">
        <v>177</v>
      </c>
      <c r="B74" s="37" t="s">
        <v>332</v>
      </c>
      <c r="C74" s="52">
        <v>1.62</v>
      </c>
      <c r="D74" s="52">
        <v>103.42</v>
      </c>
      <c r="H74" s="37" t="s">
        <v>189</v>
      </c>
      <c r="J74" s="37" t="s">
        <v>21</v>
      </c>
      <c r="K74" s="37" t="s">
        <v>22</v>
      </c>
      <c r="L74" s="37" t="s">
        <v>22</v>
      </c>
      <c r="O74" s="46">
        <v>0.1</v>
      </c>
      <c r="P74" s="39">
        <f t="shared" si="67"/>
        <v>0.25</v>
      </c>
      <c r="Q74" s="37" t="s">
        <v>22</v>
      </c>
      <c r="R74" s="37" t="s">
        <v>241</v>
      </c>
      <c r="S74" s="39"/>
      <c r="T74" s="46">
        <v>0.1</v>
      </c>
      <c r="V74" s="51">
        <v>4.2</v>
      </c>
      <c r="Y74" s="41">
        <f t="shared" si="75"/>
        <v>-1.5999999999999996</v>
      </c>
      <c r="Z74" s="37" t="s">
        <v>242</v>
      </c>
      <c r="AD74" s="29">
        <v>5.8</v>
      </c>
      <c r="AE74" s="37" t="s">
        <v>69</v>
      </c>
      <c r="AF74" s="42" t="s">
        <v>306</v>
      </c>
      <c r="AH74" s="31">
        <v>4040</v>
      </c>
      <c r="AI74" s="31">
        <v>100</v>
      </c>
      <c r="AK74" s="44">
        <v>-29.9</v>
      </c>
      <c r="AN74" s="31">
        <f t="shared" si="35"/>
        <v>4040</v>
      </c>
      <c r="AO74" s="31">
        <f t="shared" si="45"/>
        <v>100</v>
      </c>
      <c r="AP74" s="31"/>
      <c r="AQ74" s="31"/>
      <c r="AR74" s="31">
        <v>4830</v>
      </c>
      <c r="AS74" s="31">
        <v>4250</v>
      </c>
      <c r="AT74" s="31">
        <v>4550</v>
      </c>
      <c r="AU74" s="29"/>
      <c r="AV74" s="29">
        <v>1.9</v>
      </c>
      <c r="AW74" s="29">
        <v>1.3</v>
      </c>
      <c r="AX74" s="29">
        <v>0.5</v>
      </c>
      <c r="AY74" s="29"/>
      <c r="AZ74" s="29"/>
      <c r="BA74" s="29">
        <v>0</v>
      </c>
      <c r="BB74" s="29"/>
      <c r="BC74" s="29">
        <v>-0.4</v>
      </c>
      <c r="BD74" s="29"/>
      <c r="BE74" s="29">
        <v>-1.6</v>
      </c>
      <c r="BF74" s="37" t="s">
        <v>23</v>
      </c>
      <c r="BG74" s="37" t="s">
        <v>24</v>
      </c>
      <c r="BH74" s="29">
        <f t="shared" si="49"/>
        <v>0.95</v>
      </c>
      <c r="BI74" s="29">
        <f t="shared" si="37"/>
        <v>1.9</v>
      </c>
      <c r="BJ74" s="29">
        <f t="shared" si="65"/>
        <v>2.09</v>
      </c>
      <c r="BK74" s="29">
        <f t="shared" si="39"/>
        <v>0.95</v>
      </c>
      <c r="BL74" s="29">
        <f t="shared" si="46"/>
        <v>0.19</v>
      </c>
      <c r="BM74" s="29">
        <f t="shared" si="40"/>
        <v>0.38</v>
      </c>
      <c r="BN74" s="29">
        <f t="shared" si="71"/>
        <v>9.4999999999999973E-2</v>
      </c>
      <c r="BO74" s="29"/>
      <c r="BP74" s="29">
        <v>0.125</v>
      </c>
      <c r="BQ74" s="33">
        <v>0.01</v>
      </c>
      <c r="BR74" s="29">
        <v>0.05</v>
      </c>
      <c r="BS74" s="29">
        <f t="shared" si="70"/>
        <v>-3.1999999999999994E-2</v>
      </c>
      <c r="BT74" s="29"/>
      <c r="BV74" s="33">
        <v>0.5</v>
      </c>
      <c r="BW74" s="29">
        <v>0.03</v>
      </c>
      <c r="BX74" s="29"/>
      <c r="BY74" s="29"/>
      <c r="BZ74" s="39">
        <f t="shared" si="51"/>
        <v>0.25</v>
      </c>
      <c r="CA74" s="29">
        <f t="shared" si="72"/>
        <v>0.45500000000000002</v>
      </c>
      <c r="CB74" s="29">
        <v>0</v>
      </c>
      <c r="CC74" s="29">
        <f t="shared" si="52"/>
        <v>5.5549999999999997</v>
      </c>
      <c r="CD74" s="29"/>
      <c r="CE74" s="29">
        <f t="shared" si="73"/>
        <v>1.1671221015814925</v>
      </c>
      <c r="CF74" s="29">
        <f t="shared" si="74"/>
        <v>1.1671221015814925</v>
      </c>
      <c r="CG74" s="29">
        <f t="shared" si="50"/>
        <v>2.3342442031629851</v>
      </c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</row>
    <row r="75" spans="1:158" s="37" customFormat="1" ht="15.4">
      <c r="A75" s="37" t="s">
        <v>177</v>
      </c>
      <c r="B75" s="37" t="s">
        <v>332</v>
      </c>
      <c r="C75" s="52">
        <v>2.2000000000000002</v>
      </c>
      <c r="D75" s="52">
        <v>102.3</v>
      </c>
      <c r="H75" s="37" t="s">
        <v>189</v>
      </c>
      <c r="J75" s="37" t="s">
        <v>21</v>
      </c>
      <c r="K75" s="37" t="s">
        <v>230</v>
      </c>
      <c r="L75" s="37" t="s">
        <v>22</v>
      </c>
      <c r="O75" s="46">
        <v>0.1</v>
      </c>
      <c r="P75" s="39">
        <f t="shared" si="67"/>
        <v>0.25</v>
      </c>
      <c r="Q75" s="37" t="s">
        <v>22</v>
      </c>
      <c r="R75" s="37" t="s">
        <v>241</v>
      </c>
      <c r="S75" s="39"/>
      <c r="T75" s="46">
        <v>0.1</v>
      </c>
      <c r="V75" s="51">
        <v>7</v>
      </c>
      <c r="Y75" s="41">
        <f t="shared" si="75"/>
        <v>19.75</v>
      </c>
      <c r="Z75" s="37" t="s">
        <v>242</v>
      </c>
      <c r="AD75" s="29">
        <v>-12.75</v>
      </c>
      <c r="AE75" s="37" t="s">
        <v>69</v>
      </c>
      <c r="AF75" s="42" t="s">
        <v>307</v>
      </c>
      <c r="AH75" s="31">
        <v>7985</v>
      </c>
      <c r="AI75" s="31">
        <v>220</v>
      </c>
      <c r="AK75" s="44">
        <v>-29.5</v>
      </c>
      <c r="AN75" s="31">
        <f t="shared" si="35"/>
        <v>7985</v>
      </c>
      <c r="AO75" s="31">
        <f t="shared" si="45"/>
        <v>220</v>
      </c>
      <c r="AP75" s="31"/>
      <c r="AQ75" s="31"/>
      <c r="AR75" s="31">
        <v>9430</v>
      </c>
      <c r="AS75" s="31">
        <v>8400</v>
      </c>
      <c r="AT75" s="31">
        <v>8880</v>
      </c>
      <c r="AU75" s="29"/>
      <c r="AV75" s="29">
        <v>1.9</v>
      </c>
      <c r="AW75" s="29">
        <v>1.3</v>
      </c>
      <c r="AX75" s="29">
        <v>0.5</v>
      </c>
      <c r="AY75" s="29"/>
      <c r="AZ75" s="29"/>
      <c r="BA75" s="29">
        <v>0</v>
      </c>
      <c r="BB75" s="29"/>
      <c r="BC75" s="29">
        <v>-0.4</v>
      </c>
      <c r="BD75" s="29"/>
      <c r="BE75" s="29">
        <v>-1.6</v>
      </c>
      <c r="BF75" s="37" t="s">
        <v>23</v>
      </c>
      <c r="BG75" s="37" t="s">
        <v>24</v>
      </c>
      <c r="BH75" s="29">
        <f t="shared" si="49"/>
        <v>0.95</v>
      </c>
      <c r="BI75" s="29">
        <f t="shared" si="37"/>
        <v>1.9</v>
      </c>
      <c r="BJ75" s="29">
        <f t="shared" si="65"/>
        <v>2.8499999999999996</v>
      </c>
      <c r="BK75" s="29">
        <f t="shared" si="39"/>
        <v>0.95</v>
      </c>
      <c r="BL75" s="29">
        <f t="shared" si="46"/>
        <v>0.19</v>
      </c>
      <c r="BM75" s="29">
        <f t="shared" si="40"/>
        <v>0.38</v>
      </c>
      <c r="BN75" s="29">
        <f t="shared" si="71"/>
        <v>0.47499999999999987</v>
      </c>
      <c r="BO75" s="29"/>
      <c r="BP75" s="29">
        <v>0.125</v>
      </c>
      <c r="BQ75" s="33">
        <v>0.01</v>
      </c>
      <c r="BR75" s="29">
        <v>0.05</v>
      </c>
      <c r="BS75" s="29">
        <f t="shared" si="70"/>
        <v>0.39500000000000002</v>
      </c>
      <c r="BT75" s="29"/>
      <c r="BV75" s="33">
        <v>0.5</v>
      </c>
      <c r="BW75" s="29">
        <v>0.03</v>
      </c>
      <c r="BX75" s="29"/>
      <c r="BY75" s="29"/>
      <c r="BZ75" s="39">
        <f t="shared" si="51"/>
        <v>0.25</v>
      </c>
      <c r="CA75" s="29">
        <f t="shared" si="72"/>
        <v>0.88800000000000001</v>
      </c>
      <c r="CB75" s="29">
        <v>-1.0233300000000001</v>
      </c>
      <c r="CC75" s="29">
        <f t="shared" si="52"/>
        <v>-13.585329999999999</v>
      </c>
      <c r="CD75" s="29"/>
      <c r="CE75" s="29">
        <f t="shared" si="73"/>
        <v>1.3167289014827614</v>
      </c>
      <c r="CF75" s="29">
        <f t="shared" si="74"/>
        <v>1.3167289014827614</v>
      </c>
      <c r="CG75" s="29">
        <f t="shared" si="50"/>
        <v>2.6334578029655229</v>
      </c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</row>
    <row r="76" spans="1:158" s="37" customFormat="1" ht="15.4">
      <c r="A76" s="37" t="s">
        <v>177</v>
      </c>
      <c r="B76" s="37" t="s">
        <v>332</v>
      </c>
      <c r="C76" s="52">
        <v>1.48</v>
      </c>
      <c r="D76" s="52">
        <v>103.38</v>
      </c>
      <c r="H76" s="37" t="s">
        <v>189</v>
      </c>
      <c r="J76" s="37" t="s">
        <v>21</v>
      </c>
      <c r="K76" s="37" t="s">
        <v>22</v>
      </c>
      <c r="L76" s="37" t="s">
        <v>22</v>
      </c>
      <c r="O76" s="46">
        <v>0.1</v>
      </c>
      <c r="P76" s="39">
        <f t="shared" si="67"/>
        <v>0.25</v>
      </c>
      <c r="Q76" s="37" t="s">
        <v>22</v>
      </c>
      <c r="R76" s="37" t="s">
        <v>241</v>
      </c>
      <c r="S76" s="39"/>
      <c r="T76" s="46">
        <v>0.1</v>
      </c>
      <c r="V76" s="51">
        <v>5.5</v>
      </c>
      <c r="Y76" s="41">
        <f>AD76-V76</f>
        <v>-1.75</v>
      </c>
      <c r="Z76" s="37" t="s">
        <v>242</v>
      </c>
      <c r="AD76" s="29">
        <v>3.75</v>
      </c>
      <c r="AE76" s="37" t="s">
        <v>69</v>
      </c>
      <c r="AF76" s="42" t="s">
        <v>308</v>
      </c>
      <c r="AH76" s="31">
        <v>4980</v>
      </c>
      <c r="AI76" s="31">
        <v>75</v>
      </c>
      <c r="AK76" s="44">
        <v>-29.5</v>
      </c>
      <c r="AN76" s="31">
        <f t="shared" si="35"/>
        <v>4980</v>
      </c>
      <c r="AO76" s="31">
        <f t="shared" si="45"/>
        <v>75</v>
      </c>
      <c r="AP76" s="31"/>
      <c r="AQ76" s="31"/>
      <c r="AR76" s="31">
        <v>5900</v>
      </c>
      <c r="AS76" s="31">
        <v>5590</v>
      </c>
      <c r="AT76" s="31">
        <v>5730</v>
      </c>
      <c r="AU76" s="29"/>
      <c r="AV76" s="29">
        <v>1.7</v>
      </c>
      <c r="AW76" s="29">
        <v>1.1000000000000001</v>
      </c>
      <c r="AX76" s="29">
        <v>0.4</v>
      </c>
      <c r="AY76" s="29"/>
      <c r="AZ76" s="29"/>
      <c r="BA76" s="29">
        <v>0</v>
      </c>
      <c r="BB76" s="29"/>
      <c r="BC76" s="29">
        <v>-0.5</v>
      </c>
      <c r="BD76" s="29"/>
      <c r="BE76" s="29">
        <v>-1.9</v>
      </c>
      <c r="BF76" s="47" t="s">
        <v>247</v>
      </c>
      <c r="BG76" s="37" t="s">
        <v>25</v>
      </c>
      <c r="BH76" s="29">
        <f>BA76</f>
        <v>0</v>
      </c>
      <c r="BI76" s="29"/>
      <c r="BJ76" s="29"/>
      <c r="BK76" s="29"/>
      <c r="BL76" s="29">
        <f t="shared" si="46"/>
        <v>0</v>
      </c>
      <c r="BM76" s="29"/>
      <c r="BN76" s="29"/>
      <c r="BO76" s="29"/>
      <c r="BP76" s="29">
        <v>0.125</v>
      </c>
      <c r="BQ76" s="33">
        <v>0.01</v>
      </c>
      <c r="BR76" s="29">
        <v>0.05</v>
      </c>
      <c r="BS76" s="29">
        <f t="shared" si="70"/>
        <v>-3.5000000000000003E-2</v>
      </c>
      <c r="BT76" s="29"/>
      <c r="BV76" s="33">
        <v>0.5</v>
      </c>
      <c r="BW76" s="29">
        <v>0.03</v>
      </c>
      <c r="BX76" s="29"/>
      <c r="BY76" s="29"/>
      <c r="BZ76" s="39">
        <f t="shared" si="51"/>
        <v>0.25</v>
      </c>
      <c r="CA76" s="29">
        <f t="shared" si="72"/>
        <v>0.57300000000000006</v>
      </c>
      <c r="CB76" s="29">
        <v>-0.03</v>
      </c>
      <c r="CD76" s="29">
        <f>AD76-BH76+CA76+BZ76+CB76</f>
        <v>4.5430000000000001</v>
      </c>
      <c r="CE76" s="29">
        <f t="shared" si="73"/>
        <v>0.5199519208542267</v>
      </c>
      <c r="CF76" s="29">
        <f t="shared" si="74"/>
        <v>0.5199519208542267</v>
      </c>
      <c r="CG76" s="29">
        <f t="shared" si="50"/>
        <v>1.0399038417084534</v>
      </c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</row>
    <row r="77" spans="1:158" s="37" customFormat="1">
      <c r="A77" s="37" t="s">
        <v>177</v>
      </c>
      <c r="B77" s="37" t="s">
        <v>179</v>
      </c>
      <c r="C77" s="52">
        <v>1.2726599999999999</v>
      </c>
      <c r="D77" s="52">
        <v>103.8653</v>
      </c>
      <c r="H77" s="37" t="s">
        <v>190</v>
      </c>
      <c r="I77" s="37" t="s">
        <v>222</v>
      </c>
      <c r="J77" s="37" t="s">
        <v>282</v>
      </c>
      <c r="K77" s="37" t="s">
        <v>230</v>
      </c>
      <c r="L77" s="37" t="s">
        <v>22</v>
      </c>
      <c r="M77" s="37" t="s">
        <v>357</v>
      </c>
      <c r="N77" s="39">
        <v>0.01</v>
      </c>
      <c r="O77" s="39"/>
      <c r="P77" s="39">
        <f t="shared" si="34"/>
        <v>2.5000000000000001E-2</v>
      </c>
      <c r="Q77" s="37" t="s">
        <v>322</v>
      </c>
      <c r="R77" s="37" t="s">
        <v>326</v>
      </c>
      <c r="S77" s="39">
        <f t="shared" si="68"/>
        <v>23</v>
      </c>
      <c r="T77" s="39">
        <v>0.47</v>
      </c>
      <c r="U77" s="37" t="s">
        <v>330</v>
      </c>
      <c r="V77" s="40">
        <f>AD77+Y77</f>
        <v>4.0760000000000005</v>
      </c>
      <c r="Y77" s="41">
        <v>23</v>
      </c>
      <c r="Z77" s="37" t="s">
        <v>242</v>
      </c>
      <c r="AD77" s="29">
        <v>-18.923999999999999</v>
      </c>
      <c r="AE77" s="37" t="s">
        <v>69</v>
      </c>
      <c r="AF77" s="42" t="s">
        <v>261</v>
      </c>
      <c r="AH77" s="31">
        <v>8208</v>
      </c>
      <c r="AI77" s="31">
        <v>34</v>
      </c>
      <c r="AK77" s="44">
        <v>-30.21</v>
      </c>
      <c r="AN77" s="31">
        <f t="shared" si="35"/>
        <v>8208</v>
      </c>
      <c r="AO77" s="31">
        <f t="shared" si="45"/>
        <v>34</v>
      </c>
      <c r="AP77" s="31"/>
      <c r="AQ77" s="31"/>
      <c r="AR77" s="31">
        <v>9280</v>
      </c>
      <c r="AS77" s="31">
        <v>9030</v>
      </c>
      <c r="AT77" s="31">
        <v>9170</v>
      </c>
      <c r="AU77" s="29"/>
      <c r="AV77" s="29">
        <v>1.7</v>
      </c>
      <c r="AW77" s="29">
        <v>1.1000000000000001</v>
      </c>
      <c r="AX77" s="29">
        <v>0.4</v>
      </c>
      <c r="AY77" s="29"/>
      <c r="AZ77" s="29"/>
      <c r="BA77" s="29">
        <v>0</v>
      </c>
      <c r="BB77" s="29"/>
      <c r="BC77" s="29">
        <v>-0.5</v>
      </c>
      <c r="BD77" s="29"/>
      <c r="BE77" s="29">
        <v>-1.9</v>
      </c>
      <c r="BF77" s="37" t="s">
        <v>23</v>
      </c>
      <c r="BG77" s="37" t="s">
        <v>24</v>
      </c>
      <c r="BH77" s="29">
        <f t="shared" si="49"/>
        <v>0.85</v>
      </c>
      <c r="BI77" s="29">
        <f t="shared" si="37"/>
        <v>1.7</v>
      </c>
      <c r="BJ77" s="29">
        <f t="shared" si="65"/>
        <v>2.5499999999999998</v>
      </c>
      <c r="BK77" s="29">
        <f t="shared" si="39"/>
        <v>0.85</v>
      </c>
      <c r="BL77" s="29">
        <f t="shared" si="46"/>
        <v>0.17</v>
      </c>
      <c r="BM77" s="29">
        <f t="shared" si="40"/>
        <v>0.34</v>
      </c>
      <c r="BN77" s="29">
        <f t="shared" si="71"/>
        <v>0.42499999999999993</v>
      </c>
      <c r="BO77" s="29"/>
      <c r="BP77" s="29">
        <v>5.0000000000000001E-3</v>
      </c>
      <c r="BQ77" s="29">
        <v>0.01</v>
      </c>
      <c r="BR77" s="29">
        <v>0.15</v>
      </c>
      <c r="BS77" s="29">
        <f t="shared" si="70"/>
        <v>0.46</v>
      </c>
      <c r="BT77" s="29"/>
      <c r="BU77" s="29"/>
      <c r="BV77" s="29"/>
      <c r="BW77" s="29">
        <v>0.01</v>
      </c>
      <c r="BX77" s="29">
        <v>0.1</v>
      </c>
      <c r="BY77" s="29">
        <v>0.1</v>
      </c>
      <c r="BZ77" s="39">
        <f t="shared" si="51"/>
        <v>1.88</v>
      </c>
      <c r="CA77" s="29">
        <f t="shared" si="72"/>
        <v>0.91700000000000004</v>
      </c>
      <c r="CB77" s="29">
        <v>0.724333</v>
      </c>
      <c r="CC77" s="29">
        <f t="shared" si="52"/>
        <v>-16.252666999999999</v>
      </c>
      <c r="CD77" s="29"/>
      <c r="CE77" s="29">
        <f>(SQRT(BK77^2+BL77^2+BM77^2+BN77^2+BP77^2+BQ77^2+BR77^2+BS77^2+BU77^2+BV77^2+BW77^2+BX77^2+BY77^2))</f>
        <v>1.1410302362339044</v>
      </c>
      <c r="CF77" s="29">
        <f t="shared" si="54"/>
        <v>1.1410302362339044</v>
      </c>
      <c r="CG77" s="29">
        <f t="shared" si="50"/>
        <v>2.2820604724678089</v>
      </c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</row>
    <row r="78" spans="1:158" s="37" customFormat="1">
      <c r="A78" s="37" t="s">
        <v>177</v>
      </c>
      <c r="B78" s="37" t="s">
        <v>179</v>
      </c>
      <c r="C78" s="52">
        <v>1.2726599999999999</v>
      </c>
      <c r="D78" s="52">
        <v>103.8653</v>
      </c>
      <c r="H78" s="37" t="s">
        <v>190</v>
      </c>
      <c r="I78" s="37" t="s">
        <v>223</v>
      </c>
      <c r="J78" s="37" t="s">
        <v>282</v>
      </c>
      <c r="K78" s="37" t="s">
        <v>230</v>
      </c>
      <c r="L78" s="37" t="s">
        <v>22</v>
      </c>
      <c r="M78" s="37" t="s">
        <v>357</v>
      </c>
      <c r="N78" s="39">
        <v>0.02</v>
      </c>
      <c r="O78" s="39"/>
      <c r="P78" s="39">
        <f t="shared" si="34"/>
        <v>0.05</v>
      </c>
      <c r="Q78" s="37" t="s">
        <v>322</v>
      </c>
      <c r="R78" s="37" t="s">
        <v>326</v>
      </c>
      <c r="S78" s="39">
        <f t="shared" si="68"/>
        <v>23.41</v>
      </c>
      <c r="T78" s="39">
        <v>0.06</v>
      </c>
      <c r="U78" s="37" t="s">
        <v>330</v>
      </c>
      <c r="V78" s="40">
        <f t="shared" ref="V78:V79" si="76">AD78+Y78</f>
        <v>4.0760000000000005</v>
      </c>
      <c r="Y78" s="41">
        <v>23.41</v>
      </c>
      <c r="Z78" s="37" t="s">
        <v>242</v>
      </c>
      <c r="AD78" s="29">
        <v>-19.334</v>
      </c>
      <c r="AE78" s="37" t="s">
        <v>69</v>
      </c>
      <c r="AF78" s="42" t="s">
        <v>262</v>
      </c>
      <c r="AH78" s="31">
        <v>8372</v>
      </c>
      <c r="AI78" s="31">
        <v>39</v>
      </c>
      <c r="AK78" s="44">
        <v>-28.41</v>
      </c>
      <c r="AN78" s="31">
        <f t="shared" si="35"/>
        <v>8372</v>
      </c>
      <c r="AO78" s="31">
        <f t="shared" si="45"/>
        <v>39</v>
      </c>
      <c r="AP78" s="31"/>
      <c r="AQ78" s="31"/>
      <c r="AR78" s="31">
        <v>9480</v>
      </c>
      <c r="AS78" s="31">
        <v>9290</v>
      </c>
      <c r="AT78" s="31">
        <v>9400</v>
      </c>
      <c r="AU78" s="29"/>
      <c r="AV78" s="29">
        <v>1.7</v>
      </c>
      <c r="AW78" s="29">
        <v>1.1000000000000001</v>
      </c>
      <c r="AX78" s="29">
        <v>0.4</v>
      </c>
      <c r="AY78" s="29"/>
      <c r="AZ78" s="29"/>
      <c r="BA78" s="29">
        <v>0</v>
      </c>
      <c r="BB78" s="29"/>
      <c r="BC78" s="29">
        <v>-0.5</v>
      </c>
      <c r="BD78" s="29"/>
      <c r="BE78" s="29">
        <v>-1.9</v>
      </c>
      <c r="BF78" s="37" t="s">
        <v>23</v>
      </c>
      <c r="BG78" s="37" t="s">
        <v>24</v>
      </c>
      <c r="BH78" s="29">
        <f t="shared" si="49"/>
        <v>0.85</v>
      </c>
      <c r="BI78" s="29">
        <f t="shared" si="37"/>
        <v>1.7</v>
      </c>
      <c r="BJ78" s="29">
        <f t="shared" si="65"/>
        <v>2.5499999999999998</v>
      </c>
      <c r="BK78" s="29">
        <f t="shared" si="39"/>
        <v>0.85</v>
      </c>
      <c r="BL78" s="29">
        <f t="shared" si="46"/>
        <v>0.17</v>
      </c>
      <c r="BM78" s="29">
        <f t="shared" si="40"/>
        <v>0.34</v>
      </c>
      <c r="BN78" s="29">
        <f t="shared" si="71"/>
        <v>0.42499999999999993</v>
      </c>
      <c r="BO78" s="29"/>
      <c r="BP78" s="29">
        <v>0.01</v>
      </c>
      <c r="BQ78" s="29">
        <v>0.01</v>
      </c>
      <c r="BR78" s="29">
        <v>0.15</v>
      </c>
      <c r="BS78" s="29">
        <f t="shared" si="70"/>
        <v>0.46820000000000001</v>
      </c>
      <c r="BT78" s="29"/>
      <c r="BU78" s="29"/>
      <c r="BV78" s="29"/>
      <c r="BW78" s="29">
        <v>0.01</v>
      </c>
      <c r="BX78" s="29">
        <v>0.1</v>
      </c>
      <c r="BY78" s="29">
        <v>0.1</v>
      </c>
      <c r="BZ78" s="39">
        <f t="shared" si="51"/>
        <v>0.24</v>
      </c>
      <c r="CA78" s="29">
        <f t="shared" si="72"/>
        <v>0.94000000000000006</v>
      </c>
      <c r="CB78" s="29">
        <v>0.724333</v>
      </c>
      <c r="CC78" s="29">
        <f t="shared" si="52"/>
        <v>-18.279667</v>
      </c>
      <c r="CD78" s="29"/>
      <c r="CE78" s="29">
        <f t="shared" si="53"/>
        <v>1.1443933938991433</v>
      </c>
      <c r="CF78" s="29">
        <f t="shared" si="54"/>
        <v>1.1443933938991433</v>
      </c>
      <c r="CG78" s="29">
        <f t="shared" si="50"/>
        <v>2.2887867877982866</v>
      </c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</row>
    <row r="79" spans="1:158" s="37" customFormat="1">
      <c r="A79" s="37" t="s">
        <v>177</v>
      </c>
      <c r="B79" s="37" t="s">
        <v>179</v>
      </c>
      <c r="C79" s="52">
        <v>1.2726599999999999</v>
      </c>
      <c r="D79" s="52">
        <v>103.8653</v>
      </c>
      <c r="H79" s="37" t="s">
        <v>190</v>
      </c>
      <c r="I79" s="37" t="s">
        <v>224</v>
      </c>
      <c r="J79" s="37" t="s">
        <v>282</v>
      </c>
      <c r="K79" s="37" t="s">
        <v>230</v>
      </c>
      <c r="L79" s="37" t="s">
        <v>22</v>
      </c>
      <c r="M79" s="37" t="s">
        <v>357</v>
      </c>
      <c r="N79" s="39">
        <v>0.02</v>
      </c>
      <c r="O79" s="39"/>
      <c r="P79" s="39">
        <f t="shared" si="34"/>
        <v>0.05</v>
      </c>
      <c r="Q79" s="37" t="s">
        <v>322</v>
      </c>
      <c r="R79" s="37" t="s">
        <v>326</v>
      </c>
      <c r="S79" s="39">
        <f t="shared" si="68"/>
        <v>23.47</v>
      </c>
      <c r="T79" s="39">
        <v>0</v>
      </c>
      <c r="U79" s="37" t="s">
        <v>330</v>
      </c>
      <c r="V79" s="40">
        <f t="shared" si="76"/>
        <v>4.0760000000000005</v>
      </c>
      <c r="Y79" s="41">
        <v>23.47</v>
      </c>
      <c r="Z79" s="37" t="s">
        <v>242</v>
      </c>
      <c r="AD79" s="29">
        <v>-19.393999999999998</v>
      </c>
      <c r="AE79" s="37" t="s">
        <v>69</v>
      </c>
      <c r="AF79" s="37" t="s">
        <v>263</v>
      </c>
      <c r="AH79" s="31">
        <v>8421</v>
      </c>
      <c r="AI79" s="31">
        <v>35</v>
      </c>
      <c r="AK79" s="44">
        <v>-28.5</v>
      </c>
      <c r="AN79" s="31">
        <f t="shared" si="35"/>
        <v>8421</v>
      </c>
      <c r="AO79" s="31">
        <f t="shared" si="45"/>
        <v>35</v>
      </c>
      <c r="AP79" s="31"/>
      <c r="AQ79" s="31"/>
      <c r="AR79" s="31">
        <v>9530</v>
      </c>
      <c r="AS79" s="31">
        <v>9320</v>
      </c>
      <c r="AT79" s="31">
        <v>9460</v>
      </c>
      <c r="AU79" s="29"/>
      <c r="AV79" s="29">
        <v>1.7</v>
      </c>
      <c r="AW79" s="29">
        <v>1.1000000000000001</v>
      </c>
      <c r="AX79" s="29">
        <v>0.4</v>
      </c>
      <c r="AY79" s="29"/>
      <c r="AZ79" s="29"/>
      <c r="BA79" s="29">
        <v>0</v>
      </c>
      <c r="BB79" s="29"/>
      <c r="BC79" s="29">
        <v>-0.5</v>
      </c>
      <c r="BD79" s="29"/>
      <c r="BE79" s="29">
        <v>-1.9</v>
      </c>
      <c r="BF79" s="37" t="s">
        <v>23</v>
      </c>
      <c r="BG79" s="37" t="s">
        <v>24</v>
      </c>
      <c r="BH79" s="29">
        <f t="shared" si="49"/>
        <v>0.85</v>
      </c>
      <c r="BI79" s="29">
        <f t="shared" si="37"/>
        <v>1.7</v>
      </c>
      <c r="BJ79" s="29">
        <f t="shared" si="65"/>
        <v>2.5499999999999998</v>
      </c>
      <c r="BK79" s="29">
        <f t="shared" si="39"/>
        <v>0.85</v>
      </c>
      <c r="BL79" s="29">
        <f t="shared" si="46"/>
        <v>0.17</v>
      </c>
      <c r="BM79" s="29">
        <f t="shared" si="40"/>
        <v>0.34</v>
      </c>
      <c r="BN79" s="29">
        <f t="shared" si="71"/>
        <v>0.42499999999999993</v>
      </c>
      <c r="BO79" s="29"/>
      <c r="BP79" s="29">
        <v>0.01</v>
      </c>
      <c r="BQ79" s="29">
        <v>0.01</v>
      </c>
      <c r="BR79" s="29">
        <v>0.15</v>
      </c>
      <c r="BS79" s="29">
        <f t="shared" si="70"/>
        <v>0.46939999999999998</v>
      </c>
      <c r="BT79" s="29"/>
      <c r="BU79" s="29"/>
      <c r="BV79" s="29"/>
      <c r="BW79" s="29">
        <v>0.01</v>
      </c>
      <c r="BX79" s="29">
        <v>0.1</v>
      </c>
      <c r="BY79" s="29">
        <v>0.1</v>
      </c>
      <c r="BZ79" s="39">
        <f t="shared" si="51"/>
        <v>0</v>
      </c>
      <c r="CA79" s="29">
        <f t="shared" si="72"/>
        <v>0.94600000000000006</v>
      </c>
      <c r="CB79" s="29">
        <v>0.724333</v>
      </c>
      <c r="CC79" s="29">
        <f t="shared" si="52"/>
        <v>-18.573666999999997</v>
      </c>
      <c r="CD79" s="29"/>
      <c r="CE79" s="29">
        <f t="shared" si="53"/>
        <v>1.1448848675740282</v>
      </c>
      <c r="CF79" s="29">
        <f t="shared" si="54"/>
        <v>1.1448848675740282</v>
      </c>
      <c r="CG79" s="29">
        <f t="shared" si="50"/>
        <v>2.2897697351480564</v>
      </c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</row>
    <row r="80" spans="1:158">
      <c r="S80" s="15"/>
      <c r="AN80" s="15"/>
      <c r="AO80" s="15"/>
      <c r="AP80" s="15"/>
      <c r="AQ80" s="15"/>
      <c r="AR80" s="15"/>
      <c r="AS80" s="15"/>
      <c r="BQ80" s="15"/>
      <c r="BS80" s="15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</row>
    <row r="81" spans="1:158">
      <c r="S81" s="15"/>
      <c r="AN81" s="15"/>
      <c r="AO81" s="15"/>
      <c r="AP81" s="15"/>
      <c r="AQ81" s="15"/>
      <c r="AR81" s="15"/>
      <c r="AS81" s="15"/>
      <c r="BQ81" s="15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</row>
    <row r="82" spans="1:158">
      <c r="A82" s="10" t="s">
        <v>301</v>
      </c>
      <c r="I82" s="27" t="s">
        <v>112</v>
      </c>
      <c r="J82" s="7"/>
      <c r="S82" s="15"/>
      <c r="CP82" s="9"/>
      <c r="CQ82" s="9"/>
      <c r="CR82" s="9"/>
      <c r="CS82" s="9"/>
      <c r="CT82" s="9"/>
      <c r="CU82" s="9"/>
    </row>
    <row r="83" spans="1:158" ht="15.4">
      <c r="I83" s="32" t="s">
        <v>346</v>
      </c>
      <c r="J83" s="9"/>
      <c r="S83" s="15"/>
      <c r="CP83" s="9"/>
      <c r="CQ83" s="9"/>
      <c r="CR83" s="9"/>
      <c r="CS83" s="9"/>
      <c r="CT83" s="9"/>
      <c r="CU83" s="9"/>
    </row>
    <row r="84" spans="1:158" ht="15.4">
      <c r="A84" s="27" t="s">
        <v>381</v>
      </c>
      <c r="I84" s="32" t="s">
        <v>349</v>
      </c>
      <c r="J84" s="9"/>
      <c r="S84" s="15"/>
      <c r="CP84" s="9"/>
      <c r="CQ84" s="9"/>
      <c r="CR84" s="9"/>
      <c r="CS84" s="9"/>
      <c r="CT84" s="9"/>
      <c r="CU84" s="9"/>
    </row>
    <row r="85" spans="1:158" ht="15.4">
      <c r="A85" s="9" t="s">
        <v>362</v>
      </c>
      <c r="I85" s="32" t="s">
        <v>338</v>
      </c>
      <c r="J85" s="9"/>
      <c r="S85" s="15"/>
      <c r="CP85" s="9"/>
      <c r="CQ85" s="9"/>
      <c r="CR85" s="9"/>
      <c r="CS85" s="9"/>
      <c r="CT85" s="9"/>
      <c r="CU85" s="9"/>
    </row>
    <row r="86" spans="1:158" ht="15.4">
      <c r="A86" s="9" t="s">
        <v>353</v>
      </c>
      <c r="I86" s="32" t="s">
        <v>347</v>
      </c>
      <c r="J86" s="9"/>
      <c r="CP86" s="9"/>
      <c r="CQ86" s="9"/>
      <c r="CR86" s="9"/>
      <c r="CS86" s="9"/>
      <c r="CT86" s="9"/>
      <c r="CU86" s="9"/>
    </row>
    <row r="87" spans="1:158" ht="15.4">
      <c r="A87" s="35" t="s">
        <v>364</v>
      </c>
      <c r="I87" s="32" t="s">
        <v>350</v>
      </c>
      <c r="J87" s="9"/>
      <c r="CP87" s="9"/>
      <c r="CQ87" s="9"/>
      <c r="CR87" s="9"/>
      <c r="CS87" s="9"/>
      <c r="CT87" s="9"/>
      <c r="CU87" s="9"/>
    </row>
    <row r="88" spans="1:158" ht="15.4">
      <c r="A88" s="9" t="s">
        <v>376</v>
      </c>
      <c r="I88" s="10" t="s">
        <v>284</v>
      </c>
      <c r="J88" s="9"/>
      <c r="CP88" s="9"/>
      <c r="CQ88" s="9"/>
      <c r="CR88" s="9"/>
      <c r="CS88" s="9"/>
      <c r="CT88" s="9"/>
      <c r="CU88" s="9"/>
    </row>
    <row r="89" spans="1:158" ht="15.4">
      <c r="A89" s="35" t="s">
        <v>379</v>
      </c>
      <c r="I89" s="32" t="s">
        <v>342</v>
      </c>
      <c r="J89" s="9"/>
      <c r="CP89" s="9"/>
      <c r="CQ89" s="9"/>
      <c r="CR89" s="9"/>
      <c r="CS89" s="9"/>
      <c r="CT89" s="9"/>
      <c r="CU89" s="9"/>
    </row>
    <row r="90" spans="1:158" ht="15.4">
      <c r="A90" s="9" t="s">
        <v>380</v>
      </c>
      <c r="I90" s="32" t="s">
        <v>343</v>
      </c>
      <c r="J90" s="9"/>
      <c r="CP90" s="9"/>
      <c r="CQ90" s="9"/>
      <c r="CR90" s="9"/>
      <c r="CS90" s="9"/>
      <c r="CT90" s="9"/>
      <c r="CU90" s="9"/>
    </row>
    <row r="91" spans="1:158" ht="15.4">
      <c r="A91" s="9"/>
      <c r="I91" s="32" t="s">
        <v>344</v>
      </c>
      <c r="J91" s="9"/>
      <c r="CP91" s="9"/>
      <c r="CQ91" s="9"/>
      <c r="CR91" s="9"/>
      <c r="CS91" s="9"/>
      <c r="CT91" s="9"/>
      <c r="CU91" s="9"/>
    </row>
    <row r="92" spans="1:158" ht="15.4">
      <c r="A92" s="34" t="s">
        <v>116</v>
      </c>
      <c r="I92" s="10" t="s">
        <v>164</v>
      </c>
      <c r="J92" s="9"/>
      <c r="CP92" s="9"/>
      <c r="CQ92" s="9"/>
      <c r="CR92" s="9"/>
      <c r="CS92" s="9"/>
      <c r="CT92" s="9"/>
      <c r="CU92" s="9"/>
    </row>
    <row r="93" spans="1:158">
      <c r="A93" s="11" t="s">
        <v>117</v>
      </c>
      <c r="I93" s="32" t="s">
        <v>384</v>
      </c>
      <c r="J93" s="9"/>
    </row>
    <row r="94" spans="1:158">
      <c r="A94" s="11" t="s">
        <v>118</v>
      </c>
      <c r="I94" s="10" t="s">
        <v>383</v>
      </c>
      <c r="J94" s="9"/>
    </row>
    <row r="95" spans="1:158" ht="15.75">
      <c r="A95" s="11" t="s">
        <v>119</v>
      </c>
      <c r="I95" s="32" t="s">
        <v>345</v>
      </c>
      <c r="J95" s="9"/>
    </row>
    <row r="96" spans="1:158" ht="15.4">
      <c r="A96" s="11" t="s">
        <v>120</v>
      </c>
      <c r="I96" s="10" t="s">
        <v>385</v>
      </c>
      <c r="J96" s="9"/>
    </row>
    <row r="97" spans="1:10" ht="15.4">
      <c r="A97" s="11" t="s">
        <v>121</v>
      </c>
      <c r="I97" s="10" t="s">
        <v>386</v>
      </c>
      <c r="J97" s="9"/>
    </row>
    <row r="98" spans="1:10">
      <c r="A98" s="1"/>
      <c r="I98" s="32" t="s">
        <v>382</v>
      </c>
      <c r="J98" s="1"/>
    </row>
    <row r="99" spans="1:10" ht="15.4">
      <c r="I99" s="10" t="s">
        <v>341</v>
      </c>
      <c r="J99" s="1"/>
    </row>
  </sheetData>
  <phoneticPr fontId="12" type="noConversion"/>
  <pageMargins left="0.7" right="0.7" top="0.75" bottom="0.75" header="0.3" footer="0.3"/>
  <pageSetup orientation="portrait" r:id="rId1"/>
  <ignoredErrors>
    <ignoredError sqref="P5:P6 BH5:BH6 BH67 BH7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RSL data - early Holocene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Hijma</dc:creator>
  <cp:lastModifiedBy>Mukherjee, Udita</cp:lastModifiedBy>
  <cp:lastPrinted>2014-02-24T20:47:05Z</cp:lastPrinted>
  <dcterms:created xsi:type="dcterms:W3CDTF">2012-02-06T20:14:47Z</dcterms:created>
  <dcterms:modified xsi:type="dcterms:W3CDTF">2023-10-05T19:11:59Z</dcterms:modified>
</cp:coreProperties>
</file>