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rgadoal\Downloads\"/>
    </mc:Choice>
  </mc:AlternateContent>
  <bookViews>
    <workbookView xWindow="0" yWindow="495" windowWidth="28800" windowHeight="17505" activeTab="1"/>
  </bookViews>
  <sheets>
    <sheet name="Feuil1" sheetId="1" r:id="rId1"/>
    <sheet name="Feuil5" sheetId="5" r:id="rId2"/>
    <sheet name="Feuil4" sheetId="4" r:id="rId3"/>
    <sheet name="Feuil3" sheetId="3" r:id="rId4"/>
    <sheet name="Feuil2" sheetId="2" r:id="rId5"/>
  </sheets>
  <definedNames>
    <definedName name="_xlchart.v1.0" hidden="1">Feuil5!#REF!</definedName>
    <definedName name="_xlchart.v1.1" hidden="1">Feuil5!#REF!</definedName>
    <definedName name="_xlchart.v1.2" hidden="1">Feuil5!#REF!</definedName>
    <definedName name="_xlchart.v1.3" hidden="1">Feuil5!#REF!</definedName>
    <definedName name="_xlchart.v1.4" hidden="1">Feuil5!#REF!</definedName>
    <definedName name="_xlchart.v1.5" hidden="1">Feuil5!#REF!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5" l="1"/>
  <c r="F46" i="5"/>
  <c r="F34" i="5"/>
  <c r="F12" i="5"/>
  <c r="V58" i="5"/>
  <c r="V80" i="5" l="1"/>
  <c r="Q80" i="5"/>
  <c r="R80" i="5" s="1"/>
  <c r="N80" i="5"/>
  <c r="I80" i="5"/>
  <c r="J80" i="5" s="1"/>
  <c r="F80" i="5" s="1"/>
  <c r="V67" i="5"/>
  <c r="Q67" i="5"/>
  <c r="R67" i="5" s="1"/>
  <c r="N67" i="5"/>
  <c r="I67" i="5"/>
  <c r="J67" i="5" s="1"/>
  <c r="F67" i="5" s="1"/>
  <c r="V90" i="5"/>
  <c r="Q90" i="5"/>
  <c r="R90" i="5" s="1"/>
  <c r="I90" i="5"/>
  <c r="J90" i="5" s="1"/>
  <c r="F90" i="5" s="1"/>
  <c r="V19" i="5"/>
  <c r="Q19" i="5"/>
  <c r="R19" i="5" s="1"/>
  <c r="N19" i="5"/>
  <c r="I19" i="5"/>
  <c r="J19" i="5" s="1"/>
  <c r="V22" i="5"/>
  <c r="Q22" i="5"/>
  <c r="R22" i="5" s="1"/>
  <c r="N22" i="5"/>
  <c r="I22" i="5"/>
  <c r="J22" i="5" s="1"/>
  <c r="V42" i="5"/>
  <c r="Q42" i="5"/>
  <c r="R42" i="5" s="1"/>
  <c r="N42" i="5"/>
  <c r="I42" i="5"/>
  <c r="J42" i="5" s="1"/>
  <c r="V99" i="5"/>
  <c r="Q99" i="5"/>
  <c r="R99" i="5" s="1"/>
  <c r="N99" i="5"/>
  <c r="I99" i="5"/>
  <c r="J99" i="5" s="1"/>
  <c r="V26" i="5"/>
  <c r="Q26" i="5"/>
  <c r="R26" i="5" s="1"/>
  <c r="N26" i="5"/>
  <c r="I26" i="5"/>
  <c r="J26" i="5" s="1"/>
  <c r="V18" i="5"/>
  <c r="Q18" i="5"/>
  <c r="R18" i="5" s="1"/>
  <c r="N18" i="5"/>
  <c r="I18" i="5"/>
  <c r="V84" i="5"/>
  <c r="Q84" i="5"/>
  <c r="R84" i="5" s="1"/>
  <c r="N84" i="5"/>
  <c r="I84" i="5"/>
  <c r="J84" i="5" s="1"/>
  <c r="V8" i="5"/>
  <c r="Q8" i="5"/>
  <c r="R8" i="5" s="1"/>
  <c r="I8" i="5"/>
  <c r="J8" i="5" s="1"/>
  <c r="V43" i="5"/>
  <c r="Q43" i="5"/>
  <c r="R43" i="5" s="1"/>
  <c r="N43" i="5"/>
  <c r="I43" i="5"/>
  <c r="J43" i="5" s="1"/>
  <c r="V93" i="5"/>
  <c r="Q93" i="5"/>
  <c r="R93" i="5" s="1"/>
  <c r="N93" i="5"/>
  <c r="I93" i="5"/>
  <c r="J93" i="5" s="1"/>
  <c r="V98" i="5"/>
  <c r="Q98" i="5"/>
  <c r="R98" i="5" s="1"/>
  <c r="N98" i="5"/>
  <c r="I98" i="5"/>
  <c r="J98" i="5" s="1"/>
  <c r="V60" i="5"/>
  <c r="Q60" i="5"/>
  <c r="R60" i="5" s="1"/>
  <c r="N60" i="5"/>
  <c r="I60" i="5"/>
  <c r="J60" i="5" s="1"/>
  <c r="V40" i="5"/>
  <c r="Q40" i="5"/>
  <c r="R40" i="5" s="1"/>
  <c r="I40" i="5"/>
  <c r="J40" i="5" s="1"/>
  <c r="V74" i="5"/>
  <c r="Q74" i="5"/>
  <c r="R74" i="5" s="1"/>
  <c r="N74" i="5"/>
  <c r="I74" i="5"/>
  <c r="J74" i="5" s="1"/>
  <c r="V14" i="5"/>
  <c r="Q14" i="5"/>
  <c r="I14" i="5"/>
  <c r="J14" i="5" s="1"/>
  <c r="F14" i="5" s="1"/>
  <c r="V17" i="5"/>
  <c r="Q17" i="5"/>
  <c r="R17" i="5" s="1"/>
  <c r="N17" i="5"/>
  <c r="I17" i="5"/>
  <c r="J17" i="5" s="1"/>
  <c r="F17" i="5" s="1"/>
  <c r="V68" i="5"/>
  <c r="Q68" i="5"/>
  <c r="R68" i="5" s="1"/>
  <c r="N68" i="5"/>
  <c r="I68" i="5"/>
  <c r="J68" i="5" s="1"/>
  <c r="F68" i="5" s="1"/>
  <c r="V75" i="5"/>
  <c r="Q75" i="5"/>
  <c r="R75" i="5" s="1"/>
  <c r="N75" i="5"/>
  <c r="I75" i="5"/>
  <c r="J75" i="5" s="1"/>
  <c r="F75" i="5" s="1"/>
  <c r="V23" i="5"/>
  <c r="Q23" i="5"/>
  <c r="R23" i="5" s="1"/>
  <c r="I23" i="5"/>
  <c r="J23" i="5" s="1"/>
  <c r="F23" i="5" s="1"/>
  <c r="V79" i="5"/>
  <c r="Q79" i="5"/>
  <c r="R79" i="5" s="1"/>
  <c r="N79" i="5"/>
  <c r="I79" i="5"/>
  <c r="J79" i="5" s="1"/>
  <c r="V13" i="5"/>
  <c r="Q13" i="5"/>
  <c r="N13" i="5"/>
  <c r="I13" i="5"/>
  <c r="J13" i="5" s="1"/>
  <c r="F13" i="5" s="1"/>
  <c r="V91" i="5"/>
  <c r="Q91" i="5"/>
  <c r="R91" i="5" s="1"/>
  <c r="N91" i="5"/>
  <c r="I91" i="5"/>
  <c r="J91" i="5" s="1"/>
  <c r="V27" i="5"/>
  <c r="Q27" i="5"/>
  <c r="R27" i="5" s="1"/>
  <c r="N27" i="5"/>
  <c r="I27" i="5"/>
  <c r="J27" i="5" s="1"/>
  <c r="V29" i="5"/>
  <c r="Q29" i="5"/>
  <c r="R29" i="5" s="1"/>
  <c r="N29" i="5"/>
  <c r="I29" i="5"/>
  <c r="J29" i="5" s="1"/>
  <c r="V77" i="5"/>
  <c r="Q77" i="5"/>
  <c r="R77" i="5" s="1"/>
  <c r="N77" i="5"/>
  <c r="I77" i="5"/>
  <c r="J77" i="5" s="1"/>
  <c r="V71" i="5"/>
  <c r="Q71" i="5"/>
  <c r="R71" i="5" s="1"/>
  <c r="N71" i="5"/>
  <c r="I71" i="5"/>
  <c r="J71" i="5" s="1"/>
  <c r="V78" i="5"/>
  <c r="Q78" i="5"/>
  <c r="R78" i="5" s="1"/>
  <c r="N78" i="5"/>
  <c r="I78" i="5"/>
  <c r="J78" i="5" s="1"/>
  <c r="V24" i="5"/>
  <c r="Q24" i="5"/>
  <c r="R24" i="5" s="1"/>
  <c r="I24" i="5"/>
  <c r="J24" i="5" s="1"/>
  <c r="V41" i="5"/>
  <c r="Q41" i="5"/>
  <c r="R41" i="5" s="1"/>
  <c r="N41" i="5"/>
  <c r="I41" i="5"/>
  <c r="J41" i="5" s="1"/>
  <c r="V36" i="5"/>
  <c r="Q36" i="5"/>
  <c r="R36" i="5" s="1"/>
  <c r="N36" i="5"/>
  <c r="I36" i="5"/>
  <c r="J36" i="5" s="1"/>
  <c r="V85" i="5"/>
  <c r="Q85" i="5"/>
  <c r="R85" i="5" s="1"/>
  <c r="N85" i="5"/>
  <c r="I85" i="5"/>
  <c r="J85" i="5" s="1"/>
  <c r="V47" i="5"/>
  <c r="Q47" i="5"/>
  <c r="I47" i="5"/>
  <c r="J47" i="5" s="1"/>
  <c r="F47" i="5" s="1"/>
  <c r="V76" i="5"/>
  <c r="Q76" i="5"/>
  <c r="R76" i="5" s="1"/>
  <c r="I76" i="5"/>
  <c r="J76" i="5" s="1"/>
  <c r="F76" i="5" s="1"/>
  <c r="V92" i="5"/>
  <c r="Q92" i="5"/>
  <c r="R92" i="5" s="1"/>
  <c r="I92" i="5"/>
  <c r="J92" i="5" s="1"/>
  <c r="F92" i="5" s="1"/>
  <c r="V9" i="5"/>
  <c r="Q9" i="5"/>
  <c r="R9" i="5" s="1"/>
  <c r="N9" i="5"/>
  <c r="I9" i="5"/>
  <c r="J9" i="5" s="1"/>
  <c r="V59" i="5"/>
  <c r="Q59" i="5"/>
  <c r="R59" i="5" s="1"/>
  <c r="I59" i="5"/>
  <c r="J59" i="5" s="1"/>
  <c r="V87" i="5"/>
  <c r="Q87" i="5"/>
  <c r="R87" i="5" s="1"/>
  <c r="N87" i="5"/>
  <c r="I87" i="5"/>
  <c r="J87" i="5" s="1"/>
  <c r="V73" i="5"/>
  <c r="Q73" i="5"/>
  <c r="R73" i="5" s="1"/>
  <c r="N73" i="5"/>
  <c r="I73" i="5"/>
  <c r="V12" i="5"/>
  <c r="Q12" i="5"/>
  <c r="I12" i="5"/>
  <c r="V70" i="5"/>
  <c r="Q70" i="5"/>
  <c r="R70" i="5" s="1"/>
  <c r="N70" i="5"/>
  <c r="F70" i="5" s="1"/>
  <c r="I70" i="5"/>
  <c r="V56" i="5"/>
  <c r="Q56" i="5"/>
  <c r="R56" i="5" s="1"/>
  <c r="N56" i="5"/>
  <c r="F56" i="5" s="1"/>
  <c r="I56" i="5"/>
  <c r="V51" i="5"/>
  <c r="Q51" i="5"/>
  <c r="R51" i="5" s="1"/>
  <c r="N51" i="5"/>
  <c r="F51" i="5" s="1"/>
  <c r="I51" i="5"/>
  <c r="V57" i="5"/>
  <c r="Q57" i="5"/>
  <c r="R57" i="5" s="1"/>
  <c r="N57" i="5"/>
  <c r="F57" i="5" s="1"/>
  <c r="I57" i="5"/>
  <c r="V66" i="5"/>
  <c r="Q66" i="5"/>
  <c r="R66" i="5" s="1"/>
  <c r="N66" i="5"/>
  <c r="F66" i="5" s="1"/>
  <c r="I66" i="5"/>
  <c r="V35" i="5"/>
  <c r="Q35" i="5"/>
  <c r="R35" i="5" s="1"/>
  <c r="N35" i="5"/>
  <c r="F35" i="5" s="1"/>
  <c r="I35" i="5"/>
  <c r="V48" i="5"/>
  <c r="Q48" i="5"/>
  <c r="R48" i="5" s="1"/>
  <c r="N48" i="5"/>
  <c r="F48" i="5" s="1"/>
  <c r="I48" i="5"/>
  <c r="V34" i="5"/>
  <c r="Q34" i="5"/>
  <c r="I34" i="5"/>
  <c r="V7" i="5"/>
  <c r="Q7" i="5"/>
  <c r="R7" i="5" s="1"/>
  <c r="N7" i="5"/>
  <c r="I7" i="5"/>
  <c r="V32" i="5"/>
  <c r="Q32" i="5"/>
  <c r="R32" i="5" s="1"/>
  <c r="N32" i="5"/>
  <c r="I32" i="5"/>
  <c r="V21" i="5"/>
  <c r="Q21" i="5"/>
  <c r="R21" i="5" s="1"/>
  <c r="N21" i="5"/>
  <c r="I21" i="5"/>
  <c r="V39" i="5"/>
  <c r="Q39" i="5"/>
  <c r="R39" i="5" s="1"/>
  <c r="N39" i="5"/>
  <c r="I39" i="5"/>
  <c r="V30" i="5"/>
  <c r="Q30" i="5"/>
  <c r="I30" i="5"/>
  <c r="V25" i="5"/>
  <c r="Q25" i="5"/>
  <c r="R25" i="5" s="1"/>
  <c r="F25" i="5" s="1"/>
  <c r="I25" i="5"/>
  <c r="V96" i="5"/>
  <c r="Q96" i="5"/>
  <c r="R96" i="5" s="1"/>
  <c r="N96" i="5"/>
  <c r="I96" i="5"/>
  <c r="V31" i="5"/>
  <c r="Q31" i="5"/>
  <c r="R31" i="5" s="1"/>
  <c r="N31" i="5"/>
  <c r="I31" i="5"/>
  <c r="V11" i="5"/>
  <c r="Q11" i="5"/>
  <c r="R11" i="5" s="1"/>
  <c r="N11" i="5"/>
  <c r="I11" i="5"/>
  <c r="V81" i="5"/>
  <c r="Q81" i="5"/>
  <c r="R81" i="5" s="1"/>
  <c r="N81" i="5"/>
  <c r="I81" i="5"/>
  <c r="V83" i="5"/>
  <c r="Q83" i="5"/>
  <c r="N83" i="5"/>
  <c r="F83" i="5" s="1"/>
  <c r="I83" i="5"/>
  <c r="V89" i="5"/>
  <c r="Q89" i="5"/>
  <c r="R89" i="5" s="1"/>
  <c r="N89" i="5"/>
  <c r="I89" i="5"/>
  <c r="V2" i="5"/>
  <c r="Q2" i="5"/>
  <c r="R2" i="5" s="1"/>
  <c r="N2" i="5"/>
  <c r="I2" i="5"/>
  <c r="V3" i="5"/>
  <c r="Q3" i="5"/>
  <c r="R3" i="5" s="1"/>
  <c r="F3" i="5" s="1"/>
  <c r="I3" i="5"/>
  <c r="V16" i="5"/>
  <c r="Q16" i="5"/>
  <c r="R16" i="5" s="1"/>
  <c r="F16" i="5" s="1"/>
  <c r="I16" i="5"/>
  <c r="V28" i="5"/>
  <c r="Q28" i="5"/>
  <c r="R28" i="5" s="1"/>
  <c r="N28" i="5"/>
  <c r="I28" i="5"/>
  <c r="V63" i="5"/>
  <c r="Q63" i="5"/>
  <c r="R63" i="5" s="1"/>
  <c r="N63" i="5"/>
  <c r="I63" i="5"/>
  <c r="V5" i="5"/>
  <c r="Q5" i="5"/>
  <c r="R5" i="5" s="1"/>
  <c r="F5" i="5" s="1"/>
  <c r="I5" i="5"/>
  <c r="V10" i="5"/>
  <c r="Q10" i="5"/>
  <c r="R10" i="5" s="1"/>
  <c r="F10" i="5" s="1"/>
  <c r="I10" i="5"/>
  <c r="V97" i="5"/>
  <c r="Q97" i="5"/>
  <c r="R97" i="5" s="1"/>
  <c r="N97" i="5"/>
  <c r="I97" i="5"/>
  <c r="V69" i="5"/>
  <c r="Q69" i="5"/>
  <c r="R69" i="5" s="1"/>
  <c r="F69" i="5" s="1"/>
  <c r="I69" i="5"/>
  <c r="V49" i="5"/>
  <c r="Q49" i="5"/>
  <c r="R49" i="5" s="1"/>
  <c r="N49" i="5"/>
  <c r="F49" i="5" s="1"/>
  <c r="I49" i="5"/>
  <c r="V52" i="5"/>
  <c r="Q52" i="5"/>
  <c r="R52" i="5" s="1"/>
  <c r="N52" i="5"/>
  <c r="F52" i="5" s="1"/>
  <c r="I52" i="5"/>
  <c r="V82" i="5"/>
  <c r="Q82" i="5"/>
  <c r="R82" i="5" s="1"/>
  <c r="N82" i="5"/>
  <c r="F82" i="5" s="1"/>
  <c r="I82" i="5"/>
  <c r="V88" i="5"/>
  <c r="Q88" i="5"/>
  <c r="R88" i="5" s="1"/>
  <c r="N88" i="5"/>
  <c r="F88" i="5" s="1"/>
  <c r="I88" i="5"/>
  <c r="V54" i="5"/>
  <c r="Q54" i="5"/>
  <c r="R54" i="5" s="1"/>
  <c r="N54" i="5"/>
  <c r="F54" i="5" s="1"/>
  <c r="I54" i="5"/>
  <c r="V15" i="5"/>
  <c r="Q15" i="5"/>
  <c r="R15" i="5" s="1"/>
  <c r="N15" i="5"/>
  <c r="F15" i="5" s="1"/>
  <c r="I15" i="5"/>
  <c r="V4" i="5"/>
  <c r="Q4" i="5"/>
  <c r="R4" i="5" s="1"/>
  <c r="F4" i="5" s="1"/>
  <c r="I4" i="5"/>
  <c r="V86" i="5"/>
  <c r="Q86" i="5"/>
  <c r="R86" i="5" s="1"/>
  <c r="F86" i="5" s="1"/>
  <c r="I86" i="5"/>
  <c r="Q58" i="5"/>
  <c r="R58" i="5" s="1"/>
  <c r="N58" i="5"/>
  <c r="I58" i="5"/>
  <c r="V44" i="5"/>
  <c r="Q44" i="5"/>
  <c r="N44" i="5"/>
  <c r="F44" i="5" s="1"/>
  <c r="V62" i="5"/>
  <c r="Q62" i="5"/>
  <c r="R62" i="5" s="1"/>
  <c r="N62" i="5"/>
  <c r="F62" i="5" s="1"/>
  <c r="I62" i="5"/>
  <c r="V65" i="5"/>
  <c r="Q65" i="5"/>
  <c r="R65" i="5" s="1"/>
  <c r="N65" i="5"/>
  <c r="F65" i="5" s="1"/>
  <c r="I65" i="5"/>
  <c r="V45" i="5"/>
  <c r="Q45" i="5"/>
  <c r="N45" i="5"/>
  <c r="F45" i="5" s="1"/>
  <c r="I45" i="5"/>
  <c r="V64" i="5"/>
  <c r="Q64" i="5"/>
  <c r="N64" i="5"/>
  <c r="F64" i="5" s="1"/>
  <c r="I64" i="5"/>
  <c r="V6" i="5"/>
  <c r="Q6" i="5"/>
  <c r="R6" i="5" s="1"/>
  <c r="F6" i="5" s="1"/>
  <c r="I6" i="5"/>
  <c r="V46" i="5"/>
  <c r="Q46" i="5"/>
  <c r="I46" i="5"/>
  <c r="V38" i="5"/>
  <c r="Q38" i="5"/>
  <c r="R38" i="5" s="1"/>
  <c r="N38" i="5"/>
  <c r="I38" i="5"/>
  <c r="V95" i="5"/>
  <c r="Q95" i="5"/>
  <c r="R95" i="5" s="1"/>
  <c r="F95" i="5" s="1"/>
  <c r="I95" i="5"/>
  <c r="V37" i="5"/>
  <c r="Q37" i="5"/>
  <c r="R37" i="5" s="1"/>
  <c r="N37" i="5"/>
  <c r="I37" i="5"/>
  <c r="V94" i="5"/>
  <c r="Q94" i="5"/>
  <c r="R94" i="5" s="1"/>
  <c r="N94" i="5"/>
  <c r="I94" i="5"/>
  <c r="V20" i="5"/>
  <c r="Q20" i="5"/>
  <c r="R20" i="5" s="1"/>
  <c r="N20" i="5"/>
  <c r="I20" i="5"/>
  <c r="V50" i="5"/>
  <c r="Q50" i="5"/>
  <c r="R50" i="5" s="1"/>
  <c r="N50" i="5"/>
  <c r="I50" i="5"/>
  <c r="V61" i="5"/>
  <c r="Q61" i="5"/>
  <c r="R61" i="5" s="1"/>
  <c r="N61" i="5"/>
  <c r="I61" i="5"/>
  <c r="V72" i="5"/>
  <c r="Q72" i="5"/>
  <c r="R72" i="5" s="1"/>
  <c r="F72" i="5" s="1"/>
  <c r="I72" i="5"/>
  <c r="V100" i="5"/>
  <c r="Q100" i="5"/>
  <c r="R100" i="5" s="1"/>
  <c r="N100" i="5"/>
  <c r="F100" i="5" s="1"/>
  <c r="I100" i="5"/>
  <c r="V55" i="5"/>
  <c r="Q55" i="5"/>
  <c r="R55" i="5" s="1"/>
  <c r="N55" i="5"/>
  <c r="F55" i="5" s="1"/>
  <c r="I55" i="5"/>
  <c r="V53" i="5"/>
  <c r="Q53" i="5"/>
  <c r="R53" i="5" s="1"/>
  <c r="N53" i="5"/>
  <c r="F53" i="5" s="1"/>
  <c r="I53" i="5"/>
  <c r="V33" i="5"/>
  <c r="Q33" i="5"/>
  <c r="R33" i="5" s="1"/>
  <c r="N33" i="5"/>
  <c r="F33" i="5" s="1"/>
  <c r="I33" i="5"/>
  <c r="X13" i="4"/>
  <c r="T13" i="4"/>
  <c r="Q13" i="4"/>
  <c r="L13" i="4"/>
  <c r="X5" i="4"/>
  <c r="U5" i="4"/>
  <c r="T5" i="4"/>
  <c r="Q5" i="4"/>
  <c r="M5" i="4"/>
  <c r="L5" i="4"/>
  <c r="E5" i="4"/>
  <c r="X6" i="4"/>
  <c r="T6" i="4"/>
  <c r="Q6" i="4"/>
  <c r="L6" i="4"/>
  <c r="X4" i="4"/>
  <c r="T4" i="4"/>
  <c r="Q4" i="4"/>
  <c r="L4" i="4"/>
  <c r="X1" i="4"/>
  <c r="T1" i="4"/>
  <c r="Q1" i="4"/>
  <c r="L1" i="4"/>
  <c r="X11" i="4"/>
  <c r="T11" i="4"/>
  <c r="Q11" i="4"/>
  <c r="L11" i="4"/>
  <c r="X15" i="4"/>
  <c r="T15" i="4"/>
  <c r="Q15" i="4"/>
  <c r="L15" i="4"/>
  <c r="X8" i="4"/>
  <c r="T8" i="4"/>
  <c r="Q8" i="4"/>
  <c r="L8" i="4"/>
  <c r="X10" i="4"/>
  <c r="T10" i="4"/>
  <c r="Q10" i="4"/>
  <c r="L10" i="4"/>
  <c r="X12" i="4"/>
  <c r="T12" i="4"/>
  <c r="Q12" i="4"/>
  <c r="L12" i="4"/>
  <c r="X9" i="4"/>
  <c r="T9" i="4"/>
  <c r="Q9" i="4"/>
  <c r="L9" i="4"/>
  <c r="X2" i="4"/>
  <c r="T2" i="4"/>
  <c r="Q2" i="4"/>
  <c r="L2" i="4"/>
  <c r="X14" i="4"/>
  <c r="T14" i="4"/>
  <c r="Q14" i="4"/>
  <c r="L14" i="4"/>
  <c r="X3" i="4"/>
  <c r="T3" i="4"/>
  <c r="Q3" i="4"/>
  <c r="L3" i="4"/>
  <c r="X7" i="4"/>
  <c r="T7" i="4"/>
  <c r="Q7" i="4"/>
  <c r="L7" i="4"/>
  <c r="X17" i="3"/>
  <c r="T17" i="3"/>
  <c r="Q17" i="3"/>
  <c r="L17" i="3"/>
  <c r="X21" i="3"/>
  <c r="T21" i="3"/>
  <c r="Q21" i="3"/>
  <c r="L21" i="3"/>
  <c r="X11" i="3"/>
  <c r="T11" i="3"/>
  <c r="Q11" i="3"/>
  <c r="M11" i="3"/>
  <c r="L11" i="3"/>
  <c r="X1" i="3"/>
  <c r="T1" i="3"/>
  <c r="Q1" i="3"/>
  <c r="L1" i="3"/>
  <c r="X8" i="3"/>
  <c r="T8" i="3"/>
  <c r="Q8" i="3"/>
  <c r="L8" i="3"/>
  <c r="X7" i="3"/>
  <c r="T7" i="3"/>
  <c r="Q7" i="3"/>
  <c r="L7" i="3"/>
  <c r="X22" i="3"/>
  <c r="T22" i="3"/>
  <c r="Q22" i="3"/>
  <c r="L22" i="3"/>
  <c r="X6" i="3"/>
  <c r="T6" i="3"/>
  <c r="Q6" i="3"/>
  <c r="L6" i="3"/>
  <c r="X15" i="3"/>
  <c r="T15" i="3"/>
  <c r="Q15" i="3"/>
  <c r="L15" i="3"/>
  <c r="X5" i="3"/>
  <c r="T5" i="3"/>
  <c r="Q5" i="3"/>
  <c r="L5" i="3"/>
  <c r="X4" i="3"/>
  <c r="T4" i="3"/>
  <c r="Q4" i="3"/>
  <c r="L4" i="3"/>
  <c r="X14" i="3"/>
  <c r="T14" i="3"/>
  <c r="Q14" i="3"/>
  <c r="L14" i="3"/>
  <c r="X2" i="3"/>
  <c r="T2" i="3"/>
  <c r="Q2" i="3"/>
  <c r="L2" i="3"/>
  <c r="X3" i="3"/>
  <c r="U3" i="3"/>
  <c r="T3" i="3"/>
  <c r="Q3" i="3"/>
  <c r="M3" i="3"/>
  <c r="L3" i="3"/>
  <c r="E3" i="3"/>
  <c r="X10" i="3"/>
  <c r="T10" i="3"/>
  <c r="Q10" i="3"/>
  <c r="L10" i="3"/>
  <c r="X16" i="3"/>
  <c r="T16" i="3"/>
  <c r="Q16" i="3"/>
  <c r="L16" i="3"/>
  <c r="X12" i="3"/>
  <c r="T12" i="3"/>
  <c r="Q12" i="3"/>
  <c r="X19" i="3"/>
  <c r="T19" i="3"/>
  <c r="Q19" i="3"/>
  <c r="L19" i="3"/>
  <c r="X9" i="3"/>
  <c r="T9" i="3"/>
  <c r="Q9" i="3"/>
  <c r="L9" i="3"/>
  <c r="X18" i="3"/>
  <c r="T18" i="3"/>
  <c r="Q18" i="3"/>
  <c r="L18" i="3"/>
  <c r="X20" i="3"/>
  <c r="T20" i="3"/>
  <c r="Q20" i="3"/>
  <c r="L20" i="3"/>
  <c r="X13" i="3"/>
  <c r="T13" i="3"/>
  <c r="Q13" i="3"/>
  <c r="L13" i="3"/>
  <c r="X36" i="2"/>
  <c r="T36" i="2"/>
  <c r="Q36" i="2"/>
  <c r="L36" i="2"/>
  <c r="X44" i="2"/>
  <c r="T44" i="2"/>
  <c r="Q44" i="2"/>
  <c r="L44" i="2"/>
  <c r="X19" i="2"/>
  <c r="T19" i="2"/>
  <c r="Q19" i="2"/>
  <c r="L19" i="2"/>
  <c r="X55" i="2"/>
  <c r="T55" i="2"/>
  <c r="Q55" i="2"/>
  <c r="L55" i="2"/>
  <c r="X7" i="2"/>
  <c r="T7" i="2"/>
  <c r="Q7" i="2"/>
  <c r="L7" i="2"/>
  <c r="X28" i="2"/>
  <c r="T28" i="2"/>
  <c r="Q28" i="2"/>
  <c r="L28" i="2"/>
  <c r="X60" i="2"/>
  <c r="T60" i="2"/>
  <c r="Q60" i="2"/>
  <c r="L60" i="2"/>
  <c r="X3" i="2"/>
  <c r="T3" i="2"/>
  <c r="Q3" i="2"/>
  <c r="L3" i="2"/>
  <c r="X31" i="2"/>
  <c r="T31" i="2"/>
  <c r="Q31" i="2"/>
  <c r="L31" i="2"/>
  <c r="X33" i="2"/>
  <c r="T33" i="2"/>
  <c r="Q33" i="2"/>
  <c r="L33" i="2"/>
  <c r="X21" i="2"/>
  <c r="T21" i="2"/>
  <c r="Q21" i="2"/>
  <c r="L21" i="2"/>
  <c r="X17" i="2"/>
  <c r="T17" i="2"/>
  <c r="Q17" i="2"/>
  <c r="L17" i="2"/>
  <c r="X32" i="2"/>
  <c r="T32" i="2"/>
  <c r="Q32" i="2"/>
  <c r="L32" i="2"/>
  <c r="AH50" i="2"/>
  <c r="AG50" i="2"/>
  <c r="X50" i="2"/>
  <c r="T50" i="2"/>
  <c r="Q50" i="2"/>
  <c r="L50" i="2"/>
  <c r="X57" i="2"/>
  <c r="T57" i="2"/>
  <c r="Q57" i="2"/>
  <c r="L57" i="2"/>
  <c r="X34" i="2"/>
  <c r="T34" i="2"/>
  <c r="Q34" i="2"/>
  <c r="L34" i="2"/>
  <c r="X54" i="2"/>
  <c r="T54" i="2"/>
  <c r="Q54" i="2"/>
  <c r="L54" i="2"/>
  <c r="X30" i="2"/>
  <c r="T30" i="2"/>
  <c r="Q30" i="2"/>
  <c r="L30" i="2"/>
  <c r="X53" i="2"/>
  <c r="T53" i="2"/>
  <c r="Q53" i="2"/>
  <c r="L53" i="2"/>
  <c r="AH45" i="2"/>
  <c r="AG45" i="2"/>
  <c r="X45" i="2"/>
  <c r="T45" i="2"/>
  <c r="Q45" i="2"/>
  <c r="L45" i="2"/>
  <c r="X8" i="2"/>
  <c r="T8" i="2"/>
  <c r="Q8" i="2"/>
  <c r="L8" i="2"/>
  <c r="X6" i="2"/>
  <c r="T6" i="2"/>
  <c r="Q6" i="2"/>
  <c r="L6" i="2"/>
  <c r="X38" i="2"/>
  <c r="T38" i="2"/>
  <c r="Q38" i="2"/>
  <c r="L38" i="2"/>
  <c r="X15" i="2"/>
  <c r="T15" i="2"/>
  <c r="Q15" i="2"/>
  <c r="L15" i="2"/>
  <c r="AH46" i="2"/>
  <c r="AG46" i="2"/>
  <c r="X46" i="2"/>
  <c r="T46" i="2"/>
  <c r="Q46" i="2"/>
  <c r="L46" i="2"/>
  <c r="X56" i="2"/>
  <c r="T56" i="2"/>
  <c r="Q56" i="2"/>
  <c r="L56" i="2"/>
  <c r="X40" i="2"/>
  <c r="T40" i="2"/>
  <c r="Q40" i="2"/>
  <c r="L40" i="2"/>
  <c r="X4" i="2"/>
  <c r="T4" i="2"/>
  <c r="Q4" i="2"/>
  <c r="L4" i="2"/>
  <c r="X10" i="2"/>
  <c r="U10" i="2"/>
  <c r="T10" i="2"/>
  <c r="Q10" i="2"/>
  <c r="M10" i="2"/>
  <c r="L10" i="2"/>
  <c r="E10" i="2"/>
  <c r="X24" i="2"/>
  <c r="T24" i="2"/>
  <c r="Q24" i="2"/>
  <c r="L24" i="2"/>
  <c r="X59" i="2"/>
  <c r="T59" i="2"/>
  <c r="Q59" i="2"/>
  <c r="L59" i="2"/>
  <c r="X16" i="2"/>
  <c r="T16" i="2"/>
  <c r="Q16" i="2"/>
  <c r="L16" i="2"/>
  <c r="X41" i="2"/>
  <c r="T41" i="2"/>
  <c r="Q41" i="2"/>
  <c r="L41" i="2"/>
  <c r="X27" i="2"/>
  <c r="T27" i="2"/>
  <c r="Q27" i="2"/>
  <c r="L27" i="2"/>
  <c r="X42" i="2"/>
  <c r="T42" i="2"/>
  <c r="Q42" i="2"/>
  <c r="L42" i="2"/>
  <c r="X62" i="2"/>
  <c r="T62" i="2"/>
  <c r="Q62" i="2"/>
  <c r="L62" i="2"/>
  <c r="X25" i="2"/>
  <c r="T25" i="2"/>
  <c r="Q25" i="2"/>
  <c r="L25" i="2"/>
  <c r="X23" i="2"/>
  <c r="T23" i="2"/>
  <c r="Q23" i="2"/>
  <c r="L23" i="2"/>
  <c r="X13" i="2"/>
  <c r="T13" i="2"/>
  <c r="Q13" i="2"/>
  <c r="L13" i="2"/>
  <c r="X9" i="2"/>
  <c r="T9" i="2"/>
  <c r="Q9" i="2"/>
  <c r="L9" i="2"/>
  <c r="X58" i="2"/>
  <c r="T58" i="2"/>
  <c r="Q58" i="2"/>
  <c r="L58" i="2"/>
  <c r="X48" i="2"/>
  <c r="T48" i="2"/>
  <c r="Q48" i="2"/>
  <c r="L48" i="2"/>
  <c r="X22" i="2"/>
  <c r="T22" i="2"/>
  <c r="Q22" i="2"/>
  <c r="L22" i="2"/>
  <c r="X61" i="2"/>
  <c r="T61" i="2"/>
  <c r="Q61" i="2"/>
  <c r="L61" i="2"/>
  <c r="X11" i="2"/>
  <c r="T11" i="2"/>
  <c r="Q11" i="2"/>
  <c r="L11" i="2"/>
  <c r="X35" i="2"/>
  <c r="T35" i="2"/>
  <c r="Q35" i="2"/>
  <c r="L35" i="2"/>
  <c r="X5" i="2"/>
  <c r="T5" i="2"/>
  <c r="Q5" i="2"/>
  <c r="M5" i="2"/>
  <c r="L5" i="2"/>
  <c r="X20" i="2"/>
  <c r="T20" i="2"/>
  <c r="Q20" i="2"/>
  <c r="L20" i="2"/>
  <c r="X14" i="2"/>
  <c r="T14" i="2"/>
  <c r="Q14" i="2"/>
  <c r="L14" i="2"/>
  <c r="X26" i="2"/>
  <c r="T26" i="2"/>
  <c r="Q26" i="2"/>
  <c r="L26" i="2"/>
  <c r="X43" i="2"/>
  <c r="T43" i="2"/>
  <c r="Q43" i="2"/>
  <c r="L43" i="2"/>
  <c r="X1" i="2"/>
  <c r="T1" i="2"/>
  <c r="Q1" i="2"/>
  <c r="L1" i="2"/>
  <c r="X2" i="2"/>
  <c r="T2" i="2"/>
  <c r="Q2" i="2"/>
  <c r="L2" i="2"/>
  <c r="X29" i="2"/>
  <c r="T29" i="2"/>
  <c r="Q29" i="2"/>
  <c r="L29" i="2"/>
  <c r="X39" i="2"/>
  <c r="T39" i="2"/>
  <c r="Q39" i="2"/>
  <c r="L39" i="2"/>
  <c r="X51" i="2"/>
  <c r="T51" i="2"/>
  <c r="Q51" i="2"/>
  <c r="L51" i="2"/>
  <c r="X18" i="2"/>
  <c r="T18" i="2"/>
  <c r="Q18" i="2"/>
  <c r="L18" i="2"/>
  <c r="AH52" i="2"/>
  <c r="AG52" i="2"/>
  <c r="X52" i="2"/>
  <c r="T52" i="2"/>
  <c r="Q52" i="2"/>
  <c r="L52" i="2"/>
  <c r="X47" i="2"/>
  <c r="T47" i="2"/>
  <c r="Q47" i="2"/>
  <c r="L47" i="2"/>
  <c r="X49" i="2"/>
  <c r="T49" i="2"/>
  <c r="Q49" i="2"/>
  <c r="L49" i="2"/>
  <c r="X12" i="2"/>
  <c r="T12" i="2"/>
  <c r="Q12" i="2"/>
  <c r="L12" i="2"/>
  <c r="X37" i="2"/>
  <c r="T37" i="2"/>
  <c r="Q37" i="2"/>
  <c r="L37" i="2"/>
  <c r="AH72" i="1"/>
  <c r="AG72" i="1"/>
  <c r="AH98" i="1"/>
  <c r="AG98" i="1"/>
  <c r="AH12" i="1"/>
  <c r="AG12" i="1"/>
  <c r="X2" i="1"/>
  <c r="X11" i="1"/>
  <c r="X19" i="1"/>
  <c r="X23" i="1"/>
  <c r="X24" i="1"/>
  <c r="X28" i="1"/>
  <c r="X31" i="1"/>
  <c r="X32" i="1"/>
  <c r="X33" i="1"/>
  <c r="X37" i="1"/>
  <c r="X38" i="1"/>
  <c r="X36" i="1"/>
  <c r="X39" i="1"/>
  <c r="X42" i="1"/>
  <c r="X45" i="1"/>
  <c r="X47" i="1"/>
  <c r="X48" i="1"/>
  <c r="X49" i="1"/>
  <c r="X54" i="1"/>
  <c r="X55" i="1"/>
  <c r="X59" i="1"/>
  <c r="X61" i="1"/>
  <c r="X63" i="1"/>
  <c r="X65" i="1"/>
  <c r="X67" i="1"/>
  <c r="X68" i="1"/>
  <c r="X72" i="1"/>
  <c r="X74" i="1"/>
  <c r="X75" i="1"/>
  <c r="X76" i="1"/>
  <c r="X77" i="1"/>
  <c r="X79" i="1"/>
  <c r="X83" i="1"/>
  <c r="X82" i="1"/>
  <c r="X84" i="1"/>
  <c r="X87" i="1"/>
  <c r="X89" i="1"/>
  <c r="X90" i="1"/>
  <c r="X92" i="1"/>
  <c r="X94" i="1"/>
  <c r="X96" i="1"/>
  <c r="X97" i="1"/>
  <c r="X98" i="1"/>
  <c r="X100" i="1"/>
  <c r="X4" i="1"/>
  <c r="X6" i="1"/>
  <c r="X9" i="1"/>
  <c r="X10" i="1"/>
  <c r="X12" i="1"/>
  <c r="X13" i="1"/>
  <c r="X15" i="1"/>
  <c r="X16" i="1"/>
  <c r="X17" i="1"/>
  <c r="X22" i="1"/>
  <c r="X25" i="1"/>
  <c r="X26" i="1"/>
  <c r="X35" i="1"/>
  <c r="X41" i="1"/>
  <c r="X43" i="1"/>
  <c r="X44" i="1"/>
  <c r="X46" i="1"/>
  <c r="X50" i="1"/>
  <c r="X52" i="1"/>
  <c r="X53" i="1"/>
  <c r="X56" i="1"/>
  <c r="X57" i="1"/>
  <c r="X58" i="1"/>
  <c r="X60" i="1"/>
  <c r="X66" i="1"/>
  <c r="X69" i="1"/>
  <c r="X70" i="1"/>
  <c r="X71" i="1"/>
  <c r="X78" i="1"/>
  <c r="X80" i="1"/>
  <c r="X88" i="1"/>
  <c r="X91" i="1"/>
  <c r="X95" i="1"/>
  <c r="X3" i="1"/>
  <c r="X5" i="1"/>
  <c r="X7" i="1"/>
  <c r="X8" i="1"/>
  <c r="X14" i="1"/>
  <c r="X18" i="1"/>
  <c r="X20" i="1"/>
  <c r="X21" i="1"/>
  <c r="AH39" i="1" s="1"/>
  <c r="X27" i="1"/>
  <c r="X29" i="1"/>
  <c r="X30" i="1"/>
  <c r="X34" i="1"/>
  <c r="X40" i="1"/>
  <c r="X51" i="1"/>
  <c r="X62" i="1"/>
  <c r="X64" i="1"/>
  <c r="X73" i="1"/>
  <c r="X81" i="1"/>
  <c r="X85" i="1"/>
  <c r="X86" i="1"/>
  <c r="X93" i="1"/>
  <c r="X99" i="1"/>
  <c r="F38" i="5" l="1"/>
  <c r="F87" i="5"/>
  <c r="F63" i="5"/>
  <c r="F28" i="5"/>
  <c r="F39" i="5"/>
  <c r="F21" i="5"/>
  <c r="F32" i="5"/>
  <c r="F7" i="5"/>
  <c r="F9" i="5"/>
  <c r="F78" i="5"/>
  <c r="F71" i="5"/>
  <c r="F77" i="5"/>
  <c r="F29" i="5"/>
  <c r="F27" i="5"/>
  <c r="F91" i="5"/>
  <c r="F79" i="5"/>
  <c r="F84" i="5"/>
  <c r="F26" i="5"/>
  <c r="F99" i="5"/>
  <c r="F42" i="5"/>
  <c r="F22" i="5"/>
  <c r="F19" i="5"/>
  <c r="F59" i="5"/>
  <c r="F85" i="5"/>
  <c r="F36" i="5"/>
  <c r="F41" i="5"/>
  <c r="F24" i="5"/>
  <c r="F60" i="5"/>
  <c r="F98" i="5"/>
  <c r="F93" i="5"/>
  <c r="F43" i="5"/>
  <c r="F8" i="5"/>
  <c r="F18" i="5"/>
  <c r="F61" i="5"/>
  <c r="F50" i="5"/>
  <c r="F20" i="5"/>
  <c r="F94" i="5"/>
  <c r="F37" i="5"/>
  <c r="F58" i="5"/>
  <c r="F97" i="5"/>
  <c r="F2" i="5"/>
  <c r="F89" i="5"/>
  <c r="F81" i="5"/>
  <c r="F11" i="5"/>
  <c r="F31" i="5"/>
  <c r="F96" i="5"/>
  <c r="F73" i="5"/>
  <c r="F74" i="5"/>
  <c r="F40" i="5"/>
  <c r="E37" i="5"/>
  <c r="E15" i="5"/>
  <c r="E11" i="5"/>
  <c r="E13" i="5"/>
  <c r="E91" i="5"/>
  <c r="E31" i="5"/>
  <c r="E14" i="5"/>
  <c r="E3" i="5"/>
  <c r="E26" i="5"/>
  <c r="E80" i="5"/>
  <c r="E38" i="5"/>
  <c r="E92" i="5"/>
  <c r="E36" i="5"/>
  <c r="E71" i="5"/>
  <c r="E27" i="5"/>
  <c r="E74" i="5"/>
  <c r="E40" i="5"/>
  <c r="E98" i="5"/>
  <c r="E16" i="5"/>
  <c r="E89" i="5"/>
  <c r="E67" i="5"/>
  <c r="E72" i="5"/>
  <c r="E64" i="5"/>
  <c r="E65" i="5"/>
  <c r="E86" i="5"/>
  <c r="E4" i="5"/>
  <c r="E96" i="5"/>
  <c r="E30" i="5"/>
  <c r="E9" i="5"/>
  <c r="E85" i="5"/>
  <c r="E78" i="5"/>
  <c r="E43" i="5"/>
  <c r="E18" i="5"/>
  <c r="E21" i="5"/>
  <c r="E48" i="5"/>
  <c r="E51" i="5"/>
  <c r="E95" i="5"/>
  <c r="E58" i="5"/>
  <c r="E97" i="5"/>
  <c r="E23" i="5"/>
  <c r="E61" i="5"/>
  <c r="E94" i="5"/>
  <c r="E6" i="5"/>
  <c r="E49" i="5"/>
  <c r="E25" i="5"/>
  <c r="E35" i="5"/>
  <c r="E42" i="5"/>
  <c r="E82" i="5"/>
  <c r="E10" i="5"/>
  <c r="E28" i="5"/>
  <c r="E83" i="5"/>
  <c r="E68" i="5"/>
  <c r="E45" i="5"/>
  <c r="E44" i="5"/>
  <c r="E81" i="5"/>
  <c r="E34" i="5"/>
  <c r="E57" i="5"/>
  <c r="E12" i="5"/>
  <c r="E77" i="5"/>
  <c r="E90" i="5"/>
  <c r="E88" i="5"/>
  <c r="E63" i="5"/>
  <c r="E32" i="5"/>
  <c r="E56" i="5"/>
  <c r="E84" i="5"/>
  <c r="E46" i="5"/>
  <c r="E62" i="5"/>
  <c r="E52" i="5"/>
  <c r="E39" i="5"/>
  <c r="E53" i="5"/>
  <c r="E20" i="5"/>
  <c r="E69" i="5"/>
  <c r="E87" i="5"/>
  <c r="E76" i="5"/>
  <c r="E41" i="5"/>
  <c r="E8" i="5"/>
  <c r="E99" i="5"/>
  <c r="E19" i="5"/>
  <c r="E5" i="5"/>
  <c r="E17" i="5"/>
  <c r="E60" i="5"/>
  <c r="E100" i="5"/>
  <c r="E54" i="5"/>
  <c r="E55" i="5"/>
  <c r="E2" i="5"/>
  <c r="E29" i="5"/>
  <c r="E79" i="5"/>
  <c r="E50" i="5"/>
  <c r="E66" i="5"/>
  <c r="E73" i="5"/>
  <c r="E59" i="5"/>
  <c r="E24" i="5"/>
  <c r="Q101" i="5"/>
  <c r="E75" i="5"/>
  <c r="E93" i="5"/>
  <c r="E22" i="5"/>
  <c r="E33" i="5"/>
  <c r="E7" i="5"/>
  <c r="E70" i="5"/>
  <c r="E47" i="5"/>
  <c r="L109" i="1"/>
  <c r="V102" i="1"/>
  <c r="V104" i="1"/>
  <c r="V103" i="1"/>
  <c r="V106" i="1"/>
  <c r="AG39" i="1"/>
  <c r="P103" i="1"/>
  <c r="V105" i="1"/>
  <c r="T106" i="1"/>
  <c r="O103" i="1"/>
  <c r="P104" i="1"/>
  <c r="V107" i="1"/>
  <c r="P105" i="1"/>
  <c r="N104" i="1"/>
  <c r="T105" i="1"/>
  <c r="P102" i="1"/>
  <c r="O102" i="1"/>
  <c r="T102" i="1"/>
  <c r="O106" i="1"/>
  <c r="T104" i="1"/>
  <c r="T103" i="1"/>
  <c r="O107" i="1"/>
  <c r="T101" i="1"/>
  <c r="L107" i="1"/>
  <c r="N107" i="1"/>
  <c r="O108" i="1"/>
  <c r="O109" i="1"/>
  <c r="N102" i="1"/>
  <c r="O104" i="1"/>
  <c r="N103" i="1"/>
  <c r="K107" i="1"/>
  <c r="O105" i="1"/>
  <c r="K109" i="1"/>
  <c r="K108" i="1"/>
  <c r="N105" i="1"/>
  <c r="N106" i="1"/>
  <c r="K106" i="1"/>
  <c r="L108" i="1"/>
  <c r="L106" i="1"/>
  <c r="L44" i="1" l="1"/>
  <c r="Q44" i="1"/>
  <c r="T44" i="1"/>
  <c r="L66" i="1"/>
  <c r="M66" i="1" s="1"/>
  <c r="Q66" i="1"/>
  <c r="T66" i="1"/>
  <c r="U66" i="1" s="1"/>
  <c r="L67" i="1"/>
  <c r="M67" i="1" s="1"/>
  <c r="Q67" i="1"/>
  <c r="T67" i="1"/>
  <c r="U67" i="1" s="1"/>
  <c r="U44" i="1" l="1"/>
  <c r="U9" i="2"/>
  <c r="M44" i="1"/>
  <c r="E9" i="2" s="1"/>
  <c r="M9" i="2"/>
  <c r="E67" i="1"/>
  <c r="E66" i="1"/>
  <c r="Q91" i="1"/>
  <c r="Q73" i="1"/>
  <c r="Q52" i="1"/>
  <c r="Q40" i="1"/>
  <c r="Q57" i="1"/>
  <c r="Q7" i="1"/>
  <c r="Q49" i="1"/>
  <c r="Q74" i="1"/>
  <c r="Q89" i="1"/>
  <c r="Q35" i="1"/>
  <c r="Q3" i="1"/>
  <c r="Q87" i="1"/>
  <c r="Q62" i="1"/>
  <c r="Q34" i="1"/>
  <c r="Q4" i="1"/>
  <c r="Q94" i="1"/>
  <c r="Q50" i="1"/>
  <c r="Q31" i="1"/>
  <c r="Q58" i="1"/>
  <c r="Q13" i="1"/>
  <c r="Q10" i="1"/>
  <c r="Q88" i="1"/>
  <c r="Q22" i="1"/>
  <c r="Q19" i="1"/>
  <c r="Q86" i="1"/>
  <c r="Q93" i="1"/>
  <c r="Q23" i="1"/>
  <c r="Q81" i="1"/>
  <c r="Q46" i="1"/>
  <c r="Q28" i="1"/>
  <c r="Q84" i="1"/>
  <c r="Q65" i="1"/>
  <c r="Q80" i="1"/>
  <c r="Q27" i="1"/>
  <c r="Q100" i="1"/>
  <c r="Q72" i="1"/>
  <c r="Q14" i="1"/>
  <c r="Q61" i="1"/>
  <c r="Q41" i="1"/>
  <c r="Q56" i="1"/>
  <c r="Q68" i="1"/>
  <c r="Q70" i="1"/>
  <c r="Q15" i="1"/>
  <c r="Q2" i="1"/>
  <c r="Q98" i="1"/>
  <c r="Q71" i="1"/>
  <c r="Q64" i="1"/>
  <c r="Q39" i="1"/>
  <c r="Q69" i="1"/>
  <c r="Q36" i="1"/>
  <c r="Q6" i="1"/>
  <c r="Q12" i="1"/>
  <c r="Q76" i="1"/>
  <c r="Q60" i="1"/>
  <c r="Q30" i="1"/>
  <c r="Q78" i="1"/>
  <c r="Q82" i="1"/>
  <c r="Q9" i="1"/>
  <c r="Q25" i="1"/>
  <c r="Q45" i="1"/>
  <c r="Q92" i="1"/>
  <c r="Q59" i="1"/>
  <c r="Q37" i="1"/>
  <c r="Q54" i="1"/>
  <c r="Q18" i="1"/>
  <c r="Q8" i="1"/>
  <c r="Q96" i="1"/>
  <c r="Q90" i="1"/>
  <c r="Q47" i="1"/>
  <c r="Q24" i="1"/>
  <c r="Q48" i="1"/>
  <c r="Q79" i="1"/>
  <c r="Q33" i="1"/>
  <c r="Q38" i="1"/>
  <c r="Q95" i="1"/>
  <c r="Q29" i="1"/>
  <c r="Q17" i="1"/>
  <c r="Q97" i="1"/>
  <c r="Q32" i="1"/>
  <c r="Q42" i="1"/>
  <c r="Q20" i="1"/>
  <c r="Q51" i="1"/>
  <c r="Q43" i="1"/>
  <c r="Q16" i="1"/>
  <c r="Q85" i="1"/>
  <c r="Q21" i="1"/>
  <c r="Q26" i="1"/>
  <c r="Q55" i="1"/>
  <c r="Q63" i="1"/>
  <c r="Q5" i="1"/>
  <c r="Q75" i="1"/>
  <c r="Q77" i="1"/>
  <c r="Q99" i="1"/>
  <c r="Q53" i="1"/>
  <c r="Q83" i="1"/>
  <c r="Q11" i="1"/>
  <c r="M20" i="1"/>
  <c r="E44" i="1" l="1"/>
  <c r="T86" i="1"/>
  <c r="U86" i="1" s="1"/>
  <c r="L86" i="1"/>
  <c r="M86" i="1" s="1"/>
  <c r="T19" i="1"/>
  <c r="L19" i="1"/>
  <c r="T22" i="1"/>
  <c r="L22" i="1"/>
  <c r="T88" i="1"/>
  <c r="U88" i="1" s="1"/>
  <c r="L88" i="1"/>
  <c r="M88" i="1" s="1"/>
  <c r="T10" i="1"/>
  <c r="L10" i="1"/>
  <c r="T13" i="1"/>
  <c r="L13" i="1"/>
  <c r="T58" i="1"/>
  <c r="L58" i="1"/>
  <c r="T31" i="1"/>
  <c r="L31" i="1"/>
  <c r="T50" i="1"/>
  <c r="L50" i="1"/>
  <c r="T94" i="1"/>
  <c r="U94" i="1" s="1"/>
  <c r="L94" i="1"/>
  <c r="M94" i="1" s="1"/>
  <c r="T4" i="1"/>
  <c r="L4" i="1"/>
  <c r="T34" i="1"/>
  <c r="L34" i="1"/>
  <c r="T62" i="1"/>
  <c r="L62" i="1"/>
  <c r="M49" i="2" s="1"/>
  <c r="T87" i="1"/>
  <c r="U87" i="1" s="1"/>
  <c r="L87" i="1"/>
  <c r="M87" i="1" s="1"/>
  <c r="T3" i="1"/>
  <c r="L3" i="1"/>
  <c r="T35" i="1"/>
  <c r="L35" i="1"/>
  <c r="T89" i="1"/>
  <c r="U89" i="1" s="1"/>
  <c r="L89" i="1"/>
  <c r="M89" i="1" s="1"/>
  <c r="T74" i="1"/>
  <c r="U74" i="1" s="1"/>
  <c r="L74" i="1"/>
  <c r="M74" i="1" s="1"/>
  <c r="T49" i="1"/>
  <c r="L49" i="1"/>
  <c r="T7" i="1"/>
  <c r="L7" i="1"/>
  <c r="T57" i="1"/>
  <c r="L57" i="1"/>
  <c r="T40" i="1"/>
  <c r="L40" i="1"/>
  <c r="T52" i="1"/>
  <c r="L52" i="1"/>
  <c r="T73" i="1"/>
  <c r="U73" i="1" s="1"/>
  <c r="L73" i="1"/>
  <c r="M73" i="1" s="1"/>
  <c r="T91" i="1"/>
  <c r="U91" i="1" s="1"/>
  <c r="L91" i="1"/>
  <c r="M91" i="1" s="1"/>
  <c r="T82" i="1"/>
  <c r="U82" i="1" s="1"/>
  <c r="L82" i="1"/>
  <c r="M82" i="1" s="1"/>
  <c r="T78" i="1"/>
  <c r="U78" i="1" s="1"/>
  <c r="L78" i="1"/>
  <c r="M78" i="1" s="1"/>
  <c r="T30" i="1"/>
  <c r="L30" i="1"/>
  <c r="T60" i="1"/>
  <c r="L60" i="1"/>
  <c r="T76" i="1"/>
  <c r="U76" i="1" s="1"/>
  <c r="L76" i="1"/>
  <c r="M76" i="1" s="1"/>
  <c r="T12" i="1"/>
  <c r="L12" i="1"/>
  <c r="T6" i="1"/>
  <c r="L6" i="1"/>
  <c r="T36" i="1"/>
  <c r="L36" i="1"/>
  <c r="T69" i="1"/>
  <c r="U69" i="1" s="1"/>
  <c r="L69" i="1"/>
  <c r="M69" i="1" s="1"/>
  <c r="T39" i="1"/>
  <c r="L39" i="1"/>
  <c r="T64" i="1"/>
  <c r="U64" i="1" s="1"/>
  <c r="L64" i="1"/>
  <c r="M64" i="1" s="1"/>
  <c r="T71" i="1"/>
  <c r="U71" i="1" s="1"/>
  <c r="L71" i="1"/>
  <c r="M71" i="1" s="1"/>
  <c r="T98" i="1"/>
  <c r="U98" i="1" s="1"/>
  <c r="L98" i="1"/>
  <c r="M98" i="1" s="1"/>
  <c r="T2" i="1"/>
  <c r="L2" i="1"/>
  <c r="T15" i="1"/>
  <c r="L15" i="1"/>
  <c r="T70" i="1"/>
  <c r="U70" i="1" s="1"/>
  <c r="L70" i="1"/>
  <c r="M70" i="1" s="1"/>
  <c r="T68" i="1"/>
  <c r="U68" i="1" s="1"/>
  <c r="L68" i="1"/>
  <c r="M68" i="1" s="1"/>
  <c r="T56" i="1"/>
  <c r="L56" i="1"/>
  <c r="T41" i="1"/>
  <c r="L41" i="1"/>
  <c r="T61" i="1"/>
  <c r="L61" i="1"/>
  <c r="M14" i="2" s="1"/>
  <c r="T14" i="1"/>
  <c r="L14" i="1"/>
  <c r="T72" i="1"/>
  <c r="U72" i="1" s="1"/>
  <c r="L72" i="1"/>
  <c r="M72" i="1" s="1"/>
  <c r="T100" i="1"/>
  <c r="U100" i="1" s="1"/>
  <c r="L100" i="1"/>
  <c r="M100" i="1" s="1"/>
  <c r="T27" i="1"/>
  <c r="L27" i="1"/>
  <c r="T80" i="1"/>
  <c r="U80" i="1" s="1"/>
  <c r="L80" i="1"/>
  <c r="M80" i="1" s="1"/>
  <c r="T65" i="1"/>
  <c r="U65" i="1" s="1"/>
  <c r="L65" i="1"/>
  <c r="M65" i="1" s="1"/>
  <c r="T84" i="1"/>
  <c r="U84" i="1" s="1"/>
  <c r="L84" i="1"/>
  <c r="M84" i="1" s="1"/>
  <c r="T28" i="1"/>
  <c r="L28" i="1"/>
  <c r="M57" i="2" s="1"/>
  <c r="T46" i="1"/>
  <c r="L46" i="1"/>
  <c r="T81" i="1"/>
  <c r="U81" i="1" s="1"/>
  <c r="L81" i="1"/>
  <c r="M81" i="1" s="1"/>
  <c r="T23" i="1"/>
  <c r="L23" i="1"/>
  <c r="T93" i="1"/>
  <c r="U93" i="1" s="1"/>
  <c r="L93" i="1"/>
  <c r="M93" i="1" s="1"/>
  <c r="T16" i="1"/>
  <c r="L16" i="1"/>
  <c r="T43" i="1"/>
  <c r="L43" i="1"/>
  <c r="M7" i="2" s="1"/>
  <c r="T51" i="1"/>
  <c r="L51" i="1"/>
  <c r="T20" i="1"/>
  <c r="T42" i="1"/>
  <c r="L42" i="1"/>
  <c r="T32" i="1"/>
  <c r="L32" i="1"/>
  <c r="T97" i="1"/>
  <c r="U97" i="1" s="1"/>
  <c r="L97" i="1"/>
  <c r="M97" i="1" s="1"/>
  <c r="T17" i="1"/>
  <c r="L17" i="1"/>
  <c r="T29" i="1"/>
  <c r="L29" i="1"/>
  <c r="T95" i="1"/>
  <c r="U95" i="1" s="1"/>
  <c r="L95" i="1"/>
  <c r="M95" i="1" s="1"/>
  <c r="T38" i="1"/>
  <c r="L38" i="1"/>
  <c r="T33" i="1"/>
  <c r="L33" i="1"/>
  <c r="T79" i="1"/>
  <c r="U79" i="1" s="1"/>
  <c r="L79" i="1"/>
  <c r="M79" i="1" s="1"/>
  <c r="T48" i="1"/>
  <c r="L48" i="1"/>
  <c r="T24" i="1"/>
  <c r="L24" i="1"/>
  <c r="T47" i="1"/>
  <c r="L47" i="1"/>
  <c r="T90" i="1"/>
  <c r="U90" i="1" s="1"/>
  <c r="L90" i="1"/>
  <c r="M90" i="1" s="1"/>
  <c r="T96" i="1"/>
  <c r="U96" i="1" s="1"/>
  <c r="L96" i="1"/>
  <c r="M96" i="1" s="1"/>
  <c r="T8" i="1"/>
  <c r="L8" i="1"/>
  <c r="T18" i="1"/>
  <c r="L18" i="1"/>
  <c r="T54" i="1"/>
  <c r="L54" i="1"/>
  <c r="T37" i="1"/>
  <c r="L37" i="1"/>
  <c r="T59" i="1"/>
  <c r="L59" i="1"/>
  <c r="T92" i="1"/>
  <c r="U92" i="1" s="1"/>
  <c r="L92" i="1"/>
  <c r="M92" i="1" s="1"/>
  <c r="T45" i="1"/>
  <c r="L45" i="1"/>
  <c r="T25" i="1"/>
  <c r="L25" i="1"/>
  <c r="T9" i="1"/>
  <c r="L9" i="1"/>
  <c r="T83" i="1"/>
  <c r="U83" i="1" s="1"/>
  <c r="L83" i="1"/>
  <c r="M83" i="1" s="1"/>
  <c r="T53" i="1"/>
  <c r="L53" i="1"/>
  <c r="T99" i="1"/>
  <c r="U99" i="1" s="1"/>
  <c r="L99" i="1"/>
  <c r="M99" i="1" s="1"/>
  <c r="T77" i="1"/>
  <c r="U77" i="1" s="1"/>
  <c r="L77" i="1"/>
  <c r="M77" i="1" s="1"/>
  <c r="T75" i="1"/>
  <c r="U75" i="1" s="1"/>
  <c r="L75" i="1"/>
  <c r="M75" i="1" s="1"/>
  <c r="T5" i="1"/>
  <c r="L5" i="1"/>
  <c r="T63" i="1"/>
  <c r="U63" i="1" s="1"/>
  <c r="L63" i="1"/>
  <c r="M63" i="1" s="1"/>
  <c r="T55" i="1"/>
  <c r="L55" i="1"/>
  <c r="T26" i="1"/>
  <c r="L26" i="1"/>
  <c r="T21" i="1"/>
  <c r="L21" i="1"/>
  <c r="T85" i="1"/>
  <c r="U85" i="1" s="1"/>
  <c r="L85" i="1"/>
  <c r="M85" i="1" s="1"/>
  <c r="T11" i="1"/>
  <c r="L11" i="1"/>
  <c r="M26" i="1" l="1"/>
  <c r="M8" i="2"/>
  <c r="M25" i="1"/>
  <c r="M1" i="2"/>
  <c r="M47" i="1"/>
  <c r="M58" i="2"/>
  <c r="M48" i="1"/>
  <c r="M33" i="2"/>
  <c r="M33" i="1"/>
  <c r="M15" i="2"/>
  <c r="M17" i="1"/>
  <c r="E17" i="1" s="1"/>
  <c r="M41" i="2"/>
  <c r="M10" i="3"/>
  <c r="U20" i="1"/>
  <c r="U11" i="3"/>
  <c r="U5" i="2"/>
  <c r="U27" i="1"/>
  <c r="U48" i="2"/>
  <c r="U2" i="1"/>
  <c r="U50" i="2"/>
  <c r="U14" i="3"/>
  <c r="U9" i="4"/>
  <c r="U39" i="1"/>
  <c r="U38" i="2"/>
  <c r="U4" i="1"/>
  <c r="U14" i="4"/>
  <c r="U21" i="3"/>
  <c r="U36" i="2"/>
  <c r="U37" i="1"/>
  <c r="U35" i="2"/>
  <c r="U18" i="1"/>
  <c r="U4" i="3"/>
  <c r="U32" i="2"/>
  <c r="U32" i="1"/>
  <c r="U22" i="2"/>
  <c r="M14" i="1"/>
  <c r="E14" i="1" s="1"/>
  <c r="M10" i="4"/>
  <c r="M8" i="3"/>
  <c r="M62" i="2"/>
  <c r="M41" i="1"/>
  <c r="E53" i="2" s="1"/>
  <c r="M53" i="2"/>
  <c r="M6" i="1"/>
  <c r="M19" i="2"/>
  <c r="M8" i="4"/>
  <c r="M22" i="3"/>
  <c r="M30" i="1"/>
  <c r="M28" i="2"/>
  <c r="M40" i="1"/>
  <c r="E59" i="2" s="1"/>
  <c r="M59" i="2"/>
  <c r="M7" i="1"/>
  <c r="M15" i="3"/>
  <c r="M6" i="2"/>
  <c r="M11" i="4"/>
  <c r="M31" i="1"/>
  <c r="M20" i="2"/>
  <c r="M13" i="1"/>
  <c r="M1" i="4"/>
  <c r="M20" i="3"/>
  <c r="M25" i="2"/>
  <c r="M19" i="1"/>
  <c r="E19" i="1" s="1"/>
  <c r="M18" i="3"/>
  <c r="M3" i="2"/>
  <c r="M11" i="1"/>
  <c r="M7" i="4"/>
  <c r="M17" i="3"/>
  <c r="M24" i="2"/>
  <c r="M21" i="1"/>
  <c r="M7" i="3"/>
  <c r="M21" i="2"/>
  <c r="M55" i="1"/>
  <c r="M37" i="2"/>
  <c r="M5" i="1"/>
  <c r="M13" i="4"/>
  <c r="M6" i="3"/>
  <c r="M17" i="2"/>
  <c r="M53" i="1"/>
  <c r="E51" i="2" s="1"/>
  <c r="M51" i="2"/>
  <c r="M9" i="1"/>
  <c r="M2" i="4"/>
  <c r="M56" i="2"/>
  <c r="M19" i="3"/>
  <c r="M45" i="1"/>
  <c r="M12" i="2"/>
  <c r="M59" i="1"/>
  <c r="E23" i="2" s="1"/>
  <c r="M23" i="2"/>
  <c r="M54" i="1"/>
  <c r="M42" i="2"/>
  <c r="M8" i="1"/>
  <c r="M6" i="4"/>
  <c r="M4" i="2"/>
  <c r="M9" i="3"/>
  <c r="M24" i="1"/>
  <c r="E2" i="2" s="1"/>
  <c r="M2" i="2"/>
  <c r="M38" i="1"/>
  <c r="M31" i="2"/>
  <c r="M29" i="1"/>
  <c r="E40" i="2" s="1"/>
  <c r="M40" i="2"/>
  <c r="M42" i="1"/>
  <c r="M26" i="2"/>
  <c r="U51" i="1"/>
  <c r="E51" i="1" s="1"/>
  <c r="U54" i="2"/>
  <c r="U16" i="1"/>
  <c r="U60" i="2"/>
  <c r="U16" i="3"/>
  <c r="U23" i="1"/>
  <c r="U61" i="2"/>
  <c r="U46" i="1"/>
  <c r="U45" i="2"/>
  <c r="U14" i="1"/>
  <c r="U10" i="4"/>
  <c r="U8" i="3"/>
  <c r="U62" i="2"/>
  <c r="U41" i="1"/>
  <c r="U53" i="2"/>
  <c r="U15" i="1"/>
  <c r="U3" i="4"/>
  <c r="U12" i="3"/>
  <c r="U39" i="2"/>
  <c r="U6" i="1"/>
  <c r="E6" i="1" s="1"/>
  <c r="U22" i="3"/>
  <c r="U19" i="2"/>
  <c r="U8" i="4"/>
  <c r="U30" i="1"/>
  <c r="U28" i="2"/>
  <c r="U40" i="1"/>
  <c r="U59" i="2"/>
  <c r="U7" i="1"/>
  <c r="U11" i="4"/>
  <c r="U15" i="3"/>
  <c r="U6" i="2"/>
  <c r="U35" i="1"/>
  <c r="U18" i="2"/>
  <c r="U34" i="1"/>
  <c r="U29" i="2"/>
  <c r="U31" i="1"/>
  <c r="E31" i="1" s="1"/>
  <c r="U20" i="2"/>
  <c r="U13" i="1"/>
  <c r="U1" i="4"/>
  <c r="U20" i="3"/>
  <c r="U25" i="2"/>
  <c r="U19" i="1"/>
  <c r="U3" i="2"/>
  <c r="U18" i="3"/>
  <c r="M37" i="1"/>
  <c r="E35" i="2" s="1"/>
  <c r="M35" i="2"/>
  <c r="M18" i="1"/>
  <c r="M32" i="2"/>
  <c r="M4" i="3"/>
  <c r="M32" i="1"/>
  <c r="E22" i="2" s="1"/>
  <c r="M22" i="2"/>
  <c r="U43" i="1"/>
  <c r="U7" i="2"/>
  <c r="U28" i="1"/>
  <c r="U57" i="2"/>
  <c r="U61" i="1"/>
  <c r="U14" i="2"/>
  <c r="U56" i="1"/>
  <c r="U44" i="2"/>
  <c r="U36" i="1"/>
  <c r="U47" i="2"/>
  <c r="U12" i="1"/>
  <c r="U13" i="3"/>
  <c r="U15" i="4"/>
  <c r="U16" i="2"/>
  <c r="U60" i="1"/>
  <c r="U11" i="2"/>
  <c r="U52" i="1"/>
  <c r="E52" i="1" s="1"/>
  <c r="U30" i="2"/>
  <c r="U57" i="1"/>
  <c r="U43" i="2"/>
  <c r="U49" i="1"/>
  <c r="U13" i="2"/>
  <c r="U3" i="1"/>
  <c r="U4" i="4"/>
  <c r="U2" i="3"/>
  <c r="U34" i="2"/>
  <c r="U62" i="1"/>
  <c r="U49" i="2"/>
  <c r="U50" i="1"/>
  <c r="U55" i="2"/>
  <c r="U58" i="1"/>
  <c r="U52" i="2"/>
  <c r="U10" i="1"/>
  <c r="U12" i="4"/>
  <c r="U27" i="2"/>
  <c r="U1" i="3"/>
  <c r="U22" i="1"/>
  <c r="U5" i="3"/>
  <c r="U46" i="2"/>
  <c r="U26" i="1"/>
  <c r="U8" i="2"/>
  <c r="U25" i="1"/>
  <c r="U1" i="2"/>
  <c r="U47" i="1"/>
  <c r="U58" i="2"/>
  <c r="U48" i="1"/>
  <c r="U33" i="2"/>
  <c r="U33" i="1"/>
  <c r="U15" i="2"/>
  <c r="U17" i="1"/>
  <c r="U10" i="3"/>
  <c r="U41" i="2"/>
  <c r="M51" i="1"/>
  <c r="M54" i="2"/>
  <c r="M16" i="1"/>
  <c r="M60" i="2"/>
  <c r="M16" i="3"/>
  <c r="M23" i="1"/>
  <c r="E61" i="2" s="1"/>
  <c r="M61" i="2"/>
  <c r="M46" i="1"/>
  <c r="M45" i="2"/>
  <c r="M15" i="1"/>
  <c r="M12" i="3"/>
  <c r="M3" i="4"/>
  <c r="M39" i="2"/>
  <c r="M35" i="1"/>
  <c r="E18" i="2" s="1"/>
  <c r="M18" i="2"/>
  <c r="M34" i="1"/>
  <c r="E29" i="2" s="1"/>
  <c r="M29" i="2"/>
  <c r="U11" i="1"/>
  <c r="U24" i="2"/>
  <c r="U17" i="3"/>
  <c r="U7" i="4"/>
  <c r="U21" i="1"/>
  <c r="U7" i="3"/>
  <c r="U21" i="2"/>
  <c r="U55" i="1"/>
  <c r="U37" i="2"/>
  <c r="U5" i="1"/>
  <c r="U17" i="2"/>
  <c r="U13" i="4"/>
  <c r="U6" i="3"/>
  <c r="U53" i="1"/>
  <c r="U51" i="2"/>
  <c r="U9" i="1"/>
  <c r="E9" i="1" s="1"/>
  <c r="U19" i="3"/>
  <c r="U56" i="2"/>
  <c r="U2" i="4"/>
  <c r="U45" i="1"/>
  <c r="E45" i="1" s="1"/>
  <c r="U12" i="2"/>
  <c r="U59" i="1"/>
  <c r="U23" i="2"/>
  <c r="U54" i="1"/>
  <c r="U42" i="2"/>
  <c r="U8" i="1"/>
  <c r="U6" i="4"/>
  <c r="U9" i="3"/>
  <c r="U4" i="2"/>
  <c r="U24" i="1"/>
  <c r="U2" i="2"/>
  <c r="U38" i="1"/>
  <c r="U31" i="2"/>
  <c r="U29" i="1"/>
  <c r="U40" i="2"/>
  <c r="U42" i="1"/>
  <c r="U26" i="2"/>
  <c r="M27" i="1"/>
  <c r="E48" i="2" s="1"/>
  <c r="M48" i="2"/>
  <c r="M56" i="1"/>
  <c r="E44" i="2" s="1"/>
  <c r="M44" i="2"/>
  <c r="M14" i="3"/>
  <c r="M9" i="4"/>
  <c r="M50" i="2"/>
  <c r="M39" i="1"/>
  <c r="E38" i="2" s="1"/>
  <c r="M38" i="2"/>
  <c r="M36" i="1"/>
  <c r="M47" i="2"/>
  <c r="M12" i="1"/>
  <c r="M16" i="2"/>
  <c r="M15" i="4"/>
  <c r="M13" i="3"/>
  <c r="M60" i="1"/>
  <c r="E11" i="2" s="1"/>
  <c r="M11" i="2"/>
  <c r="M52" i="1"/>
  <c r="M30" i="2"/>
  <c r="M57" i="1"/>
  <c r="E43" i="2" s="1"/>
  <c r="M43" i="2"/>
  <c r="M49" i="1"/>
  <c r="M13" i="2"/>
  <c r="M3" i="1"/>
  <c r="M4" i="4"/>
  <c r="M2" i="3"/>
  <c r="M34" i="2"/>
  <c r="M4" i="1"/>
  <c r="E4" i="1" s="1"/>
  <c r="M14" i="4"/>
  <c r="M21" i="3"/>
  <c r="M36" i="2"/>
  <c r="M50" i="1"/>
  <c r="E55" i="2" s="1"/>
  <c r="M55" i="2"/>
  <c r="M58" i="1"/>
  <c r="E52" i="2" s="1"/>
  <c r="M52" i="2"/>
  <c r="M10" i="1"/>
  <c r="M1" i="3"/>
  <c r="M12" i="4"/>
  <c r="M27" i="2"/>
  <c r="M22" i="1"/>
  <c r="M5" i="3"/>
  <c r="M46" i="2"/>
  <c r="M43" i="1"/>
  <c r="E7" i="2" s="1"/>
  <c r="M104" i="1"/>
  <c r="K104" i="1"/>
  <c r="L104" i="1"/>
  <c r="M28" i="1"/>
  <c r="E57" i="2" s="1"/>
  <c r="K103" i="1"/>
  <c r="M61" i="1"/>
  <c r="L103" i="1"/>
  <c r="M103" i="1"/>
  <c r="M2" i="1"/>
  <c r="K102" i="1"/>
  <c r="M102" i="1"/>
  <c r="L102" i="1"/>
  <c r="M62" i="1"/>
  <c r="K105" i="1"/>
  <c r="L105" i="1"/>
  <c r="E16" i="1"/>
  <c r="E58" i="1"/>
  <c r="E46" i="1"/>
  <c r="E84" i="1"/>
  <c r="E80" i="1"/>
  <c r="E100" i="1"/>
  <c r="E41" i="1"/>
  <c r="E68" i="1"/>
  <c r="E98" i="1"/>
  <c r="E64" i="1"/>
  <c r="E69" i="1"/>
  <c r="E76" i="1"/>
  <c r="E30" i="1"/>
  <c r="E82" i="1"/>
  <c r="E73" i="1"/>
  <c r="E7" i="1"/>
  <c r="E74" i="1"/>
  <c r="E87" i="1"/>
  <c r="E34" i="1"/>
  <c r="E94" i="1"/>
  <c r="E54" i="1"/>
  <c r="E10" i="1"/>
  <c r="E93" i="1"/>
  <c r="E81" i="1"/>
  <c r="E28" i="1"/>
  <c r="E65" i="1"/>
  <c r="E27" i="1"/>
  <c r="E72" i="1"/>
  <c r="E56" i="1"/>
  <c r="E70" i="1"/>
  <c r="E71" i="1"/>
  <c r="E36" i="1"/>
  <c r="E78" i="1"/>
  <c r="E91" i="1"/>
  <c r="E49" i="1"/>
  <c r="E89" i="1"/>
  <c r="E13" i="1"/>
  <c r="E55" i="1"/>
  <c r="E42" i="1"/>
  <c r="E88" i="1"/>
  <c r="E92" i="1"/>
  <c r="E18" i="1"/>
  <c r="E96" i="1"/>
  <c r="E47" i="1"/>
  <c r="E86" i="1"/>
  <c r="E85" i="1"/>
  <c r="E26" i="1"/>
  <c r="E63" i="1"/>
  <c r="E75" i="1"/>
  <c r="E99" i="1"/>
  <c r="E83" i="1"/>
  <c r="E48" i="1"/>
  <c r="E33" i="1"/>
  <c r="E95" i="1"/>
  <c r="E32" i="1"/>
  <c r="E11" i="1"/>
  <c r="E77" i="1"/>
  <c r="E53" i="1"/>
  <c r="E8" i="1"/>
  <c r="E90" i="1"/>
  <c r="E79" i="1"/>
  <c r="E38" i="1"/>
  <c r="E97" i="1"/>
  <c r="E62" i="1" l="1"/>
  <c r="E49" i="2"/>
  <c r="E4" i="4"/>
  <c r="E34" i="2"/>
  <c r="E2" i="3"/>
  <c r="E15" i="4"/>
  <c r="E13" i="3"/>
  <c r="E16" i="2"/>
  <c r="E39" i="2"/>
  <c r="E3" i="4"/>
  <c r="E12" i="3"/>
  <c r="E6" i="3"/>
  <c r="E13" i="4"/>
  <c r="E17" i="2"/>
  <c r="E1" i="4"/>
  <c r="E20" i="3"/>
  <c r="E25" i="2"/>
  <c r="E50" i="1"/>
  <c r="E40" i="1"/>
  <c r="E7" i="4"/>
  <c r="E24" i="2"/>
  <c r="E17" i="3"/>
  <c r="E33" i="2"/>
  <c r="E5" i="1"/>
  <c r="E57" i="1"/>
  <c r="E60" i="1"/>
  <c r="E35" i="1"/>
  <c r="E15" i="1"/>
  <c r="E23" i="1"/>
  <c r="E13" i="2"/>
  <c r="E30" i="2"/>
  <c r="E47" i="2"/>
  <c r="E45" i="2"/>
  <c r="E32" i="2"/>
  <c r="E4" i="3"/>
  <c r="E26" i="2"/>
  <c r="E31" i="2"/>
  <c r="E42" i="2"/>
  <c r="E12" i="2"/>
  <c r="E19" i="3"/>
  <c r="E56" i="2"/>
  <c r="E2" i="4"/>
  <c r="E37" i="2"/>
  <c r="E20" i="2"/>
  <c r="E11" i="4"/>
  <c r="E15" i="3"/>
  <c r="E6" i="2"/>
  <c r="E28" i="2"/>
  <c r="E22" i="3"/>
  <c r="E8" i="4"/>
  <c r="E19" i="2"/>
  <c r="E20" i="1"/>
  <c r="E5" i="2"/>
  <c r="E11" i="3"/>
  <c r="E2" i="1"/>
  <c r="E9" i="4"/>
  <c r="E14" i="3"/>
  <c r="E50" i="2"/>
  <c r="E5" i="3"/>
  <c r="E46" i="2"/>
  <c r="E1" i="3"/>
  <c r="E12" i="4"/>
  <c r="E27" i="2"/>
  <c r="E36" i="2"/>
  <c r="E14" i="4"/>
  <c r="E21" i="3"/>
  <c r="E6" i="4"/>
  <c r="E9" i="3"/>
  <c r="E4" i="2"/>
  <c r="E3" i="2"/>
  <c r="E18" i="3"/>
  <c r="E10" i="4"/>
  <c r="E8" i="3"/>
  <c r="E62" i="2"/>
  <c r="E59" i="1"/>
  <c r="E37" i="1"/>
  <c r="E22" i="1"/>
  <c r="E39" i="1"/>
  <c r="E54" i="2"/>
  <c r="E7" i="3"/>
  <c r="E21" i="2"/>
  <c r="E10" i="3"/>
  <c r="E41" i="2"/>
  <c r="E1" i="2"/>
  <c r="E24" i="1"/>
  <c r="E29" i="1"/>
  <c r="E21" i="1"/>
  <c r="E25" i="1"/>
  <c r="E3" i="1"/>
  <c r="E12" i="1"/>
  <c r="E43" i="1"/>
  <c r="E61" i="1"/>
  <c r="E14" i="2"/>
  <c r="E16" i="3"/>
  <c r="E60" i="2"/>
  <c r="E15" i="2"/>
  <c r="E58" i="2"/>
  <c r="E8" i="2"/>
</calcChain>
</file>

<file path=xl/sharedStrings.xml><?xml version="1.0" encoding="utf-8"?>
<sst xmlns="http://schemas.openxmlformats.org/spreadsheetml/2006/main" count="756" uniqueCount="173">
  <si>
    <t>Age</t>
  </si>
  <si>
    <t>SIMS</t>
  </si>
  <si>
    <t>Hypersignal T2</t>
  </si>
  <si>
    <t>Citerne LCR</t>
  </si>
  <si>
    <t>Angle_p</t>
  </si>
  <si>
    <t>Points_angle_p</t>
  </si>
  <si>
    <t>Tronc</t>
  </si>
  <si>
    <t>Urinaire</t>
  </si>
  <si>
    <t>NOM001</t>
  </si>
  <si>
    <t>C4C5</t>
  </si>
  <si>
    <t>NOM002</t>
  </si>
  <si>
    <t>NOM003</t>
  </si>
  <si>
    <t>C6C7</t>
  </si>
  <si>
    <t>NOM004</t>
  </si>
  <si>
    <t>C3C4</t>
  </si>
  <si>
    <t>NOM005</t>
  </si>
  <si>
    <t>NOM006</t>
  </si>
  <si>
    <t>C5C6</t>
  </si>
  <si>
    <t>NOM007</t>
  </si>
  <si>
    <t>NOM008</t>
  </si>
  <si>
    <t>NOM009</t>
  </si>
  <si>
    <t>NOM010</t>
  </si>
  <si>
    <t>NOM011</t>
  </si>
  <si>
    <t>NOM012</t>
  </si>
  <si>
    <t>NOM013</t>
  </si>
  <si>
    <t>NOM014</t>
  </si>
  <si>
    <t>NOM015</t>
  </si>
  <si>
    <t>NOM016</t>
  </si>
  <si>
    <t>NOM017</t>
  </si>
  <si>
    <t>NOM018</t>
  </si>
  <si>
    <t>NOM019</t>
  </si>
  <si>
    <t>NOM020</t>
  </si>
  <si>
    <t>NOM021</t>
  </si>
  <si>
    <t>NOM022</t>
  </si>
  <si>
    <t>NOM023</t>
  </si>
  <si>
    <t>NOM024</t>
  </si>
  <si>
    <t>NOM025</t>
  </si>
  <si>
    <t>NOM026</t>
  </si>
  <si>
    <t>NOM027</t>
  </si>
  <si>
    <t>NOM028</t>
  </si>
  <si>
    <t>NOM029</t>
  </si>
  <si>
    <t>NOM030</t>
  </si>
  <si>
    <t>NOM031</t>
  </si>
  <si>
    <t>NOM032</t>
  </si>
  <si>
    <t>NOM033</t>
  </si>
  <si>
    <t>NOM034</t>
  </si>
  <si>
    <t>NOM035</t>
  </si>
  <si>
    <t>NOM036</t>
  </si>
  <si>
    <t>NOM037</t>
  </si>
  <si>
    <t>NOM038</t>
  </si>
  <si>
    <t>NOM039</t>
  </si>
  <si>
    <t>NOM040</t>
  </si>
  <si>
    <t>NOM041</t>
  </si>
  <si>
    <t>NOM042</t>
  </si>
  <si>
    <t>NOM043</t>
  </si>
  <si>
    <t>NOM044</t>
  </si>
  <si>
    <t>NOM045</t>
  </si>
  <si>
    <t>NOM046</t>
  </si>
  <si>
    <t>NOM047</t>
  </si>
  <si>
    <t>NOM048</t>
  </si>
  <si>
    <t>NOM049</t>
  </si>
  <si>
    <t>NOM050</t>
  </si>
  <si>
    <t>NOM051</t>
  </si>
  <si>
    <t>NOM052</t>
  </si>
  <si>
    <t>NOM053</t>
  </si>
  <si>
    <t>NOM054</t>
  </si>
  <si>
    <t>NOM055</t>
  </si>
  <si>
    <t>NOM056</t>
  </si>
  <si>
    <t>NOM057</t>
  </si>
  <si>
    <t>NOM058</t>
  </si>
  <si>
    <t>NOM059</t>
  </si>
  <si>
    <t>NOM060</t>
  </si>
  <si>
    <t>NOM061</t>
  </si>
  <si>
    <t>NOM062</t>
  </si>
  <si>
    <t>NOM063</t>
  </si>
  <si>
    <t>NOM064</t>
  </si>
  <si>
    <t>NOM065</t>
  </si>
  <si>
    <t>NOM066</t>
  </si>
  <si>
    <t>NOM067</t>
  </si>
  <si>
    <t>NOM068</t>
  </si>
  <si>
    <t>NOM069</t>
  </si>
  <si>
    <t>NOM070</t>
  </si>
  <si>
    <t>NOM071</t>
  </si>
  <si>
    <t>NOM072</t>
  </si>
  <si>
    <t>NOM073</t>
  </si>
  <si>
    <t>NOM074</t>
  </si>
  <si>
    <t>NOM075</t>
  </si>
  <si>
    <t>NOM076</t>
  </si>
  <si>
    <t>NOM077</t>
  </si>
  <si>
    <t>NOM078</t>
  </si>
  <si>
    <t>NOM079</t>
  </si>
  <si>
    <t>NOM080</t>
  </si>
  <si>
    <t>NOM081</t>
  </si>
  <si>
    <t>NOM082</t>
  </si>
  <si>
    <t>NOM083</t>
  </si>
  <si>
    <t>NOM084</t>
  </si>
  <si>
    <t>NOM085</t>
  </si>
  <si>
    <t>NOM086</t>
  </si>
  <si>
    <t>NOM087</t>
  </si>
  <si>
    <t>NOM088</t>
  </si>
  <si>
    <t>NOM090</t>
  </si>
  <si>
    <t>NOM094</t>
  </si>
  <si>
    <t>NOM095</t>
  </si>
  <si>
    <t>NOM096</t>
  </si>
  <si>
    <t>NOM097</t>
  </si>
  <si>
    <t>NOM098</t>
  </si>
  <si>
    <t>NOM099</t>
  </si>
  <si>
    <t>NOM100</t>
  </si>
  <si>
    <t>NOM101</t>
  </si>
  <si>
    <t>NOM102</t>
  </si>
  <si>
    <t>NOM103</t>
  </si>
  <si>
    <t>Niveau_IRM</t>
  </si>
  <si>
    <t>Date_IRM</t>
  </si>
  <si>
    <t>ID</t>
  </si>
  <si>
    <t>Diamètre_TransvP</t>
  </si>
  <si>
    <t>Diamètre_APP</t>
  </si>
  <si>
    <t>Fujiwara_P</t>
  </si>
  <si>
    <t xml:space="preserve"> HT2</t>
  </si>
  <si>
    <t>LCR</t>
  </si>
  <si>
    <t>L_corps</t>
  </si>
  <si>
    <t>L_canal</t>
  </si>
  <si>
    <t>Point_Torg</t>
  </si>
  <si>
    <t>Ratio_Torg</t>
  </si>
  <si>
    <t>Date_Cslt</t>
  </si>
  <si>
    <t>JOA</t>
  </si>
  <si>
    <t>MMS</t>
  </si>
  <si>
    <t>MMI</t>
  </si>
  <si>
    <t>SMS</t>
  </si>
  <si>
    <t>SMI</t>
  </si>
  <si>
    <t>Date_PES/PEM</t>
  </si>
  <si>
    <t>Pts_PES/PEM</t>
  </si>
  <si>
    <t xml:space="preserve">Abbréviations </t>
  </si>
  <si>
    <t>Severity on Imaging Myélopathy Score</t>
  </si>
  <si>
    <t>Diamètre antéropostérieur à l'étage pathologique</t>
  </si>
  <si>
    <t>Diamètre transversal à l'étage pathologique</t>
  </si>
  <si>
    <t>Ratio de Fujiwara à l'étage pathologique</t>
  </si>
  <si>
    <t>Pts_Fujiwara</t>
  </si>
  <si>
    <t>Pst_Fujiwara</t>
  </si>
  <si>
    <t>Points ratio de Fujiwara étage pathologique</t>
  </si>
  <si>
    <t>HT2</t>
  </si>
  <si>
    <t xml:space="preserve">Angle_p </t>
  </si>
  <si>
    <t>Angle à l'étage pathologique</t>
  </si>
  <si>
    <t>Largeur corps vertébral</t>
  </si>
  <si>
    <t>Largeur canal vertébral</t>
  </si>
  <si>
    <t>Motricité memre supérieur</t>
  </si>
  <si>
    <t>Motricité membre inférieur</t>
  </si>
  <si>
    <t>Sensiblité membre supérieur</t>
  </si>
  <si>
    <t>Sensibilité membre inférieur</t>
  </si>
  <si>
    <t xml:space="preserve">Sensibilité tronc </t>
  </si>
  <si>
    <t>Trouble urinaire</t>
  </si>
  <si>
    <t>Points angle à l'étage pathologique</t>
  </si>
  <si>
    <t>Torg</t>
  </si>
  <si>
    <t>Indice de Torg : diamètre AP du canal/diamètre AP corps vertébral</t>
  </si>
  <si>
    <t>Score de la Japanese Orthopaedic Association</t>
  </si>
  <si>
    <t>PES</t>
  </si>
  <si>
    <t>Potentiels évoqués somesthésique</t>
  </si>
  <si>
    <t>PEM</t>
  </si>
  <si>
    <t>Potentiels évoqués moteurs</t>
  </si>
  <si>
    <t>Pts_PES</t>
  </si>
  <si>
    <t>Pts_PEM</t>
  </si>
  <si>
    <t>DiamètreAPN</t>
  </si>
  <si>
    <t>Diamètre_APP2</t>
  </si>
  <si>
    <t>Diamètre_APN</t>
  </si>
  <si>
    <t>Diamètre antéropostérieur à l'étage normal (C2C3)</t>
  </si>
  <si>
    <t>Ratio_compression</t>
  </si>
  <si>
    <t>Diamètre antéropostérieur normal / Diamètre antéropostérieur pathologique</t>
  </si>
  <si>
    <t>Pts_compression</t>
  </si>
  <si>
    <t>Nb_Sténoses</t>
  </si>
  <si>
    <t>Nb_sténoses</t>
  </si>
  <si>
    <t>Nombre de niveau sténosé (Fujiwara&lt;0,4)</t>
  </si>
  <si>
    <t>mJOA</t>
  </si>
  <si>
    <t>Pts_sténoses</t>
  </si>
  <si>
    <t>SIMS_sténo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</si>
</sst>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9E1F2"/>
        <bgColor rgb="FFD9E1F2"/>
      </patternFill>
    </fill>
    <fill>
      <patternFill patternType="solid">
        <fgColor theme="0"/>
        <bgColor rgb="FFD9E1F2"/>
      </patternFill>
    </fill>
  </fills>
  <borders count="3">
    <border>
      <left/>
      <right/>
      <top/>
      <bottom/>
      <diagonal/>
    </border>
    <border>
      <left/>
      <right/>
      <top style="thin">
        <color rgb="FF8EA9DB"/>
      </top>
      <bottom style="thin">
        <color rgb="FF8EA9DB"/>
      </bottom>
      <diagonal/>
    </border>
    <border>
      <left/>
      <right/>
      <top style="thin">
        <color rgb="FF8EA9DB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 applyAlignment="1">
      <alignment horizontal="center" vertical="center"/>
    </xf>
    <xf numFmtId="164" fontId="0" fillId="0" borderId="0" xfId="0" applyNumberFormat="1" applyFont="1" applyAlignment="1">
      <alignment horizontal="center" vertical="center"/>
    </xf>
    <xf numFmtId="1" fontId="0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/>
    </xf>
    <xf numFmtId="2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quotePrefix="1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64" fontId="0" fillId="0" borderId="0" xfId="0" applyNumberFormat="1" applyFon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1" fontId="0" fillId="0" borderId="0" xfId="0" applyNumberFormat="1" applyFont="1" applyBorder="1" applyAlignment="1">
      <alignment horizontal="center" vertical="center"/>
    </xf>
    <xf numFmtId="1" fontId="1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0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2" fontId="0" fillId="2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13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8EA9DB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8EA9DB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8EA9DB"/>
        </top>
        <bottom style="thin">
          <color rgb="FF8EA9DB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dd/mm/yy;@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dd/mm/yy;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8EA9DB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>
        <left/>
        <right/>
        <top style="thin">
          <color rgb="FF8EA9DB"/>
        </top>
        <bottom style="thin">
          <color rgb="FF8EA9DB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dd/mm/yy;@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dd/mm/yy;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9" formatCode="dd/mm/yyyy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8EA9DB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 style="thin">
          <color rgb="FF8EA9DB"/>
        </top>
        <bottom style="thin">
          <color rgb="FF8EA9DB"/>
        </bottom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2" formatCode="0.0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dd/mm/yy;@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numFmt numFmtId="164" formatCode="dd/mm/yy;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scheme val="minor"/>
      </font>
      <numFmt numFmtId="1" formatCode="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scheme val="minor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1" name="Tableau14" displayName="Tableau14" ref="A1:AI101" totalsRowCount="1" headerRowDxfId="133" dataDxfId="132" totalsRowDxfId="131">
  <autoFilter ref="A1:AI100"/>
  <sortState ref="A2:AI100">
    <sortCondition ref="L1:L100"/>
  </sortState>
  <tableColumns count="35">
    <tableColumn id="66" name="Age" dataDxfId="130" totalsRowDxfId="129"/>
    <tableColumn id="49" name="ID" dataDxfId="128" totalsRowDxfId="127"/>
    <tableColumn id="3" name="Date_IRM" dataDxfId="126" totalsRowDxfId="125"/>
    <tableColumn id="4" name="Niveau_IRM" dataDxfId="124" totalsRowDxfId="123"/>
    <tableColumn id="52" name="SIMS" dataDxfId="122" totalsRowDxfId="121">
      <calculatedColumnFormula>Tableau14[[#This Row],[Pts_Fujiwara]]+Tableau14[[#This Row],[ HT2]]+Tableau14[[#This Row],[LCR]]+Tableau14[[#This Row],[Points_angle_p]]+Tableau14[[#This Row],[Point_Torg]]</calculatedColumnFormula>
    </tableColumn>
    <tableColumn id="10" name="DiamètreAPN" dataDxfId="120" totalsRowDxfId="119"/>
    <tableColumn id="9" name="Diamètre_APP" dataDxfId="118" totalsRowDxfId="117"/>
    <tableColumn id="8" name="Ratio_compression" dataDxfId="116" totalsRowDxfId="115"/>
    <tableColumn id="5" name="Pts_compression" dataDxfId="114" totalsRowDxfId="113"/>
    <tableColumn id="37" name="Diamètre_TransvP" dataDxfId="112" totalsRowDxfId="111"/>
    <tableColumn id="38" name="Diamètre_APP2" dataDxfId="110" totalsRowDxfId="109"/>
    <tableColumn id="39" name="Fujiwara_P" dataDxfId="108" totalsRowDxfId="107"/>
    <tableColumn id="65" name="Pts_Fujiwara" dataDxfId="106" totalsRowDxfId="105">
      <calculatedColumnFormula>CHOOSE(MATCH(Tableau14[[#This Row],[Fujiwara_P]],{0,0.39,0.49,1},1),3,1,0)</calculatedColumnFormula>
    </tableColumn>
    <tableColumn id="33" name=" HT2" dataDxfId="104" totalsRowDxfId="103"/>
    <tableColumn id="40" name="LCR" dataDxfId="102" totalsRowDxfId="101"/>
    <tableColumn id="62" name="Angle_p" dataDxfId="100" totalsRowDxfId="99"/>
    <tableColumn id="63" name="Points_angle_p" dataDxfId="98" totalsRowDxfId="97">
      <calculatedColumnFormula>CHOOSE(MATCH(Tableau14[[#This Row],[Angle_p]],{-50,-14.9,-4.9,50},1),3,1,0)</calculatedColumnFormula>
    </tableColumn>
    <tableColumn id="46" name="L_corps" dataDxfId="96" totalsRowDxfId="95"/>
    <tableColumn id="47" name="L_canal" dataDxfId="94" totalsRowDxfId="93"/>
    <tableColumn id="44" name="Ratio_Torg" totalsRowFunction="custom" dataDxfId="92" totalsRowDxfId="91">
      <calculatedColumnFormula>S2/R2</calculatedColumnFormula>
      <totalsRowFormula>AVERAGE(X2,X50)</totalsRowFormula>
    </tableColumn>
    <tableColumn id="48" name="Point_Torg" dataDxfId="90" totalsRowDxfId="89"/>
    <tableColumn id="11" name="Nb_Sténoses" dataDxfId="88" totalsRowDxfId="87"/>
    <tableColumn id="22" name="Date_Cslt" dataDxfId="86" totalsRowDxfId="85"/>
    <tableColumn id="12" name="mJOA" dataDxfId="84" totalsRowDxfId="83">
      <calculatedColumnFormula>2.39+0.89*(Y2)</calculatedColumnFormula>
    </tableColumn>
    <tableColumn id="6" name="JOA" dataDxfId="82" totalsRowDxfId="81"/>
    <tableColumn id="57" name="MMS" dataDxfId="80" totalsRowDxfId="79"/>
    <tableColumn id="56" name="MMI" dataDxfId="78" totalsRowDxfId="77"/>
    <tableColumn id="55" name="SMS" dataDxfId="76" totalsRowDxfId="75"/>
    <tableColumn id="54" name="SMI" dataDxfId="74" totalsRowDxfId="73"/>
    <tableColumn id="53" name="Tronc" dataDxfId="72" totalsRowDxfId="71"/>
    <tableColumn id="51" name="Urinaire" dataDxfId="70" totalsRowDxfId="69"/>
    <tableColumn id="7" name="Date_PES/PEM" dataDxfId="68" totalsRowDxfId="67"/>
    <tableColumn id="64" name="Pts_PES/PEM" dataDxfId="66" totalsRowDxfId="65"/>
    <tableColumn id="1" name="Pts_PES" dataDxfId="64" totalsRowDxfId="63"/>
    <tableColumn id="2" name="Pts_PEM" dataDxfId="62" totalsRowDxfId="6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leau143" displayName="Tableau143" ref="A1:AC101" totalsRowCount="1" headerRowDxfId="60" dataDxfId="59" totalsRowDxfId="58">
  <autoFilter ref="A1:AC100"/>
  <tableColumns count="29">
    <tableColumn id="66" name="Age" dataDxfId="57" totalsRowDxfId="56"/>
    <tableColumn id="49" name="ID" dataDxfId="55" totalsRowDxfId="54"/>
    <tableColumn id="3" name="Date_IRM" dataDxfId="53" totalsRowDxfId="52"/>
    <tableColumn id="4" name="Niveau_IRM" dataDxfId="51" totalsRowDxfId="50"/>
    <tableColumn id="52" name="SIMS" dataDxfId="49" totalsRowDxfId="48">
      <calculatedColumnFormula>Tableau143[[#This Row],[Pts_Fujiwara]]+Tableau143[[#This Row],[ HT2]]+Tableau143[[#This Row],[LCR]]+Tableau143[[#This Row],[Points_angle_p]]+Tableau143[[#This Row],[Point_Torg]]</calculatedColumnFormula>
    </tableColumn>
    <tableColumn id="14" name="SIMS_sténo" dataDxfId="47" totalsRowDxfId="46">
      <calculatedColumnFormula>SUM(Tableau143[[#This Row],[Pts_Fujiwara]],Tableau143[[#This Row],[ HT2]],Tableau143[[#This Row],[LCR]],Tableau143[[#This Row],[Points_angle_p]],Tableau143[[#This Row],[Point_Torg]],Tableau143[[#This Row],[Pts_sténoses]])</calculatedColumnFormula>
    </tableColumn>
    <tableColumn id="37" name="Diamètre_TransvP" dataDxfId="45" totalsRowDxfId="44"/>
    <tableColumn id="38" name="Diamètre_APP2" dataDxfId="43" totalsRowDxfId="42"/>
    <tableColumn id="39" name="Fujiwara_P" dataDxfId="41" totalsRowDxfId="40"/>
    <tableColumn id="65" name="Pts_Fujiwara" dataDxfId="39" totalsRowDxfId="38">
      <calculatedColumnFormula>CHOOSE(MATCH(Tableau143[[#This Row],[Fujiwara_P]],{0,0.39,0.49,1},1),3,1,0)</calculatedColumnFormula>
    </tableColumn>
    <tableColumn id="33" name=" HT2" dataDxfId="37" totalsRowDxfId="36"/>
    <tableColumn id="40" name="LCR" dataDxfId="35" totalsRowDxfId="34"/>
    <tableColumn id="62" name="Angle_p" dataDxfId="33" totalsRowDxfId="32"/>
    <tableColumn id="63" name="Points_angle_p" dataDxfId="31" totalsRowDxfId="30">
      <calculatedColumnFormula>CHOOSE(MATCH(Tableau143[[#This Row],[Angle_p]],{-50,-14.9,-4.9,50},1),3,1,0)</calculatedColumnFormula>
    </tableColumn>
    <tableColumn id="46" name="L_corps" dataDxfId="29" totalsRowDxfId="28"/>
    <tableColumn id="47" name="L_canal" dataDxfId="27" totalsRowDxfId="26"/>
    <tableColumn id="44" name="Ratio_Torg" totalsRowFunction="custom" dataDxfId="25" totalsRowDxfId="24">
      <calculatedColumnFormula>P2/O2</calculatedColumnFormula>
      <totalsRowFormula>AVERAGE(V2,V50)</totalsRowFormula>
    </tableColumn>
    <tableColumn id="48" name="Point_Torg" dataDxfId="23" totalsRowDxfId="22">
      <calculatedColumnFormula>CHOOSE(MATCH(Tableau143[[#This Row],[Ratio_Torg]],{0,0.59,0.79,1.5},1),3,1,0)</calculatedColumnFormula>
    </tableColumn>
    <tableColumn id="11" name="Nb_Sténoses" dataDxfId="21" totalsRowDxfId="20"/>
    <tableColumn id="13" name="Pts_sténoses" dataDxfId="19" totalsRowDxfId="18"/>
    <tableColumn id="22" name="Date_Cslt" dataDxfId="17" totalsRowDxfId="16"/>
    <tableColumn id="12" name="mJOA" dataDxfId="15" totalsRowDxfId="14">
      <calculatedColumnFormula>2.39+0.89*(W2)</calculatedColumnFormula>
    </tableColumn>
    <tableColumn id="6" name="JOA" dataDxfId="13" totalsRowDxfId="12"/>
    <tableColumn id="57" name="MMS" dataDxfId="11" totalsRowDxfId="10"/>
    <tableColumn id="56" name="MMI" dataDxfId="9" totalsRowDxfId="8"/>
    <tableColumn id="55" name="SMS" dataDxfId="7" totalsRowDxfId="6"/>
    <tableColumn id="54" name="SMI" dataDxfId="5" totalsRowDxfId="4"/>
    <tableColumn id="53" name="Tronc" dataDxfId="3" totalsRowDxfId="2"/>
    <tableColumn id="51" name="Urinaire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26"/>
  <sheetViews>
    <sheetView zoomScale="91" workbookViewId="0">
      <pane xSplit="1" ySplit="1" topLeftCell="K2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baseColWidth="10" defaultColWidth="10.875" defaultRowHeight="15.75" x14ac:dyDescent="0.25"/>
  <cols>
    <col min="1" max="1" width="12.375" style="3" customWidth="1"/>
    <col min="2" max="2" width="19.5" style="3" customWidth="1"/>
    <col min="3" max="3" width="47.125" style="2" customWidth="1"/>
    <col min="4" max="4" width="16.5" style="1" customWidth="1"/>
    <col min="5" max="9" width="15.625" style="4" customWidth="1"/>
    <col min="10" max="10" width="20.875" style="1" customWidth="1"/>
    <col min="11" max="11" width="22" style="1" customWidth="1"/>
    <col min="12" max="12" width="15.5" style="5" customWidth="1"/>
    <col min="13" max="13" width="17.875" style="9" customWidth="1"/>
    <col min="14" max="14" width="19.5" style="10" customWidth="1"/>
    <col min="15" max="15" width="18" style="10" customWidth="1"/>
    <col min="16" max="16" width="18" style="1" customWidth="1"/>
    <col min="17" max="17" width="20.125" style="10" customWidth="1"/>
    <col min="18" max="20" width="18" style="1" customWidth="1"/>
    <col min="21" max="21" width="18" style="11" customWidth="1"/>
    <col min="22" max="22" width="18" style="5" customWidth="1"/>
    <col min="23" max="23" width="20.5" style="1" customWidth="1"/>
    <col min="24" max="24" width="12.375" style="3" customWidth="1"/>
    <col min="25" max="25" width="12.5" style="12" customWidth="1"/>
    <col min="26" max="30" width="11" style="1" customWidth="1"/>
    <col min="31" max="31" width="13.125" style="1" customWidth="1"/>
    <col min="32" max="32" width="18.125" style="6" customWidth="1"/>
    <col min="33" max="33" width="19.375" style="14" customWidth="1"/>
    <col min="34" max="34" width="12" style="1" customWidth="1"/>
    <col min="35" max="16384" width="10.875" style="1"/>
  </cols>
  <sheetData>
    <row r="1" spans="1:35" x14ac:dyDescent="0.25">
      <c r="A1" s="3" t="s">
        <v>0</v>
      </c>
      <c r="B1" s="3" t="s">
        <v>113</v>
      </c>
      <c r="C1" s="2" t="s">
        <v>112</v>
      </c>
      <c r="D1" s="1" t="s">
        <v>111</v>
      </c>
      <c r="E1" s="4" t="s">
        <v>1</v>
      </c>
      <c r="F1" s="1" t="s">
        <v>160</v>
      </c>
      <c r="G1" s="1" t="s">
        <v>115</v>
      </c>
      <c r="H1" s="5" t="s">
        <v>164</v>
      </c>
      <c r="I1" s="3" t="s">
        <v>166</v>
      </c>
      <c r="J1" s="1" t="s">
        <v>114</v>
      </c>
      <c r="K1" s="1" t="s">
        <v>161</v>
      </c>
      <c r="L1" s="5" t="s">
        <v>116</v>
      </c>
      <c r="M1" s="9" t="s">
        <v>136</v>
      </c>
      <c r="N1" s="10" t="s">
        <v>117</v>
      </c>
      <c r="O1" s="10" t="s">
        <v>118</v>
      </c>
      <c r="P1" s="1" t="s">
        <v>4</v>
      </c>
      <c r="Q1" s="10" t="s">
        <v>5</v>
      </c>
      <c r="R1" s="1" t="s">
        <v>119</v>
      </c>
      <c r="S1" s="1" t="s">
        <v>120</v>
      </c>
      <c r="T1" s="5" t="s">
        <v>122</v>
      </c>
      <c r="U1" s="10" t="s">
        <v>121</v>
      </c>
      <c r="V1" s="1" t="s">
        <v>167</v>
      </c>
      <c r="W1" s="1" t="s">
        <v>123</v>
      </c>
      <c r="X1" s="3" t="s">
        <v>170</v>
      </c>
      <c r="Y1" s="12" t="s">
        <v>124</v>
      </c>
      <c r="Z1" s="1" t="s">
        <v>125</v>
      </c>
      <c r="AA1" s="1" t="s">
        <v>126</v>
      </c>
      <c r="AB1" s="1" t="s">
        <v>127</v>
      </c>
      <c r="AC1" s="1" t="s">
        <v>128</v>
      </c>
      <c r="AD1" s="1" t="s">
        <v>6</v>
      </c>
      <c r="AE1" s="1" t="s">
        <v>7</v>
      </c>
      <c r="AF1" s="2" t="s">
        <v>129</v>
      </c>
      <c r="AG1" s="13" t="s">
        <v>130</v>
      </c>
      <c r="AH1" s="1" t="s">
        <v>158</v>
      </c>
      <c r="AI1" s="1" t="s">
        <v>159</v>
      </c>
    </row>
    <row r="2" spans="1:35" x14ac:dyDescent="0.25">
      <c r="A2" s="3">
        <v>60</v>
      </c>
      <c r="B2" s="3" t="s">
        <v>69</v>
      </c>
      <c r="C2" s="2">
        <v>42985</v>
      </c>
      <c r="D2" s="1" t="s">
        <v>12</v>
      </c>
      <c r="E2" s="4">
        <f>Tableau14[[#This Row],[Pts_Fujiwara]]+Tableau14[[#This Row],[ HT2]]+Tableau14[[#This Row],[LCR]]+Tableau14[[#This Row],[Points_angle_p]]+Tableau14[[#This Row],[Point_Torg]]</f>
        <v>7</v>
      </c>
      <c r="F2" s="1">
        <v>0.77</v>
      </c>
      <c r="G2" s="1">
        <v>0.27</v>
      </c>
      <c r="H2" s="5">
        <v>0.35064935064935066</v>
      </c>
      <c r="I2" s="3">
        <v>4</v>
      </c>
      <c r="J2" s="1">
        <v>1.51</v>
      </c>
      <c r="K2" s="1">
        <v>0.27</v>
      </c>
      <c r="L2" s="5">
        <f t="shared" ref="L2:L19" si="0">K2/J2</f>
        <v>0.17880794701986755</v>
      </c>
      <c r="M2" s="9">
        <f>CHOOSE(MATCH(Tableau14[[#This Row],[Fujiwara_P]],{0,0.39,0.49,1},1),3,1,0)</f>
        <v>3</v>
      </c>
      <c r="N2" s="10">
        <v>0</v>
      </c>
      <c r="O2" s="10">
        <v>4</v>
      </c>
      <c r="P2" s="1">
        <v>11.4</v>
      </c>
      <c r="Q2" s="10">
        <f>CHOOSE(MATCH(Tableau14[[#This Row],[Angle_p]],{-50,-14.9,-4.9,50},1),3,1,0)</f>
        <v>0</v>
      </c>
      <c r="R2" s="1">
        <v>1.35</v>
      </c>
      <c r="S2" s="1">
        <v>1.1599999999999999</v>
      </c>
      <c r="T2" s="5">
        <f t="shared" ref="T2:T33" si="1">S2/R2</f>
        <v>0.85925925925925917</v>
      </c>
      <c r="U2" s="10">
        <f>CHOOSE(MATCH(Tableau14[[#This Row],[Ratio_Torg]],{0,0.59,0.79,1.5},1),3,1,0)</f>
        <v>0</v>
      </c>
      <c r="V2" s="18">
        <v>2</v>
      </c>
      <c r="W2" s="7">
        <v>43151</v>
      </c>
      <c r="X2" s="3">
        <f t="shared" ref="X2:X33" si="2">2.39+0.89*(Y2)</f>
        <v>13.96</v>
      </c>
      <c r="Y2" s="12">
        <v>13</v>
      </c>
      <c r="Z2" s="1">
        <v>3</v>
      </c>
      <c r="AA2" s="1">
        <v>3</v>
      </c>
      <c r="AB2" s="1">
        <v>2</v>
      </c>
      <c r="AC2" s="1">
        <v>2</v>
      </c>
      <c r="AD2" s="1">
        <v>2</v>
      </c>
      <c r="AE2" s="1">
        <v>1</v>
      </c>
      <c r="AF2" s="2">
        <v>43013</v>
      </c>
      <c r="AG2" s="19">
        <v>1</v>
      </c>
      <c r="AH2" s="21">
        <v>1</v>
      </c>
      <c r="AI2" s="21">
        <v>0</v>
      </c>
    </row>
    <row r="3" spans="1:35" x14ac:dyDescent="0.25">
      <c r="A3" s="3">
        <v>70</v>
      </c>
      <c r="B3" s="3" t="s">
        <v>93</v>
      </c>
      <c r="C3" s="2">
        <v>44117</v>
      </c>
      <c r="D3" s="1" t="s">
        <v>9</v>
      </c>
      <c r="E3" s="4">
        <f>Tableau14[[#This Row],[Pts_Fujiwara]]+Tableau14[[#This Row],[ HT2]]+Tableau14[[#This Row],[LCR]]+Tableau14[[#This Row],[Points_angle_p]]+Tableau14[[#This Row],[Point_Torg]]</f>
        <v>12</v>
      </c>
      <c r="F3" s="1">
        <v>0.75</v>
      </c>
      <c r="G3" s="1">
        <v>0.28999999999999998</v>
      </c>
      <c r="H3" s="5">
        <v>0.38666666666666666</v>
      </c>
      <c r="I3" s="3">
        <v>4</v>
      </c>
      <c r="J3" s="1">
        <v>1.54</v>
      </c>
      <c r="K3" s="1">
        <v>0.28999999999999998</v>
      </c>
      <c r="L3" s="5">
        <f t="shared" si="0"/>
        <v>0.18831168831168829</v>
      </c>
      <c r="M3" s="9">
        <f>CHOOSE(MATCH(Tableau14[[#This Row],[Fujiwara_P]],{0,0.39,0.49,1},1),3,1,0)</f>
        <v>3</v>
      </c>
      <c r="N3" s="10">
        <v>4</v>
      </c>
      <c r="O3" s="10">
        <v>4</v>
      </c>
      <c r="P3" s="1">
        <v>12.9</v>
      </c>
      <c r="Q3" s="10">
        <f>CHOOSE(MATCH(Tableau14[[#This Row],[Angle_p]],{-50,-14.9,-4.9,50},1),3,1,0)</f>
        <v>0</v>
      </c>
      <c r="R3" s="1">
        <v>1.65</v>
      </c>
      <c r="S3" s="1">
        <v>1.25</v>
      </c>
      <c r="T3" s="5">
        <f t="shared" si="1"/>
        <v>0.75757575757575757</v>
      </c>
      <c r="U3" s="10">
        <f>CHOOSE(MATCH(Tableau14[[#This Row],[Ratio_Torg]],{0,0.59,0.79,1.5},1),3,1,0)</f>
        <v>1</v>
      </c>
      <c r="V3" s="18">
        <v>3</v>
      </c>
      <c r="W3" s="7">
        <v>44236</v>
      </c>
      <c r="X3" s="3">
        <f t="shared" si="2"/>
        <v>7.73</v>
      </c>
      <c r="Y3" s="12">
        <v>6</v>
      </c>
      <c r="Z3" s="1">
        <v>2</v>
      </c>
      <c r="AA3" s="1">
        <v>1</v>
      </c>
      <c r="AB3" s="1">
        <v>1</v>
      </c>
      <c r="AC3" s="1">
        <v>1</v>
      </c>
      <c r="AD3" s="1">
        <v>1</v>
      </c>
      <c r="AE3" s="1">
        <v>0</v>
      </c>
      <c r="AF3" s="2">
        <v>44242</v>
      </c>
      <c r="AG3" s="19">
        <v>2</v>
      </c>
      <c r="AH3" s="21">
        <v>2</v>
      </c>
      <c r="AI3" s="21">
        <v>2</v>
      </c>
    </row>
    <row r="4" spans="1:35" x14ac:dyDescent="0.25">
      <c r="A4" s="3">
        <v>71</v>
      </c>
      <c r="B4" s="3" t="s">
        <v>97</v>
      </c>
      <c r="C4" s="2">
        <v>43696</v>
      </c>
      <c r="D4" s="1" t="s">
        <v>17</v>
      </c>
      <c r="E4" s="4">
        <f>Tableau14[[#This Row],[Pts_Fujiwara]]+Tableau14[[#This Row],[ HT2]]+Tableau14[[#This Row],[LCR]]+Tableau14[[#This Row],[Points_angle_p]]+Tableau14[[#This Row],[Point_Torg]]</f>
        <v>10</v>
      </c>
      <c r="F4" s="1">
        <v>0.73</v>
      </c>
      <c r="G4" s="1">
        <v>0.31</v>
      </c>
      <c r="H4" s="5">
        <v>0.42465753424657537</v>
      </c>
      <c r="I4" s="3">
        <v>4</v>
      </c>
      <c r="J4" s="1">
        <v>1.44</v>
      </c>
      <c r="K4" s="1">
        <v>0.31</v>
      </c>
      <c r="L4" s="5">
        <f t="shared" si="0"/>
        <v>0.21527777777777779</v>
      </c>
      <c r="M4" s="9">
        <f>CHOOSE(MATCH(Tableau14[[#This Row],[Fujiwara_P]],{0,0.39,0.49,1},1),3,1,0)</f>
        <v>3</v>
      </c>
      <c r="N4" s="10">
        <v>2</v>
      </c>
      <c r="O4" s="10">
        <v>4</v>
      </c>
      <c r="P4" s="1">
        <v>10</v>
      </c>
      <c r="Q4" s="10">
        <f>CHOOSE(MATCH(Tableau14[[#This Row],[Angle_p]],{-50,-14.9,-4.9,50},1),3,1,0)</f>
        <v>0</v>
      </c>
      <c r="R4" s="1">
        <v>1.66</v>
      </c>
      <c r="S4" s="1">
        <v>1.31</v>
      </c>
      <c r="T4" s="5">
        <f t="shared" si="1"/>
        <v>0.78915662650602414</v>
      </c>
      <c r="U4" s="10">
        <f>CHOOSE(MATCH(Tableau14[[#This Row],[Ratio_Torg]],{0,0.59,0.79,1.5},1),3,1,0)</f>
        <v>1</v>
      </c>
      <c r="V4" s="19">
        <v>3</v>
      </c>
      <c r="W4" s="7">
        <v>43480</v>
      </c>
      <c r="X4" s="3">
        <f t="shared" si="2"/>
        <v>13.96</v>
      </c>
      <c r="Y4" s="12">
        <v>13</v>
      </c>
      <c r="Z4" s="1">
        <v>3</v>
      </c>
      <c r="AA4" s="1">
        <v>3</v>
      </c>
      <c r="AB4" s="1">
        <v>1</v>
      </c>
      <c r="AC4" s="1">
        <v>2</v>
      </c>
      <c r="AD4" s="1">
        <v>2</v>
      </c>
      <c r="AE4" s="1">
        <v>2</v>
      </c>
      <c r="AF4" s="2">
        <v>43437</v>
      </c>
      <c r="AG4" s="19">
        <v>2</v>
      </c>
      <c r="AH4" s="21">
        <v>2</v>
      </c>
      <c r="AI4" s="21">
        <v>2</v>
      </c>
    </row>
    <row r="5" spans="1:35" x14ac:dyDescent="0.25">
      <c r="A5" s="3">
        <v>76</v>
      </c>
      <c r="B5" s="3" t="s">
        <v>18</v>
      </c>
      <c r="C5" s="2">
        <v>44130</v>
      </c>
      <c r="D5" s="1" t="s">
        <v>9</v>
      </c>
      <c r="E5" s="4">
        <f>Tableau14[[#This Row],[Pts_Fujiwara]]+Tableau14[[#This Row],[ HT2]]+Tableau14[[#This Row],[LCR]]+Tableau14[[#This Row],[Points_angle_p]]+Tableau14[[#This Row],[Point_Torg]]</f>
        <v>11</v>
      </c>
      <c r="F5" s="1">
        <v>0.63</v>
      </c>
      <c r="G5" s="1">
        <v>0.31</v>
      </c>
      <c r="H5" s="5">
        <v>0.49206349206349204</v>
      </c>
      <c r="I5" s="3">
        <v>4</v>
      </c>
      <c r="J5" s="1">
        <v>1.4</v>
      </c>
      <c r="K5" s="1">
        <v>0.31</v>
      </c>
      <c r="L5" s="5">
        <f t="shared" si="0"/>
        <v>0.22142857142857145</v>
      </c>
      <c r="M5" s="9">
        <f>CHOOSE(MATCH(Tableau14[[#This Row],[Fujiwara_P]],{0,0.39,0.49,1},1),3,1,0)</f>
        <v>3</v>
      </c>
      <c r="N5" s="10">
        <v>4</v>
      </c>
      <c r="O5" s="10">
        <v>4</v>
      </c>
      <c r="P5" s="1">
        <v>0</v>
      </c>
      <c r="Q5" s="10">
        <f>CHOOSE(MATCH(Tableau14[[#This Row],[Angle_p]],{-50,-14.9,-4.9,50},1),3,1,0)</f>
        <v>0</v>
      </c>
      <c r="R5" s="1">
        <v>1.1599999999999999</v>
      </c>
      <c r="S5" s="1">
        <v>1.4</v>
      </c>
      <c r="T5" s="5">
        <f t="shared" si="1"/>
        <v>1.2068965517241379</v>
      </c>
      <c r="U5" s="10">
        <f>CHOOSE(MATCH(Tableau14[[#This Row],[Ratio_Torg]],{0,0.59,0.79,1.5},1),3,1,0)</f>
        <v>0</v>
      </c>
      <c r="V5" s="19">
        <v>1</v>
      </c>
      <c r="W5" s="7">
        <v>44070</v>
      </c>
      <c r="X5" s="3">
        <f t="shared" si="2"/>
        <v>9.51</v>
      </c>
      <c r="Y5" s="12">
        <v>8</v>
      </c>
      <c r="Z5" s="1">
        <v>2</v>
      </c>
      <c r="AA5" s="1">
        <v>1</v>
      </c>
      <c r="AB5" s="1">
        <v>1</v>
      </c>
      <c r="AC5" s="1">
        <v>1</v>
      </c>
      <c r="AD5" s="1">
        <v>1</v>
      </c>
      <c r="AE5" s="1">
        <v>2</v>
      </c>
      <c r="AF5" s="2"/>
      <c r="AG5" s="18"/>
      <c r="AH5" s="20"/>
      <c r="AI5" s="20"/>
    </row>
    <row r="6" spans="1:35" x14ac:dyDescent="0.25">
      <c r="A6" s="3">
        <v>58</v>
      </c>
      <c r="B6" s="3" t="s">
        <v>76</v>
      </c>
      <c r="C6" s="2">
        <v>42664</v>
      </c>
      <c r="D6" s="1" t="s">
        <v>14</v>
      </c>
      <c r="E6" s="4">
        <f>Tableau14[[#This Row],[Pts_Fujiwara]]+Tableau14[[#This Row],[ HT2]]+Tableau14[[#This Row],[LCR]]+Tableau14[[#This Row],[Points_angle_p]]+Tableau14[[#This Row],[Point_Torg]]</f>
        <v>11</v>
      </c>
      <c r="F6" s="1">
        <v>0.77</v>
      </c>
      <c r="G6" s="1">
        <v>0.4</v>
      </c>
      <c r="H6" s="5">
        <v>0.51948051948051954</v>
      </c>
      <c r="I6" s="3">
        <v>4</v>
      </c>
      <c r="J6" s="1">
        <v>1.77</v>
      </c>
      <c r="K6" s="1">
        <v>0.4</v>
      </c>
      <c r="L6" s="5">
        <f t="shared" si="0"/>
        <v>0.22598870056497175</v>
      </c>
      <c r="M6" s="9">
        <f>CHOOSE(MATCH(Tableau14[[#This Row],[Fujiwara_P]],{0,0.39,0.49,1},1),3,1,0)</f>
        <v>3</v>
      </c>
      <c r="N6" s="10">
        <v>2</v>
      </c>
      <c r="O6" s="10">
        <v>4</v>
      </c>
      <c r="P6" s="1">
        <v>-5</v>
      </c>
      <c r="Q6" s="10">
        <f>CHOOSE(MATCH(Tableau14[[#This Row],[Angle_p]],{-50,-14.9,-4.9,50},1),3,1,0)</f>
        <v>1</v>
      </c>
      <c r="R6" s="1">
        <v>1.63</v>
      </c>
      <c r="S6" s="1">
        <v>1.1000000000000001</v>
      </c>
      <c r="T6" s="5">
        <f t="shared" si="1"/>
        <v>0.67484662576687127</v>
      </c>
      <c r="U6" s="10">
        <f>CHOOSE(MATCH(Tableau14[[#This Row],[Ratio_Torg]],{0,0.59,0.79,1.5},1),3,1,0)</f>
        <v>1</v>
      </c>
      <c r="V6" s="18">
        <v>2</v>
      </c>
      <c r="W6" s="7">
        <v>42684</v>
      </c>
      <c r="X6" s="3">
        <f t="shared" si="2"/>
        <v>14.850000000000001</v>
      </c>
      <c r="Y6" s="12">
        <v>14</v>
      </c>
      <c r="Z6" s="8">
        <v>3</v>
      </c>
      <c r="AA6" s="1">
        <v>4</v>
      </c>
      <c r="AB6" s="1">
        <v>1</v>
      </c>
      <c r="AC6" s="1">
        <v>2</v>
      </c>
      <c r="AD6" s="1">
        <v>2</v>
      </c>
      <c r="AE6" s="1">
        <v>2</v>
      </c>
      <c r="AF6" s="2"/>
      <c r="AG6" s="18"/>
      <c r="AH6" s="20"/>
      <c r="AI6" s="20"/>
    </row>
    <row r="7" spans="1:35" x14ac:dyDescent="0.25">
      <c r="A7" s="3">
        <v>76</v>
      </c>
      <c r="B7" s="3" t="s">
        <v>88</v>
      </c>
      <c r="C7" s="2">
        <v>44202</v>
      </c>
      <c r="D7" s="1" t="s">
        <v>14</v>
      </c>
      <c r="E7" s="4">
        <f>Tableau14[[#This Row],[Pts_Fujiwara]]+Tableau14[[#This Row],[ HT2]]+Tableau14[[#This Row],[LCR]]+Tableau14[[#This Row],[Points_angle_p]]+Tableau14[[#This Row],[Point_Torg]]</f>
        <v>11</v>
      </c>
      <c r="F7" s="1">
        <v>0.68</v>
      </c>
      <c r="G7" s="1">
        <v>0.28999999999999998</v>
      </c>
      <c r="H7" s="5">
        <v>0.42647058823529405</v>
      </c>
      <c r="I7" s="3">
        <v>4</v>
      </c>
      <c r="J7" s="1">
        <v>1.27</v>
      </c>
      <c r="K7" s="1">
        <v>0.28999999999999998</v>
      </c>
      <c r="L7" s="5">
        <f t="shared" si="0"/>
        <v>0.22834645669291337</v>
      </c>
      <c r="M7" s="9">
        <f>CHOOSE(MATCH(Tableau14[[#This Row],[Fujiwara_P]],{0,0.39,0.49,1},1),3,1,0)</f>
        <v>3</v>
      </c>
      <c r="N7" s="10">
        <v>4</v>
      </c>
      <c r="O7" s="10">
        <v>4</v>
      </c>
      <c r="P7" s="1">
        <v>16.399999999999999</v>
      </c>
      <c r="Q7" s="10">
        <f>CHOOSE(MATCH(Tableau14[[#This Row],[Angle_p]],{-50,-14.9,-4.9,50},1),3,1,0)</f>
        <v>0</v>
      </c>
      <c r="R7" s="1">
        <v>1.51</v>
      </c>
      <c r="S7" s="1">
        <v>1.49</v>
      </c>
      <c r="T7" s="5">
        <f t="shared" si="1"/>
        <v>0.98675496688741726</v>
      </c>
      <c r="U7" s="10">
        <f>CHOOSE(MATCH(Tableau14[[#This Row],[Ratio_Torg]],{0,0.59,0.79,1.5},1),3,1,0)</f>
        <v>0</v>
      </c>
      <c r="V7" s="18">
        <v>3</v>
      </c>
      <c r="W7" s="7">
        <v>44207</v>
      </c>
      <c r="X7" s="3">
        <f t="shared" si="2"/>
        <v>10.4</v>
      </c>
      <c r="Y7" s="12">
        <v>9</v>
      </c>
      <c r="Z7" s="1">
        <v>1</v>
      </c>
      <c r="AA7" s="1">
        <v>1</v>
      </c>
      <c r="AB7" s="1">
        <v>1</v>
      </c>
      <c r="AC7" s="1">
        <v>2</v>
      </c>
      <c r="AD7" s="1">
        <v>1</v>
      </c>
      <c r="AE7" s="1">
        <v>3</v>
      </c>
      <c r="AF7" s="2">
        <v>44228</v>
      </c>
      <c r="AG7" s="18">
        <v>2</v>
      </c>
      <c r="AH7" s="20"/>
      <c r="AI7" s="20">
        <v>2</v>
      </c>
    </row>
    <row r="8" spans="1:35" x14ac:dyDescent="0.25">
      <c r="A8" s="3">
        <v>59</v>
      </c>
      <c r="B8" s="3" t="s">
        <v>32</v>
      </c>
      <c r="C8" s="2">
        <v>43426</v>
      </c>
      <c r="D8" s="1" t="s">
        <v>17</v>
      </c>
      <c r="E8" s="4">
        <f>Tableau14[[#This Row],[Pts_Fujiwara]]+Tableau14[[#This Row],[ HT2]]+Tableau14[[#This Row],[LCR]]+Tableau14[[#This Row],[Points_angle_p]]+Tableau14[[#This Row],[Point_Torg]]</f>
        <v>9</v>
      </c>
      <c r="F8" s="1">
        <v>0.8</v>
      </c>
      <c r="G8" s="1">
        <v>0.38</v>
      </c>
      <c r="H8" s="5">
        <v>0.47499999999999998</v>
      </c>
      <c r="I8" s="3">
        <v>4</v>
      </c>
      <c r="J8" s="1">
        <v>1.51</v>
      </c>
      <c r="K8" s="1">
        <v>0.38</v>
      </c>
      <c r="L8" s="5">
        <f t="shared" si="0"/>
        <v>0.25165562913907286</v>
      </c>
      <c r="M8" s="9">
        <f>CHOOSE(MATCH(Tableau14[[#This Row],[Fujiwara_P]],{0,0.39,0.49,1},1),3,1,0)</f>
        <v>3</v>
      </c>
      <c r="N8" s="10">
        <v>4</v>
      </c>
      <c r="O8" s="10">
        <v>1</v>
      </c>
      <c r="P8" s="1">
        <v>6</v>
      </c>
      <c r="Q8" s="10">
        <f>CHOOSE(MATCH(Tableau14[[#This Row],[Angle_p]],{-50,-14.9,-4.9,50},1),3,1,0)</f>
        <v>0</v>
      </c>
      <c r="R8" s="1">
        <v>1.73</v>
      </c>
      <c r="S8" s="1">
        <v>1.06</v>
      </c>
      <c r="T8" s="5">
        <f t="shared" si="1"/>
        <v>0.61271676300578037</v>
      </c>
      <c r="U8" s="10">
        <f>CHOOSE(MATCH(Tableau14[[#This Row],[Ratio_Torg]],{0,0.59,0.79,1.5},1),3,1,0)</f>
        <v>1</v>
      </c>
      <c r="V8" s="19">
        <v>2</v>
      </c>
      <c r="W8" s="7">
        <v>43651</v>
      </c>
      <c r="X8" s="3">
        <f t="shared" si="2"/>
        <v>15.74</v>
      </c>
      <c r="Y8" s="12">
        <v>15</v>
      </c>
      <c r="AF8" s="2">
        <v>43672</v>
      </c>
      <c r="AG8" s="18">
        <v>2</v>
      </c>
      <c r="AH8" s="20">
        <v>2</v>
      </c>
      <c r="AI8" s="20">
        <v>2</v>
      </c>
    </row>
    <row r="9" spans="1:35" x14ac:dyDescent="0.25">
      <c r="A9" s="3">
        <v>63</v>
      </c>
      <c r="B9" s="3" t="s">
        <v>24</v>
      </c>
      <c r="C9" s="2">
        <v>42528</v>
      </c>
      <c r="D9" s="1" t="s">
        <v>17</v>
      </c>
      <c r="E9" s="4">
        <f>Tableau14[[#This Row],[Pts_Fujiwara]]+Tableau14[[#This Row],[ HT2]]+Tableau14[[#This Row],[LCR]]+Tableau14[[#This Row],[Points_angle_p]]+Tableau14[[#This Row],[Point_Torg]]</f>
        <v>7</v>
      </c>
      <c r="F9" s="1">
        <v>0.63</v>
      </c>
      <c r="G9" s="1">
        <v>0.38</v>
      </c>
      <c r="H9" s="5">
        <v>0.60317460317460314</v>
      </c>
      <c r="I9" s="3">
        <v>2</v>
      </c>
      <c r="J9" s="1">
        <v>1.5</v>
      </c>
      <c r="K9" s="1">
        <v>0.38</v>
      </c>
      <c r="L9" s="5">
        <f t="shared" si="0"/>
        <v>0.25333333333333335</v>
      </c>
      <c r="M9" s="9">
        <f>CHOOSE(MATCH(Tableau14[[#This Row],[Fujiwara_P]],{0,0.39,0.49,1},1),3,1,0)</f>
        <v>3</v>
      </c>
      <c r="N9" s="10">
        <v>2</v>
      </c>
      <c r="O9" s="10">
        <v>2</v>
      </c>
      <c r="P9" s="1">
        <v>7</v>
      </c>
      <c r="Q9" s="10">
        <f>CHOOSE(MATCH(Tableau14[[#This Row],[Angle_p]],{-50,-14.9,-4.9,50},1),3,1,0)</f>
        <v>0</v>
      </c>
      <c r="R9" s="1">
        <v>1.6</v>
      </c>
      <c r="S9" s="1">
        <v>1.4</v>
      </c>
      <c r="T9" s="5">
        <f t="shared" si="1"/>
        <v>0.87499999999999989</v>
      </c>
      <c r="U9" s="10">
        <f>CHOOSE(MATCH(Tableau14[[#This Row],[Ratio_Torg]],{0,0.59,0.79,1.5},1),3,1,0)</f>
        <v>0</v>
      </c>
      <c r="V9" s="18">
        <v>2</v>
      </c>
      <c r="W9" s="7">
        <v>42804</v>
      </c>
      <c r="X9" s="3">
        <f t="shared" si="2"/>
        <v>15.74</v>
      </c>
      <c r="Y9" s="12">
        <v>15</v>
      </c>
      <c r="AF9" s="2">
        <v>42804</v>
      </c>
      <c r="AG9" s="18">
        <v>0</v>
      </c>
      <c r="AH9" s="20">
        <v>0</v>
      </c>
      <c r="AI9" s="20">
        <v>0</v>
      </c>
    </row>
    <row r="10" spans="1:35" x14ac:dyDescent="0.25">
      <c r="A10" s="3">
        <v>74</v>
      </c>
      <c r="B10" s="3" t="s">
        <v>106</v>
      </c>
      <c r="C10" s="2">
        <v>43899</v>
      </c>
      <c r="D10" s="1" t="s">
        <v>17</v>
      </c>
      <c r="E10" s="4">
        <f>Tableau14[[#This Row],[Pts_Fujiwara]]+Tableau14[[#This Row],[ HT2]]+Tableau14[[#This Row],[LCR]]+Tableau14[[#This Row],[Points_angle_p]]+Tableau14[[#This Row],[Point_Torg]]</f>
        <v>7</v>
      </c>
      <c r="F10" s="1">
        <v>0.67</v>
      </c>
      <c r="G10" s="1">
        <v>0.38</v>
      </c>
      <c r="H10" s="5">
        <v>0.56716417910447758</v>
      </c>
      <c r="I10" s="3">
        <v>4</v>
      </c>
      <c r="J10" s="1">
        <v>1.49</v>
      </c>
      <c r="K10" s="1">
        <v>0.38</v>
      </c>
      <c r="L10" s="5">
        <f t="shared" si="0"/>
        <v>0.25503355704697989</v>
      </c>
      <c r="M10" s="9">
        <f>CHOOSE(MATCH(Tableau14[[#This Row],[Fujiwara_P]],{0,0.39,0.49,1},1),3,1,0)</f>
        <v>3</v>
      </c>
      <c r="N10" s="10">
        <v>2</v>
      </c>
      <c r="O10" s="10">
        <v>2</v>
      </c>
      <c r="P10" s="1">
        <v>2.7</v>
      </c>
      <c r="Q10" s="10">
        <f>CHOOSE(MATCH(Tableau14[[#This Row],[Angle_p]],{-50,-14.9,-4.9,50},1),3,1,0)</f>
        <v>0</v>
      </c>
      <c r="R10" s="1">
        <v>1.55</v>
      </c>
      <c r="S10" s="1">
        <v>1.5</v>
      </c>
      <c r="T10" s="5">
        <f t="shared" si="1"/>
        <v>0.96774193548387089</v>
      </c>
      <c r="U10" s="10">
        <f>CHOOSE(MATCH(Tableau14[[#This Row],[Ratio_Torg]],{0,0.59,0.79,1.5},1),3,1,0)</f>
        <v>0</v>
      </c>
      <c r="V10" s="19">
        <v>2</v>
      </c>
      <c r="W10" s="7">
        <v>44005</v>
      </c>
      <c r="X10" s="3">
        <f t="shared" si="2"/>
        <v>13.96</v>
      </c>
      <c r="Y10" s="12">
        <v>13</v>
      </c>
      <c r="Z10" s="1">
        <v>4</v>
      </c>
      <c r="AA10" s="1">
        <v>2</v>
      </c>
      <c r="AB10" s="1">
        <v>2</v>
      </c>
      <c r="AC10" s="1">
        <v>2</v>
      </c>
      <c r="AD10" s="1">
        <v>2</v>
      </c>
      <c r="AE10" s="1">
        <v>1</v>
      </c>
      <c r="AF10" s="2"/>
      <c r="AG10" s="27"/>
      <c r="AH10" s="27"/>
      <c r="AI10" s="27"/>
    </row>
    <row r="11" spans="1:35" x14ac:dyDescent="0.25">
      <c r="A11" s="3">
        <v>73</v>
      </c>
      <c r="B11" s="3" t="s">
        <v>8</v>
      </c>
      <c r="C11" s="2">
        <v>43854</v>
      </c>
      <c r="D11" s="1" t="s">
        <v>9</v>
      </c>
      <c r="E11" s="4">
        <f>Tableau14[[#This Row],[Pts_Fujiwara]]+Tableau14[[#This Row],[ HT2]]+Tableau14[[#This Row],[LCR]]+Tableau14[[#This Row],[Points_angle_p]]+Tableau14[[#This Row],[Point_Torg]]</f>
        <v>8</v>
      </c>
      <c r="F11" s="1">
        <v>0.82</v>
      </c>
      <c r="G11" s="1">
        <v>0.42</v>
      </c>
      <c r="H11" s="5">
        <v>0.51219512195121952</v>
      </c>
      <c r="I11" s="3">
        <v>4</v>
      </c>
      <c r="J11" s="1">
        <v>1.62</v>
      </c>
      <c r="K11" s="1">
        <v>0.42</v>
      </c>
      <c r="L11" s="5">
        <f t="shared" si="0"/>
        <v>0.25925925925925924</v>
      </c>
      <c r="M11" s="9">
        <f>CHOOSE(MATCH(Tableau14[[#This Row],[Fujiwara_P]],{0,0.39,0.49,1},1),3,1,0)</f>
        <v>3</v>
      </c>
      <c r="N11" s="10">
        <v>0</v>
      </c>
      <c r="O11" s="10">
        <v>4</v>
      </c>
      <c r="P11" s="1">
        <v>3</v>
      </c>
      <c r="Q11" s="10">
        <f>CHOOSE(MATCH(Tableau14[[#This Row],[Angle_p]],{-50,-14.9,-4.9,50},1),3,1,0)</f>
        <v>0</v>
      </c>
      <c r="R11" s="1">
        <v>1.54</v>
      </c>
      <c r="S11" s="1">
        <v>1.1000000000000001</v>
      </c>
      <c r="T11" s="5">
        <f t="shared" si="1"/>
        <v>0.7142857142857143</v>
      </c>
      <c r="U11" s="10">
        <f>CHOOSE(MATCH(Tableau14[[#This Row],[Ratio_Torg]],{0,0.59,0.79,1.5},1),3,1,0)</f>
        <v>1</v>
      </c>
      <c r="V11" s="18">
        <v>2</v>
      </c>
      <c r="W11" s="7">
        <v>43880</v>
      </c>
      <c r="X11" s="3">
        <f t="shared" si="2"/>
        <v>15.74</v>
      </c>
      <c r="Y11" s="12">
        <v>15</v>
      </c>
      <c r="Z11" s="1">
        <v>4</v>
      </c>
      <c r="AA11" s="1">
        <v>3</v>
      </c>
      <c r="AB11" s="1">
        <v>1</v>
      </c>
      <c r="AC11" s="1">
        <v>2</v>
      </c>
      <c r="AD11" s="1">
        <v>2</v>
      </c>
      <c r="AE11" s="1">
        <v>3</v>
      </c>
      <c r="AF11" s="2">
        <v>43931</v>
      </c>
      <c r="AG11" s="18">
        <v>2</v>
      </c>
      <c r="AH11" s="20">
        <v>2</v>
      </c>
      <c r="AI11" s="20">
        <v>0</v>
      </c>
    </row>
    <row r="12" spans="1:35" ht="15" customHeight="1" x14ac:dyDescent="0.25">
      <c r="A12" s="3">
        <v>59</v>
      </c>
      <c r="B12" s="3" t="s">
        <v>77</v>
      </c>
      <c r="C12" s="2">
        <v>44313</v>
      </c>
      <c r="D12" s="1" t="s">
        <v>17</v>
      </c>
      <c r="E12" s="4">
        <f>Tableau14[[#This Row],[Pts_Fujiwara]]+Tableau14[[#This Row],[ HT2]]+Tableau14[[#This Row],[LCR]]+Tableau14[[#This Row],[Points_angle_p]]+Tableau14[[#This Row],[Point_Torg]]</f>
        <v>10</v>
      </c>
      <c r="F12" s="1">
        <v>0.78</v>
      </c>
      <c r="G12" s="1">
        <v>0.42</v>
      </c>
      <c r="H12" s="5">
        <v>0.53846153846153844</v>
      </c>
      <c r="I12" s="3">
        <v>4</v>
      </c>
      <c r="J12" s="1">
        <v>1.6</v>
      </c>
      <c r="K12" s="1">
        <v>0.42</v>
      </c>
      <c r="L12" s="5">
        <f t="shared" si="0"/>
        <v>0.26249999999999996</v>
      </c>
      <c r="M12" s="9">
        <f>CHOOSE(MATCH(Tableau14[[#This Row],[Fujiwara_P]],{0,0.39,0.49,1},1),3,1,0)</f>
        <v>3</v>
      </c>
      <c r="N12" s="10">
        <v>2</v>
      </c>
      <c r="O12" s="10">
        <v>4</v>
      </c>
      <c r="P12" s="1">
        <v>-6</v>
      </c>
      <c r="Q12" s="10">
        <f>CHOOSE(MATCH(Tableau14[[#This Row],[Angle_p]],{-50,-14.9,-4.9,50},1),3,1,0)</f>
        <v>1</v>
      </c>
      <c r="R12" s="1">
        <v>1.45</v>
      </c>
      <c r="S12" s="1">
        <v>1.42</v>
      </c>
      <c r="T12" s="5">
        <f t="shared" si="1"/>
        <v>0.97931034482758617</v>
      </c>
      <c r="U12" s="10">
        <f>CHOOSE(MATCH(Tableau14[[#This Row],[Ratio_Torg]],{0,0.59,0.79,1.5},1),3,1,0)</f>
        <v>0</v>
      </c>
      <c r="V12" s="18">
        <v>1</v>
      </c>
      <c r="W12" s="7">
        <v>44343</v>
      </c>
      <c r="X12" s="3">
        <f t="shared" si="2"/>
        <v>14.850000000000001</v>
      </c>
      <c r="Y12" s="12">
        <v>14</v>
      </c>
      <c r="AF12" s="2"/>
      <c r="AG12" s="41" t="e">
        <f>STDEVPA(#REF!,#REF!)</f>
        <v>#REF!</v>
      </c>
      <c r="AH12" s="42" t="e">
        <f>AVERAGE(#REF!,#REF!)</f>
        <v>#REF!</v>
      </c>
      <c r="AI12" s="21"/>
    </row>
    <row r="13" spans="1:35" ht="12.95" customHeight="1" x14ac:dyDescent="0.25">
      <c r="A13" s="3">
        <v>52</v>
      </c>
      <c r="B13" s="3" t="s">
        <v>105</v>
      </c>
      <c r="C13" s="2">
        <v>43165</v>
      </c>
      <c r="D13" s="1" t="s">
        <v>14</v>
      </c>
      <c r="E13" s="4">
        <f>Tableau14[[#This Row],[Pts_Fujiwara]]+Tableau14[[#This Row],[ HT2]]+Tableau14[[#This Row],[LCR]]+Tableau14[[#This Row],[Points_angle_p]]+Tableau14[[#This Row],[Point_Torg]]</f>
        <v>6</v>
      </c>
      <c r="F13" s="1">
        <v>0.57999999999999996</v>
      </c>
      <c r="G13" s="1">
        <v>0.4</v>
      </c>
      <c r="H13" s="5">
        <v>0.68965517241379315</v>
      </c>
      <c r="I13" s="3">
        <v>2</v>
      </c>
      <c r="J13" s="1">
        <v>1.45</v>
      </c>
      <c r="K13" s="1">
        <v>0.4</v>
      </c>
      <c r="L13" s="5">
        <f t="shared" si="0"/>
        <v>0.27586206896551724</v>
      </c>
      <c r="M13" s="9">
        <f>CHOOSE(MATCH(Tableau14[[#This Row],[Fujiwara_P]],{0,0.39,0.49,1},1),3,1,0)</f>
        <v>3</v>
      </c>
      <c r="N13" s="10">
        <v>2</v>
      </c>
      <c r="O13" s="10">
        <v>1</v>
      </c>
      <c r="P13" s="1">
        <v>-1</v>
      </c>
      <c r="Q13" s="10">
        <f>CHOOSE(MATCH(Tableau14[[#This Row],[Angle_p]],{-50,-14.9,-4.9,50},1),3,1,0)</f>
        <v>0</v>
      </c>
      <c r="R13" s="1">
        <v>1.74</v>
      </c>
      <c r="S13" s="1">
        <v>1.41</v>
      </c>
      <c r="T13" s="5">
        <f t="shared" si="1"/>
        <v>0.81034482758620685</v>
      </c>
      <c r="U13" s="10">
        <f>CHOOSE(MATCH(Tableau14[[#This Row],[Ratio_Torg]],{0,0.59,0.79,1.5},1),3,1,0)</f>
        <v>0</v>
      </c>
      <c r="V13" s="18">
        <v>2</v>
      </c>
      <c r="W13" s="7">
        <v>43423</v>
      </c>
      <c r="X13" s="3">
        <f t="shared" si="2"/>
        <v>15.74</v>
      </c>
      <c r="Y13" s="12">
        <v>15</v>
      </c>
      <c r="Z13" s="1">
        <v>4</v>
      </c>
      <c r="AA13" s="1">
        <v>3</v>
      </c>
      <c r="AB13" s="1">
        <v>2</v>
      </c>
      <c r="AC13" s="1">
        <v>1</v>
      </c>
      <c r="AD13" s="1">
        <v>2</v>
      </c>
      <c r="AE13" s="1">
        <v>3</v>
      </c>
      <c r="AF13" s="2">
        <v>43482</v>
      </c>
      <c r="AG13" s="22">
        <v>2</v>
      </c>
      <c r="AH13" s="23">
        <v>2</v>
      </c>
      <c r="AI13" s="23">
        <v>1</v>
      </c>
    </row>
    <row r="14" spans="1:35" ht="14.1" customHeight="1" x14ac:dyDescent="0.25">
      <c r="A14" s="3">
        <v>51</v>
      </c>
      <c r="B14" s="3" t="s">
        <v>62</v>
      </c>
      <c r="C14" s="2">
        <v>43062</v>
      </c>
      <c r="D14" s="1" t="s">
        <v>12</v>
      </c>
      <c r="E14" s="4">
        <f>Tableau14[[#This Row],[Pts_Fujiwara]]+Tableau14[[#This Row],[ HT2]]+Tableau14[[#This Row],[LCR]]+Tableau14[[#This Row],[Points_angle_p]]+Tableau14[[#This Row],[Point_Torg]]</f>
        <v>14</v>
      </c>
      <c r="F14" s="1">
        <v>0.78</v>
      </c>
      <c r="G14" s="1">
        <v>0.4</v>
      </c>
      <c r="H14" s="5">
        <v>0.51282051282051289</v>
      </c>
      <c r="I14" s="3">
        <v>4</v>
      </c>
      <c r="J14" s="1">
        <v>1.44</v>
      </c>
      <c r="K14" s="1">
        <v>0.4</v>
      </c>
      <c r="L14" s="5">
        <f t="shared" si="0"/>
        <v>0.27777777777777779</v>
      </c>
      <c r="M14" s="9">
        <f>CHOOSE(MATCH(Tableau14[[#This Row],[Fujiwara_P]],{0,0.39,0.49,1},1),3,1,0)</f>
        <v>3</v>
      </c>
      <c r="N14" s="10">
        <v>4</v>
      </c>
      <c r="O14" s="10">
        <v>4</v>
      </c>
      <c r="P14" s="1">
        <v>-4</v>
      </c>
      <c r="Q14" s="10">
        <f>CHOOSE(MATCH(Tableau14[[#This Row],[Angle_p]],{-50,-14.9,-4.9,50},1),3,1,0)</f>
        <v>0</v>
      </c>
      <c r="R14" s="1">
        <v>1.69</v>
      </c>
      <c r="S14" s="1">
        <v>0.93</v>
      </c>
      <c r="T14" s="5">
        <f t="shared" si="1"/>
        <v>0.55029585798816572</v>
      </c>
      <c r="U14" s="10">
        <f>CHOOSE(MATCH(Tableau14[[#This Row],[Ratio_Torg]],{0,0.59,0.79,1.5},1),3,1,0)</f>
        <v>3</v>
      </c>
      <c r="V14" s="18">
        <v>3</v>
      </c>
      <c r="W14" s="7">
        <v>43147</v>
      </c>
      <c r="X14" s="3">
        <f t="shared" si="2"/>
        <v>13.07</v>
      </c>
      <c r="Y14" s="12">
        <v>12</v>
      </c>
      <c r="Z14" s="1">
        <v>3</v>
      </c>
      <c r="AA14" s="1">
        <v>2</v>
      </c>
      <c r="AB14" s="1">
        <v>1</v>
      </c>
      <c r="AC14" s="1">
        <v>1</v>
      </c>
      <c r="AD14" s="1">
        <v>2</v>
      </c>
      <c r="AE14" s="1">
        <v>3</v>
      </c>
      <c r="AF14" s="2">
        <v>43104</v>
      </c>
      <c r="AG14" s="18">
        <v>2</v>
      </c>
      <c r="AH14" s="20"/>
      <c r="AI14" s="20">
        <v>2</v>
      </c>
    </row>
    <row r="15" spans="1:35" x14ac:dyDescent="0.25">
      <c r="A15" s="3">
        <v>62</v>
      </c>
      <c r="B15" s="3" t="s">
        <v>68</v>
      </c>
      <c r="C15" s="2">
        <v>42865</v>
      </c>
      <c r="D15" s="1" t="s">
        <v>9</v>
      </c>
      <c r="E15" s="4">
        <f>Tableau14[[#This Row],[Pts_Fujiwara]]+Tableau14[[#This Row],[ HT2]]+Tableau14[[#This Row],[LCR]]+Tableau14[[#This Row],[Points_angle_p]]+Tableau14[[#This Row],[Point_Torg]]</f>
        <v>9</v>
      </c>
      <c r="F15" s="1">
        <v>0.71</v>
      </c>
      <c r="G15" s="1">
        <v>0.52</v>
      </c>
      <c r="H15" s="5">
        <v>0.73239436619718312</v>
      </c>
      <c r="I15" s="3">
        <v>2</v>
      </c>
      <c r="J15" s="1">
        <v>1.85</v>
      </c>
      <c r="K15" s="1">
        <v>0.52</v>
      </c>
      <c r="L15" s="5">
        <f t="shared" si="0"/>
        <v>0.2810810810810811</v>
      </c>
      <c r="M15" s="9">
        <f>CHOOSE(MATCH(Tableau14[[#This Row],[Fujiwara_P]],{0,0.39,0.49,1},1),3,1,0)</f>
        <v>3</v>
      </c>
      <c r="N15" s="10">
        <v>2</v>
      </c>
      <c r="O15" s="10">
        <v>2</v>
      </c>
      <c r="P15" s="1">
        <v>-10.3</v>
      </c>
      <c r="Q15" s="10">
        <f>CHOOSE(MATCH(Tableau14[[#This Row],[Angle_p]],{-50,-14.9,-4.9,50},1),3,1,0)</f>
        <v>1</v>
      </c>
      <c r="R15" s="1">
        <v>1.8</v>
      </c>
      <c r="S15" s="1">
        <v>1.22</v>
      </c>
      <c r="T15" s="5">
        <f t="shared" si="1"/>
        <v>0.6777777777777777</v>
      </c>
      <c r="U15" s="10">
        <f>CHOOSE(MATCH(Tableau14[[#This Row],[Ratio_Torg]],{0,0.59,0.79,1.5},1),3,1,0)</f>
        <v>1</v>
      </c>
      <c r="V15" s="19">
        <v>3</v>
      </c>
      <c r="W15" s="7">
        <v>43244</v>
      </c>
      <c r="X15" s="3">
        <f t="shared" si="2"/>
        <v>10.4</v>
      </c>
      <c r="Y15" s="12">
        <v>9</v>
      </c>
      <c r="Z15" s="1">
        <v>2</v>
      </c>
      <c r="AA15" s="1">
        <v>2</v>
      </c>
      <c r="AB15" s="1">
        <v>1</v>
      </c>
      <c r="AC15" s="1">
        <v>1</v>
      </c>
      <c r="AD15" s="1">
        <v>1</v>
      </c>
      <c r="AE15" s="1">
        <v>2</v>
      </c>
      <c r="AF15" s="2">
        <v>42919</v>
      </c>
      <c r="AG15" s="18">
        <v>0</v>
      </c>
      <c r="AH15" s="20">
        <v>0</v>
      </c>
      <c r="AI15" s="20">
        <v>0</v>
      </c>
    </row>
    <row r="16" spans="1:35" x14ac:dyDescent="0.25">
      <c r="A16" s="3">
        <v>59</v>
      </c>
      <c r="B16" s="3" t="s">
        <v>50</v>
      </c>
      <c r="C16" s="2">
        <v>43194</v>
      </c>
      <c r="D16" s="1" t="s">
        <v>17</v>
      </c>
      <c r="E16" s="4">
        <f>Tableau14[[#This Row],[Pts_Fujiwara]]+Tableau14[[#This Row],[ HT2]]+Tableau14[[#This Row],[LCR]]+Tableau14[[#This Row],[Points_angle_p]]+Tableau14[[#This Row],[Point_Torg]]</f>
        <v>12</v>
      </c>
      <c r="F16" s="1">
        <v>0.66</v>
      </c>
      <c r="G16" s="1">
        <v>0.45</v>
      </c>
      <c r="H16" s="5">
        <v>0.68181818181818177</v>
      </c>
      <c r="I16" s="3">
        <v>2</v>
      </c>
      <c r="J16" s="1">
        <v>1.6</v>
      </c>
      <c r="K16" s="1">
        <v>0.45</v>
      </c>
      <c r="L16" s="5">
        <f t="shared" si="0"/>
        <v>0.28125</v>
      </c>
      <c r="M16" s="9">
        <f>CHOOSE(MATCH(Tableau14[[#This Row],[Fujiwara_P]],{0,0.39,0.49,1},1),3,1,0)</f>
        <v>3</v>
      </c>
      <c r="N16" s="10">
        <v>2</v>
      </c>
      <c r="O16" s="10">
        <v>4</v>
      </c>
      <c r="P16" s="1">
        <v>13</v>
      </c>
      <c r="Q16" s="10">
        <f>CHOOSE(MATCH(Tableau14[[#This Row],[Angle_p]],{-50,-14.9,-4.9,50},1),3,1,0)</f>
        <v>0</v>
      </c>
      <c r="R16" s="1">
        <v>1.73</v>
      </c>
      <c r="S16" s="1">
        <v>1</v>
      </c>
      <c r="T16" s="5">
        <f t="shared" si="1"/>
        <v>0.5780346820809249</v>
      </c>
      <c r="U16" s="10">
        <f>CHOOSE(MATCH(Tableau14[[#This Row],[Ratio_Torg]],{0,0.59,0.79,1.5},1),3,1,0)</f>
        <v>3</v>
      </c>
      <c r="V16" s="18">
        <v>2</v>
      </c>
      <c r="W16" s="7">
        <v>43416</v>
      </c>
      <c r="X16" s="3">
        <f t="shared" si="2"/>
        <v>13.96</v>
      </c>
      <c r="Y16" s="12">
        <v>13</v>
      </c>
      <c r="AF16" s="2">
        <v>43248</v>
      </c>
      <c r="AG16" s="18">
        <v>3</v>
      </c>
      <c r="AH16" s="20">
        <v>1</v>
      </c>
      <c r="AI16" s="20">
        <v>3</v>
      </c>
    </row>
    <row r="17" spans="1:35" x14ac:dyDescent="0.25">
      <c r="A17" s="3">
        <v>68</v>
      </c>
      <c r="B17" s="3" t="s">
        <v>43</v>
      </c>
      <c r="C17" s="2">
        <v>43711</v>
      </c>
      <c r="D17" s="1" t="s">
        <v>17</v>
      </c>
      <c r="E17" s="4">
        <f>Tableau14[[#This Row],[Pts_Fujiwara]]+Tableau14[[#This Row],[ HT2]]+Tableau14[[#This Row],[LCR]]+Tableau14[[#This Row],[Points_angle_p]]+Tableau14[[#This Row],[Point_Torg]]</f>
        <v>9</v>
      </c>
      <c r="F17" s="1">
        <v>0.59</v>
      </c>
      <c r="G17" s="1">
        <v>0.34</v>
      </c>
      <c r="H17" s="5">
        <v>0.57627118644067798</v>
      </c>
      <c r="I17" s="3">
        <v>4</v>
      </c>
      <c r="J17" s="1">
        <v>1.18</v>
      </c>
      <c r="K17" s="1">
        <v>0.34</v>
      </c>
      <c r="L17" s="5">
        <f t="shared" si="0"/>
        <v>0.28813559322033899</v>
      </c>
      <c r="M17" s="9">
        <f>CHOOSE(MATCH(Tableau14[[#This Row],[Fujiwara_P]],{0,0.39,0.49,1},1),3,1,0)</f>
        <v>3</v>
      </c>
      <c r="N17" s="10">
        <v>2</v>
      </c>
      <c r="O17" s="10">
        <v>1</v>
      </c>
      <c r="P17" s="1">
        <v>5</v>
      </c>
      <c r="Q17" s="10">
        <f>CHOOSE(MATCH(Tableau14[[#This Row],[Angle_p]],{-50,-14.9,-4.9,50},1),3,1,0)</f>
        <v>0</v>
      </c>
      <c r="R17" s="1">
        <v>1.8</v>
      </c>
      <c r="S17" s="1">
        <v>0.96</v>
      </c>
      <c r="T17" s="5">
        <f t="shared" si="1"/>
        <v>0.53333333333333333</v>
      </c>
      <c r="U17" s="10">
        <f>CHOOSE(MATCH(Tableau14[[#This Row],[Ratio_Torg]],{0,0.59,0.79,1.5},1),3,1,0)</f>
        <v>3</v>
      </c>
      <c r="V17" s="18">
        <v>4</v>
      </c>
      <c r="W17" s="7">
        <v>43502</v>
      </c>
      <c r="X17" s="3">
        <f t="shared" si="2"/>
        <v>6.84</v>
      </c>
      <c r="Y17" s="12">
        <v>5</v>
      </c>
      <c r="AF17" s="2">
        <v>43560</v>
      </c>
      <c r="AG17" s="19">
        <v>2</v>
      </c>
      <c r="AH17" s="21">
        <v>2</v>
      </c>
      <c r="AI17" s="21">
        <v>0</v>
      </c>
    </row>
    <row r="18" spans="1:35" x14ac:dyDescent="0.25">
      <c r="A18" s="3">
        <v>84</v>
      </c>
      <c r="B18" s="3" t="s">
        <v>31</v>
      </c>
      <c r="C18" s="2">
        <v>43627</v>
      </c>
      <c r="D18" s="1" t="s">
        <v>14</v>
      </c>
      <c r="E18" s="4">
        <f>Tableau14[[#This Row],[Pts_Fujiwara]]+Tableau14[[#This Row],[ HT2]]+Tableau14[[#This Row],[LCR]]+Tableau14[[#This Row],[Points_angle_p]]+Tableau14[[#This Row],[Point_Torg]]</f>
        <v>12</v>
      </c>
      <c r="F18" s="1">
        <v>0.56000000000000005</v>
      </c>
      <c r="G18" s="1">
        <v>0.4</v>
      </c>
      <c r="H18" s="5">
        <v>0.7142857142857143</v>
      </c>
      <c r="I18" s="3">
        <v>2</v>
      </c>
      <c r="J18" s="1">
        <v>1.45</v>
      </c>
      <c r="K18" s="1">
        <v>0.42</v>
      </c>
      <c r="L18" s="5">
        <f t="shared" si="0"/>
        <v>0.28965517241379313</v>
      </c>
      <c r="M18" s="9">
        <f>CHOOSE(MATCH(Tableau14[[#This Row],[Fujiwara_P]],{0,0.39,0.49,1},1),3,1,0)</f>
        <v>3</v>
      </c>
      <c r="N18" s="10">
        <v>4</v>
      </c>
      <c r="O18" s="10">
        <v>4</v>
      </c>
      <c r="P18" s="1">
        <v>3.2</v>
      </c>
      <c r="Q18" s="10">
        <f>CHOOSE(MATCH(Tableau14[[#This Row],[Angle_p]],{-50,-14.9,-4.9,50},1),3,1,0)</f>
        <v>0</v>
      </c>
      <c r="R18" s="1">
        <v>1.57</v>
      </c>
      <c r="S18" s="1">
        <v>1.02</v>
      </c>
      <c r="T18" s="5">
        <f t="shared" si="1"/>
        <v>0.64968152866242035</v>
      </c>
      <c r="U18" s="10">
        <f>CHOOSE(MATCH(Tableau14[[#This Row],[Ratio_Torg]],{0,0.59,0.79,1.5},1),3,1,0)</f>
        <v>1</v>
      </c>
      <c r="V18" s="19">
        <v>4</v>
      </c>
      <c r="W18" s="7">
        <v>43633</v>
      </c>
      <c r="X18" s="3">
        <f t="shared" si="2"/>
        <v>13.07</v>
      </c>
      <c r="Y18" s="12">
        <v>12</v>
      </c>
      <c r="AF18" s="2">
        <v>43742</v>
      </c>
      <c r="AG18" s="19">
        <v>3</v>
      </c>
      <c r="AH18" s="21">
        <v>2</v>
      </c>
      <c r="AI18" s="21">
        <v>3</v>
      </c>
    </row>
    <row r="19" spans="1:35" x14ac:dyDescent="0.25">
      <c r="A19" s="3">
        <v>76</v>
      </c>
      <c r="B19" s="3" t="s">
        <v>109</v>
      </c>
      <c r="C19" s="2">
        <v>43844</v>
      </c>
      <c r="D19" s="1" t="s">
        <v>17</v>
      </c>
      <c r="E19" s="4">
        <f>Tableau14[[#This Row],[Pts_Fujiwara]]+Tableau14[[#This Row],[ HT2]]+Tableau14[[#This Row],[LCR]]+Tableau14[[#This Row],[Points_angle_p]]+Tableau14[[#This Row],[Point_Torg]]</f>
        <v>7</v>
      </c>
      <c r="F19" s="1">
        <v>0.67</v>
      </c>
      <c r="G19" s="1">
        <v>0.4</v>
      </c>
      <c r="H19" s="5">
        <v>0.59701492537313428</v>
      </c>
      <c r="I19" s="3">
        <v>2</v>
      </c>
      <c r="J19" s="1">
        <v>1.38</v>
      </c>
      <c r="K19" s="1">
        <v>0.4</v>
      </c>
      <c r="L19" s="5">
        <f t="shared" si="0"/>
        <v>0.28985507246376818</v>
      </c>
      <c r="M19" s="9">
        <f>CHOOSE(MATCH(Tableau14[[#This Row],[Fujiwara_P]],{0,0.39,0.49,1},1),3,1,0)</f>
        <v>3</v>
      </c>
      <c r="N19" s="10">
        <v>0</v>
      </c>
      <c r="O19" s="10">
        <v>4</v>
      </c>
      <c r="P19" s="1">
        <v>0.4</v>
      </c>
      <c r="Q19" s="10">
        <f>CHOOSE(MATCH(Tableau14[[#This Row],[Angle_p]],{-50,-14.9,-4.9,50},1),3,1,0)</f>
        <v>0</v>
      </c>
      <c r="R19" s="1">
        <v>1.34</v>
      </c>
      <c r="S19" s="1">
        <v>1.37</v>
      </c>
      <c r="T19" s="5">
        <f t="shared" si="1"/>
        <v>1.0223880597014925</v>
      </c>
      <c r="U19" s="10">
        <f>CHOOSE(MATCH(Tableau14[[#This Row],[Ratio_Torg]],{0,0.59,0.79,1.5},1),3,1,0)</f>
        <v>0</v>
      </c>
      <c r="V19" s="19">
        <v>2</v>
      </c>
      <c r="W19" s="7">
        <v>43978</v>
      </c>
      <c r="X19" s="3">
        <f t="shared" si="2"/>
        <v>13.07</v>
      </c>
      <c r="Y19" s="12">
        <v>12</v>
      </c>
      <c r="Z19" s="1">
        <v>4</v>
      </c>
      <c r="AA19" s="1">
        <v>1</v>
      </c>
      <c r="AB19" s="1">
        <v>2</v>
      </c>
      <c r="AC19" s="1">
        <v>1</v>
      </c>
      <c r="AD19" s="1">
        <v>2</v>
      </c>
      <c r="AE19" s="1">
        <v>2</v>
      </c>
      <c r="AF19" s="2">
        <v>43978</v>
      </c>
      <c r="AG19" s="22">
        <v>2</v>
      </c>
      <c r="AH19" s="23">
        <v>2</v>
      </c>
      <c r="AI19" s="23">
        <v>2</v>
      </c>
    </row>
    <row r="20" spans="1:35" x14ac:dyDescent="0.25">
      <c r="A20" s="3">
        <v>75</v>
      </c>
      <c r="B20" s="3" t="s">
        <v>47</v>
      </c>
      <c r="C20" s="2">
        <v>43783</v>
      </c>
      <c r="D20" s="1" t="s">
        <v>9</v>
      </c>
      <c r="E20" s="4">
        <f>Tableau14[[#This Row],[Pts_Fujiwara]]+Tableau14[[#This Row],[ HT2]]+Tableau14[[#This Row],[LCR]]+Tableau14[[#This Row],[Points_angle_p]]+Tableau14[[#This Row],[Point_Torg]]</f>
        <v>14</v>
      </c>
      <c r="F20" s="1">
        <v>0.76</v>
      </c>
      <c r="G20" s="1">
        <v>0.28999999999999998</v>
      </c>
      <c r="H20" s="5">
        <v>0.38157894736842102</v>
      </c>
      <c r="I20" s="3">
        <v>4</v>
      </c>
      <c r="J20" s="1">
        <v>1.34</v>
      </c>
      <c r="K20" s="1">
        <v>0.28999999999999998</v>
      </c>
      <c r="L20" s="5">
        <v>0.28999999999999998</v>
      </c>
      <c r="M20" s="9">
        <f>CHOOSE(MATCH(Tableau14[[#This Row],[Fujiwara_P]],{0,0.39,0.49,1},1),3,1,0)</f>
        <v>3</v>
      </c>
      <c r="N20" s="10">
        <v>4</v>
      </c>
      <c r="O20" s="10">
        <v>4</v>
      </c>
      <c r="P20" s="1">
        <v>1.2</v>
      </c>
      <c r="Q20" s="10">
        <f>CHOOSE(MATCH(Tableau14[[#This Row],[Angle_p]],{-50,-14.9,-4.9,50},1),3,1,0)</f>
        <v>0</v>
      </c>
      <c r="R20" s="1">
        <v>1.85</v>
      </c>
      <c r="S20" s="1">
        <v>0.89</v>
      </c>
      <c r="T20" s="5">
        <f t="shared" si="1"/>
        <v>0.48108108108108105</v>
      </c>
      <c r="U20" s="10">
        <f>CHOOSE(MATCH(Tableau14[[#This Row],[Ratio_Torg]],{0,0.59,0.79,1.5},1),3,1,0)</f>
        <v>3</v>
      </c>
      <c r="V20" s="19">
        <v>3</v>
      </c>
      <c r="W20" s="7">
        <v>43811</v>
      </c>
      <c r="X20" s="3">
        <f t="shared" si="2"/>
        <v>13.07</v>
      </c>
      <c r="Y20" s="12">
        <v>12</v>
      </c>
      <c r="Z20" s="1">
        <v>3</v>
      </c>
      <c r="AA20" s="1">
        <v>3</v>
      </c>
      <c r="AB20" s="1">
        <v>1</v>
      </c>
      <c r="AC20" s="1">
        <v>2</v>
      </c>
      <c r="AD20" s="1">
        <v>2</v>
      </c>
      <c r="AE20" s="1">
        <v>1</v>
      </c>
      <c r="AF20" s="2">
        <v>43826</v>
      </c>
      <c r="AG20" s="19">
        <v>2</v>
      </c>
      <c r="AH20" s="21">
        <v>2</v>
      </c>
      <c r="AI20" s="21">
        <v>2</v>
      </c>
    </row>
    <row r="21" spans="1:35" x14ac:dyDescent="0.25">
      <c r="A21" s="3">
        <v>72</v>
      </c>
      <c r="B21" s="3" t="s">
        <v>11</v>
      </c>
      <c r="C21" s="2">
        <v>43356</v>
      </c>
      <c r="D21" s="1" t="s">
        <v>12</v>
      </c>
      <c r="E21" s="4">
        <f>Tableau14[[#This Row],[Pts_Fujiwara]]+Tableau14[[#This Row],[ HT2]]+Tableau14[[#This Row],[LCR]]+Tableau14[[#This Row],[Points_angle_p]]+Tableau14[[#This Row],[Point_Torg]]</f>
        <v>8</v>
      </c>
      <c r="F21" s="1">
        <v>0.7</v>
      </c>
      <c r="G21" s="1">
        <v>0.43</v>
      </c>
      <c r="H21" s="5">
        <v>0.61428571428571432</v>
      </c>
      <c r="I21" s="3">
        <v>2</v>
      </c>
      <c r="J21" s="1">
        <v>1.47</v>
      </c>
      <c r="K21" s="1">
        <v>0.43</v>
      </c>
      <c r="L21" s="5">
        <f t="shared" ref="L21:L52" si="3">K21/J21</f>
        <v>0.29251700680272108</v>
      </c>
      <c r="M21" s="9">
        <f>CHOOSE(MATCH(Tableau14[[#This Row],[Fujiwara_P]],{0,0.39,0.49,1},1),3,1,0)</f>
        <v>3</v>
      </c>
      <c r="N21" s="10">
        <v>4</v>
      </c>
      <c r="O21" s="10">
        <v>1</v>
      </c>
      <c r="P21" s="1">
        <v>8</v>
      </c>
      <c r="Q21" s="10">
        <f>CHOOSE(MATCH(Tableau14[[#This Row],[Angle_p]],{-50,-14.9,-4.9,50},1),3,1,0)</f>
        <v>0</v>
      </c>
      <c r="R21" s="1">
        <v>1.39</v>
      </c>
      <c r="S21" s="1">
        <v>1.25</v>
      </c>
      <c r="T21" s="5">
        <f t="shared" si="1"/>
        <v>0.89928057553956842</v>
      </c>
      <c r="U21" s="10">
        <f>CHOOSE(MATCH(Tableau14[[#This Row],[Ratio_Torg]],{0,0.59,0.79,1.5},1),3,1,0)</f>
        <v>0</v>
      </c>
      <c r="V21" s="18">
        <v>1</v>
      </c>
      <c r="W21" s="7">
        <v>43698</v>
      </c>
      <c r="X21" s="3">
        <f t="shared" si="2"/>
        <v>13.96</v>
      </c>
      <c r="Y21" s="12">
        <v>13</v>
      </c>
      <c r="AF21" s="2">
        <v>43374</v>
      </c>
      <c r="AG21" s="18">
        <v>2</v>
      </c>
      <c r="AH21" s="20">
        <v>1</v>
      </c>
      <c r="AI21" s="20">
        <v>2</v>
      </c>
    </row>
    <row r="22" spans="1:35" x14ac:dyDescent="0.25">
      <c r="A22" s="3">
        <v>71</v>
      </c>
      <c r="B22" s="3" t="s">
        <v>108</v>
      </c>
      <c r="C22" s="2">
        <v>43906</v>
      </c>
      <c r="D22" s="1" t="s">
        <v>17</v>
      </c>
      <c r="E22" s="4">
        <f>Tableau14[[#This Row],[Pts_Fujiwara]]+Tableau14[[#This Row],[ HT2]]+Tableau14[[#This Row],[LCR]]+Tableau14[[#This Row],[Points_angle_p]]+Tableau14[[#This Row],[Point_Torg]]</f>
        <v>9</v>
      </c>
      <c r="F22" s="1">
        <v>0.68</v>
      </c>
      <c r="G22" s="1">
        <v>0.44</v>
      </c>
      <c r="H22" s="5">
        <v>0.64705882352941169</v>
      </c>
      <c r="I22" s="3">
        <v>2</v>
      </c>
      <c r="J22" s="1">
        <v>1.5</v>
      </c>
      <c r="K22" s="1">
        <v>0.44</v>
      </c>
      <c r="L22" s="5">
        <f t="shared" si="3"/>
        <v>0.29333333333333333</v>
      </c>
      <c r="M22" s="9">
        <f>CHOOSE(MATCH(Tableau14[[#This Row],[Fujiwara_P]],{0,0.39,0.49,1},1),3,1,0)</f>
        <v>3</v>
      </c>
      <c r="N22" s="10">
        <v>2</v>
      </c>
      <c r="O22" s="10">
        <v>4</v>
      </c>
      <c r="P22" s="1">
        <v>-4.0999999999999996</v>
      </c>
      <c r="Q22" s="10">
        <f>CHOOSE(MATCH(Tableau14[[#This Row],[Angle_p]],{-50,-14.9,-4.9,50},1),3,1,0)</f>
        <v>0</v>
      </c>
      <c r="R22" s="1">
        <v>1.7</v>
      </c>
      <c r="S22" s="1">
        <v>1.4</v>
      </c>
      <c r="T22" s="5">
        <f t="shared" si="1"/>
        <v>0.82352941176470584</v>
      </c>
      <c r="U22" s="10">
        <f>CHOOSE(MATCH(Tableau14[[#This Row],[Ratio_Torg]],{0,0.59,0.79,1.5},1),3,1,0)</f>
        <v>0</v>
      </c>
      <c r="V22" s="19">
        <v>3</v>
      </c>
      <c r="W22" s="7">
        <v>43970</v>
      </c>
      <c r="X22" s="3">
        <f t="shared" si="2"/>
        <v>9.51</v>
      </c>
      <c r="Y22" s="12">
        <v>8</v>
      </c>
      <c r="Z22" s="1">
        <v>0</v>
      </c>
      <c r="AA22" s="1">
        <v>3</v>
      </c>
      <c r="AB22" s="1">
        <v>2</v>
      </c>
      <c r="AC22" s="1">
        <v>1</v>
      </c>
      <c r="AD22" s="1">
        <v>2</v>
      </c>
      <c r="AE22" s="1">
        <v>0</v>
      </c>
      <c r="AF22" s="2"/>
      <c r="AG22" s="19"/>
      <c r="AH22" s="21"/>
      <c r="AI22" s="21"/>
    </row>
    <row r="23" spans="1:35" x14ac:dyDescent="0.25">
      <c r="A23" s="3">
        <v>61</v>
      </c>
      <c r="B23" s="3" t="s">
        <v>52</v>
      </c>
      <c r="C23" s="2">
        <v>43370</v>
      </c>
      <c r="D23" s="1" t="s">
        <v>17</v>
      </c>
      <c r="E23" s="4">
        <f>Tableau14[[#This Row],[Pts_Fujiwara]]+Tableau14[[#This Row],[ HT2]]+Tableau14[[#This Row],[LCR]]+Tableau14[[#This Row],[Points_angle_p]]+Tableau14[[#This Row],[Point_Torg]]</f>
        <v>6</v>
      </c>
      <c r="F23" s="1">
        <v>0.66</v>
      </c>
      <c r="G23" s="1">
        <v>0.42</v>
      </c>
      <c r="H23" s="5">
        <v>0.63636363636363635</v>
      </c>
      <c r="I23" s="3">
        <v>2</v>
      </c>
      <c r="J23" s="1">
        <v>1.42</v>
      </c>
      <c r="K23" s="1">
        <v>0.42</v>
      </c>
      <c r="L23" s="5">
        <f t="shared" si="3"/>
        <v>0.29577464788732394</v>
      </c>
      <c r="M23" s="9">
        <f>CHOOSE(MATCH(Tableau14[[#This Row],[Fujiwara_P]],{0,0.39,0.49,1},1),3,1,0)</f>
        <v>3</v>
      </c>
      <c r="N23" s="10">
        <v>0</v>
      </c>
      <c r="O23" s="10">
        <v>1</v>
      </c>
      <c r="P23" s="1">
        <v>-11</v>
      </c>
      <c r="Q23" s="10">
        <f>CHOOSE(MATCH(Tableau14[[#This Row],[Angle_p]],{-50,-14.9,-4.9,50},1),3,1,0)</f>
        <v>1</v>
      </c>
      <c r="R23" s="1">
        <v>1.33</v>
      </c>
      <c r="S23" s="1">
        <v>0.85</v>
      </c>
      <c r="T23" s="5">
        <f t="shared" si="1"/>
        <v>0.63909774436090216</v>
      </c>
      <c r="U23" s="10">
        <f>CHOOSE(MATCH(Tableau14[[#This Row],[Ratio_Torg]],{0,0.59,0.79,1.5},1),3,1,0)</f>
        <v>1</v>
      </c>
      <c r="V23" s="19">
        <v>1</v>
      </c>
      <c r="W23" s="7">
        <v>43417</v>
      </c>
      <c r="X23" s="3">
        <f t="shared" si="2"/>
        <v>12.180000000000001</v>
      </c>
      <c r="Y23" s="12">
        <v>11</v>
      </c>
      <c r="AF23" s="2">
        <v>43475</v>
      </c>
      <c r="AG23" s="18">
        <v>0</v>
      </c>
      <c r="AH23" s="20">
        <v>0</v>
      </c>
      <c r="AI23" s="20">
        <v>0</v>
      </c>
    </row>
    <row r="24" spans="1:35" x14ac:dyDescent="0.25">
      <c r="A24" s="3">
        <v>76</v>
      </c>
      <c r="B24" s="3" t="s">
        <v>36</v>
      </c>
      <c r="C24" s="2">
        <v>44036</v>
      </c>
      <c r="D24" s="1" t="s">
        <v>17</v>
      </c>
      <c r="E24" s="4">
        <f>Tableau14[[#This Row],[Pts_Fujiwara]]+Tableau14[[#This Row],[ HT2]]+Tableau14[[#This Row],[LCR]]+Tableau14[[#This Row],[Points_angle_p]]+Tableau14[[#This Row],[Point_Torg]]</f>
        <v>4</v>
      </c>
      <c r="F24" s="1">
        <v>0.6</v>
      </c>
      <c r="G24" s="1">
        <v>0.48</v>
      </c>
      <c r="H24" s="5">
        <v>0.8</v>
      </c>
      <c r="I24" s="3">
        <v>1</v>
      </c>
      <c r="J24" s="1">
        <v>1.6</v>
      </c>
      <c r="K24" s="1">
        <v>0.48</v>
      </c>
      <c r="L24" s="5">
        <f t="shared" si="3"/>
        <v>0.3</v>
      </c>
      <c r="M24" s="9">
        <f>CHOOSE(MATCH(Tableau14[[#This Row],[Fujiwara_P]],{0,0.39,0.49,1},1),3,1,0)</f>
        <v>3</v>
      </c>
      <c r="N24" s="10">
        <v>0</v>
      </c>
      <c r="O24" s="10">
        <v>1</v>
      </c>
      <c r="P24" s="1">
        <v>-1</v>
      </c>
      <c r="Q24" s="10">
        <f>CHOOSE(MATCH(Tableau14[[#This Row],[Angle_p]],{-50,-14.9,-4.9,50},1),3,1,0)</f>
        <v>0</v>
      </c>
      <c r="R24" s="1">
        <v>1.27</v>
      </c>
      <c r="S24" s="1">
        <v>1.02</v>
      </c>
      <c r="T24" s="5">
        <f t="shared" si="1"/>
        <v>0.80314960629921262</v>
      </c>
      <c r="U24" s="10">
        <f>CHOOSE(MATCH(Tableau14[[#This Row],[Ratio_Torg]],{0,0.59,0.79,1.5},1),3,1,0)</f>
        <v>0</v>
      </c>
      <c r="V24" s="19">
        <v>3</v>
      </c>
      <c r="W24" s="7">
        <v>43748</v>
      </c>
      <c r="X24" s="3">
        <f t="shared" si="2"/>
        <v>17.52</v>
      </c>
      <c r="Y24" s="12">
        <v>17</v>
      </c>
      <c r="Z24" s="1">
        <v>4</v>
      </c>
      <c r="AA24" s="1">
        <v>4</v>
      </c>
      <c r="AB24" s="1">
        <v>2</v>
      </c>
      <c r="AC24" s="1">
        <v>2</v>
      </c>
      <c r="AD24" s="1">
        <v>2</v>
      </c>
      <c r="AE24" s="1">
        <v>3</v>
      </c>
      <c r="AF24" s="2">
        <v>44036</v>
      </c>
      <c r="AG24" s="18">
        <v>0</v>
      </c>
      <c r="AH24" s="20">
        <v>0</v>
      </c>
      <c r="AI24" s="20">
        <v>0</v>
      </c>
    </row>
    <row r="25" spans="1:35" x14ac:dyDescent="0.25">
      <c r="A25" s="3">
        <v>68</v>
      </c>
      <c r="B25" s="3" t="s">
        <v>25</v>
      </c>
      <c r="C25" s="2">
        <v>43315</v>
      </c>
      <c r="D25" s="1" t="s">
        <v>14</v>
      </c>
      <c r="E25" s="4">
        <f>Tableau14[[#This Row],[Pts_Fujiwara]]+Tableau14[[#This Row],[ HT2]]+Tableau14[[#This Row],[LCR]]+Tableau14[[#This Row],[Points_angle_p]]+Tableau14[[#This Row],[Point_Torg]]</f>
        <v>8</v>
      </c>
      <c r="F25" s="1">
        <v>0.66</v>
      </c>
      <c r="G25" s="1">
        <v>0.32</v>
      </c>
      <c r="H25" s="5">
        <v>0.48484848484848486</v>
      </c>
      <c r="I25" s="3">
        <v>4</v>
      </c>
      <c r="J25" s="1">
        <v>1.06</v>
      </c>
      <c r="K25" s="1">
        <v>0.32</v>
      </c>
      <c r="L25" s="5">
        <f t="shared" si="3"/>
        <v>0.30188679245283018</v>
      </c>
      <c r="M25" s="9">
        <f>CHOOSE(MATCH(Tableau14[[#This Row],[Fujiwara_P]],{0,0.39,0.49,1},1),3,1,0)</f>
        <v>3</v>
      </c>
      <c r="N25" s="10">
        <v>2</v>
      </c>
      <c r="O25" s="10">
        <v>2</v>
      </c>
      <c r="P25" s="1">
        <v>16</v>
      </c>
      <c r="Q25" s="10">
        <f>CHOOSE(MATCH(Tableau14[[#This Row],[Angle_p]],{-50,-14.9,-4.9,50},1),3,1,0)</f>
        <v>0</v>
      </c>
      <c r="R25" s="1">
        <v>1.63</v>
      </c>
      <c r="S25" s="1">
        <v>1.24</v>
      </c>
      <c r="T25" s="5">
        <f t="shared" si="1"/>
        <v>0.76073619631901845</v>
      </c>
      <c r="U25" s="10">
        <f>CHOOSE(MATCH(Tableau14[[#This Row],[Ratio_Torg]],{0,0.59,0.79,1.5},1),3,1,0)</f>
        <v>1</v>
      </c>
      <c r="V25" s="19">
        <v>2</v>
      </c>
      <c r="W25" s="7">
        <v>43171</v>
      </c>
      <c r="X25" s="3">
        <f t="shared" si="2"/>
        <v>8.620000000000001</v>
      </c>
      <c r="Y25" s="12">
        <v>7</v>
      </c>
      <c r="AF25" s="2">
        <v>43315</v>
      </c>
      <c r="AG25" s="19">
        <v>2</v>
      </c>
      <c r="AH25" s="21">
        <v>2</v>
      </c>
      <c r="AI25" s="21">
        <v>2</v>
      </c>
    </row>
    <row r="26" spans="1:35" x14ac:dyDescent="0.25">
      <c r="A26" s="3">
        <v>44</v>
      </c>
      <c r="B26" s="3" t="s">
        <v>13</v>
      </c>
      <c r="C26" s="2">
        <v>43650</v>
      </c>
      <c r="D26" s="1" t="s">
        <v>14</v>
      </c>
      <c r="E26" s="4">
        <f>Tableau14[[#This Row],[Pts_Fujiwara]]+Tableau14[[#This Row],[ HT2]]+Tableau14[[#This Row],[LCR]]+Tableau14[[#This Row],[Points_angle_p]]+Tableau14[[#This Row],[Point_Torg]]</f>
        <v>7</v>
      </c>
      <c r="F26" s="1">
        <v>0.81</v>
      </c>
      <c r="G26" s="1">
        <v>0.54</v>
      </c>
      <c r="H26" s="5">
        <v>0.66666666666666663</v>
      </c>
      <c r="I26" s="3">
        <v>2</v>
      </c>
      <c r="J26" s="1">
        <v>1.78</v>
      </c>
      <c r="K26" s="1">
        <v>0.54</v>
      </c>
      <c r="L26" s="5">
        <f t="shared" si="3"/>
        <v>0.30337078651685395</v>
      </c>
      <c r="M26" s="9">
        <f>CHOOSE(MATCH(Tableau14[[#This Row],[Fujiwara_P]],{0,0.39,0.49,1},1),3,1,0)</f>
        <v>3</v>
      </c>
      <c r="N26" s="10">
        <v>2</v>
      </c>
      <c r="O26" s="10">
        <v>2</v>
      </c>
      <c r="P26" s="1">
        <v>0</v>
      </c>
      <c r="Q26" s="10">
        <f>CHOOSE(MATCH(Tableau14[[#This Row],[Angle_p]],{-50,-14.9,-4.9,50},1),3,1,0)</f>
        <v>0</v>
      </c>
      <c r="R26" s="1">
        <v>1.45</v>
      </c>
      <c r="S26" s="1">
        <v>1.24</v>
      </c>
      <c r="T26" s="5">
        <f t="shared" si="1"/>
        <v>0.85517241379310349</v>
      </c>
      <c r="U26" s="10">
        <f>CHOOSE(MATCH(Tableau14[[#This Row],[Ratio_Torg]],{0,0.59,0.79,1.5},1),3,1,0)</f>
        <v>0</v>
      </c>
      <c r="V26" s="19">
        <v>1</v>
      </c>
      <c r="W26" s="7">
        <v>43791</v>
      </c>
      <c r="X26" s="3">
        <f t="shared" si="2"/>
        <v>14.850000000000001</v>
      </c>
      <c r="Y26" s="12">
        <v>14</v>
      </c>
      <c r="AF26" s="2"/>
      <c r="AG26" s="19"/>
      <c r="AH26" s="21"/>
      <c r="AI26" s="21"/>
    </row>
    <row r="27" spans="1:35" x14ac:dyDescent="0.25">
      <c r="A27" s="3">
        <v>55</v>
      </c>
      <c r="B27" s="3" t="s">
        <v>59</v>
      </c>
      <c r="C27" s="2">
        <v>43152</v>
      </c>
      <c r="D27" s="1" t="s">
        <v>9</v>
      </c>
      <c r="E27" s="4">
        <f>Tableau14[[#This Row],[Pts_Fujiwara]]+Tableau14[[#This Row],[ HT2]]+Tableau14[[#This Row],[LCR]]+Tableau14[[#This Row],[Points_angle_p]]+Tableau14[[#This Row],[Point_Torg]]</f>
        <v>12</v>
      </c>
      <c r="F27" s="1">
        <v>0.73</v>
      </c>
      <c r="G27" s="1">
        <v>0.45</v>
      </c>
      <c r="H27" s="5">
        <v>0.61643835616438358</v>
      </c>
      <c r="I27" s="3">
        <v>2</v>
      </c>
      <c r="J27" s="1">
        <v>1.48</v>
      </c>
      <c r="K27" s="1">
        <v>0.45</v>
      </c>
      <c r="L27" s="5">
        <f t="shared" si="3"/>
        <v>0.30405405405405406</v>
      </c>
      <c r="M27" s="9">
        <f>CHOOSE(MATCH(Tableau14[[#This Row],[Fujiwara_P]],{0,0.39,0.49,1},1),3,1,0)</f>
        <v>3</v>
      </c>
      <c r="N27" s="10">
        <v>4</v>
      </c>
      <c r="O27" s="10">
        <v>4</v>
      </c>
      <c r="P27" s="1">
        <v>1</v>
      </c>
      <c r="Q27" s="10">
        <f>CHOOSE(MATCH(Tableau14[[#This Row],[Angle_p]],{-50,-14.9,-4.9,50},1),3,1,0)</f>
        <v>0</v>
      </c>
      <c r="R27" s="1">
        <v>1.62</v>
      </c>
      <c r="S27" s="1">
        <v>1.25</v>
      </c>
      <c r="T27" s="5">
        <f t="shared" si="1"/>
        <v>0.77160493827160492</v>
      </c>
      <c r="U27" s="10">
        <f>CHOOSE(MATCH(Tableau14[[#This Row],[Ratio_Torg]],{0,0.59,0.79,1.5},1),3,1,0)</f>
        <v>1</v>
      </c>
      <c r="V27" s="18">
        <v>2</v>
      </c>
      <c r="W27" s="7">
        <v>43179</v>
      </c>
      <c r="X27" s="3">
        <f t="shared" si="2"/>
        <v>12.180000000000001</v>
      </c>
      <c r="Y27" s="12">
        <v>11</v>
      </c>
      <c r="Z27" s="1">
        <v>4</v>
      </c>
      <c r="AA27" s="1">
        <v>1</v>
      </c>
      <c r="AB27" s="1">
        <v>2</v>
      </c>
      <c r="AC27" s="1">
        <v>1</v>
      </c>
      <c r="AD27" s="1">
        <v>1</v>
      </c>
      <c r="AE27" s="1">
        <v>2</v>
      </c>
      <c r="AF27" s="2"/>
      <c r="AG27" s="19"/>
      <c r="AH27" s="21"/>
      <c r="AI27" s="21"/>
    </row>
    <row r="28" spans="1:35" x14ac:dyDescent="0.25">
      <c r="A28" s="3">
        <v>79</v>
      </c>
      <c r="B28" s="3" t="s">
        <v>55</v>
      </c>
      <c r="C28" s="2">
        <v>43665</v>
      </c>
      <c r="D28" s="1" t="s">
        <v>17</v>
      </c>
      <c r="E28" s="4">
        <f>Tableau14[[#This Row],[Pts_Fujiwara]]+Tableau14[[#This Row],[ HT2]]+Tableau14[[#This Row],[LCR]]+Tableau14[[#This Row],[Points_angle_p]]+Tableau14[[#This Row],[Point_Torg]]</f>
        <v>8</v>
      </c>
      <c r="F28" s="1">
        <v>0.72</v>
      </c>
      <c r="G28" s="1">
        <v>0.4</v>
      </c>
      <c r="H28" s="5">
        <v>0.55555555555555558</v>
      </c>
      <c r="I28" s="3">
        <v>4</v>
      </c>
      <c r="J28" s="1">
        <v>1.3</v>
      </c>
      <c r="K28" s="1">
        <v>0.4</v>
      </c>
      <c r="L28" s="5">
        <f t="shared" si="3"/>
        <v>0.30769230769230771</v>
      </c>
      <c r="M28" s="9">
        <f>CHOOSE(MATCH(Tableau14[[#This Row],[Fujiwara_P]],{0,0.39,0.49,1},1),3,1,0)</f>
        <v>3</v>
      </c>
      <c r="N28" s="10">
        <v>0</v>
      </c>
      <c r="O28" s="10">
        <v>4</v>
      </c>
      <c r="P28" s="1">
        <v>-3.1</v>
      </c>
      <c r="Q28" s="10">
        <f>CHOOSE(MATCH(Tableau14[[#This Row],[Angle_p]],{-50,-14.9,-4.9,50},1),3,1,0)</f>
        <v>0</v>
      </c>
      <c r="R28" s="1">
        <v>1.75</v>
      </c>
      <c r="S28" s="1">
        <v>1.28</v>
      </c>
      <c r="T28" s="5">
        <f t="shared" si="1"/>
        <v>0.73142857142857143</v>
      </c>
      <c r="U28" s="10">
        <f>CHOOSE(MATCH(Tableau14[[#This Row],[Ratio_Torg]],{0,0.59,0.79,1.5},1),3,1,0)</f>
        <v>1</v>
      </c>
      <c r="V28" s="18">
        <v>2</v>
      </c>
      <c r="W28" s="7">
        <v>43683</v>
      </c>
      <c r="X28" s="3">
        <f t="shared" si="2"/>
        <v>13.96</v>
      </c>
      <c r="Y28" s="12">
        <v>13</v>
      </c>
      <c r="Z28" s="1">
        <v>2</v>
      </c>
      <c r="AA28" s="1">
        <v>3</v>
      </c>
      <c r="AB28" s="1">
        <v>2</v>
      </c>
      <c r="AC28" s="1">
        <v>1</v>
      </c>
      <c r="AD28" s="1">
        <v>2</v>
      </c>
      <c r="AE28" s="1">
        <v>3</v>
      </c>
      <c r="AF28" s="2">
        <v>43678</v>
      </c>
      <c r="AG28" s="19">
        <v>2</v>
      </c>
      <c r="AH28" s="21">
        <v>2</v>
      </c>
      <c r="AI28" s="21">
        <v>0</v>
      </c>
    </row>
    <row r="29" spans="1:35" x14ac:dyDescent="0.25">
      <c r="A29" s="3">
        <v>77</v>
      </c>
      <c r="B29" s="3" t="s">
        <v>42</v>
      </c>
      <c r="C29" s="2">
        <v>43437</v>
      </c>
      <c r="D29" s="1" t="s">
        <v>14</v>
      </c>
      <c r="E29" s="4">
        <f>Tableau14[[#This Row],[Pts_Fujiwara]]+Tableau14[[#This Row],[ HT2]]+Tableau14[[#This Row],[LCR]]+Tableau14[[#This Row],[Points_angle_p]]+Tableau14[[#This Row],[Point_Torg]]</f>
        <v>9</v>
      </c>
      <c r="F29" s="1">
        <v>0.68</v>
      </c>
      <c r="G29" s="1">
        <v>0.38</v>
      </c>
      <c r="H29" s="5">
        <v>0.55882352941176472</v>
      </c>
      <c r="I29" s="3">
        <v>4</v>
      </c>
      <c r="J29" s="1">
        <v>1.2</v>
      </c>
      <c r="K29" s="1">
        <v>0.38</v>
      </c>
      <c r="L29" s="5">
        <f t="shared" si="3"/>
        <v>0.31666666666666671</v>
      </c>
      <c r="M29" s="9">
        <f>CHOOSE(MATCH(Tableau14[[#This Row],[Fujiwara_P]],{0,0.39,0.49,1},1),3,1,0)</f>
        <v>3</v>
      </c>
      <c r="N29" s="10">
        <v>4</v>
      </c>
      <c r="O29" s="10">
        <v>1</v>
      </c>
      <c r="P29" s="1">
        <v>0</v>
      </c>
      <c r="Q29" s="10">
        <f>CHOOSE(MATCH(Tableau14[[#This Row],[Angle_p]],{-50,-14.9,-4.9,50},1),3,1,0)</f>
        <v>0</v>
      </c>
      <c r="R29" s="1">
        <v>1.75</v>
      </c>
      <c r="S29" s="1">
        <v>1.06</v>
      </c>
      <c r="T29" s="5">
        <f t="shared" si="1"/>
        <v>0.60571428571428576</v>
      </c>
      <c r="U29" s="10">
        <f>CHOOSE(MATCH(Tableau14[[#This Row],[Ratio_Torg]],{0,0.59,0.79,1.5},1),3,1,0)</f>
        <v>1</v>
      </c>
      <c r="V29" s="19">
        <v>1</v>
      </c>
      <c r="W29" s="7">
        <v>43517</v>
      </c>
      <c r="X29" s="3">
        <f t="shared" si="2"/>
        <v>15.74</v>
      </c>
      <c r="Y29" s="12">
        <v>15</v>
      </c>
      <c r="AF29" s="2">
        <v>43710</v>
      </c>
      <c r="AG29" s="18">
        <v>2</v>
      </c>
      <c r="AH29" s="20">
        <v>2</v>
      </c>
      <c r="AI29" s="20">
        <v>2</v>
      </c>
    </row>
    <row r="30" spans="1:35" x14ac:dyDescent="0.25">
      <c r="A30" s="3">
        <v>68</v>
      </c>
      <c r="B30" s="3" t="s">
        <v>80</v>
      </c>
      <c r="C30" s="2">
        <v>44235</v>
      </c>
      <c r="D30" s="1" t="s">
        <v>9</v>
      </c>
      <c r="E30" s="4">
        <f>Tableau14[[#This Row],[Pts_Fujiwara]]+Tableau14[[#This Row],[ HT2]]+Tableau14[[#This Row],[LCR]]+Tableau14[[#This Row],[Points_angle_p]]+Tableau14[[#This Row],[Point_Torg]]</f>
        <v>9</v>
      </c>
      <c r="F30" s="1">
        <v>0.57999999999999996</v>
      </c>
      <c r="G30" s="1">
        <v>0.42</v>
      </c>
      <c r="H30" s="5">
        <v>0.72413793103448276</v>
      </c>
      <c r="I30" s="3">
        <v>2</v>
      </c>
      <c r="J30" s="1">
        <v>1.3</v>
      </c>
      <c r="K30" s="1">
        <v>0.42</v>
      </c>
      <c r="L30" s="5">
        <f t="shared" si="3"/>
        <v>0.32307692307692304</v>
      </c>
      <c r="M30" s="9">
        <f>CHOOSE(MATCH(Tableau14[[#This Row],[Fujiwara_P]],{0,0.39,0.49,1},1),3,1,0)</f>
        <v>3</v>
      </c>
      <c r="N30" s="10">
        <v>4</v>
      </c>
      <c r="O30" s="10">
        <v>1</v>
      </c>
      <c r="P30" s="1">
        <v>-5.5</v>
      </c>
      <c r="Q30" s="10">
        <f>CHOOSE(MATCH(Tableau14[[#This Row],[Angle_p]],{-50,-14.9,-4.9,50},1),3,1,0)</f>
        <v>1</v>
      </c>
      <c r="R30" s="1">
        <v>1.59</v>
      </c>
      <c r="S30" s="1">
        <v>1.3</v>
      </c>
      <c r="T30" s="5">
        <f t="shared" si="1"/>
        <v>0.8176100628930818</v>
      </c>
      <c r="U30" s="10">
        <f>CHOOSE(MATCH(Tableau14[[#This Row],[Ratio_Torg]],{0,0.59,0.79,1.5},1),3,1,0)</f>
        <v>0</v>
      </c>
      <c r="V30" s="19">
        <v>3</v>
      </c>
      <c r="W30" s="7">
        <v>44243</v>
      </c>
      <c r="X30" s="3">
        <f t="shared" si="2"/>
        <v>14.850000000000001</v>
      </c>
      <c r="Y30" s="12">
        <v>14</v>
      </c>
      <c r="Z30" s="1">
        <v>3</v>
      </c>
      <c r="AA30" s="1">
        <v>3</v>
      </c>
      <c r="AB30" s="1">
        <v>1</v>
      </c>
      <c r="AC30" s="1">
        <v>2</v>
      </c>
      <c r="AD30" s="1">
        <v>2</v>
      </c>
      <c r="AE30" s="1">
        <v>3</v>
      </c>
      <c r="AF30" s="2">
        <v>44334</v>
      </c>
      <c r="AG30" s="18">
        <v>3</v>
      </c>
      <c r="AH30" s="20">
        <v>3</v>
      </c>
      <c r="AI30" s="20">
        <v>2</v>
      </c>
    </row>
    <row r="31" spans="1:35" x14ac:dyDescent="0.25">
      <c r="A31" s="3">
        <v>48</v>
      </c>
      <c r="B31" s="3" t="s">
        <v>100</v>
      </c>
      <c r="C31" s="2">
        <v>44313</v>
      </c>
      <c r="D31" s="1" t="s">
        <v>17</v>
      </c>
      <c r="E31" s="4">
        <f>Tableau14[[#This Row],[Pts_Fujiwara]]+Tableau14[[#This Row],[ HT2]]+Tableau14[[#This Row],[LCR]]+Tableau14[[#This Row],[Points_angle_p]]+Tableau14[[#This Row],[Point_Torg]]</f>
        <v>5</v>
      </c>
      <c r="F31" s="1">
        <v>0.74</v>
      </c>
      <c r="G31" s="1">
        <v>0.59</v>
      </c>
      <c r="H31" s="5">
        <v>0.79729729729729726</v>
      </c>
      <c r="I31" s="3">
        <v>1</v>
      </c>
      <c r="J31" s="1">
        <v>1.82</v>
      </c>
      <c r="K31" s="1">
        <v>0.59</v>
      </c>
      <c r="L31" s="5">
        <f t="shared" si="3"/>
        <v>0.32417582417582413</v>
      </c>
      <c r="M31" s="9">
        <f>CHOOSE(MATCH(Tableau14[[#This Row],[Fujiwara_P]],{0,0.39,0.49,1},1),3,1,0)</f>
        <v>3</v>
      </c>
      <c r="N31" s="10">
        <v>0</v>
      </c>
      <c r="O31" s="10">
        <v>2</v>
      </c>
      <c r="P31" s="1">
        <v>1.7</v>
      </c>
      <c r="Q31" s="10">
        <f>CHOOSE(MATCH(Tableau14[[#This Row],[Angle_p]],{-50,-14.9,-4.9,50},1),3,1,0)</f>
        <v>0</v>
      </c>
      <c r="R31" s="1">
        <v>1.41</v>
      </c>
      <c r="S31" s="1">
        <v>1.42</v>
      </c>
      <c r="T31" s="5">
        <f t="shared" si="1"/>
        <v>1.0070921985815602</v>
      </c>
      <c r="U31" s="10">
        <f>CHOOSE(MATCH(Tableau14[[#This Row],[Ratio_Torg]],{0,0.59,0.79,1.5},1),3,1,0)</f>
        <v>0</v>
      </c>
      <c r="V31" s="18">
        <v>1</v>
      </c>
      <c r="W31" s="7">
        <v>44316</v>
      </c>
      <c r="X31" s="3">
        <f t="shared" si="2"/>
        <v>17.52</v>
      </c>
      <c r="Y31" s="12">
        <v>17</v>
      </c>
      <c r="Z31" s="1">
        <v>4</v>
      </c>
      <c r="AA31" s="1">
        <v>4</v>
      </c>
      <c r="AB31" s="1">
        <v>2</v>
      </c>
      <c r="AC31" s="1">
        <v>2</v>
      </c>
      <c r="AD31" s="1">
        <v>2</v>
      </c>
      <c r="AE31" s="1">
        <v>3</v>
      </c>
      <c r="AF31" s="2"/>
      <c r="AG31" s="18"/>
      <c r="AH31" s="20"/>
      <c r="AI31" s="20"/>
    </row>
    <row r="32" spans="1:35" x14ac:dyDescent="0.25">
      <c r="A32" s="3">
        <v>50</v>
      </c>
      <c r="B32" s="3" t="s">
        <v>45</v>
      </c>
      <c r="C32" s="2">
        <v>43349</v>
      </c>
      <c r="D32" s="1" t="s">
        <v>14</v>
      </c>
      <c r="E32" s="4">
        <f>Tableau14[[#This Row],[Pts_Fujiwara]]+Tableau14[[#This Row],[ HT2]]+Tableau14[[#This Row],[LCR]]+Tableau14[[#This Row],[Points_angle_p]]+Tableau14[[#This Row],[Point_Torg]]</f>
        <v>5</v>
      </c>
      <c r="F32" s="1">
        <v>0.54</v>
      </c>
      <c r="G32" s="1">
        <v>0.49</v>
      </c>
      <c r="H32" s="5">
        <v>0.90740740740740733</v>
      </c>
      <c r="I32" s="3">
        <v>1</v>
      </c>
      <c r="J32" s="1">
        <v>1.5</v>
      </c>
      <c r="K32" s="1">
        <v>0.49</v>
      </c>
      <c r="L32" s="5">
        <f t="shared" si="3"/>
        <v>0.32666666666666666</v>
      </c>
      <c r="M32" s="9">
        <f>CHOOSE(MATCH(Tableau14[[#This Row],[Fujiwara_P]],{0,0.39,0.49,1},1),3,1,0)</f>
        <v>3</v>
      </c>
      <c r="N32" s="10">
        <v>0</v>
      </c>
      <c r="O32" s="10">
        <v>0</v>
      </c>
      <c r="P32" s="1">
        <v>-6</v>
      </c>
      <c r="Q32" s="10">
        <f>CHOOSE(MATCH(Tableau14[[#This Row],[Angle_p]],{-50,-14.9,-4.9,50},1),3,1,0)</f>
        <v>1</v>
      </c>
      <c r="R32" s="1">
        <v>1.39</v>
      </c>
      <c r="S32" s="1">
        <v>1.04</v>
      </c>
      <c r="T32" s="5">
        <f t="shared" si="1"/>
        <v>0.74820143884892099</v>
      </c>
      <c r="U32" s="10">
        <f>CHOOSE(MATCH(Tableau14[[#This Row],[Ratio_Torg]],{0,0.59,0.79,1.5},1),3,1,0)</f>
        <v>1</v>
      </c>
      <c r="V32" s="19">
        <v>2</v>
      </c>
      <c r="W32" s="7">
        <v>43467</v>
      </c>
      <c r="X32" s="3">
        <f t="shared" si="2"/>
        <v>17.52</v>
      </c>
      <c r="Y32" s="12">
        <v>17</v>
      </c>
      <c r="Z32" s="1">
        <v>4</v>
      </c>
      <c r="AA32" s="1">
        <v>4</v>
      </c>
      <c r="AB32" s="1">
        <v>2</v>
      </c>
      <c r="AC32" s="1">
        <v>2</v>
      </c>
      <c r="AD32" s="1">
        <v>2</v>
      </c>
      <c r="AE32" s="1">
        <v>3</v>
      </c>
      <c r="AF32" s="2">
        <v>43567</v>
      </c>
      <c r="AG32" s="19">
        <v>0</v>
      </c>
      <c r="AH32" s="21">
        <v>0</v>
      </c>
      <c r="AI32" s="21">
        <v>0</v>
      </c>
    </row>
    <row r="33" spans="1:35" x14ac:dyDescent="0.25">
      <c r="A33" s="3">
        <v>71</v>
      </c>
      <c r="B33" s="3" t="s">
        <v>39</v>
      </c>
      <c r="C33" s="2">
        <v>44062</v>
      </c>
      <c r="D33" s="1" t="s">
        <v>17</v>
      </c>
      <c r="E33" s="4">
        <f>Tableau14[[#This Row],[Pts_Fujiwara]]+Tableau14[[#This Row],[ HT2]]+Tableau14[[#This Row],[LCR]]+Tableau14[[#This Row],[Points_angle_p]]+Tableau14[[#This Row],[Point_Torg]]</f>
        <v>6</v>
      </c>
      <c r="F33" s="1">
        <v>0.66</v>
      </c>
      <c r="G33" s="1">
        <v>0.42</v>
      </c>
      <c r="H33" s="5">
        <v>0.63636363636363635</v>
      </c>
      <c r="I33" s="3">
        <v>2</v>
      </c>
      <c r="J33" s="1">
        <v>1.28</v>
      </c>
      <c r="K33" s="1">
        <v>0.42</v>
      </c>
      <c r="L33" s="5">
        <f t="shared" si="3"/>
        <v>0.328125</v>
      </c>
      <c r="M33" s="9">
        <f>CHOOSE(MATCH(Tableau14[[#This Row],[Fujiwara_P]],{0,0.39,0.49,1},1),3,1,0)</f>
        <v>3</v>
      </c>
      <c r="N33" s="10">
        <v>0</v>
      </c>
      <c r="O33" s="10">
        <v>1</v>
      </c>
      <c r="P33" s="1">
        <v>-6</v>
      </c>
      <c r="Q33" s="10">
        <f>CHOOSE(MATCH(Tableau14[[#This Row],[Angle_p]],{-50,-14.9,-4.9,50},1),3,1,0)</f>
        <v>1</v>
      </c>
      <c r="R33" s="1">
        <v>1.55</v>
      </c>
      <c r="S33" s="1">
        <v>1.01</v>
      </c>
      <c r="T33" s="5">
        <f t="shared" si="1"/>
        <v>0.65161290322580645</v>
      </c>
      <c r="U33" s="10">
        <f>CHOOSE(MATCH(Tableau14[[#This Row],[Ratio_Torg]],{0,0.59,0.79,1.5},1),3,1,0)</f>
        <v>1</v>
      </c>
      <c r="V33" s="18">
        <v>3</v>
      </c>
      <c r="W33" s="7">
        <v>44088</v>
      </c>
      <c r="X33" s="3">
        <f t="shared" si="2"/>
        <v>17.52</v>
      </c>
      <c r="Y33" s="12">
        <v>17</v>
      </c>
      <c r="Z33" s="1">
        <v>4</v>
      </c>
      <c r="AA33" s="1">
        <v>4</v>
      </c>
      <c r="AB33" s="1">
        <v>2</v>
      </c>
      <c r="AC33" s="1">
        <v>2</v>
      </c>
      <c r="AD33" s="1">
        <v>2</v>
      </c>
      <c r="AE33" s="1">
        <v>3</v>
      </c>
      <c r="AF33" s="2">
        <v>44099</v>
      </c>
      <c r="AG33" s="19">
        <v>0</v>
      </c>
      <c r="AH33" s="21">
        <v>0</v>
      </c>
      <c r="AI33" s="21">
        <v>0</v>
      </c>
    </row>
    <row r="34" spans="1:35" x14ac:dyDescent="0.25">
      <c r="A34" s="3">
        <v>73</v>
      </c>
      <c r="B34" s="3" t="s">
        <v>96</v>
      </c>
      <c r="C34" s="2">
        <v>44011</v>
      </c>
      <c r="D34" s="1" t="s">
        <v>17</v>
      </c>
      <c r="E34" s="4">
        <f>Tableau14[[#This Row],[Pts_Fujiwara]]+Tableau14[[#This Row],[ HT2]]+Tableau14[[#This Row],[LCR]]+Tableau14[[#This Row],[Points_angle_p]]+Tableau14[[#This Row],[Point_Torg]]</f>
        <v>11</v>
      </c>
      <c r="F34" s="1">
        <v>0.71</v>
      </c>
      <c r="G34" s="1">
        <v>0.51</v>
      </c>
      <c r="H34" s="5">
        <v>0.71830985915492962</v>
      </c>
      <c r="I34" s="3">
        <v>2</v>
      </c>
      <c r="J34" s="1">
        <v>1.54</v>
      </c>
      <c r="K34" s="1">
        <v>0.51</v>
      </c>
      <c r="L34" s="5">
        <f t="shared" si="3"/>
        <v>0.33116883116883117</v>
      </c>
      <c r="M34" s="9">
        <f>CHOOSE(MATCH(Tableau14[[#This Row],[Fujiwara_P]],{0,0.39,0.49,1},1),3,1,0)</f>
        <v>3</v>
      </c>
      <c r="N34" s="10">
        <v>4</v>
      </c>
      <c r="O34" s="10">
        <v>4</v>
      </c>
      <c r="P34" s="1">
        <v>0</v>
      </c>
      <c r="Q34" s="10">
        <f>CHOOSE(MATCH(Tableau14[[#This Row],[Angle_p]],{-50,-14.9,-4.9,50},1),3,1,0)</f>
        <v>0</v>
      </c>
      <c r="R34" s="1">
        <v>1.29</v>
      </c>
      <c r="S34" s="1">
        <v>1.45</v>
      </c>
      <c r="T34" s="5">
        <f t="shared" ref="T34:T65" si="4">S34/R34</f>
        <v>1.124031007751938</v>
      </c>
      <c r="U34" s="10">
        <f>CHOOSE(MATCH(Tableau14[[#This Row],[Ratio_Torg]],{0,0.59,0.79,1.5},1),3,1,0)</f>
        <v>0</v>
      </c>
      <c r="V34" s="19">
        <v>2</v>
      </c>
      <c r="W34" s="7">
        <v>44125</v>
      </c>
      <c r="X34" s="3">
        <f t="shared" ref="X34:X65" si="5">2.39+0.89*(Y34)</f>
        <v>13.96</v>
      </c>
      <c r="Y34" s="12">
        <v>13</v>
      </c>
      <c r="Z34" s="1">
        <v>3</v>
      </c>
      <c r="AA34" s="1">
        <v>3</v>
      </c>
      <c r="AB34" s="1">
        <v>1</v>
      </c>
      <c r="AC34" s="1">
        <v>2</v>
      </c>
      <c r="AD34" s="1">
        <v>2</v>
      </c>
      <c r="AE34" s="1">
        <v>2</v>
      </c>
      <c r="AF34" s="2">
        <v>42087</v>
      </c>
      <c r="AG34" s="18">
        <v>2</v>
      </c>
      <c r="AH34" s="20">
        <v>2</v>
      </c>
      <c r="AI34" s="20">
        <v>0</v>
      </c>
    </row>
    <row r="35" spans="1:35" x14ac:dyDescent="0.25">
      <c r="A35" s="3">
        <v>72</v>
      </c>
      <c r="B35" s="3" t="s">
        <v>92</v>
      </c>
      <c r="C35" s="2">
        <v>44169</v>
      </c>
      <c r="D35" s="1" t="s">
        <v>12</v>
      </c>
      <c r="E35" s="4">
        <f>Tableau14[[#This Row],[Pts_Fujiwara]]+Tableau14[[#This Row],[ HT2]]+Tableau14[[#This Row],[LCR]]+Tableau14[[#This Row],[Points_angle_p]]+Tableau14[[#This Row],[Point_Torg]]</f>
        <v>9</v>
      </c>
      <c r="F35" s="1">
        <v>0.88</v>
      </c>
      <c r="G35" s="1">
        <v>0.52</v>
      </c>
      <c r="H35" s="5">
        <v>0.59090909090909094</v>
      </c>
      <c r="I35" s="3">
        <v>2</v>
      </c>
      <c r="J35" s="1">
        <v>1.57</v>
      </c>
      <c r="K35" s="1">
        <v>0.52</v>
      </c>
      <c r="L35" s="5">
        <f t="shared" si="3"/>
        <v>0.33121019108280253</v>
      </c>
      <c r="M35" s="9">
        <f>CHOOSE(MATCH(Tableau14[[#This Row],[Fujiwara_P]],{0,0.39,0.49,1},1),3,1,0)</f>
        <v>3</v>
      </c>
      <c r="N35" s="10">
        <v>2</v>
      </c>
      <c r="O35" s="10">
        <v>4</v>
      </c>
      <c r="P35" s="1">
        <v>6.1</v>
      </c>
      <c r="Q35" s="10">
        <f>CHOOSE(MATCH(Tableau14[[#This Row],[Angle_p]],{-50,-14.9,-4.9,50},1),3,1,0)</f>
        <v>0</v>
      </c>
      <c r="R35" s="1">
        <v>1.44</v>
      </c>
      <c r="S35" s="1">
        <v>1.47</v>
      </c>
      <c r="T35" s="5">
        <f t="shared" si="4"/>
        <v>1.0208333333333333</v>
      </c>
      <c r="U35" s="10">
        <f>CHOOSE(MATCH(Tableau14[[#This Row],[Ratio_Torg]],{0,0.59,0.79,1.5},1),3,1,0)</f>
        <v>0</v>
      </c>
      <c r="V35" s="19">
        <v>1</v>
      </c>
      <c r="W35" s="7">
        <v>44204</v>
      </c>
      <c r="X35" s="3">
        <f t="shared" si="5"/>
        <v>15.74</v>
      </c>
      <c r="Y35" s="12">
        <v>15</v>
      </c>
      <c r="Z35" s="1">
        <v>4</v>
      </c>
      <c r="AA35" s="1">
        <v>4</v>
      </c>
      <c r="AB35" s="1">
        <v>1</v>
      </c>
      <c r="AC35" s="1">
        <v>2</v>
      </c>
      <c r="AD35" s="1">
        <v>2</v>
      </c>
      <c r="AE35" s="1">
        <v>2</v>
      </c>
      <c r="AF35" s="2">
        <v>44204</v>
      </c>
      <c r="AG35" s="18">
        <v>0</v>
      </c>
      <c r="AH35" s="20">
        <v>0</v>
      </c>
      <c r="AI35" s="20">
        <v>0</v>
      </c>
    </row>
    <row r="36" spans="1:35" x14ac:dyDescent="0.25">
      <c r="A36" s="3">
        <v>70</v>
      </c>
      <c r="B36" s="3" t="s">
        <v>75</v>
      </c>
      <c r="C36" s="2">
        <v>44218</v>
      </c>
      <c r="D36" s="1" t="s">
        <v>9</v>
      </c>
      <c r="E36" s="4">
        <f>Tableau14[[#This Row],[Pts_Fujiwara]]+Tableau14[[#This Row],[ HT2]]+Tableau14[[#This Row],[LCR]]+Tableau14[[#This Row],[Points_angle_p]]+Tableau14[[#This Row],[Point_Torg]]</f>
        <v>5</v>
      </c>
      <c r="F36" s="1">
        <v>0.68</v>
      </c>
      <c r="G36" s="1">
        <v>0.5</v>
      </c>
      <c r="H36" s="5">
        <v>0.73529411764705876</v>
      </c>
      <c r="I36" s="3">
        <v>2</v>
      </c>
      <c r="J36" s="1">
        <v>1.5</v>
      </c>
      <c r="K36" s="1">
        <v>0.5</v>
      </c>
      <c r="L36" s="5">
        <f t="shared" si="3"/>
        <v>0.33333333333333331</v>
      </c>
      <c r="M36" s="9">
        <f>CHOOSE(MATCH(Tableau14[[#This Row],[Fujiwara_P]],{0,0.39,0.49,1},1),3,1,0)</f>
        <v>3</v>
      </c>
      <c r="N36" s="10">
        <v>0</v>
      </c>
      <c r="O36" s="10">
        <v>1</v>
      </c>
      <c r="P36" s="1">
        <v>-10</v>
      </c>
      <c r="Q36" s="10">
        <f>CHOOSE(MATCH(Tableau14[[#This Row],[Angle_p]],{-50,-14.9,-4.9,50},1),3,1,0)</f>
        <v>1</v>
      </c>
      <c r="R36" s="1">
        <v>1.5</v>
      </c>
      <c r="S36" s="1">
        <v>1.21</v>
      </c>
      <c r="T36" s="5">
        <f t="shared" si="4"/>
        <v>0.80666666666666664</v>
      </c>
      <c r="U36" s="10">
        <f>CHOOSE(MATCH(Tableau14[[#This Row],[Ratio_Torg]],{0,0.59,0.79,1.5},1),3,1,0)</f>
        <v>0</v>
      </c>
      <c r="V36" s="18">
        <v>3</v>
      </c>
      <c r="W36" s="7">
        <v>44133</v>
      </c>
      <c r="X36" s="3">
        <f t="shared" si="5"/>
        <v>13.07</v>
      </c>
      <c r="Y36" s="12">
        <v>12</v>
      </c>
      <c r="Z36" s="1">
        <v>3</v>
      </c>
      <c r="AA36" s="1">
        <v>2</v>
      </c>
      <c r="AB36" s="1">
        <v>2</v>
      </c>
      <c r="AC36" s="1">
        <v>2</v>
      </c>
      <c r="AD36" s="1">
        <v>2</v>
      </c>
      <c r="AE36" s="1">
        <v>1</v>
      </c>
      <c r="AF36" s="2">
        <v>44218</v>
      </c>
      <c r="AG36" s="19">
        <v>0</v>
      </c>
      <c r="AH36" s="21">
        <v>0</v>
      </c>
      <c r="AI36" s="21">
        <v>0</v>
      </c>
    </row>
    <row r="37" spans="1:35" x14ac:dyDescent="0.25">
      <c r="A37" s="3">
        <v>70</v>
      </c>
      <c r="B37" s="3" t="s">
        <v>29</v>
      </c>
      <c r="C37" s="2">
        <v>43782</v>
      </c>
      <c r="D37" s="1" t="s">
        <v>9</v>
      </c>
      <c r="E37" s="4">
        <f>Tableau14[[#This Row],[Pts_Fujiwara]]+Tableau14[[#This Row],[ HT2]]+Tableau14[[#This Row],[LCR]]+Tableau14[[#This Row],[Points_angle_p]]+Tableau14[[#This Row],[Point_Torg]]</f>
        <v>6</v>
      </c>
      <c r="F37" s="1">
        <v>0.68</v>
      </c>
      <c r="G37" s="1">
        <v>0.44</v>
      </c>
      <c r="H37" s="5">
        <v>0.64705882352941169</v>
      </c>
      <c r="I37" s="3">
        <v>2</v>
      </c>
      <c r="J37" s="1">
        <v>1.32</v>
      </c>
      <c r="K37" s="1">
        <v>0.44</v>
      </c>
      <c r="L37" s="5">
        <f t="shared" si="3"/>
        <v>0.33333333333333331</v>
      </c>
      <c r="M37" s="9">
        <f>CHOOSE(MATCH(Tableau14[[#This Row],[Fujiwara_P]],{0,0.39,0.49,1},1),3,1,0)</f>
        <v>3</v>
      </c>
      <c r="N37" s="10">
        <v>0</v>
      </c>
      <c r="O37" s="10">
        <v>1</v>
      </c>
      <c r="P37" s="1">
        <v>-8</v>
      </c>
      <c r="Q37" s="10">
        <f>CHOOSE(MATCH(Tableau14[[#This Row],[Angle_p]],{-50,-14.9,-4.9,50},1),3,1,0)</f>
        <v>1</v>
      </c>
      <c r="R37" s="1">
        <v>2.5299999999999998</v>
      </c>
      <c r="S37" s="1">
        <v>1.57</v>
      </c>
      <c r="T37" s="5">
        <f t="shared" si="4"/>
        <v>0.62055335968379455</v>
      </c>
      <c r="U37" s="10">
        <f>CHOOSE(MATCH(Tableau14[[#This Row],[Ratio_Torg]],{0,0.59,0.79,1.5},1),3,1,0)</f>
        <v>1</v>
      </c>
      <c r="V37" s="18">
        <v>2</v>
      </c>
      <c r="W37" s="7">
        <v>43544</v>
      </c>
      <c r="X37" s="3">
        <f t="shared" si="5"/>
        <v>15.74</v>
      </c>
      <c r="Y37" s="12">
        <v>15</v>
      </c>
      <c r="AF37" s="2">
        <v>43588</v>
      </c>
      <c r="AG37" s="19">
        <v>0</v>
      </c>
      <c r="AH37" s="21">
        <v>0</v>
      </c>
      <c r="AI37" s="21">
        <v>0</v>
      </c>
    </row>
    <row r="38" spans="1:35" x14ac:dyDescent="0.25">
      <c r="A38" s="3">
        <v>57</v>
      </c>
      <c r="B38" s="3" t="s">
        <v>40</v>
      </c>
      <c r="C38" s="2">
        <v>44120</v>
      </c>
      <c r="D38" s="1" t="s">
        <v>17</v>
      </c>
      <c r="E38" s="4">
        <f>Tableau14[[#This Row],[Pts_Fujiwara]]+Tableau14[[#This Row],[ HT2]]+Tableau14[[#This Row],[LCR]]+Tableau14[[#This Row],[Points_angle_p]]+Tableau14[[#This Row],[Point_Torg]]</f>
        <v>4</v>
      </c>
      <c r="F38" s="1">
        <v>0.56999999999999995</v>
      </c>
      <c r="G38" s="1">
        <v>0.45</v>
      </c>
      <c r="H38" s="5">
        <v>0.78947368421052644</v>
      </c>
      <c r="I38" s="3">
        <v>2</v>
      </c>
      <c r="J38" s="1">
        <v>1.35</v>
      </c>
      <c r="K38" s="1">
        <v>0.45</v>
      </c>
      <c r="L38" s="5">
        <f t="shared" si="3"/>
        <v>0.33333333333333331</v>
      </c>
      <c r="M38" s="9">
        <f>CHOOSE(MATCH(Tableau14[[#This Row],[Fujiwara_P]],{0,0.39,0.49,1},1),3,1,0)</f>
        <v>3</v>
      </c>
      <c r="N38" s="10">
        <v>0</v>
      </c>
      <c r="O38" s="10">
        <v>0</v>
      </c>
      <c r="P38" s="1">
        <v>1</v>
      </c>
      <c r="Q38" s="10">
        <f>CHOOSE(MATCH(Tableau14[[#This Row],[Angle_p]],{-50,-14.9,-4.9,50},1),3,1,0)</f>
        <v>0</v>
      </c>
      <c r="R38" s="1">
        <v>1.44</v>
      </c>
      <c r="S38" s="1">
        <v>0.87</v>
      </c>
      <c r="T38" s="5">
        <f t="shared" si="4"/>
        <v>0.60416666666666674</v>
      </c>
      <c r="U38" s="10">
        <f>CHOOSE(MATCH(Tableau14[[#This Row],[Ratio_Torg]],{0,0.59,0.79,1.5},1),3,1,0)</f>
        <v>1</v>
      </c>
      <c r="V38" s="18">
        <v>1</v>
      </c>
      <c r="W38" s="7">
        <v>44120</v>
      </c>
      <c r="X38" s="3">
        <f t="shared" si="5"/>
        <v>17.52</v>
      </c>
      <c r="Y38" s="12">
        <v>17</v>
      </c>
      <c r="Z38" s="1">
        <v>4</v>
      </c>
      <c r="AA38" s="1">
        <v>4</v>
      </c>
      <c r="AB38" s="1">
        <v>2</v>
      </c>
      <c r="AC38" s="1">
        <v>2</v>
      </c>
      <c r="AD38" s="1">
        <v>2</v>
      </c>
      <c r="AE38" s="1">
        <v>3</v>
      </c>
      <c r="AF38" s="2">
        <v>44120</v>
      </c>
      <c r="AG38" s="18">
        <v>0</v>
      </c>
      <c r="AH38" s="20">
        <v>0</v>
      </c>
      <c r="AI38" s="20">
        <v>0</v>
      </c>
    </row>
    <row r="39" spans="1:35" x14ac:dyDescent="0.25">
      <c r="A39" s="3">
        <v>28</v>
      </c>
      <c r="B39" s="3" t="s">
        <v>73</v>
      </c>
      <c r="C39" s="2">
        <v>43146</v>
      </c>
      <c r="D39" s="1" t="s">
        <v>12</v>
      </c>
      <c r="E39" s="4">
        <f>Tableau14[[#This Row],[Pts_Fujiwara]]+Tableau14[[#This Row],[ HT2]]+Tableau14[[#This Row],[LCR]]+Tableau14[[#This Row],[Points_angle_p]]+Tableau14[[#This Row],[Point_Torg]]</f>
        <v>4</v>
      </c>
      <c r="F39" s="1">
        <v>0.76</v>
      </c>
      <c r="G39" s="1">
        <v>0.55000000000000004</v>
      </c>
      <c r="H39" s="5">
        <v>0.72368421052631582</v>
      </c>
      <c r="I39" s="3">
        <v>2</v>
      </c>
      <c r="J39" s="1">
        <v>1.64</v>
      </c>
      <c r="K39" s="1">
        <v>0.55000000000000004</v>
      </c>
      <c r="L39" s="5">
        <f t="shared" si="3"/>
        <v>0.33536585365853661</v>
      </c>
      <c r="M39" s="9">
        <f>CHOOSE(MATCH(Tableau14[[#This Row],[Fujiwara_P]],{0,0.39,0.49,1},1),3,1,0)</f>
        <v>3</v>
      </c>
      <c r="N39" s="10">
        <v>0</v>
      </c>
      <c r="O39" s="10">
        <v>1</v>
      </c>
      <c r="P39" s="1">
        <v>-2.8</v>
      </c>
      <c r="Q39" s="10">
        <f>CHOOSE(MATCH(Tableau14[[#This Row],[Angle_p]],{-50,-14.9,-4.9,50},1),3,1,0)</f>
        <v>0</v>
      </c>
      <c r="R39" s="1">
        <v>1.52</v>
      </c>
      <c r="S39" s="1">
        <v>1.31</v>
      </c>
      <c r="T39" s="5">
        <f t="shared" si="4"/>
        <v>0.86184210526315796</v>
      </c>
      <c r="U39" s="10">
        <f>CHOOSE(MATCH(Tableau14[[#This Row],[Ratio_Torg]],{0,0.59,0.79,1.5},1),3,1,0)</f>
        <v>0</v>
      </c>
      <c r="V39" s="18">
        <v>1</v>
      </c>
      <c r="W39" s="7">
        <v>43292</v>
      </c>
      <c r="X39" s="3">
        <f t="shared" si="5"/>
        <v>17.52</v>
      </c>
      <c r="Y39" s="12">
        <v>17</v>
      </c>
      <c r="Z39" s="1">
        <v>4</v>
      </c>
      <c r="AA39" s="1">
        <v>4</v>
      </c>
      <c r="AB39" s="1">
        <v>2</v>
      </c>
      <c r="AC39" s="1">
        <v>2</v>
      </c>
      <c r="AD39" s="1">
        <v>2</v>
      </c>
      <c r="AE39" s="1">
        <v>3</v>
      </c>
      <c r="AF39" s="2"/>
      <c r="AG39" s="41" t="e">
        <f>STDEVPA(#REF!,#REF!)</f>
        <v>#REF!</v>
      </c>
      <c r="AH39" s="42" t="e">
        <f>AVERAGE(#REF!,#REF!)</f>
        <v>#REF!</v>
      </c>
      <c r="AI39" s="21"/>
    </row>
    <row r="40" spans="1:35" x14ac:dyDescent="0.25">
      <c r="A40" s="3">
        <v>51</v>
      </c>
      <c r="B40" s="3" t="s">
        <v>86</v>
      </c>
      <c r="C40" s="2">
        <v>44016</v>
      </c>
      <c r="D40" s="1" t="s">
        <v>17</v>
      </c>
      <c r="E40" s="4">
        <f>Tableau14[[#This Row],[Pts_Fujiwara]]+Tableau14[[#This Row],[ HT2]]+Tableau14[[#This Row],[LCR]]+Tableau14[[#This Row],[Points_angle_p]]+Tableau14[[#This Row],[Point_Torg]]</f>
        <v>9</v>
      </c>
      <c r="F40" s="1">
        <v>0.57999999999999996</v>
      </c>
      <c r="G40" s="1">
        <v>0.37</v>
      </c>
      <c r="H40" s="5">
        <v>0.63793103448275867</v>
      </c>
      <c r="I40" s="3">
        <v>2</v>
      </c>
      <c r="J40" s="1">
        <v>1.1000000000000001</v>
      </c>
      <c r="K40" s="1">
        <v>0.37</v>
      </c>
      <c r="L40" s="5">
        <f t="shared" si="3"/>
        <v>0.33636363636363631</v>
      </c>
      <c r="M40" s="9">
        <f>CHOOSE(MATCH(Tableau14[[#This Row],[Fujiwara_P]],{0,0.39,0.49,1},1),3,1,0)</f>
        <v>3</v>
      </c>
      <c r="N40" s="10">
        <v>4</v>
      </c>
      <c r="O40" s="10">
        <v>2</v>
      </c>
      <c r="P40" s="1">
        <v>7</v>
      </c>
      <c r="Q40" s="10">
        <f>CHOOSE(MATCH(Tableau14[[#This Row],[Angle_p]],{-50,-14.9,-4.9,50},1),3,1,0)</f>
        <v>0</v>
      </c>
      <c r="R40" s="1">
        <v>1.63</v>
      </c>
      <c r="S40" s="1">
        <v>1.29</v>
      </c>
      <c r="T40" s="5">
        <f t="shared" si="4"/>
        <v>0.79141104294478537</v>
      </c>
      <c r="U40" s="10">
        <f>CHOOSE(MATCH(Tableau14[[#This Row],[Ratio_Torg]],{0,0.59,0.79,1.5},1),3,1,0)</f>
        <v>0</v>
      </c>
      <c r="V40" s="19">
        <v>2</v>
      </c>
      <c r="W40" s="7">
        <v>44041</v>
      </c>
      <c r="X40" s="3">
        <f t="shared" si="5"/>
        <v>14.850000000000001</v>
      </c>
      <c r="Y40" s="12">
        <v>14</v>
      </c>
      <c r="Z40" s="1">
        <v>3</v>
      </c>
      <c r="AA40" s="1">
        <v>3</v>
      </c>
      <c r="AB40" s="1">
        <v>1</v>
      </c>
      <c r="AC40" s="1">
        <v>2</v>
      </c>
      <c r="AD40" s="1">
        <v>2</v>
      </c>
      <c r="AE40" s="1">
        <v>3</v>
      </c>
      <c r="AF40" s="2"/>
      <c r="AG40" s="18"/>
      <c r="AH40" s="20"/>
      <c r="AI40" s="20"/>
    </row>
    <row r="41" spans="1:35" x14ac:dyDescent="0.25">
      <c r="A41" s="3">
        <v>70</v>
      </c>
      <c r="B41" s="3" t="s">
        <v>64</v>
      </c>
      <c r="C41" s="2">
        <v>43157</v>
      </c>
      <c r="D41" s="1" t="s">
        <v>17</v>
      </c>
      <c r="E41" s="4">
        <f>Tableau14[[#This Row],[Pts_Fujiwara]]+Tableau14[[#This Row],[ HT2]]+Tableau14[[#This Row],[LCR]]+Tableau14[[#This Row],[Points_angle_p]]+Tableau14[[#This Row],[Point_Torg]]</f>
        <v>7</v>
      </c>
      <c r="F41" s="1">
        <v>0.69</v>
      </c>
      <c r="G41" s="1">
        <v>0.45</v>
      </c>
      <c r="H41" s="5">
        <v>0.65217391304347838</v>
      </c>
      <c r="I41" s="3">
        <v>2</v>
      </c>
      <c r="J41" s="1">
        <v>1.33</v>
      </c>
      <c r="K41" s="1">
        <v>0.45</v>
      </c>
      <c r="L41" s="5">
        <f t="shared" si="3"/>
        <v>0.33834586466165412</v>
      </c>
      <c r="M41" s="9">
        <f>CHOOSE(MATCH(Tableau14[[#This Row],[Fujiwara_P]],{0,0.39,0.49,1},1),3,1,0)</f>
        <v>3</v>
      </c>
      <c r="N41" s="10">
        <v>2</v>
      </c>
      <c r="O41" s="10">
        <v>1</v>
      </c>
      <c r="P41" s="1">
        <v>8.9</v>
      </c>
      <c r="Q41" s="10">
        <f>CHOOSE(MATCH(Tableau14[[#This Row],[Angle_p]],{-50,-14.9,-4.9,50},1),3,1,0)</f>
        <v>0</v>
      </c>
      <c r="R41" s="1">
        <v>1.52</v>
      </c>
      <c r="S41" s="1">
        <v>1.17</v>
      </c>
      <c r="T41" s="5">
        <f t="shared" si="4"/>
        <v>0.76973684210526305</v>
      </c>
      <c r="U41" s="10">
        <f>CHOOSE(MATCH(Tableau14[[#This Row],[Ratio_Torg]],{0,0.59,0.79,1.5},1),3,1,0)</f>
        <v>1</v>
      </c>
      <c r="V41" s="18">
        <v>2</v>
      </c>
      <c r="W41" s="7">
        <v>43087</v>
      </c>
      <c r="X41" s="3">
        <f t="shared" si="5"/>
        <v>15.74</v>
      </c>
      <c r="Y41" s="12">
        <v>15</v>
      </c>
      <c r="Z41" s="1">
        <v>3</v>
      </c>
      <c r="AA41" s="1">
        <v>4</v>
      </c>
      <c r="AB41" s="1">
        <v>1</v>
      </c>
      <c r="AC41" s="1">
        <v>2</v>
      </c>
      <c r="AD41" s="1">
        <v>2</v>
      </c>
      <c r="AE41" s="1">
        <v>3</v>
      </c>
      <c r="AF41" s="2"/>
      <c r="AG41" s="18"/>
      <c r="AH41" s="20"/>
      <c r="AI41" s="20"/>
    </row>
    <row r="42" spans="1:35" x14ac:dyDescent="0.25">
      <c r="A42" s="3">
        <v>71</v>
      </c>
      <c r="B42" s="3" t="s">
        <v>46</v>
      </c>
      <c r="C42" s="2">
        <v>43649</v>
      </c>
      <c r="D42" s="1" t="s">
        <v>17</v>
      </c>
      <c r="E42" s="4">
        <f>Tableau14[[#This Row],[Pts_Fujiwara]]+Tableau14[[#This Row],[ HT2]]+Tableau14[[#This Row],[LCR]]+Tableau14[[#This Row],[Points_angle_p]]+Tableau14[[#This Row],[Point_Torg]]</f>
        <v>5</v>
      </c>
      <c r="F42" s="1">
        <v>0.69</v>
      </c>
      <c r="G42" s="1">
        <v>0.53</v>
      </c>
      <c r="H42" s="5">
        <v>0.76811594202898559</v>
      </c>
      <c r="I42" s="3">
        <v>2</v>
      </c>
      <c r="J42" s="1">
        <v>1.55</v>
      </c>
      <c r="K42" s="1">
        <v>0.53</v>
      </c>
      <c r="L42" s="5">
        <f t="shared" si="3"/>
        <v>0.34193548387096773</v>
      </c>
      <c r="M42" s="9">
        <f>CHOOSE(MATCH(Tableau14[[#This Row],[Fujiwara_P]],{0,0.39,0.49,1},1),3,1,0)</f>
        <v>3</v>
      </c>
      <c r="N42" s="10">
        <v>0</v>
      </c>
      <c r="O42" s="10">
        <v>1</v>
      </c>
      <c r="P42" s="1">
        <v>10</v>
      </c>
      <c r="Q42" s="10">
        <f>CHOOSE(MATCH(Tableau14[[#This Row],[Angle_p]],{-50,-14.9,-4.9,50},1),3,1,0)</f>
        <v>0</v>
      </c>
      <c r="R42" s="1">
        <v>1.57</v>
      </c>
      <c r="S42" s="1">
        <v>1.22</v>
      </c>
      <c r="T42" s="5">
        <f t="shared" si="4"/>
        <v>0.77707006369426745</v>
      </c>
      <c r="U42" s="10">
        <f>CHOOSE(MATCH(Tableau14[[#This Row],[Ratio_Torg]],{0,0.59,0.79,1.5},1),3,1,0)</f>
        <v>1</v>
      </c>
      <c r="V42" s="19">
        <v>2</v>
      </c>
      <c r="W42" s="7">
        <v>43734</v>
      </c>
      <c r="X42" s="3">
        <f t="shared" si="5"/>
        <v>17.52</v>
      </c>
      <c r="Y42" s="12">
        <v>17</v>
      </c>
      <c r="Z42" s="1">
        <v>4</v>
      </c>
      <c r="AA42" s="1">
        <v>4</v>
      </c>
      <c r="AB42" s="1">
        <v>2</v>
      </c>
      <c r="AC42" s="1">
        <v>2</v>
      </c>
      <c r="AD42" s="1">
        <v>2</v>
      </c>
      <c r="AE42" s="1">
        <v>3</v>
      </c>
      <c r="AF42" s="2">
        <v>43777</v>
      </c>
      <c r="AG42" s="18">
        <v>0</v>
      </c>
      <c r="AH42" s="20">
        <v>0</v>
      </c>
      <c r="AI42" s="20">
        <v>0</v>
      </c>
    </row>
    <row r="43" spans="1:35" x14ac:dyDescent="0.25">
      <c r="A43" s="3">
        <v>52</v>
      </c>
      <c r="B43" s="3" t="s">
        <v>49</v>
      </c>
      <c r="C43" s="2">
        <v>43297</v>
      </c>
      <c r="D43" s="1" t="s">
        <v>17</v>
      </c>
      <c r="E43" s="4">
        <f>Tableau14[[#This Row],[Pts_Fujiwara]]+Tableau14[[#This Row],[ HT2]]+Tableau14[[#This Row],[LCR]]+Tableau14[[#This Row],[Points_angle_p]]+Tableau14[[#This Row],[Point_Torg]]</f>
        <v>10</v>
      </c>
      <c r="F43" s="1">
        <v>0.6</v>
      </c>
      <c r="G43" s="1">
        <v>0.45</v>
      </c>
      <c r="H43" s="5">
        <v>0.75</v>
      </c>
      <c r="I43" s="3">
        <v>2</v>
      </c>
      <c r="J43" s="1">
        <v>1.29</v>
      </c>
      <c r="K43" s="1">
        <v>0.45</v>
      </c>
      <c r="L43" s="5">
        <f t="shared" si="3"/>
        <v>0.34883720930232559</v>
      </c>
      <c r="M43" s="9">
        <f>CHOOSE(MATCH(Tableau14[[#This Row],[Fujiwara_P]],{0,0.39,0.49,1},1),3,1,0)</f>
        <v>3</v>
      </c>
      <c r="N43" s="10">
        <v>2</v>
      </c>
      <c r="O43" s="10">
        <v>4</v>
      </c>
      <c r="P43" s="1">
        <v>5</v>
      </c>
      <c r="Q43" s="10">
        <f>CHOOSE(MATCH(Tableau14[[#This Row],[Angle_p]],{-50,-14.9,-4.9,50},1),3,1,0)</f>
        <v>0</v>
      </c>
      <c r="R43" s="1">
        <v>1.46</v>
      </c>
      <c r="S43" s="1">
        <v>1.07</v>
      </c>
      <c r="T43" s="5">
        <f t="shared" si="4"/>
        <v>0.73287671232876717</v>
      </c>
      <c r="U43" s="10">
        <f>CHOOSE(MATCH(Tableau14[[#This Row],[Ratio_Torg]],{0,0.59,0.79,1.5},1),3,1,0)</f>
        <v>1</v>
      </c>
      <c r="V43" s="19">
        <v>3</v>
      </c>
      <c r="W43" s="7">
        <v>43368</v>
      </c>
      <c r="X43" s="3">
        <f t="shared" si="5"/>
        <v>11.290000000000001</v>
      </c>
      <c r="Y43" s="12">
        <v>10</v>
      </c>
      <c r="AF43" s="2">
        <v>43374</v>
      </c>
      <c r="AG43" s="19">
        <v>1</v>
      </c>
      <c r="AH43" s="21">
        <v>0</v>
      </c>
      <c r="AI43" s="21">
        <v>1</v>
      </c>
    </row>
    <row r="44" spans="1:35" x14ac:dyDescent="0.25">
      <c r="A44" s="3">
        <v>54</v>
      </c>
      <c r="B44" s="3" t="s">
        <v>101</v>
      </c>
      <c r="C44" s="2">
        <v>43797</v>
      </c>
      <c r="D44" s="1" t="s">
        <v>17</v>
      </c>
      <c r="E44" s="4">
        <f>Tableau14[[#This Row],[Pts_Fujiwara]]+Tableau14[[#This Row],[ HT2]]+Tableau14[[#This Row],[LCR]]+Tableau14[[#This Row],[Points_angle_p]]+Tableau14[[#This Row],[Point_Torg]]</f>
        <v>7</v>
      </c>
      <c r="F44" s="1">
        <v>0.77</v>
      </c>
      <c r="G44" s="1">
        <v>0.51</v>
      </c>
      <c r="H44" s="5">
        <v>0.66233766233766234</v>
      </c>
      <c r="I44" s="3">
        <v>2</v>
      </c>
      <c r="J44" s="1">
        <v>1.44</v>
      </c>
      <c r="K44" s="1">
        <v>0.51</v>
      </c>
      <c r="L44" s="5">
        <f t="shared" si="3"/>
        <v>0.35416666666666669</v>
      </c>
      <c r="M44" s="9">
        <f>CHOOSE(MATCH(Tableau14[[#This Row],[Fujiwara_P]],{0,0.39,0.49,1},1),3,1,0)</f>
        <v>3</v>
      </c>
      <c r="N44" s="10">
        <v>2</v>
      </c>
      <c r="O44" s="10">
        <v>2</v>
      </c>
      <c r="P44" s="1">
        <v>2.2000000000000002</v>
      </c>
      <c r="Q44" s="10">
        <f>CHOOSE(MATCH(Tableau14[[#This Row],[Angle_p]],{-50,-14.9,-4.9,50},1),3,1,0)</f>
        <v>0</v>
      </c>
      <c r="R44" s="1">
        <v>1.24</v>
      </c>
      <c r="S44" s="1">
        <v>1.22</v>
      </c>
      <c r="T44" s="5">
        <f t="shared" si="4"/>
        <v>0.9838709677419355</v>
      </c>
      <c r="U44" s="10">
        <f>CHOOSE(MATCH(Tableau14[[#This Row],[Ratio_Torg]],{0,0.59,0.79,1.5},1),3,1,0)</f>
        <v>0</v>
      </c>
      <c r="V44" s="19">
        <v>1</v>
      </c>
      <c r="W44" s="7">
        <v>44130</v>
      </c>
      <c r="X44" s="3">
        <f t="shared" si="5"/>
        <v>15.74</v>
      </c>
      <c r="Y44" s="12">
        <v>15</v>
      </c>
      <c r="Z44" s="1">
        <v>3</v>
      </c>
      <c r="AA44" s="1">
        <v>4</v>
      </c>
      <c r="AB44" s="1">
        <v>1</v>
      </c>
      <c r="AC44" s="1">
        <v>2</v>
      </c>
      <c r="AD44" s="1">
        <v>2</v>
      </c>
      <c r="AE44" s="1">
        <v>3</v>
      </c>
      <c r="AF44" s="2"/>
      <c r="AG44" s="27"/>
      <c r="AH44" s="27"/>
      <c r="AI44" s="27"/>
    </row>
    <row r="45" spans="1:35" x14ac:dyDescent="0.25">
      <c r="A45" s="3">
        <v>43</v>
      </c>
      <c r="B45" s="3" t="s">
        <v>26</v>
      </c>
      <c r="C45" s="2">
        <v>43483</v>
      </c>
      <c r="D45" s="1" t="s">
        <v>17</v>
      </c>
      <c r="E45" s="4">
        <f>Tableau14[[#This Row],[Pts_Fujiwara]]+Tableau14[[#This Row],[ HT2]]+Tableau14[[#This Row],[LCR]]+Tableau14[[#This Row],[Points_angle_p]]+Tableau14[[#This Row],[Point_Torg]]</f>
        <v>5</v>
      </c>
      <c r="F45" s="1">
        <v>0.79</v>
      </c>
      <c r="G45" s="1">
        <v>0.54</v>
      </c>
      <c r="H45" s="5">
        <v>0.68354430379746833</v>
      </c>
      <c r="I45" s="3">
        <v>2</v>
      </c>
      <c r="J45" s="1">
        <v>1.51</v>
      </c>
      <c r="K45" s="1">
        <v>0.54</v>
      </c>
      <c r="L45" s="5">
        <f t="shared" si="3"/>
        <v>0.35761589403973509</v>
      </c>
      <c r="M45" s="9">
        <f>CHOOSE(MATCH(Tableau14[[#This Row],[Fujiwara_P]],{0,0.39,0.49,1},1),3,1,0)</f>
        <v>3</v>
      </c>
      <c r="N45" s="10">
        <v>0</v>
      </c>
      <c r="O45" s="10">
        <v>1</v>
      </c>
      <c r="P45" s="1">
        <v>-6</v>
      </c>
      <c r="Q45" s="10">
        <f>CHOOSE(MATCH(Tableau14[[#This Row],[Angle_p]],{-50,-14.9,-4.9,50},1),3,1,0)</f>
        <v>1</v>
      </c>
      <c r="R45" s="1">
        <v>1.29</v>
      </c>
      <c r="S45" s="1">
        <v>1.21</v>
      </c>
      <c r="T45" s="5">
        <f t="shared" si="4"/>
        <v>0.93798449612403101</v>
      </c>
      <c r="U45" s="10">
        <f>CHOOSE(MATCH(Tableau14[[#This Row],[Ratio_Torg]],{0,0.59,0.79,1.5},1),3,1,0)</f>
        <v>0</v>
      </c>
      <c r="V45" s="19">
        <v>2</v>
      </c>
      <c r="W45" s="7">
        <v>43500</v>
      </c>
      <c r="X45" s="3">
        <f t="shared" si="5"/>
        <v>17.52</v>
      </c>
      <c r="Y45" s="12">
        <v>17</v>
      </c>
      <c r="Z45" s="1">
        <v>4</v>
      </c>
      <c r="AA45" s="1">
        <v>4</v>
      </c>
      <c r="AB45" s="1">
        <v>2</v>
      </c>
      <c r="AC45" s="1">
        <v>2</v>
      </c>
      <c r="AD45" s="1">
        <v>2</v>
      </c>
      <c r="AE45" s="1">
        <v>3</v>
      </c>
      <c r="AF45" s="2">
        <v>43483</v>
      </c>
      <c r="AG45" s="18">
        <v>0</v>
      </c>
      <c r="AH45" s="20">
        <v>0</v>
      </c>
      <c r="AI45" s="20">
        <v>0</v>
      </c>
    </row>
    <row r="46" spans="1:35" x14ac:dyDescent="0.25">
      <c r="A46" s="3">
        <v>45</v>
      </c>
      <c r="B46" s="3" t="s">
        <v>54</v>
      </c>
      <c r="C46" s="2">
        <v>43424</v>
      </c>
      <c r="D46" s="1" t="s">
        <v>17</v>
      </c>
      <c r="E46" s="4">
        <f>Tableau14[[#This Row],[Pts_Fujiwara]]+Tableau14[[#This Row],[ HT2]]+Tableau14[[#This Row],[LCR]]+Tableau14[[#This Row],[Points_angle_p]]+Tableau14[[#This Row],[Point_Torg]]</f>
        <v>10</v>
      </c>
      <c r="F46" s="1">
        <v>0.78</v>
      </c>
      <c r="G46" s="1">
        <v>0.46</v>
      </c>
      <c r="H46" s="5">
        <v>0.58974358974358976</v>
      </c>
      <c r="I46" s="3">
        <v>4</v>
      </c>
      <c r="J46" s="1">
        <v>1.28</v>
      </c>
      <c r="K46" s="1">
        <v>0.46</v>
      </c>
      <c r="L46" s="5">
        <f t="shared" si="3"/>
        <v>0.359375</v>
      </c>
      <c r="M46" s="9">
        <f>CHOOSE(MATCH(Tableau14[[#This Row],[Fujiwara_P]],{0,0.39,0.49,1},1),3,1,0)</f>
        <v>3</v>
      </c>
      <c r="N46" s="10">
        <v>2</v>
      </c>
      <c r="O46" s="10">
        <v>1</v>
      </c>
      <c r="P46" s="1">
        <v>-9</v>
      </c>
      <c r="Q46" s="10">
        <f>CHOOSE(MATCH(Tableau14[[#This Row],[Angle_p]],{-50,-14.9,-4.9,50},1),3,1,0)</f>
        <v>1</v>
      </c>
      <c r="R46" s="1">
        <v>1.8</v>
      </c>
      <c r="S46" s="1">
        <v>0.96</v>
      </c>
      <c r="T46" s="5">
        <f t="shared" si="4"/>
        <v>0.53333333333333333</v>
      </c>
      <c r="U46" s="10">
        <f>CHOOSE(MATCH(Tableau14[[#This Row],[Ratio_Torg]],{0,0.59,0.79,1.5},1),3,1,0)</f>
        <v>3</v>
      </c>
      <c r="V46" s="19">
        <v>1</v>
      </c>
      <c r="W46" s="7">
        <v>43601</v>
      </c>
      <c r="X46" s="3">
        <f t="shared" si="5"/>
        <v>16.63</v>
      </c>
      <c r="Y46" s="12">
        <v>16</v>
      </c>
      <c r="AF46" s="2">
        <v>43552</v>
      </c>
      <c r="AG46" s="18">
        <v>1</v>
      </c>
      <c r="AH46" s="20"/>
      <c r="AI46" s="20">
        <v>1</v>
      </c>
    </row>
    <row r="47" spans="1:35" x14ac:dyDescent="0.25">
      <c r="A47" s="3">
        <v>69</v>
      </c>
      <c r="B47" s="3" t="s">
        <v>35</v>
      </c>
      <c r="C47" s="2">
        <v>43966</v>
      </c>
      <c r="D47" s="1" t="s">
        <v>17</v>
      </c>
      <c r="E47" s="4">
        <f>Tableau14[[#This Row],[Pts_Fujiwara]]+Tableau14[[#This Row],[ HT2]]+Tableau14[[#This Row],[LCR]]+Tableau14[[#This Row],[Points_angle_p]]+Tableau14[[#This Row],[Point_Torg]]</f>
        <v>4</v>
      </c>
      <c r="F47" s="1">
        <v>0.68</v>
      </c>
      <c r="G47" s="1">
        <v>0.55000000000000004</v>
      </c>
      <c r="H47" s="5">
        <v>0.80882352941176472</v>
      </c>
      <c r="I47" s="3">
        <v>1</v>
      </c>
      <c r="J47" s="1">
        <v>1.53</v>
      </c>
      <c r="K47" s="1">
        <v>0.55000000000000004</v>
      </c>
      <c r="L47" s="5">
        <f t="shared" si="3"/>
        <v>0.35947712418300654</v>
      </c>
      <c r="M47" s="9">
        <f>CHOOSE(MATCH(Tableau14[[#This Row],[Fujiwara_P]],{0,0.39,0.49,1},1),3,1,0)</f>
        <v>3</v>
      </c>
      <c r="N47" s="10">
        <v>0</v>
      </c>
      <c r="O47" s="10">
        <v>1</v>
      </c>
      <c r="P47" s="1">
        <v>0</v>
      </c>
      <c r="Q47" s="10">
        <f>CHOOSE(MATCH(Tableau14[[#This Row],[Angle_p]],{-50,-14.9,-4.9,50},1),3,1,0)</f>
        <v>0</v>
      </c>
      <c r="R47" s="1">
        <v>1.61</v>
      </c>
      <c r="S47" s="1">
        <v>1.31</v>
      </c>
      <c r="T47" s="5">
        <f t="shared" si="4"/>
        <v>0.81366459627329191</v>
      </c>
      <c r="U47" s="10">
        <f>CHOOSE(MATCH(Tableau14[[#This Row],[Ratio_Torg]],{0,0.59,0.79,1.5},1),3,1,0)</f>
        <v>0</v>
      </c>
      <c r="V47" s="18">
        <v>1</v>
      </c>
      <c r="W47" s="7">
        <v>43978</v>
      </c>
      <c r="X47" s="3">
        <f t="shared" si="5"/>
        <v>16.63</v>
      </c>
      <c r="Y47" s="12">
        <v>16</v>
      </c>
      <c r="AF47" s="2">
        <v>43994</v>
      </c>
      <c r="AG47" s="19">
        <v>2</v>
      </c>
      <c r="AH47" s="21">
        <v>1</v>
      </c>
      <c r="AI47" s="21">
        <v>0</v>
      </c>
    </row>
    <row r="48" spans="1:35" x14ac:dyDescent="0.25">
      <c r="A48" s="3">
        <v>58</v>
      </c>
      <c r="B48" s="3" t="s">
        <v>37</v>
      </c>
      <c r="C48" s="2">
        <v>44050</v>
      </c>
      <c r="D48" s="1" t="s">
        <v>17</v>
      </c>
      <c r="E48" s="4">
        <f>Tableau14[[#This Row],[Pts_Fujiwara]]+Tableau14[[#This Row],[ HT2]]+Tableau14[[#This Row],[LCR]]+Tableau14[[#This Row],[Points_angle_p]]+Tableau14[[#This Row],[Point_Torg]]</f>
        <v>4</v>
      </c>
      <c r="F48" s="1">
        <v>0.69</v>
      </c>
      <c r="G48" s="1">
        <v>0.53</v>
      </c>
      <c r="H48" s="5">
        <v>0.76811594202898559</v>
      </c>
      <c r="I48" s="3">
        <v>2</v>
      </c>
      <c r="J48" s="1">
        <v>1.47</v>
      </c>
      <c r="K48" s="1">
        <v>0.53</v>
      </c>
      <c r="L48" s="5">
        <f t="shared" si="3"/>
        <v>0.36054421768707484</v>
      </c>
      <c r="M48" s="9">
        <f>CHOOSE(MATCH(Tableau14[[#This Row],[Fujiwara_P]],{0,0.39,0.49,1},1),3,1,0)</f>
        <v>3</v>
      </c>
      <c r="N48" s="10">
        <v>0</v>
      </c>
      <c r="O48" s="10">
        <v>1</v>
      </c>
      <c r="P48" s="1">
        <v>1</v>
      </c>
      <c r="Q48" s="10">
        <f>CHOOSE(MATCH(Tableau14[[#This Row],[Angle_p]],{-50,-14.9,-4.9,50},1),3,1,0)</f>
        <v>0</v>
      </c>
      <c r="R48" s="1">
        <v>1.4</v>
      </c>
      <c r="S48" s="1">
        <v>1.23</v>
      </c>
      <c r="T48" s="5">
        <f t="shared" si="4"/>
        <v>0.87857142857142867</v>
      </c>
      <c r="U48" s="10">
        <f>CHOOSE(MATCH(Tableau14[[#This Row],[Ratio_Torg]],{0,0.59,0.79,1.5},1),3,1,0)</f>
        <v>0</v>
      </c>
      <c r="V48" s="19">
        <v>1</v>
      </c>
      <c r="W48" s="7">
        <v>43795</v>
      </c>
      <c r="X48" s="3">
        <f t="shared" si="5"/>
        <v>17.52</v>
      </c>
      <c r="Y48" s="12">
        <v>17</v>
      </c>
      <c r="Z48" s="1">
        <v>4</v>
      </c>
      <c r="AA48" s="1">
        <v>4</v>
      </c>
      <c r="AB48" s="1">
        <v>2</v>
      </c>
      <c r="AC48" s="1">
        <v>2</v>
      </c>
      <c r="AD48" s="1">
        <v>2</v>
      </c>
      <c r="AE48" s="1">
        <v>3</v>
      </c>
      <c r="AF48" s="2">
        <v>44050</v>
      </c>
      <c r="AG48" s="19">
        <v>0</v>
      </c>
      <c r="AH48" s="21">
        <v>0</v>
      </c>
      <c r="AI48" s="21">
        <v>0</v>
      </c>
    </row>
    <row r="49" spans="1:35" x14ac:dyDescent="0.25">
      <c r="A49" s="3">
        <v>62</v>
      </c>
      <c r="B49" s="3" t="s">
        <v>89</v>
      </c>
      <c r="C49" s="2">
        <v>43657</v>
      </c>
      <c r="D49" s="1" t="s">
        <v>14</v>
      </c>
      <c r="E49" s="4">
        <f>Tableau14[[#This Row],[Pts_Fujiwara]]+Tableau14[[#This Row],[ HT2]]+Tableau14[[#This Row],[LCR]]+Tableau14[[#This Row],[Points_angle_p]]+Tableau14[[#This Row],[Point_Torg]]</f>
        <v>5</v>
      </c>
      <c r="F49" s="1">
        <v>0.74</v>
      </c>
      <c r="G49" s="1">
        <v>0.56999999999999995</v>
      </c>
      <c r="H49" s="5">
        <v>0.77027027027027017</v>
      </c>
      <c r="I49" s="3">
        <v>2</v>
      </c>
      <c r="J49" s="1">
        <v>1.57</v>
      </c>
      <c r="K49" s="1">
        <v>0.56999999999999995</v>
      </c>
      <c r="L49" s="5">
        <f t="shared" si="3"/>
        <v>0.36305732484076431</v>
      </c>
      <c r="M49" s="9">
        <f>CHOOSE(MATCH(Tableau14[[#This Row],[Fujiwara_P]],{0,0.39,0.49,1},1),3,1,0)</f>
        <v>3</v>
      </c>
      <c r="N49" s="10">
        <v>0</v>
      </c>
      <c r="O49" s="10">
        <v>1</v>
      </c>
      <c r="P49" s="1">
        <v>0.2</v>
      </c>
      <c r="Q49" s="10">
        <f>CHOOSE(MATCH(Tableau14[[#This Row],[Angle_p]],{-50,-14.9,-4.9,50},1),3,1,0)</f>
        <v>0</v>
      </c>
      <c r="R49" s="1">
        <v>1.73</v>
      </c>
      <c r="S49" s="1">
        <v>1.35</v>
      </c>
      <c r="T49" s="5">
        <f t="shared" si="4"/>
        <v>0.78034682080924866</v>
      </c>
      <c r="U49" s="10">
        <f>CHOOSE(MATCH(Tableau14[[#This Row],[Ratio_Torg]],{0,0.59,0.79,1.5},1),3,1,0)</f>
        <v>1</v>
      </c>
      <c r="V49" s="18">
        <v>3</v>
      </c>
      <c r="W49" s="7">
        <v>44124</v>
      </c>
      <c r="X49" s="3">
        <f t="shared" si="5"/>
        <v>15.74</v>
      </c>
      <c r="Y49" s="12">
        <v>15</v>
      </c>
      <c r="Z49" s="1">
        <v>3</v>
      </c>
      <c r="AA49" s="1">
        <v>4</v>
      </c>
      <c r="AB49" s="1">
        <v>1</v>
      </c>
      <c r="AC49" s="1">
        <v>2</v>
      </c>
      <c r="AD49" s="1">
        <v>2</v>
      </c>
      <c r="AE49" s="1">
        <v>3</v>
      </c>
      <c r="AF49" s="2">
        <v>44215</v>
      </c>
      <c r="AG49" s="19">
        <v>1</v>
      </c>
      <c r="AH49" s="21">
        <v>1</v>
      </c>
      <c r="AI49" s="21"/>
    </row>
    <row r="50" spans="1:35" x14ac:dyDescent="0.25">
      <c r="A50" s="3">
        <v>53</v>
      </c>
      <c r="B50" s="3" t="s">
        <v>99</v>
      </c>
      <c r="C50" s="2">
        <v>44020</v>
      </c>
      <c r="D50" s="1" t="s">
        <v>9</v>
      </c>
      <c r="E50" s="4">
        <f>Tableau14[[#This Row],[Pts_Fujiwara]]+Tableau14[[#This Row],[ HT2]]+Tableau14[[#This Row],[LCR]]+Tableau14[[#This Row],[Points_angle_p]]+Tableau14[[#This Row],[Point_Torg]]</f>
        <v>10</v>
      </c>
      <c r="F50" s="1">
        <v>0.5</v>
      </c>
      <c r="G50" s="1">
        <v>0.47</v>
      </c>
      <c r="H50" s="5">
        <v>0.94</v>
      </c>
      <c r="I50" s="3">
        <v>1</v>
      </c>
      <c r="J50" s="1">
        <v>1.27</v>
      </c>
      <c r="K50" s="1">
        <v>0.47</v>
      </c>
      <c r="L50" s="5">
        <f t="shared" si="3"/>
        <v>0.37007874015748027</v>
      </c>
      <c r="M50" s="9">
        <f>CHOOSE(MATCH(Tableau14[[#This Row],[Fujiwara_P]],{0,0.39,0.49,1},1),3,1,0)</f>
        <v>3</v>
      </c>
      <c r="N50" s="10">
        <v>2</v>
      </c>
      <c r="O50" s="10">
        <v>4</v>
      </c>
      <c r="P50" s="1">
        <v>4.5999999999999996</v>
      </c>
      <c r="Q50" s="10">
        <f>CHOOSE(MATCH(Tableau14[[#This Row],[Angle_p]],{-50,-14.9,-4.9,50},1),3,1,0)</f>
        <v>0</v>
      </c>
      <c r="R50" s="1">
        <v>1.86</v>
      </c>
      <c r="S50" s="1">
        <v>1.29</v>
      </c>
      <c r="T50" s="5">
        <f t="shared" si="4"/>
        <v>0.69354838709677413</v>
      </c>
      <c r="U50" s="10">
        <f>CHOOSE(MATCH(Tableau14[[#This Row],[Ratio_Torg]],{0,0.59,0.79,1.5},1),3,1,0)</f>
        <v>1</v>
      </c>
      <c r="V50" s="19">
        <v>1</v>
      </c>
      <c r="W50" s="7">
        <v>43847</v>
      </c>
      <c r="X50" s="3">
        <f t="shared" si="5"/>
        <v>13.07</v>
      </c>
      <c r="Y50" s="12">
        <v>12</v>
      </c>
      <c r="Z50" s="1">
        <v>3</v>
      </c>
      <c r="AA50" s="1">
        <v>3</v>
      </c>
      <c r="AB50" s="1">
        <v>1</v>
      </c>
      <c r="AC50" s="1">
        <v>1</v>
      </c>
      <c r="AD50" s="1">
        <v>1</v>
      </c>
      <c r="AE50" s="1">
        <v>3</v>
      </c>
      <c r="AF50" s="2">
        <v>43705</v>
      </c>
      <c r="AG50" s="19">
        <v>0</v>
      </c>
      <c r="AH50" s="21">
        <v>0</v>
      </c>
      <c r="AI50" s="21"/>
    </row>
    <row r="51" spans="1:35" x14ac:dyDescent="0.25">
      <c r="A51" s="3">
        <v>59</v>
      </c>
      <c r="B51" s="3" t="s">
        <v>48</v>
      </c>
      <c r="C51" s="2">
        <v>43290</v>
      </c>
      <c r="D51" s="1" t="s">
        <v>9</v>
      </c>
      <c r="E51" s="4">
        <f>Tableau14[[#This Row],[Pts_Fujiwara]]+Tableau14[[#This Row],[ HT2]]+Tableau14[[#This Row],[LCR]]+Tableau14[[#This Row],[Points_angle_p]]+Tableau14[[#This Row],[Point_Torg]]</f>
        <v>10</v>
      </c>
      <c r="F51" s="1">
        <v>0.6</v>
      </c>
      <c r="G51" s="1">
        <v>0.43</v>
      </c>
      <c r="H51" s="5">
        <v>0.71666666666666667</v>
      </c>
      <c r="I51" s="3">
        <v>2</v>
      </c>
      <c r="J51" s="1">
        <v>1.1599999999999999</v>
      </c>
      <c r="K51" s="1">
        <v>0.43</v>
      </c>
      <c r="L51" s="5">
        <f t="shared" si="3"/>
        <v>0.37068965517241381</v>
      </c>
      <c r="M51" s="9">
        <f>CHOOSE(MATCH(Tableau14[[#This Row],[Fujiwara_P]],{0,0.39,0.49,1},1),3,1,0)</f>
        <v>3</v>
      </c>
      <c r="N51" s="10">
        <v>4</v>
      </c>
      <c r="O51" s="10">
        <v>2</v>
      </c>
      <c r="P51" s="1">
        <v>-4</v>
      </c>
      <c r="Q51" s="10">
        <f>CHOOSE(MATCH(Tableau14[[#This Row],[Angle_p]],{-50,-14.9,-4.9,50},1),3,1,0)</f>
        <v>0</v>
      </c>
      <c r="R51" s="1">
        <v>1.82</v>
      </c>
      <c r="S51" s="1">
        <v>1.08</v>
      </c>
      <c r="T51" s="5">
        <f t="shared" si="4"/>
        <v>0.59340659340659341</v>
      </c>
      <c r="U51" s="10">
        <f>CHOOSE(MATCH(Tableau14[[#This Row],[Ratio_Torg]],{0,0.59,0.79,1.5},1),3,1,0)</f>
        <v>1</v>
      </c>
      <c r="V51" s="19">
        <v>2</v>
      </c>
      <c r="W51" s="7">
        <v>43396</v>
      </c>
      <c r="X51" s="3">
        <f t="shared" si="5"/>
        <v>14.850000000000001</v>
      </c>
      <c r="Y51" s="12">
        <v>14</v>
      </c>
      <c r="AF51" s="2">
        <v>43374</v>
      </c>
      <c r="AG51" s="18">
        <v>2</v>
      </c>
      <c r="AH51" s="20">
        <v>2</v>
      </c>
      <c r="AI51" s="20"/>
    </row>
    <row r="52" spans="1:35" x14ac:dyDescent="0.25">
      <c r="A52" s="3">
        <v>64</v>
      </c>
      <c r="B52" s="3" t="s">
        <v>85</v>
      </c>
      <c r="C52" s="2">
        <v>44193</v>
      </c>
      <c r="D52" s="1" t="s">
        <v>9</v>
      </c>
      <c r="E52" s="4">
        <f>Tableau14[[#This Row],[Pts_Fujiwara]]+Tableau14[[#This Row],[ HT2]]+Tableau14[[#This Row],[LCR]]+Tableau14[[#This Row],[Points_angle_p]]+Tableau14[[#This Row],[Point_Torg]]</f>
        <v>10</v>
      </c>
      <c r="F52" s="1">
        <v>0.49</v>
      </c>
      <c r="G52" s="1">
        <v>0.44</v>
      </c>
      <c r="H52" s="5">
        <v>0.89795918367346939</v>
      </c>
      <c r="I52" s="3">
        <v>1</v>
      </c>
      <c r="J52" s="1">
        <v>1.18</v>
      </c>
      <c r="K52" s="1">
        <v>0.44</v>
      </c>
      <c r="L52" s="5">
        <f t="shared" si="3"/>
        <v>0.3728813559322034</v>
      </c>
      <c r="M52" s="9">
        <f>CHOOSE(MATCH(Tableau14[[#This Row],[Fujiwara_P]],{0,0.39,0.49,1},1),3,1,0)</f>
        <v>3</v>
      </c>
      <c r="N52" s="10">
        <v>2</v>
      </c>
      <c r="O52" s="10">
        <v>4</v>
      </c>
      <c r="P52" s="1">
        <v>0.5</v>
      </c>
      <c r="Q52" s="10">
        <f>CHOOSE(MATCH(Tableau14[[#This Row],[Angle_p]],{-50,-14.9,-4.9,50},1),3,1,0)</f>
        <v>0</v>
      </c>
      <c r="R52" s="1">
        <v>1.87</v>
      </c>
      <c r="S52" s="1">
        <v>1.1299999999999999</v>
      </c>
      <c r="T52" s="5">
        <f t="shared" si="4"/>
        <v>0.60427807486631002</v>
      </c>
      <c r="U52" s="10">
        <f>CHOOSE(MATCH(Tableau14[[#This Row],[Ratio_Torg]],{0,0.59,0.79,1.5},1),3,1,0)</f>
        <v>1</v>
      </c>
      <c r="V52" s="18">
        <v>4</v>
      </c>
      <c r="W52" s="7">
        <v>44236</v>
      </c>
      <c r="X52" s="3">
        <f t="shared" si="5"/>
        <v>13.96</v>
      </c>
      <c r="Y52" s="12">
        <v>13</v>
      </c>
      <c r="Z52" s="1">
        <v>3</v>
      </c>
      <c r="AA52" s="1">
        <v>3</v>
      </c>
      <c r="AB52" s="1">
        <v>1</v>
      </c>
      <c r="AC52" s="1">
        <v>2</v>
      </c>
      <c r="AD52" s="1">
        <v>2</v>
      </c>
      <c r="AE52" s="1">
        <v>2</v>
      </c>
      <c r="AF52" s="2">
        <v>44284</v>
      </c>
      <c r="AG52" s="19">
        <v>2</v>
      </c>
      <c r="AH52" s="21">
        <v>2</v>
      </c>
      <c r="AI52" s="21">
        <v>2</v>
      </c>
    </row>
    <row r="53" spans="1:35" x14ac:dyDescent="0.25">
      <c r="A53" s="3">
        <v>62</v>
      </c>
      <c r="B53" s="3" t="s">
        <v>22</v>
      </c>
      <c r="C53" s="2">
        <v>42507</v>
      </c>
      <c r="D53" s="1" t="s">
        <v>9</v>
      </c>
      <c r="E53" s="4">
        <f>Tableau14[[#This Row],[Pts_Fujiwara]]+Tableau14[[#This Row],[ HT2]]+Tableau14[[#This Row],[LCR]]+Tableau14[[#This Row],[Points_angle_p]]+Tableau14[[#This Row],[Point_Torg]]</f>
        <v>7</v>
      </c>
      <c r="F53" s="1">
        <v>0.74</v>
      </c>
      <c r="G53" s="1">
        <v>0.6</v>
      </c>
      <c r="H53" s="5">
        <v>0.81081081081081074</v>
      </c>
      <c r="I53" s="3">
        <v>1</v>
      </c>
      <c r="J53" s="1">
        <v>1.6</v>
      </c>
      <c r="K53" s="1">
        <v>0.6</v>
      </c>
      <c r="L53" s="5">
        <f t="shared" ref="L53:L84" si="6">K53/J53</f>
        <v>0.37499999999999994</v>
      </c>
      <c r="M53" s="9">
        <f>CHOOSE(MATCH(Tableau14[[#This Row],[Fujiwara_P]],{0,0.39,0.49,1},1),3,1,0)</f>
        <v>3</v>
      </c>
      <c r="N53" s="10">
        <v>2</v>
      </c>
      <c r="O53" s="10">
        <v>1</v>
      </c>
      <c r="P53" s="1">
        <v>4.17</v>
      </c>
      <c r="Q53" s="10">
        <f>CHOOSE(MATCH(Tableau14[[#This Row],[Angle_p]],{-50,-14.9,-4.9,50},1),3,1,0)</f>
        <v>0</v>
      </c>
      <c r="R53" s="1">
        <v>1.65</v>
      </c>
      <c r="S53" s="1">
        <v>1.08</v>
      </c>
      <c r="T53" s="5">
        <f t="shared" si="4"/>
        <v>0.65454545454545465</v>
      </c>
      <c r="U53" s="10">
        <f>CHOOSE(MATCH(Tableau14[[#This Row],[Ratio_Torg]],{0,0.59,0.79,1.5},1),3,1,0)</f>
        <v>1</v>
      </c>
      <c r="V53" s="19">
        <v>1</v>
      </c>
      <c r="W53" s="7">
        <v>42591</v>
      </c>
      <c r="X53" s="3">
        <f t="shared" si="5"/>
        <v>14.850000000000001</v>
      </c>
      <c r="Y53" s="12">
        <v>14</v>
      </c>
      <c r="Z53" s="1">
        <v>4</v>
      </c>
      <c r="AA53" s="1">
        <v>3</v>
      </c>
      <c r="AB53" s="1">
        <v>1</v>
      </c>
      <c r="AC53" s="1">
        <v>1</v>
      </c>
      <c r="AD53" s="1">
        <v>2</v>
      </c>
      <c r="AE53" s="1">
        <v>3</v>
      </c>
      <c r="AF53" s="2">
        <v>42664</v>
      </c>
      <c r="AG53" s="18">
        <v>2</v>
      </c>
      <c r="AH53" s="20">
        <v>0</v>
      </c>
      <c r="AI53" s="20">
        <v>2</v>
      </c>
    </row>
    <row r="54" spans="1:35" x14ac:dyDescent="0.25">
      <c r="A54" s="3">
        <v>72</v>
      </c>
      <c r="B54" s="3" t="s">
        <v>30</v>
      </c>
      <c r="C54" s="2">
        <v>43637</v>
      </c>
      <c r="D54" s="1" t="s">
        <v>9</v>
      </c>
      <c r="E54" s="4">
        <f>Tableau14[[#This Row],[Pts_Fujiwara]]+Tableau14[[#This Row],[ HT2]]+Tableau14[[#This Row],[LCR]]+Tableau14[[#This Row],[Points_angle_p]]+Tableau14[[#This Row],[Point_Torg]]</f>
        <v>5</v>
      </c>
      <c r="F54" s="1">
        <v>0.68</v>
      </c>
      <c r="G54" s="1">
        <v>0.49</v>
      </c>
      <c r="H54" s="5">
        <v>0.72058823529411753</v>
      </c>
      <c r="I54" s="3">
        <v>2</v>
      </c>
      <c r="J54" s="1">
        <v>1.3</v>
      </c>
      <c r="K54" s="1">
        <v>0.49</v>
      </c>
      <c r="L54" s="5">
        <f t="shared" si="6"/>
        <v>0.37692307692307692</v>
      </c>
      <c r="M54" s="9">
        <f>CHOOSE(MATCH(Tableau14[[#This Row],[Fujiwara_P]],{0,0.39,0.49,1},1),3,1,0)</f>
        <v>3</v>
      </c>
      <c r="N54" s="10">
        <v>0</v>
      </c>
      <c r="O54" s="10">
        <v>1</v>
      </c>
      <c r="P54" s="1">
        <v>2</v>
      </c>
      <c r="Q54" s="10">
        <f>CHOOSE(MATCH(Tableau14[[#This Row],[Angle_p]],{-50,-14.9,-4.9,50},1),3,1,0)</f>
        <v>0</v>
      </c>
      <c r="R54" s="1">
        <v>1.86</v>
      </c>
      <c r="S54" s="1">
        <v>1.29</v>
      </c>
      <c r="T54" s="5">
        <f t="shared" si="4"/>
        <v>0.69354838709677413</v>
      </c>
      <c r="U54" s="10">
        <f>CHOOSE(MATCH(Tableau14[[#This Row],[Ratio_Torg]],{0,0.59,0.79,1.5},1),3,1,0)</f>
        <v>1</v>
      </c>
      <c r="V54" s="19">
        <v>1</v>
      </c>
      <c r="W54" s="7">
        <v>43559</v>
      </c>
      <c r="X54" s="3">
        <f t="shared" si="5"/>
        <v>14.850000000000001</v>
      </c>
      <c r="Y54" s="12">
        <v>14</v>
      </c>
      <c r="AF54" s="2">
        <v>43402</v>
      </c>
      <c r="AG54" s="18">
        <v>3</v>
      </c>
      <c r="AH54" s="20">
        <v>1</v>
      </c>
      <c r="AI54" s="20">
        <v>3</v>
      </c>
    </row>
    <row r="55" spans="1:35" x14ac:dyDescent="0.25">
      <c r="A55" s="3">
        <v>67</v>
      </c>
      <c r="B55" s="3" t="s">
        <v>15</v>
      </c>
      <c r="C55" s="2">
        <v>43537</v>
      </c>
      <c r="D55" s="1" t="s">
        <v>9</v>
      </c>
      <c r="E55" s="4">
        <f>Tableau14[[#This Row],[Pts_Fujiwara]]+Tableau14[[#This Row],[ HT2]]+Tableau14[[#This Row],[LCR]]+Tableau14[[#This Row],[Points_angle_p]]+Tableau14[[#This Row],[Point_Torg]]</f>
        <v>5</v>
      </c>
      <c r="F55" s="1">
        <v>0.56999999999999995</v>
      </c>
      <c r="G55" s="1">
        <v>0.48</v>
      </c>
      <c r="H55" s="5">
        <v>0.8421052631578948</v>
      </c>
      <c r="I55" s="3">
        <v>1</v>
      </c>
      <c r="J55" s="1">
        <v>1.27</v>
      </c>
      <c r="K55" s="1">
        <v>0.48</v>
      </c>
      <c r="L55" s="5">
        <f t="shared" si="6"/>
        <v>0.37795275590551181</v>
      </c>
      <c r="M55" s="9">
        <f>CHOOSE(MATCH(Tableau14[[#This Row],[Fujiwara_P]],{0,0.39,0.49,1},1),3,1,0)</f>
        <v>3</v>
      </c>
      <c r="N55" s="10">
        <v>0</v>
      </c>
      <c r="O55" s="10">
        <v>2</v>
      </c>
      <c r="P55" s="1">
        <v>5</v>
      </c>
      <c r="Q55" s="10">
        <f>CHOOSE(MATCH(Tableau14[[#This Row],[Angle_p]],{-50,-14.9,-4.9,50},1),3,1,0)</f>
        <v>0</v>
      </c>
      <c r="R55" s="1">
        <v>1.35</v>
      </c>
      <c r="S55" s="1">
        <v>1.1200000000000001</v>
      </c>
      <c r="T55" s="5">
        <f t="shared" si="4"/>
        <v>0.82962962962962961</v>
      </c>
      <c r="U55" s="10">
        <f>CHOOSE(MATCH(Tableau14[[#This Row],[Ratio_Torg]],{0,0.59,0.79,1.5},1),3,1,0)</f>
        <v>0</v>
      </c>
      <c r="V55" s="18">
        <v>1</v>
      </c>
      <c r="W55" s="7">
        <v>43670</v>
      </c>
      <c r="X55" s="3">
        <f t="shared" si="5"/>
        <v>16.63</v>
      </c>
      <c r="Y55" s="12">
        <v>16</v>
      </c>
      <c r="AF55" s="2">
        <v>43700</v>
      </c>
      <c r="AG55" s="18">
        <v>2</v>
      </c>
      <c r="AH55" s="20">
        <v>1</v>
      </c>
      <c r="AI55" s="20">
        <v>2</v>
      </c>
    </row>
    <row r="56" spans="1:35" x14ac:dyDescent="0.25">
      <c r="A56" s="3">
        <v>75</v>
      </c>
      <c r="B56" s="3" t="s">
        <v>65</v>
      </c>
      <c r="C56" s="2">
        <v>43263</v>
      </c>
      <c r="D56" s="1" t="s">
        <v>9</v>
      </c>
      <c r="E56" s="4">
        <f>Tableau14[[#This Row],[Pts_Fujiwara]]+Tableau14[[#This Row],[ HT2]]+Tableau14[[#This Row],[LCR]]+Tableau14[[#This Row],[Points_angle_p]]+Tableau14[[#This Row],[Point_Torg]]</f>
        <v>10</v>
      </c>
      <c r="F56" s="1">
        <v>0.67</v>
      </c>
      <c r="G56" s="1">
        <v>0.48</v>
      </c>
      <c r="H56" s="5">
        <v>0.71641791044776115</v>
      </c>
      <c r="I56" s="3">
        <v>2</v>
      </c>
      <c r="J56" s="1">
        <v>1.25</v>
      </c>
      <c r="K56" s="1">
        <v>0.48</v>
      </c>
      <c r="L56" s="5">
        <f t="shared" si="6"/>
        <v>0.38400000000000001</v>
      </c>
      <c r="M56" s="9">
        <f>CHOOSE(MATCH(Tableau14[[#This Row],[Fujiwara_P]],{0,0.39,0.49,1},1),3,1,0)</f>
        <v>3</v>
      </c>
      <c r="N56" s="10">
        <v>2</v>
      </c>
      <c r="O56" s="10">
        <v>4</v>
      </c>
      <c r="P56" s="1">
        <v>-1.7</v>
      </c>
      <c r="Q56" s="10">
        <f>CHOOSE(MATCH(Tableau14[[#This Row],[Angle_p]],{-50,-14.9,-4.9,50},1),3,1,0)</f>
        <v>0</v>
      </c>
      <c r="R56" s="1">
        <v>1.66</v>
      </c>
      <c r="S56" s="1">
        <v>1.1200000000000001</v>
      </c>
      <c r="T56" s="5">
        <f t="shared" si="4"/>
        <v>0.67469879518072295</v>
      </c>
      <c r="U56" s="10">
        <f>CHOOSE(MATCH(Tableau14[[#This Row],[Ratio_Torg]],{0,0.59,0.79,1.5},1),3,1,0)</f>
        <v>1</v>
      </c>
      <c r="V56" s="18">
        <v>3</v>
      </c>
      <c r="W56" s="7">
        <v>43307</v>
      </c>
      <c r="X56" s="3">
        <f t="shared" si="5"/>
        <v>10.4</v>
      </c>
      <c r="Y56" s="12">
        <v>9</v>
      </c>
      <c r="Z56" s="1">
        <v>1</v>
      </c>
      <c r="AA56" s="1">
        <v>1</v>
      </c>
      <c r="AB56" s="1">
        <v>1</v>
      </c>
      <c r="AC56" s="1">
        <v>2</v>
      </c>
      <c r="AD56" s="1">
        <v>2</v>
      </c>
      <c r="AE56" s="1">
        <v>2</v>
      </c>
      <c r="AF56" s="2">
        <v>43283</v>
      </c>
      <c r="AG56" s="19">
        <v>2</v>
      </c>
      <c r="AH56" s="21">
        <v>2</v>
      </c>
      <c r="AI56" s="21">
        <v>2</v>
      </c>
    </row>
    <row r="57" spans="1:35" x14ac:dyDescent="0.25">
      <c r="A57" s="3">
        <v>50</v>
      </c>
      <c r="B57" s="3" t="s">
        <v>87</v>
      </c>
      <c r="C57" s="2">
        <v>43588</v>
      </c>
      <c r="D57" s="1" t="s">
        <v>14</v>
      </c>
      <c r="E57" s="4">
        <f>Tableau14[[#This Row],[Pts_Fujiwara]]+Tableau14[[#This Row],[ HT2]]+Tableau14[[#This Row],[LCR]]+Tableau14[[#This Row],[Points_angle_p]]+Tableau14[[#This Row],[Point_Torg]]</f>
        <v>7</v>
      </c>
      <c r="F57" s="1">
        <v>0.77</v>
      </c>
      <c r="G57" s="1">
        <v>0.56999999999999995</v>
      </c>
      <c r="H57" s="5">
        <v>0.74025974025974017</v>
      </c>
      <c r="I57" s="3">
        <v>2</v>
      </c>
      <c r="J57" s="1">
        <v>1.48</v>
      </c>
      <c r="K57" s="1">
        <v>0.56999999999999995</v>
      </c>
      <c r="L57" s="5">
        <f t="shared" si="6"/>
        <v>0.38513513513513509</v>
      </c>
      <c r="M57" s="9">
        <f>CHOOSE(MATCH(Tableau14[[#This Row],[Fujiwara_P]],{0,0.39,0.49,1},1),3,1,0)</f>
        <v>3</v>
      </c>
      <c r="N57" s="10">
        <v>2</v>
      </c>
      <c r="O57" s="10">
        <v>2</v>
      </c>
      <c r="P57" s="1">
        <v>4</v>
      </c>
      <c r="Q57" s="10">
        <f>CHOOSE(MATCH(Tableau14[[#This Row],[Angle_p]],{-50,-14.9,-4.9,50},1),3,1,0)</f>
        <v>0</v>
      </c>
      <c r="R57" s="1">
        <v>1.64</v>
      </c>
      <c r="S57" s="1">
        <v>1.36</v>
      </c>
      <c r="T57" s="5">
        <f t="shared" si="4"/>
        <v>0.8292682926829269</v>
      </c>
      <c r="U57" s="10">
        <f>CHOOSE(MATCH(Tableau14[[#This Row],[Ratio_Torg]],{0,0.59,0.79,1.5},1),3,1,0)</f>
        <v>0</v>
      </c>
      <c r="V57" s="19">
        <v>2</v>
      </c>
      <c r="W57" s="7">
        <v>43804</v>
      </c>
      <c r="X57" s="3">
        <f t="shared" si="5"/>
        <v>10.4</v>
      </c>
      <c r="Y57" s="12">
        <v>9</v>
      </c>
      <c r="Z57" s="1">
        <v>3</v>
      </c>
      <c r="AA57" s="1">
        <v>3</v>
      </c>
      <c r="AB57" s="1">
        <v>1</v>
      </c>
      <c r="AC57" s="1">
        <v>1</v>
      </c>
      <c r="AD57" s="1">
        <v>1</v>
      </c>
      <c r="AE57" s="1">
        <v>0</v>
      </c>
      <c r="AF57" s="2">
        <v>43980</v>
      </c>
      <c r="AG57" s="19">
        <v>2</v>
      </c>
      <c r="AH57" s="21">
        <v>0</v>
      </c>
      <c r="AI57" s="21">
        <v>2</v>
      </c>
    </row>
    <row r="58" spans="1:35" x14ac:dyDescent="0.25">
      <c r="A58" s="3">
        <v>65</v>
      </c>
      <c r="B58" s="3" t="s">
        <v>104</v>
      </c>
      <c r="C58" s="2">
        <v>43894</v>
      </c>
      <c r="D58" s="1" t="s">
        <v>17</v>
      </c>
      <c r="E58" s="4">
        <f>Tableau14[[#This Row],[Pts_Fujiwara]]+Tableau14[[#This Row],[ HT2]]+Tableau14[[#This Row],[LCR]]+Tableau14[[#This Row],[Points_angle_p]]+Tableau14[[#This Row],[Point_Torg]]</f>
        <v>8</v>
      </c>
      <c r="F58" s="1">
        <v>0.74</v>
      </c>
      <c r="G58" s="1">
        <v>0.52</v>
      </c>
      <c r="H58" s="5">
        <v>0.70270270270270274</v>
      </c>
      <c r="I58" s="3">
        <v>2</v>
      </c>
      <c r="J58" s="1">
        <v>1.34</v>
      </c>
      <c r="K58" s="1">
        <v>0.52</v>
      </c>
      <c r="L58" s="5">
        <f t="shared" si="6"/>
        <v>0.38805970149253732</v>
      </c>
      <c r="M58" s="9">
        <f>CHOOSE(MATCH(Tableau14[[#This Row],[Fujiwara_P]],{0,0.39,0.49,1},1),3,1,0)</f>
        <v>3</v>
      </c>
      <c r="N58" s="10">
        <v>2</v>
      </c>
      <c r="O58" s="10">
        <v>2</v>
      </c>
      <c r="P58" s="1">
        <v>3.7</v>
      </c>
      <c r="Q58" s="10">
        <f>CHOOSE(MATCH(Tableau14[[#This Row],[Angle_p]],{-50,-14.9,-4.9,50},1),3,1,0)</f>
        <v>0</v>
      </c>
      <c r="R58" s="1">
        <v>2.0099999999999998</v>
      </c>
      <c r="S58" s="1">
        <v>1.25</v>
      </c>
      <c r="T58" s="5">
        <f t="shared" si="4"/>
        <v>0.62189054726368165</v>
      </c>
      <c r="U58" s="10">
        <f>CHOOSE(MATCH(Tableau14[[#This Row],[Ratio_Torg]],{0,0.59,0.79,1.5},1),3,1,0)</f>
        <v>1</v>
      </c>
      <c r="V58" s="19">
        <v>2</v>
      </c>
      <c r="W58" s="7">
        <v>44005</v>
      </c>
      <c r="X58" s="3">
        <f t="shared" si="5"/>
        <v>15.74</v>
      </c>
      <c r="Y58" s="12">
        <v>15</v>
      </c>
      <c r="Z58" s="1">
        <v>4</v>
      </c>
      <c r="AA58" s="1">
        <v>3</v>
      </c>
      <c r="AB58" s="1">
        <v>2</v>
      </c>
      <c r="AC58" s="1">
        <v>2</v>
      </c>
      <c r="AD58" s="1">
        <v>2</v>
      </c>
      <c r="AE58" s="1">
        <v>2</v>
      </c>
      <c r="AF58" s="2"/>
      <c r="AG58" s="27"/>
      <c r="AH58" s="27"/>
      <c r="AI58" s="27"/>
    </row>
    <row r="59" spans="1:35" x14ac:dyDescent="0.25">
      <c r="A59" s="3">
        <v>75</v>
      </c>
      <c r="B59" s="3" t="s">
        <v>28</v>
      </c>
      <c r="C59" s="2">
        <v>43581</v>
      </c>
      <c r="D59" s="1" t="s">
        <v>12</v>
      </c>
      <c r="E59" s="4">
        <f>Tableau14[[#This Row],[Pts_Fujiwara]]+Tableau14[[#This Row],[ HT2]]+Tableau14[[#This Row],[LCR]]+Tableau14[[#This Row],[Points_angle_p]]+Tableau14[[#This Row],[Point_Torg]]</f>
        <v>3</v>
      </c>
      <c r="F59" s="1">
        <v>0.75</v>
      </c>
      <c r="G59" s="1">
        <v>0.61</v>
      </c>
      <c r="H59" s="5">
        <v>0.81333333333333335</v>
      </c>
      <c r="I59" s="3">
        <v>1</v>
      </c>
      <c r="J59" s="1">
        <v>1.56</v>
      </c>
      <c r="K59" s="1">
        <v>0.61</v>
      </c>
      <c r="L59" s="5">
        <f t="shared" si="6"/>
        <v>0.39102564102564102</v>
      </c>
      <c r="M59" s="9">
        <f>CHOOSE(MATCH(Tableau14[[#This Row],[Fujiwara_P]],{0,0.39,0.49,1},1),3,1,0)</f>
        <v>1</v>
      </c>
      <c r="N59" s="10">
        <v>0</v>
      </c>
      <c r="O59" s="10">
        <v>1</v>
      </c>
      <c r="P59" s="1">
        <v>-5</v>
      </c>
      <c r="Q59" s="10">
        <f>CHOOSE(MATCH(Tableau14[[#This Row],[Angle_p]],{-50,-14.9,-4.9,50},1),3,1,0)</f>
        <v>1</v>
      </c>
      <c r="R59" s="1">
        <v>1.62</v>
      </c>
      <c r="S59" s="1">
        <v>1.28</v>
      </c>
      <c r="T59" s="5">
        <f t="shared" si="4"/>
        <v>0.79012345679012341</v>
      </c>
      <c r="U59" s="10">
        <f>CHOOSE(MATCH(Tableau14[[#This Row],[Ratio_Torg]],{0,0.59,0.79,1.5},1),3,1,0)</f>
        <v>0</v>
      </c>
      <c r="V59" s="18">
        <v>2</v>
      </c>
      <c r="W59" s="7">
        <v>43766</v>
      </c>
      <c r="X59" s="3">
        <f t="shared" si="5"/>
        <v>11.290000000000001</v>
      </c>
      <c r="Y59" s="12">
        <v>10</v>
      </c>
      <c r="AF59" s="2">
        <v>43581</v>
      </c>
      <c r="AG59" s="18">
        <v>0</v>
      </c>
      <c r="AH59" s="20">
        <v>0</v>
      </c>
      <c r="AI59" s="20">
        <v>0</v>
      </c>
    </row>
    <row r="60" spans="1:35" x14ac:dyDescent="0.25">
      <c r="A60" s="3">
        <v>60</v>
      </c>
      <c r="B60" s="3" t="s">
        <v>79</v>
      </c>
      <c r="C60" s="2">
        <v>44076</v>
      </c>
      <c r="D60" s="1" t="s">
        <v>14</v>
      </c>
      <c r="E60" s="4">
        <f>Tableau14[[#This Row],[Pts_Fujiwara]]+Tableau14[[#This Row],[ HT2]]+Tableau14[[#This Row],[LCR]]+Tableau14[[#This Row],[Points_angle_p]]+Tableau14[[#This Row],[Point_Torg]]</f>
        <v>6</v>
      </c>
      <c r="F60" s="1">
        <v>0.7</v>
      </c>
      <c r="G60" s="1">
        <v>0.52</v>
      </c>
      <c r="H60" s="5">
        <v>0.74285714285714288</v>
      </c>
      <c r="I60" s="3">
        <v>2</v>
      </c>
      <c r="J60" s="1">
        <v>1.31</v>
      </c>
      <c r="K60" s="1">
        <v>0.52</v>
      </c>
      <c r="L60" s="5">
        <f t="shared" si="6"/>
        <v>0.39694656488549618</v>
      </c>
      <c r="M60" s="9">
        <f>CHOOSE(MATCH(Tableau14[[#This Row],[Fujiwara_P]],{0,0.39,0.49,1},1),3,1,0)</f>
        <v>1</v>
      </c>
      <c r="N60" s="10">
        <v>2</v>
      </c>
      <c r="O60" s="10">
        <v>2</v>
      </c>
      <c r="P60" s="1">
        <v>4</v>
      </c>
      <c r="Q60" s="10">
        <f>CHOOSE(MATCH(Tableau14[[#This Row],[Angle_p]],{-50,-14.9,-4.9,50},1),3,1,0)</f>
        <v>0</v>
      </c>
      <c r="R60" s="1">
        <v>1.8</v>
      </c>
      <c r="S60" s="1">
        <v>1.23</v>
      </c>
      <c r="T60" s="5">
        <f t="shared" si="4"/>
        <v>0.68333333333333335</v>
      </c>
      <c r="U60" s="10">
        <f>CHOOSE(MATCH(Tableau14[[#This Row],[Ratio_Torg]],{0,0.59,0.79,1.5},1),3,1,0)</f>
        <v>1</v>
      </c>
      <c r="V60" s="19">
        <v>1</v>
      </c>
      <c r="W60" s="7">
        <v>44349</v>
      </c>
      <c r="X60" s="3">
        <f t="shared" si="5"/>
        <v>15.74</v>
      </c>
      <c r="Y60" s="12">
        <v>15</v>
      </c>
      <c r="AF60" s="2"/>
      <c r="AG60" s="19"/>
      <c r="AH60" s="21"/>
      <c r="AI60" s="21"/>
    </row>
    <row r="61" spans="1:35" x14ac:dyDescent="0.25">
      <c r="A61" s="3">
        <v>66</v>
      </c>
      <c r="B61" s="3" t="s">
        <v>63</v>
      </c>
      <c r="C61" s="2">
        <v>43271</v>
      </c>
      <c r="D61" s="1" t="s">
        <v>9</v>
      </c>
      <c r="E61" s="4">
        <f>Tableau14[[#This Row],[Pts_Fujiwara]]+Tableau14[[#This Row],[ HT2]]+Tableau14[[#This Row],[LCR]]+Tableau14[[#This Row],[Points_angle_p]]+Tableau14[[#This Row],[Point_Torg]]</f>
        <v>2</v>
      </c>
      <c r="F61" s="1">
        <v>0.68</v>
      </c>
      <c r="G61" s="1">
        <v>0.56000000000000005</v>
      </c>
      <c r="H61" s="5">
        <v>0.82352941176470595</v>
      </c>
      <c r="I61" s="3">
        <v>1</v>
      </c>
      <c r="J61" s="1">
        <v>1.4</v>
      </c>
      <c r="K61" s="1">
        <v>0.56000000000000005</v>
      </c>
      <c r="L61" s="5">
        <f t="shared" si="6"/>
        <v>0.40000000000000008</v>
      </c>
      <c r="M61" s="9">
        <f>CHOOSE(MATCH(Tableau14[[#This Row],[Fujiwara_P]],{0,0.39,0.49,1},1),3,1,0)</f>
        <v>1</v>
      </c>
      <c r="N61" s="10">
        <v>0</v>
      </c>
      <c r="O61" s="10">
        <v>1</v>
      </c>
      <c r="P61" s="1">
        <v>2</v>
      </c>
      <c r="Q61" s="10">
        <f>CHOOSE(MATCH(Tableau14[[#This Row],[Angle_p]],{-50,-14.9,-4.9,50},1),3,1,0)</f>
        <v>0</v>
      </c>
      <c r="R61" s="1">
        <v>1.48</v>
      </c>
      <c r="S61" s="1">
        <v>1.23</v>
      </c>
      <c r="T61" s="5">
        <f t="shared" si="4"/>
        <v>0.83108108108108103</v>
      </c>
      <c r="U61" s="10">
        <f>CHOOSE(MATCH(Tableau14[[#This Row],[Ratio_Torg]],{0,0.59,0.79,1.5},1),3,1,0)</f>
        <v>0</v>
      </c>
      <c r="V61" s="19">
        <v>1</v>
      </c>
      <c r="W61" s="7">
        <v>43160</v>
      </c>
      <c r="X61" s="3">
        <f t="shared" si="5"/>
        <v>17.52</v>
      </c>
      <c r="Y61" s="12">
        <v>17</v>
      </c>
      <c r="Z61" s="1">
        <v>4</v>
      </c>
      <c r="AA61" s="1">
        <v>4</v>
      </c>
      <c r="AB61" s="1">
        <v>2</v>
      </c>
      <c r="AC61" s="1">
        <v>2</v>
      </c>
      <c r="AD61" s="1">
        <v>2</v>
      </c>
      <c r="AE61" s="1">
        <v>3</v>
      </c>
      <c r="AF61" s="2"/>
      <c r="AG61" s="19"/>
      <c r="AH61" s="21"/>
      <c r="AI61" s="21"/>
    </row>
    <row r="62" spans="1:35" x14ac:dyDescent="0.25">
      <c r="A62" s="3">
        <v>68</v>
      </c>
      <c r="B62" s="3" t="s">
        <v>95</v>
      </c>
      <c r="C62" s="2">
        <v>44056</v>
      </c>
      <c r="D62" s="1" t="s">
        <v>14</v>
      </c>
      <c r="E62" s="4">
        <f>Tableau14[[#This Row],[Pts_Fujiwara]]+Tableau14[[#This Row],[ HT2]]+Tableau14[[#This Row],[LCR]]+Tableau14[[#This Row],[Points_angle_p]]+Tableau14[[#This Row],[Point_Torg]]</f>
        <v>9</v>
      </c>
      <c r="F62" s="1">
        <v>0.59</v>
      </c>
      <c r="G62" s="1">
        <v>0.53</v>
      </c>
      <c r="H62" s="5">
        <v>0.89830508474576276</v>
      </c>
      <c r="I62" s="3">
        <v>1</v>
      </c>
      <c r="J62" s="1">
        <v>1.32</v>
      </c>
      <c r="K62" s="1">
        <v>0.53</v>
      </c>
      <c r="L62" s="5">
        <f t="shared" si="6"/>
        <v>0.40151515151515149</v>
      </c>
      <c r="M62" s="9">
        <f>CHOOSE(MATCH(Tableau14[[#This Row],[Fujiwara_P]],{0,0.39,0.49,1},1),3,1,0)</f>
        <v>1</v>
      </c>
      <c r="N62" s="10">
        <v>4</v>
      </c>
      <c r="O62" s="10">
        <v>1</v>
      </c>
      <c r="P62" s="1">
        <v>-15.9</v>
      </c>
      <c r="Q62" s="10">
        <f>CHOOSE(MATCH(Tableau14[[#This Row],[Angle_p]],{-50,-14.9,-4.9,50},1),3,1,0)</f>
        <v>3</v>
      </c>
      <c r="R62" s="1">
        <v>1.72</v>
      </c>
      <c r="S62" s="1">
        <v>1.59</v>
      </c>
      <c r="T62" s="5">
        <f t="shared" si="4"/>
        <v>0.92441860465116288</v>
      </c>
      <c r="U62" s="10">
        <f>CHOOSE(MATCH(Tableau14[[#This Row],[Ratio_Torg]],{0,0.59,0.79,1.5},1),3,1,0)</f>
        <v>0</v>
      </c>
      <c r="V62" s="19">
        <v>1</v>
      </c>
      <c r="W62" s="7">
        <v>44056</v>
      </c>
      <c r="X62" s="3">
        <f t="shared" si="5"/>
        <v>13.96</v>
      </c>
      <c r="Y62" s="12">
        <v>13</v>
      </c>
      <c r="Z62" s="1">
        <v>4</v>
      </c>
      <c r="AA62" s="1">
        <v>1</v>
      </c>
      <c r="AB62" s="1">
        <v>2</v>
      </c>
      <c r="AC62" s="1">
        <v>1</v>
      </c>
      <c r="AD62" s="1">
        <v>2</v>
      </c>
      <c r="AE62" s="1">
        <v>3</v>
      </c>
      <c r="AF62" s="2">
        <v>44119</v>
      </c>
      <c r="AG62" s="19">
        <v>2</v>
      </c>
      <c r="AH62" s="21">
        <v>2</v>
      </c>
      <c r="AI62" s="21">
        <v>2</v>
      </c>
    </row>
    <row r="63" spans="1:35" x14ac:dyDescent="0.25">
      <c r="A63" s="3">
        <v>55</v>
      </c>
      <c r="B63" s="3" t="s">
        <v>16</v>
      </c>
      <c r="C63" s="2">
        <v>43829</v>
      </c>
      <c r="D63" s="1" t="s">
        <v>17</v>
      </c>
      <c r="E63" s="4">
        <f>Tableau14[[#This Row],[Pts_Fujiwara]]+Tableau14[[#This Row],[ HT2]]+Tableau14[[#This Row],[LCR]]+Tableau14[[#This Row],[Points_angle_p]]+Tableau14[[#This Row],[Point_Torg]]</f>
        <v>3</v>
      </c>
      <c r="F63" s="1">
        <v>0.71</v>
      </c>
      <c r="G63" s="1">
        <v>0.51</v>
      </c>
      <c r="H63" s="5">
        <v>0.71830985915492962</v>
      </c>
      <c r="I63" s="3">
        <v>2</v>
      </c>
      <c r="J63" s="1">
        <v>1.26</v>
      </c>
      <c r="K63" s="1">
        <v>0.51</v>
      </c>
      <c r="L63" s="5">
        <f t="shared" si="6"/>
        <v>0.40476190476190477</v>
      </c>
      <c r="M63" s="9">
        <f>CHOOSE(MATCH(Tableau14[[#This Row],[Fujiwara_P]],{0,0.39,0.49,1},1),3,1,0)</f>
        <v>1</v>
      </c>
      <c r="N63" s="10">
        <v>0</v>
      </c>
      <c r="O63" s="10">
        <v>1</v>
      </c>
      <c r="P63" s="1">
        <v>0</v>
      </c>
      <c r="Q63" s="10">
        <f>CHOOSE(MATCH(Tableau14[[#This Row],[Angle_p]],{-50,-14.9,-4.9,50},1),3,1,0)</f>
        <v>0</v>
      </c>
      <c r="R63" s="1">
        <v>1.53</v>
      </c>
      <c r="S63" s="1">
        <v>1.1399999999999999</v>
      </c>
      <c r="T63" s="5">
        <f t="shared" si="4"/>
        <v>0.74509803921568618</v>
      </c>
      <c r="U63" s="10">
        <f>CHOOSE(MATCH(Tableau14[[#This Row],[Ratio_Torg]],{0,0.59,0.79,1.5},1),3,1,0)</f>
        <v>1</v>
      </c>
      <c r="V63" s="19">
        <v>1</v>
      </c>
      <c r="W63" s="7">
        <v>44095</v>
      </c>
      <c r="X63" s="3">
        <f t="shared" si="5"/>
        <v>16.63</v>
      </c>
      <c r="Y63" s="12">
        <v>16</v>
      </c>
      <c r="AF63" s="2">
        <v>43970</v>
      </c>
      <c r="AG63" s="19">
        <v>0</v>
      </c>
      <c r="AH63" s="21">
        <v>0</v>
      </c>
      <c r="AI63" s="21"/>
    </row>
    <row r="64" spans="1:35" x14ac:dyDescent="0.25">
      <c r="A64" s="3">
        <v>29</v>
      </c>
      <c r="B64" s="3" t="s">
        <v>72</v>
      </c>
      <c r="C64" s="2">
        <v>43283</v>
      </c>
      <c r="D64" s="1" t="s">
        <v>14</v>
      </c>
      <c r="E64" s="4">
        <f>Tableau14[[#This Row],[Pts_Fujiwara]]+Tableau14[[#This Row],[ HT2]]+Tableau14[[#This Row],[LCR]]+Tableau14[[#This Row],[Points_angle_p]]+Tableau14[[#This Row],[Point_Torg]]</f>
        <v>8</v>
      </c>
      <c r="F64" s="1">
        <v>0.53</v>
      </c>
      <c r="G64" s="1">
        <v>0.54</v>
      </c>
      <c r="H64" s="5">
        <v>1.0188679245283019</v>
      </c>
      <c r="I64" s="3">
        <v>0</v>
      </c>
      <c r="J64" s="1">
        <v>1.33</v>
      </c>
      <c r="K64" s="1">
        <v>0.54</v>
      </c>
      <c r="L64" s="5">
        <f t="shared" si="6"/>
        <v>0.40601503759398494</v>
      </c>
      <c r="M64" s="9">
        <f>CHOOSE(MATCH(Tableau14[[#This Row],[Fujiwara_P]],{0,0.39,0.49,1},1),3,1,0)</f>
        <v>1</v>
      </c>
      <c r="N64" s="10">
        <v>4</v>
      </c>
      <c r="O64" s="10">
        <v>2</v>
      </c>
      <c r="P64" s="1">
        <v>-7.9</v>
      </c>
      <c r="Q64" s="10">
        <f>CHOOSE(MATCH(Tableau14[[#This Row],[Angle_p]],{-50,-14.9,-4.9,50},1),3,1,0)</f>
        <v>1</v>
      </c>
      <c r="R64" s="1">
        <v>1.46</v>
      </c>
      <c r="S64" s="1">
        <v>1.35</v>
      </c>
      <c r="T64" s="5">
        <f t="shared" si="4"/>
        <v>0.92465753424657537</v>
      </c>
      <c r="U64" s="10">
        <f>CHOOSE(MATCH(Tableau14[[#This Row],[Ratio_Torg]],{0,0.59,0.79,1.5},1),3,1,0)</f>
        <v>0</v>
      </c>
      <c r="V64" s="18">
        <v>3</v>
      </c>
      <c r="W64" s="7">
        <v>43367</v>
      </c>
      <c r="X64" s="3">
        <f t="shared" si="5"/>
        <v>8.620000000000001</v>
      </c>
      <c r="Y64" s="12">
        <v>7</v>
      </c>
      <c r="Z64" s="1">
        <v>2</v>
      </c>
      <c r="AA64" s="1">
        <v>0</v>
      </c>
      <c r="AB64" s="1">
        <v>1</v>
      </c>
      <c r="AC64" s="1">
        <v>2</v>
      </c>
      <c r="AD64" s="1">
        <v>2</v>
      </c>
      <c r="AE64" s="1">
        <v>0</v>
      </c>
      <c r="AF64" s="2"/>
      <c r="AG64" s="18"/>
      <c r="AH64" s="20"/>
      <c r="AI64" s="20"/>
    </row>
    <row r="65" spans="1:35" x14ac:dyDescent="0.25">
      <c r="A65" s="3">
        <v>53</v>
      </c>
      <c r="B65" s="3" t="s">
        <v>57</v>
      </c>
      <c r="C65" s="2">
        <v>43090</v>
      </c>
      <c r="D65" s="1" t="s">
        <v>9</v>
      </c>
      <c r="E65" s="4">
        <f>Tableau14[[#This Row],[Pts_Fujiwara]]+Tableau14[[#This Row],[ HT2]]+Tableau14[[#This Row],[LCR]]+Tableau14[[#This Row],[Points_angle_p]]+Tableau14[[#This Row],[Point_Torg]]</f>
        <v>3</v>
      </c>
      <c r="F65" s="1">
        <v>0.7</v>
      </c>
      <c r="G65" s="1">
        <v>0.55000000000000004</v>
      </c>
      <c r="H65" s="5">
        <v>0.78571428571428581</v>
      </c>
      <c r="I65" s="3">
        <v>2</v>
      </c>
      <c r="J65" s="1">
        <v>1.35</v>
      </c>
      <c r="K65" s="1">
        <v>0.55000000000000004</v>
      </c>
      <c r="L65" s="5">
        <f t="shared" si="6"/>
        <v>0.40740740740740744</v>
      </c>
      <c r="M65" s="9">
        <f>CHOOSE(MATCH(Tableau14[[#This Row],[Fujiwara_P]],{0,0.39,0.49,1},1),3,1,0)</f>
        <v>1</v>
      </c>
      <c r="N65" s="10">
        <v>0</v>
      </c>
      <c r="O65" s="10">
        <v>0</v>
      </c>
      <c r="P65" s="1">
        <v>-8</v>
      </c>
      <c r="Q65" s="10">
        <f>CHOOSE(MATCH(Tableau14[[#This Row],[Angle_p]],{-50,-14.9,-4.9,50},1),3,1,0)</f>
        <v>1</v>
      </c>
      <c r="R65" s="1">
        <v>1.58</v>
      </c>
      <c r="S65" s="1">
        <v>1.1100000000000001</v>
      </c>
      <c r="T65" s="5">
        <f t="shared" si="4"/>
        <v>0.70253164556962033</v>
      </c>
      <c r="U65" s="10">
        <f>CHOOSE(MATCH(Tableau14[[#This Row],[Ratio_Torg]],{0,0.59,0.79,1.5},1),3,1,0)</f>
        <v>1</v>
      </c>
      <c r="V65" s="18">
        <v>1</v>
      </c>
      <c r="W65" s="7">
        <v>43130</v>
      </c>
      <c r="X65" s="3">
        <f t="shared" si="5"/>
        <v>17.52</v>
      </c>
      <c r="Y65" s="12">
        <v>17</v>
      </c>
      <c r="Z65" s="1">
        <v>4</v>
      </c>
      <c r="AA65" s="1">
        <v>4</v>
      </c>
      <c r="AB65" s="1">
        <v>2</v>
      </c>
      <c r="AC65" s="1">
        <v>2</v>
      </c>
      <c r="AD65" s="1">
        <v>2</v>
      </c>
      <c r="AE65" s="1">
        <v>3</v>
      </c>
      <c r="AF65" s="2"/>
      <c r="AG65" s="19"/>
      <c r="AH65" s="21"/>
      <c r="AI65" s="21"/>
    </row>
    <row r="66" spans="1:35" x14ac:dyDescent="0.25">
      <c r="A66" s="3">
        <v>66</v>
      </c>
      <c r="B66" s="3" t="s">
        <v>102</v>
      </c>
      <c r="C66" s="2">
        <v>43797</v>
      </c>
      <c r="D66" s="1" t="s">
        <v>9</v>
      </c>
      <c r="E66" s="4">
        <f>Tableau14[[#This Row],[Pts_Fujiwara]]+Tableau14[[#This Row],[ HT2]]+Tableau14[[#This Row],[LCR]]+Tableau14[[#This Row],[Points_angle_p]]+Tableau14[[#This Row],[Point_Torg]]</f>
        <v>10</v>
      </c>
      <c r="F66" s="1">
        <v>0.62</v>
      </c>
      <c r="G66" s="1">
        <v>0.49</v>
      </c>
      <c r="H66" s="5">
        <v>0.79032258064516125</v>
      </c>
      <c r="I66" s="3">
        <v>1</v>
      </c>
      <c r="J66" s="1">
        <v>1.2</v>
      </c>
      <c r="K66" s="1">
        <v>0.49</v>
      </c>
      <c r="L66" s="5">
        <f t="shared" si="6"/>
        <v>0.40833333333333333</v>
      </c>
      <c r="M66" s="9">
        <f>CHOOSE(MATCH(Tableau14[[#This Row],[Fujiwara_P]],{0,0.39,0.49,1},1),3,1,0)</f>
        <v>1</v>
      </c>
      <c r="N66" s="10">
        <v>2</v>
      </c>
      <c r="O66" s="10">
        <v>4</v>
      </c>
      <c r="P66" s="1">
        <v>-4</v>
      </c>
      <c r="Q66" s="10">
        <f>CHOOSE(MATCH(Tableau14[[#This Row],[Angle_p]],{-50,-14.9,-4.9,50},1),3,1,0)</f>
        <v>0</v>
      </c>
      <c r="R66" s="1">
        <v>1.84</v>
      </c>
      <c r="S66" s="1">
        <v>1.07</v>
      </c>
      <c r="T66" s="5">
        <f t="shared" ref="T66:T97" si="7">S66/R66</f>
        <v>0.58152173913043481</v>
      </c>
      <c r="U66" s="10">
        <f>CHOOSE(MATCH(Tableau14[[#This Row],[Ratio_Torg]],{0,0.59,0.79,1.5},1),3,1,0)</f>
        <v>3</v>
      </c>
      <c r="V66" s="19">
        <v>2</v>
      </c>
      <c r="W66" s="7">
        <v>43836</v>
      </c>
      <c r="X66" s="3">
        <f t="shared" ref="X66:X97" si="8">2.39+0.89*(Y66)</f>
        <v>15.74</v>
      </c>
      <c r="Y66" s="12">
        <v>15</v>
      </c>
      <c r="Z66" s="1">
        <v>3</v>
      </c>
      <c r="AA66" s="1">
        <v>4</v>
      </c>
      <c r="AB66" s="1">
        <v>1</v>
      </c>
      <c r="AC66" s="1">
        <v>2</v>
      </c>
      <c r="AD66" s="1">
        <v>2</v>
      </c>
      <c r="AE66" s="1">
        <v>3</v>
      </c>
      <c r="AF66" s="2">
        <v>44074</v>
      </c>
      <c r="AG66" s="19">
        <v>2</v>
      </c>
      <c r="AH66" s="21">
        <v>1</v>
      </c>
      <c r="AI66" s="21">
        <v>2</v>
      </c>
    </row>
    <row r="67" spans="1:35" x14ac:dyDescent="0.25">
      <c r="A67" s="3">
        <v>73</v>
      </c>
      <c r="B67" s="3" t="s">
        <v>103</v>
      </c>
      <c r="C67" s="2">
        <v>44110</v>
      </c>
      <c r="D67" s="1" t="s">
        <v>17</v>
      </c>
      <c r="E67" s="4">
        <f>Tableau14[[#This Row],[Pts_Fujiwara]]+Tableau14[[#This Row],[ HT2]]+Tableau14[[#This Row],[LCR]]+Tableau14[[#This Row],[Points_angle_p]]+Tableau14[[#This Row],[Point_Torg]]</f>
        <v>3</v>
      </c>
      <c r="F67" s="1">
        <v>0.81</v>
      </c>
      <c r="G67" s="1">
        <v>0.62</v>
      </c>
      <c r="H67" s="5">
        <v>0.76543209876543206</v>
      </c>
      <c r="I67" s="3">
        <v>2</v>
      </c>
      <c r="J67" s="1">
        <v>1.5</v>
      </c>
      <c r="K67" s="1">
        <v>0.62</v>
      </c>
      <c r="L67" s="5">
        <f t="shared" si="6"/>
        <v>0.41333333333333333</v>
      </c>
      <c r="M67" s="9">
        <f>CHOOSE(MATCH(Tableau14[[#This Row],[Fujiwara_P]],{0,0.39,0.49,1},1),3,1,0)</f>
        <v>1</v>
      </c>
      <c r="N67" s="10">
        <v>0</v>
      </c>
      <c r="O67" s="10">
        <v>2</v>
      </c>
      <c r="P67" s="1">
        <v>9.5</v>
      </c>
      <c r="Q67" s="10">
        <f>CHOOSE(MATCH(Tableau14[[#This Row],[Angle_p]],{-50,-14.9,-4.9,50},1),3,1,0)</f>
        <v>0</v>
      </c>
      <c r="R67" s="1">
        <v>1.48</v>
      </c>
      <c r="S67" s="1">
        <v>1.2</v>
      </c>
      <c r="T67" s="5">
        <f t="shared" si="7"/>
        <v>0.81081081081081074</v>
      </c>
      <c r="U67" s="10">
        <f>CHOOSE(MATCH(Tableau14[[#This Row],[Ratio_Torg]],{0,0.59,0.79,1.5},1),3,1,0)</f>
        <v>0</v>
      </c>
      <c r="V67" s="18">
        <v>1</v>
      </c>
      <c r="W67" s="7">
        <v>44095</v>
      </c>
      <c r="X67" s="3">
        <f t="shared" si="8"/>
        <v>16.63</v>
      </c>
      <c r="Y67" s="12">
        <v>16</v>
      </c>
      <c r="Z67" s="1">
        <v>3</v>
      </c>
      <c r="AA67" s="1">
        <v>4</v>
      </c>
      <c r="AB67" s="1">
        <v>2</v>
      </c>
      <c r="AC67" s="1">
        <v>2</v>
      </c>
      <c r="AD67" s="1">
        <v>2</v>
      </c>
      <c r="AE67" s="1">
        <v>3</v>
      </c>
      <c r="AF67" s="2"/>
      <c r="AG67" s="27"/>
      <c r="AH67" s="27"/>
      <c r="AI67" s="27"/>
    </row>
    <row r="68" spans="1:35" x14ac:dyDescent="0.25">
      <c r="A68" s="3">
        <v>50</v>
      </c>
      <c r="B68" s="3" t="s">
        <v>66</v>
      </c>
      <c r="C68" s="2">
        <v>42794</v>
      </c>
      <c r="D68" s="1" t="s">
        <v>9</v>
      </c>
      <c r="E68" s="4">
        <f>Tableau14[[#This Row],[Pts_Fujiwara]]+Tableau14[[#This Row],[ HT2]]+Tableau14[[#This Row],[LCR]]+Tableau14[[#This Row],[Points_angle_p]]+Tableau14[[#This Row],[Point_Torg]]</f>
        <v>4</v>
      </c>
      <c r="F68" s="1">
        <v>0.69</v>
      </c>
      <c r="G68" s="1">
        <v>0.55000000000000004</v>
      </c>
      <c r="H68" s="5">
        <v>0.79710144927536242</v>
      </c>
      <c r="I68" s="3">
        <v>1</v>
      </c>
      <c r="J68" s="1">
        <v>1.32</v>
      </c>
      <c r="K68" s="1">
        <v>0.55000000000000004</v>
      </c>
      <c r="L68" s="5">
        <f t="shared" si="6"/>
        <v>0.41666666666666669</v>
      </c>
      <c r="M68" s="9">
        <f>CHOOSE(MATCH(Tableau14[[#This Row],[Fujiwara_P]],{0,0.39,0.49,1},1),3,1,0)</f>
        <v>1</v>
      </c>
      <c r="N68" s="10">
        <v>0</v>
      </c>
      <c r="O68" s="10">
        <v>2</v>
      </c>
      <c r="P68" s="1">
        <v>16.399999999999999</v>
      </c>
      <c r="Q68" s="10">
        <f>CHOOSE(MATCH(Tableau14[[#This Row],[Angle_p]],{-50,-14.9,-4.9,50},1),3,1,0)</f>
        <v>0</v>
      </c>
      <c r="R68" s="1">
        <v>1.76</v>
      </c>
      <c r="S68" s="1">
        <v>1.21</v>
      </c>
      <c r="T68" s="5">
        <f t="shared" si="7"/>
        <v>0.6875</v>
      </c>
      <c r="U68" s="10">
        <f>CHOOSE(MATCH(Tableau14[[#This Row],[Ratio_Torg]],{0,0.59,0.79,1.5},1),3,1,0)</f>
        <v>1</v>
      </c>
      <c r="V68" s="19">
        <v>1</v>
      </c>
      <c r="W68" s="7">
        <v>43210</v>
      </c>
      <c r="X68" s="3">
        <f t="shared" si="8"/>
        <v>15.74</v>
      </c>
      <c r="Y68" s="12">
        <v>15</v>
      </c>
      <c r="Z68" s="1">
        <v>4</v>
      </c>
      <c r="AA68" s="1">
        <v>4</v>
      </c>
      <c r="AB68" s="1">
        <v>1</v>
      </c>
      <c r="AC68" s="1">
        <v>1</v>
      </c>
      <c r="AD68" s="1">
        <v>2</v>
      </c>
      <c r="AE68" s="1">
        <v>3</v>
      </c>
      <c r="AF68" s="2">
        <v>42976</v>
      </c>
      <c r="AG68" s="18">
        <v>2</v>
      </c>
      <c r="AH68" s="20">
        <v>2</v>
      </c>
      <c r="AI68" s="20">
        <v>0</v>
      </c>
    </row>
    <row r="69" spans="1:35" x14ac:dyDescent="0.25">
      <c r="A69" s="3">
        <v>75</v>
      </c>
      <c r="B69" s="3" t="s">
        <v>74</v>
      </c>
      <c r="C69" s="2">
        <v>44012</v>
      </c>
      <c r="D69" s="1" t="s">
        <v>12</v>
      </c>
      <c r="E69" s="4">
        <f>Tableau14[[#This Row],[Pts_Fujiwara]]+Tableau14[[#This Row],[ HT2]]+Tableau14[[#This Row],[LCR]]+Tableau14[[#This Row],[Points_angle_p]]+Tableau14[[#This Row],[Point_Torg]]</f>
        <v>5</v>
      </c>
      <c r="F69" s="1">
        <v>0.63</v>
      </c>
      <c r="G69" s="1">
        <v>0.4</v>
      </c>
      <c r="H69" s="5">
        <v>0.634920634920635</v>
      </c>
      <c r="I69" s="3">
        <v>2</v>
      </c>
      <c r="J69" s="1">
        <v>0.95</v>
      </c>
      <c r="K69" s="1">
        <v>0.4</v>
      </c>
      <c r="L69" s="5">
        <f t="shared" si="6"/>
        <v>0.4210526315789474</v>
      </c>
      <c r="M69" s="9">
        <f>CHOOSE(MATCH(Tableau14[[#This Row],[Fujiwara_P]],{0,0.39,0.49,1},1),3,1,0)</f>
        <v>1</v>
      </c>
      <c r="N69" s="10">
        <v>2</v>
      </c>
      <c r="O69" s="10">
        <v>2</v>
      </c>
      <c r="P69" s="1">
        <v>14.4</v>
      </c>
      <c r="Q69" s="10">
        <f>CHOOSE(MATCH(Tableau14[[#This Row],[Angle_p]],{-50,-14.9,-4.9,50},1),3,1,0)</f>
        <v>0</v>
      </c>
      <c r="R69" s="1">
        <v>1.46</v>
      </c>
      <c r="S69" s="1">
        <v>1.21</v>
      </c>
      <c r="T69" s="5">
        <f t="shared" si="7"/>
        <v>0.82876712328767121</v>
      </c>
      <c r="U69" s="10">
        <f>CHOOSE(MATCH(Tableau14[[#This Row],[Ratio_Torg]],{0,0.59,0.79,1.5},1),3,1,0)</f>
        <v>0</v>
      </c>
      <c r="V69" s="19">
        <v>1</v>
      </c>
      <c r="W69" s="7">
        <v>44169</v>
      </c>
      <c r="X69" s="3">
        <f t="shared" si="8"/>
        <v>14.850000000000001</v>
      </c>
      <c r="Y69" s="12">
        <v>14</v>
      </c>
      <c r="Z69" s="1">
        <v>4</v>
      </c>
      <c r="AA69" s="1">
        <v>4</v>
      </c>
      <c r="AB69" s="1">
        <v>2</v>
      </c>
      <c r="AC69" s="1">
        <v>2</v>
      </c>
      <c r="AD69" s="1">
        <v>2</v>
      </c>
      <c r="AE69" s="1">
        <v>3</v>
      </c>
      <c r="AF69" s="2">
        <v>44224</v>
      </c>
      <c r="AG69" s="18">
        <v>2</v>
      </c>
      <c r="AH69" s="20">
        <v>2</v>
      </c>
      <c r="AI69" s="20">
        <v>0</v>
      </c>
    </row>
    <row r="70" spans="1:35" x14ac:dyDescent="0.25">
      <c r="A70" s="3">
        <v>64</v>
      </c>
      <c r="B70" s="3" t="s">
        <v>67</v>
      </c>
      <c r="C70" s="2">
        <v>43013</v>
      </c>
      <c r="D70" s="1" t="s">
        <v>14</v>
      </c>
      <c r="E70" s="4">
        <f>Tableau14[[#This Row],[Pts_Fujiwara]]+Tableau14[[#This Row],[ HT2]]+Tableau14[[#This Row],[LCR]]+Tableau14[[#This Row],[Points_angle_p]]+Tableau14[[#This Row],[Point_Torg]]</f>
        <v>5</v>
      </c>
      <c r="F70" s="1">
        <v>0.8</v>
      </c>
      <c r="G70" s="1">
        <v>0.57999999999999996</v>
      </c>
      <c r="H70" s="5">
        <v>0.72499999999999987</v>
      </c>
      <c r="I70" s="3">
        <v>2</v>
      </c>
      <c r="J70" s="1">
        <v>1.37</v>
      </c>
      <c r="K70" s="1">
        <v>0.57999999999999996</v>
      </c>
      <c r="L70" s="5">
        <f t="shared" si="6"/>
        <v>0.42335766423357657</v>
      </c>
      <c r="M70" s="9">
        <f>CHOOSE(MATCH(Tableau14[[#This Row],[Fujiwara_P]],{0,0.39,0.49,1},1),3,1,0)</f>
        <v>1</v>
      </c>
      <c r="N70" s="10">
        <v>2</v>
      </c>
      <c r="O70" s="10">
        <v>1</v>
      </c>
      <c r="P70" s="1">
        <v>-12</v>
      </c>
      <c r="Q70" s="10">
        <f>CHOOSE(MATCH(Tableau14[[#This Row],[Angle_p]],{-50,-14.9,-4.9,50},1),3,1,0)</f>
        <v>1</v>
      </c>
      <c r="R70" s="1">
        <v>1.53</v>
      </c>
      <c r="S70" s="1">
        <v>1.43</v>
      </c>
      <c r="T70" s="5">
        <f t="shared" si="7"/>
        <v>0.93464052287581689</v>
      </c>
      <c r="U70" s="10">
        <f>CHOOSE(MATCH(Tableau14[[#This Row],[Ratio_Torg]],{0,0.59,0.79,1.5},1),3,1,0)</f>
        <v>0</v>
      </c>
      <c r="V70" s="19">
        <v>1</v>
      </c>
      <c r="W70" s="7">
        <v>43076</v>
      </c>
      <c r="X70" s="3">
        <f t="shared" si="8"/>
        <v>15.74</v>
      </c>
      <c r="Y70" s="12">
        <v>15</v>
      </c>
      <c r="Z70" s="1">
        <v>4</v>
      </c>
      <c r="AA70" s="1">
        <v>3</v>
      </c>
      <c r="AB70" s="1">
        <v>2</v>
      </c>
      <c r="AC70" s="1">
        <v>1</v>
      </c>
      <c r="AD70" s="1">
        <v>2</v>
      </c>
      <c r="AE70" s="1">
        <v>3</v>
      </c>
      <c r="AF70" s="2">
        <v>42636</v>
      </c>
      <c r="AG70" s="19">
        <v>0</v>
      </c>
      <c r="AH70" s="21">
        <v>0</v>
      </c>
      <c r="AI70" s="21">
        <v>0</v>
      </c>
    </row>
    <row r="71" spans="1:35" x14ac:dyDescent="0.25">
      <c r="A71" s="3">
        <v>67</v>
      </c>
      <c r="B71" s="3" t="s">
        <v>71</v>
      </c>
      <c r="C71" s="2">
        <v>43322</v>
      </c>
      <c r="D71" s="1" t="s">
        <v>9</v>
      </c>
      <c r="E71" s="4">
        <f>Tableau14[[#This Row],[Pts_Fujiwara]]+Tableau14[[#This Row],[ HT2]]+Tableau14[[#This Row],[LCR]]+Tableau14[[#This Row],[Points_angle_p]]+Tableau14[[#This Row],[Point_Torg]]</f>
        <v>8</v>
      </c>
      <c r="F71" s="1">
        <v>0.81</v>
      </c>
      <c r="G71" s="1">
        <v>0.65</v>
      </c>
      <c r="H71" s="5">
        <v>0.80246913580246915</v>
      </c>
      <c r="I71" s="3">
        <v>1</v>
      </c>
      <c r="J71" s="1">
        <v>1.53</v>
      </c>
      <c r="K71" s="1">
        <v>0.65</v>
      </c>
      <c r="L71" s="5">
        <f t="shared" si="6"/>
        <v>0.42483660130718953</v>
      </c>
      <c r="M71" s="9">
        <f>CHOOSE(MATCH(Tableau14[[#This Row],[Fujiwara_P]],{0,0.39,0.49,1},1),3,1,0)</f>
        <v>1</v>
      </c>
      <c r="N71" s="10">
        <v>2</v>
      </c>
      <c r="O71" s="10">
        <v>4</v>
      </c>
      <c r="P71" s="1">
        <v>11</v>
      </c>
      <c r="Q71" s="10">
        <f>CHOOSE(MATCH(Tableau14[[#This Row],[Angle_p]],{-50,-14.9,-4.9,50},1),3,1,0)</f>
        <v>0</v>
      </c>
      <c r="R71" s="1">
        <v>1.77</v>
      </c>
      <c r="S71" s="1">
        <v>1.3</v>
      </c>
      <c r="T71" s="5">
        <f t="shared" si="7"/>
        <v>0.7344632768361582</v>
      </c>
      <c r="U71" s="10">
        <f>CHOOSE(MATCH(Tableau14[[#This Row],[Ratio_Torg]],{0,0.59,0.79,1.5},1),3,1,0)</f>
        <v>1</v>
      </c>
      <c r="V71" s="18">
        <v>1</v>
      </c>
      <c r="W71" s="7">
        <v>43340</v>
      </c>
      <c r="X71" s="3">
        <f t="shared" si="8"/>
        <v>13.96</v>
      </c>
      <c r="Y71" s="12">
        <v>13</v>
      </c>
      <c r="Z71" s="1">
        <v>4</v>
      </c>
      <c r="AA71" s="1">
        <v>3</v>
      </c>
      <c r="AB71" s="1">
        <v>1</v>
      </c>
      <c r="AC71" s="1">
        <v>1</v>
      </c>
      <c r="AD71" s="1">
        <v>1</v>
      </c>
      <c r="AE71" s="1">
        <v>3</v>
      </c>
      <c r="AF71" s="2"/>
      <c r="AG71" s="19"/>
      <c r="AH71" s="21"/>
      <c r="AI71" s="21"/>
    </row>
    <row r="72" spans="1:35" x14ac:dyDescent="0.25">
      <c r="A72" s="3">
        <v>57</v>
      </c>
      <c r="B72" s="3" t="s">
        <v>61</v>
      </c>
      <c r="C72" s="2">
        <v>43117</v>
      </c>
      <c r="D72" s="1" t="s">
        <v>17</v>
      </c>
      <c r="E72" s="4">
        <f>Tableau14[[#This Row],[Pts_Fujiwara]]+Tableau14[[#This Row],[ HT2]]+Tableau14[[#This Row],[LCR]]+Tableau14[[#This Row],[Points_angle_p]]+Tableau14[[#This Row],[Point_Torg]]</f>
        <v>3</v>
      </c>
      <c r="F72" s="1">
        <v>0.62</v>
      </c>
      <c r="G72" s="1">
        <v>0.56999999999999995</v>
      </c>
      <c r="H72" s="5">
        <v>0.91935483870967738</v>
      </c>
      <c r="I72" s="3">
        <v>1</v>
      </c>
      <c r="J72" s="1">
        <v>1.32</v>
      </c>
      <c r="K72" s="1">
        <v>0.56999999999999995</v>
      </c>
      <c r="L72" s="5">
        <f t="shared" si="6"/>
        <v>0.43181818181818177</v>
      </c>
      <c r="M72" s="9">
        <f>CHOOSE(MATCH(Tableau14[[#This Row],[Fujiwara_P]],{0,0.39,0.49,1},1),3,1,0)</f>
        <v>1</v>
      </c>
      <c r="N72" s="10">
        <v>0</v>
      </c>
      <c r="O72" s="10">
        <v>1</v>
      </c>
      <c r="P72" s="1">
        <v>-3.3</v>
      </c>
      <c r="Q72" s="10">
        <f>CHOOSE(MATCH(Tableau14[[#This Row],[Angle_p]],{-50,-14.9,-4.9,50},1),3,1,0)</f>
        <v>0</v>
      </c>
      <c r="R72" s="1">
        <v>1.68</v>
      </c>
      <c r="S72" s="1">
        <v>1.06</v>
      </c>
      <c r="T72" s="5">
        <f t="shared" si="7"/>
        <v>0.63095238095238104</v>
      </c>
      <c r="U72" s="10">
        <f>CHOOSE(MATCH(Tableau14[[#This Row],[Ratio_Torg]],{0,0.59,0.79,1.5},1),3,1,0)</f>
        <v>1</v>
      </c>
      <c r="V72" s="18">
        <v>1</v>
      </c>
      <c r="W72" s="7">
        <v>43193</v>
      </c>
      <c r="X72" s="3">
        <f t="shared" si="8"/>
        <v>16.63</v>
      </c>
      <c r="Y72" s="12">
        <v>16</v>
      </c>
      <c r="Z72" s="1">
        <v>4</v>
      </c>
      <c r="AA72" s="1">
        <v>4</v>
      </c>
      <c r="AB72" s="1">
        <v>1</v>
      </c>
      <c r="AC72" s="1">
        <v>2</v>
      </c>
      <c r="AD72" s="1">
        <v>2</v>
      </c>
      <c r="AE72" s="1">
        <v>3</v>
      </c>
      <c r="AF72" s="2"/>
      <c r="AG72" s="41" t="e">
        <f>STDEVPA(#REF!,X62)</f>
        <v>#REF!</v>
      </c>
      <c r="AH72" s="42" t="e">
        <f>AVERAGE(#REF!,X62)</f>
        <v>#REF!</v>
      </c>
      <c r="AI72" s="21"/>
    </row>
    <row r="73" spans="1:35" x14ac:dyDescent="0.25">
      <c r="A73" s="3">
        <v>79</v>
      </c>
      <c r="B73" s="3" t="s">
        <v>84</v>
      </c>
      <c r="C73" s="2">
        <v>44236</v>
      </c>
      <c r="D73" s="1" t="s">
        <v>14</v>
      </c>
      <c r="E73" s="4">
        <f>Tableau14[[#This Row],[Pts_Fujiwara]]+Tableau14[[#This Row],[ HT2]]+Tableau14[[#This Row],[LCR]]+Tableau14[[#This Row],[Points_angle_p]]+Tableau14[[#This Row],[Point_Torg]]</f>
        <v>10</v>
      </c>
      <c r="F73" s="1">
        <v>0.79</v>
      </c>
      <c r="G73" s="1">
        <v>0.59</v>
      </c>
      <c r="H73" s="5">
        <v>0.74683544303797456</v>
      </c>
      <c r="I73" s="3">
        <v>2</v>
      </c>
      <c r="J73" s="1">
        <v>1.36</v>
      </c>
      <c r="K73" s="1">
        <v>0.59</v>
      </c>
      <c r="L73" s="5">
        <f t="shared" si="6"/>
        <v>0.43382352941176466</v>
      </c>
      <c r="M73" s="9">
        <f>CHOOSE(MATCH(Tableau14[[#This Row],[Fujiwara_P]],{0,0.39,0.49,1},1),3,1,0)</f>
        <v>1</v>
      </c>
      <c r="N73" s="10">
        <v>4</v>
      </c>
      <c r="O73" s="10">
        <v>4</v>
      </c>
      <c r="P73" s="1">
        <v>12</v>
      </c>
      <c r="Q73" s="10">
        <f>CHOOSE(MATCH(Tableau14[[#This Row],[Angle_p]],{-50,-14.9,-4.9,50},1),3,1,0)</f>
        <v>0</v>
      </c>
      <c r="R73" s="1">
        <v>2.0699999999999998</v>
      </c>
      <c r="S73" s="1">
        <v>1.47</v>
      </c>
      <c r="T73" s="5">
        <f t="shared" si="7"/>
        <v>0.71014492753623193</v>
      </c>
      <c r="U73" s="10">
        <f>CHOOSE(MATCH(Tableau14[[#This Row],[Ratio_Torg]],{0,0.59,0.79,1.5},1),3,1,0)</f>
        <v>1</v>
      </c>
      <c r="V73" s="19">
        <v>1</v>
      </c>
      <c r="W73" s="7">
        <v>44264</v>
      </c>
      <c r="X73" s="3">
        <f t="shared" si="8"/>
        <v>10.4</v>
      </c>
      <c r="Y73" s="12">
        <v>9</v>
      </c>
      <c r="Z73" s="1">
        <v>2</v>
      </c>
      <c r="AA73" s="1">
        <v>1</v>
      </c>
      <c r="AB73" s="1">
        <v>1</v>
      </c>
      <c r="AC73" s="1">
        <v>2</v>
      </c>
      <c r="AD73" s="1">
        <v>2</v>
      </c>
      <c r="AE73" s="1">
        <v>1</v>
      </c>
      <c r="AF73" s="2"/>
      <c r="AG73" s="18"/>
      <c r="AH73" s="20"/>
      <c r="AI73" s="20"/>
    </row>
    <row r="74" spans="1:35" x14ac:dyDescent="0.25">
      <c r="A74" s="3">
        <v>57</v>
      </c>
      <c r="B74" s="3" t="s">
        <v>90</v>
      </c>
      <c r="C74" s="2">
        <v>44168</v>
      </c>
      <c r="D74" s="1" t="s">
        <v>17</v>
      </c>
      <c r="E74" s="4">
        <f>Tableau14[[#This Row],[Pts_Fujiwara]]+Tableau14[[#This Row],[ HT2]]+Tableau14[[#This Row],[LCR]]+Tableau14[[#This Row],[Points_angle_p]]+Tableau14[[#This Row],[Point_Torg]]</f>
        <v>2</v>
      </c>
      <c r="F74" s="1">
        <v>0.77</v>
      </c>
      <c r="G74" s="1">
        <v>0.6</v>
      </c>
      <c r="H74" s="5">
        <v>0.77922077922077915</v>
      </c>
      <c r="I74" s="3">
        <v>2</v>
      </c>
      <c r="J74" s="1">
        <v>1.38</v>
      </c>
      <c r="K74" s="1">
        <v>0.6</v>
      </c>
      <c r="L74" s="5">
        <f t="shared" si="6"/>
        <v>0.43478260869565222</v>
      </c>
      <c r="M74" s="9">
        <f>CHOOSE(MATCH(Tableau14[[#This Row],[Fujiwara_P]],{0,0.39,0.49,1},1),3,1,0)</f>
        <v>1</v>
      </c>
      <c r="N74" s="10">
        <v>0</v>
      </c>
      <c r="O74" s="10">
        <v>1</v>
      </c>
      <c r="P74" s="1">
        <v>3.9</v>
      </c>
      <c r="Q74" s="10">
        <f>CHOOSE(MATCH(Tableau14[[#This Row],[Angle_p]],{-50,-14.9,-4.9,50},1),3,1,0)</f>
        <v>0</v>
      </c>
      <c r="R74" s="1">
        <v>1.35</v>
      </c>
      <c r="S74" s="1">
        <v>1.47</v>
      </c>
      <c r="T74" s="5">
        <f t="shared" si="7"/>
        <v>1.0888888888888888</v>
      </c>
      <c r="U74" s="10">
        <f>CHOOSE(MATCH(Tableau14[[#This Row],[Ratio_Torg]],{0,0.59,0.79,1.5},1),3,1,0)</f>
        <v>0</v>
      </c>
      <c r="V74" s="18">
        <v>1</v>
      </c>
      <c r="W74" s="7">
        <v>44172</v>
      </c>
      <c r="X74" s="3">
        <f t="shared" si="8"/>
        <v>17.52</v>
      </c>
      <c r="Y74" s="12">
        <v>17</v>
      </c>
      <c r="Z74" s="1">
        <v>4</v>
      </c>
      <c r="AA74" s="1">
        <v>4</v>
      </c>
      <c r="AB74" s="1">
        <v>2</v>
      </c>
      <c r="AC74" s="1">
        <v>2</v>
      </c>
      <c r="AD74" s="1">
        <v>2</v>
      </c>
      <c r="AE74" s="1">
        <v>3</v>
      </c>
      <c r="AF74" s="2">
        <v>43769</v>
      </c>
      <c r="AG74" s="18">
        <v>0</v>
      </c>
      <c r="AH74" s="20">
        <v>0</v>
      </c>
      <c r="AI74" s="20">
        <v>0</v>
      </c>
    </row>
    <row r="75" spans="1:35" x14ac:dyDescent="0.25">
      <c r="A75" s="3">
        <v>61</v>
      </c>
      <c r="B75" s="3" t="s">
        <v>19</v>
      </c>
      <c r="C75" s="2">
        <v>43852</v>
      </c>
      <c r="D75" s="1" t="s">
        <v>17</v>
      </c>
      <c r="E75" s="4">
        <f>Tableau14[[#This Row],[Pts_Fujiwara]]+Tableau14[[#This Row],[ HT2]]+Tableau14[[#This Row],[LCR]]+Tableau14[[#This Row],[Points_angle_p]]+Tableau14[[#This Row],[Point_Torg]]</f>
        <v>5</v>
      </c>
      <c r="F75" s="1">
        <v>0.8</v>
      </c>
      <c r="G75" s="1">
        <v>0.61</v>
      </c>
      <c r="H75" s="5">
        <v>0.76249999999999996</v>
      </c>
      <c r="I75" s="3">
        <v>2</v>
      </c>
      <c r="J75" s="1">
        <v>1.4</v>
      </c>
      <c r="K75" s="1">
        <v>0.61</v>
      </c>
      <c r="L75" s="5">
        <f t="shared" si="6"/>
        <v>0.43571428571428572</v>
      </c>
      <c r="M75" s="9">
        <f>CHOOSE(MATCH(Tableau14[[#This Row],[Fujiwara_P]],{0,0.39,0.49,1},1),3,1,0)</f>
        <v>1</v>
      </c>
      <c r="N75" s="10">
        <v>0</v>
      </c>
      <c r="O75" s="10">
        <v>4</v>
      </c>
      <c r="P75" s="1">
        <v>10.8</v>
      </c>
      <c r="Q75" s="10">
        <f>CHOOSE(MATCH(Tableau14[[#This Row],[Angle_p]],{-50,-14.9,-4.9,50},1),3,1,0)</f>
        <v>0</v>
      </c>
      <c r="R75" s="1">
        <v>1.42</v>
      </c>
      <c r="S75" s="1">
        <v>1.42</v>
      </c>
      <c r="T75" s="5">
        <f t="shared" si="7"/>
        <v>1</v>
      </c>
      <c r="U75" s="10">
        <f>CHOOSE(MATCH(Tableau14[[#This Row],[Ratio_Torg]],{0,0.59,0.79,1.5},1),3,1,0)</f>
        <v>0</v>
      </c>
      <c r="V75" s="18">
        <v>1</v>
      </c>
      <c r="W75" s="7">
        <v>44070</v>
      </c>
      <c r="X75" s="3">
        <f t="shared" si="8"/>
        <v>15.74</v>
      </c>
      <c r="Y75" s="12">
        <v>15</v>
      </c>
      <c r="Z75" s="1">
        <v>4</v>
      </c>
      <c r="AA75" s="1">
        <v>3</v>
      </c>
      <c r="AB75" s="1">
        <v>1</v>
      </c>
      <c r="AC75" s="1">
        <v>2</v>
      </c>
      <c r="AD75" s="1">
        <v>2</v>
      </c>
      <c r="AE75" s="1">
        <v>3</v>
      </c>
      <c r="AF75" s="2">
        <v>43902</v>
      </c>
      <c r="AG75" s="19">
        <v>0</v>
      </c>
      <c r="AH75" s="21">
        <v>0</v>
      </c>
      <c r="AI75" s="21">
        <v>0</v>
      </c>
    </row>
    <row r="76" spans="1:35" x14ac:dyDescent="0.25">
      <c r="A76" s="3">
        <v>61</v>
      </c>
      <c r="B76" s="3" t="s">
        <v>78</v>
      </c>
      <c r="C76" s="2">
        <v>44176</v>
      </c>
      <c r="D76" s="1" t="s">
        <v>17</v>
      </c>
      <c r="E76" s="4">
        <f>Tableau14[[#This Row],[Pts_Fujiwara]]+Tableau14[[#This Row],[ HT2]]+Tableau14[[#This Row],[LCR]]+Tableau14[[#This Row],[Points_angle_p]]+Tableau14[[#This Row],[Point_Torg]]</f>
        <v>2</v>
      </c>
      <c r="F76" s="1">
        <v>0.66</v>
      </c>
      <c r="G76" s="1">
        <v>0.51</v>
      </c>
      <c r="H76" s="5">
        <v>0.77272727272727271</v>
      </c>
      <c r="I76" s="3">
        <v>2</v>
      </c>
      <c r="J76" s="1">
        <v>1.1599999999999999</v>
      </c>
      <c r="K76" s="1">
        <v>0.51</v>
      </c>
      <c r="L76" s="5">
        <f t="shared" si="6"/>
        <v>0.43965517241379315</v>
      </c>
      <c r="M76" s="9">
        <f>CHOOSE(MATCH(Tableau14[[#This Row],[Fujiwara_P]],{0,0.39,0.49,1},1),3,1,0)</f>
        <v>1</v>
      </c>
      <c r="N76" s="10">
        <v>0</v>
      </c>
      <c r="O76" s="10">
        <v>1</v>
      </c>
      <c r="P76" s="1">
        <v>13</v>
      </c>
      <c r="Q76" s="10">
        <f>CHOOSE(MATCH(Tableau14[[#This Row],[Angle_p]],{-50,-14.9,-4.9,50},1),3,1,0)</f>
        <v>0</v>
      </c>
      <c r="R76" s="1">
        <v>1.58</v>
      </c>
      <c r="S76" s="1">
        <v>1.44</v>
      </c>
      <c r="T76" s="5">
        <f t="shared" si="7"/>
        <v>0.91139240506329111</v>
      </c>
      <c r="U76" s="10">
        <f>CHOOSE(MATCH(Tableau14[[#This Row],[Ratio_Torg]],{0,0.59,0.79,1.5},1),3,1,0)</f>
        <v>0</v>
      </c>
      <c r="V76" s="18">
        <v>1</v>
      </c>
      <c r="W76" s="7">
        <v>44210</v>
      </c>
      <c r="X76" s="3">
        <f t="shared" si="8"/>
        <v>17.52</v>
      </c>
      <c r="Y76" s="12">
        <v>17</v>
      </c>
      <c r="AF76" s="2"/>
      <c r="AG76" s="18"/>
      <c r="AH76" s="20"/>
      <c r="AI76" s="20"/>
    </row>
    <row r="77" spans="1:35" x14ac:dyDescent="0.25">
      <c r="A77" s="3">
        <v>55</v>
      </c>
      <c r="B77" s="3" t="s">
        <v>20</v>
      </c>
      <c r="C77" s="2">
        <v>42504</v>
      </c>
      <c r="D77" s="1" t="s">
        <v>17</v>
      </c>
      <c r="E77" s="4">
        <f>Tableau14[[#This Row],[Pts_Fujiwara]]+Tableau14[[#This Row],[ HT2]]+Tableau14[[#This Row],[LCR]]+Tableau14[[#This Row],[Points_angle_p]]+Tableau14[[#This Row],[Point_Torg]]</f>
        <v>2</v>
      </c>
      <c r="F77" s="1">
        <v>0.66</v>
      </c>
      <c r="G77" s="1">
        <v>0.62</v>
      </c>
      <c r="H77" s="5">
        <v>0.93939393939393934</v>
      </c>
      <c r="I77" s="3">
        <v>1</v>
      </c>
      <c r="J77" s="1">
        <v>1.41</v>
      </c>
      <c r="K77" s="1">
        <v>0.62</v>
      </c>
      <c r="L77" s="5">
        <f t="shared" si="6"/>
        <v>0.43971631205673761</v>
      </c>
      <c r="M77" s="9">
        <f>CHOOSE(MATCH(Tableau14[[#This Row],[Fujiwara_P]],{0,0.39,0.49,1},1),3,1,0)</f>
        <v>1</v>
      </c>
      <c r="N77" s="10">
        <v>0</v>
      </c>
      <c r="O77" s="10">
        <v>1</v>
      </c>
      <c r="P77" s="1">
        <v>1</v>
      </c>
      <c r="Q77" s="10">
        <f>CHOOSE(MATCH(Tableau14[[#This Row],[Angle_p]],{-50,-14.9,-4.9,50},1),3,1,0)</f>
        <v>0</v>
      </c>
      <c r="R77" s="1">
        <v>1.64</v>
      </c>
      <c r="S77" s="1">
        <v>1.3</v>
      </c>
      <c r="T77" s="5">
        <f t="shared" si="7"/>
        <v>0.79268292682926833</v>
      </c>
      <c r="U77" s="10">
        <f>CHOOSE(MATCH(Tableau14[[#This Row],[Ratio_Torg]],{0,0.59,0.79,1.5},1),3,1,0)</f>
        <v>0</v>
      </c>
      <c r="V77" s="18">
        <v>1</v>
      </c>
      <c r="W77" s="7">
        <v>42473</v>
      </c>
      <c r="X77" s="3">
        <f t="shared" si="8"/>
        <v>17.52</v>
      </c>
      <c r="Y77" s="12">
        <v>17</v>
      </c>
      <c r="Z77" s="1">
        <v>4</v>
      </c>
      <c r="AA77" s="1">
        <v>4</v>
      </c>
      <c r="AB77" s="1">
        <v>2</v>
      </c>
      <c r="AC77" s="1">
        <v>2</v>
      </c>
      <c r="AD77" s="1">
        <v>2</v>
      </c>
      <c r="AE77" s="1">
        <v>3</v>
      </c>
      <c r="AF77" s="2">
        <v>42461</v>
      </c>
      <c r="AG77" s="18">
        <v>0</v>
      </c>
      <c r="AH77" s="20">
        <v>0</v>
      </c>
      <c r="AI77" s="20">
        <v>0</v>
      </c>
    </row>
    <row r="78" spans="1:35" x14ac:dyDescent="0.25">
      <c r="A78" s="3">
        <v>80</v>
      </c>
      <c r="B78" s="3" t="s">
        <v>81</v>
      </c>
      <c r="C78" s="2">
        <v>43815</v>
      </c>
      <c r="D78" s="1" t="s">
        <v>14</v>
      </c>
      <c r="E78" s="4">
        <f>Tableau14[[#This Row],[Pts_Fujiwara]]+Tableau14[[#This Row],[ HT2]]+Tableau14[[#This Row],[LCR]]+Tableau14[[#This Row],[Points_angle_p]]+Tableau14[[#This Row],[Point_Torg]]</f>
        <v>6</v>
      </c>
      <c r="F78" s="1">
        <v>0.66</v>
      </c>
      <c r="G78" s="1">
        <v>0.56000000000000005</v>
      </c>
      <c r="H78" s="5">
        <v>0.84848484848484851</v>
      </c>
      <c r="I78" s="3">
        <v>1</v>
      </c>
      <c r="J78" s="1">
        <v>1.27</v>
      </c>
      <c r="K78" s="1">
        <v>0.56000000000000005</v>
      </c>
      <c r="L78" s="5">
        <f t="shared" si="6"/>
        <v>0.44094488188976383</v>
      </c>
      <c r="M78" s="9">
        <f>CHOOSE(MATCH(Tableau14[[#This Row],[Fujiwara_P]],{0,0.39,0.49,1},1),3,1,0)</f>
        <v>1</v>
      </c>
      <c r="N78" s="10">
        <v>2</v>
      </c>
      <c r="O78" s="10">
        <v>2</v>
      </c>
      <c r="P78" s="1">
        <v>0</v>
      </c>
      <c r="Q78" s="10">
        <f>CHOOSE(MATCH(Tableau14[[#This Row],[Angle_p]],{-50,-14.9,-4.9,50},1),3,1,0)</f>
        <v>0</v>
      </c>
      <c r="R78" s="1">
        <v>1.86</v>
      </c>
      <c r="S78" s="1">
        <v>1.37</v>
      </c>
      <c r="T78" s="5">
        <f t="shared" si="7"/>
        <v>0.73655913978494625</v>
      </c>
      <c r="U78" s="10">
        <f>CHOOSE(MATCH(Tableau14[[#This Row],[Ratio_Torg]],{0,0.59,0.79,1.5},1),3,1,0)</f>
        <v>1</v>
      </c>
      <c r="V78" s="19">
        <v>2</v>
      </c>
      <c r="W78" s="7">
        <v>43858</v>
      </c>
      <c r="X78" s="3">
        <f t="shared" si="8"/>
        <v>15.74</v>
      </c>
      <c r="Y78" s="12">
        <v>15</v>
      </c>
      <c r="Z78" s="1">
        <v>4</v>
      </c>
      <c r="AA78" s="1">
        <v>3</v>
      </c>
      <c r="AB78" s="1">
        <v>1</v>
      </c>
      <c r="AC78" s="1">
        <v>2</v>
      </c>
      <c r="AD78" s="1">
        <v>2</v>
      </c>
      <c r="AE78" s="1">
        <v>3</v>
      </c>
      <c r="AF78" s="2"/>
      <c r="AG78" s="19"/>
      <c r="AH78" s="21"/>
      <c r="AI78" s="21"/>
    </row>
    <row r="79" spans="1:35" x14ac:dyDescent="0.25">
      <c r="A79" s="3">
        <v>66</v>
      </c>
      <c r="B79" s="3" t="s">
        <v>38</v>
      </c>
      <c r="C79" s="2">
        <v>43771</v>
      </c>
      <c r="D79" s="1" t="s">
        <v>17</v>
      </c>
      <c r="E79" s="4">
        <f>Tableau14[[#This Row],[Pts_Fujiwara]]+Tableau14[[#This Row],[ HT2]]+Tableau14[[#This Row],[LCR]]+Tableau14[[#This Row],[Points_angle_p]]+Tableau14[[#This Row],[Point_Torg]]</f>
        <v>3</v>
      </c>
      <c r="F79" s="1">
        <v>0.65</v>
      </c>
      <c r="G79" s="1">
        <v>0.6</v>
      </c>
      <c r="H79" s="5">
        <v>0.92307692307692302</v>
      </c>
      <c r="I79" s="3">
        <v>1</v>
      </c>
      <c r="J79" s="1">
        <v>1.36</v>
      </c>
      <c r="K79" s="1">
        <v>0.6</v>
      </c>
      <c r="L79" s="5">
        <f t="shared" si="6"/>
        <v>0.44117647058823523</v>
      </c>
      <c r="M79" s="9">
        <f>CHOOSE(MATCH(Tableau14[[#This Row],[Fujiwara_P]],{0,0.39,0.49,1},1),3,1,0)</f>
        <v>1</v>
      </c>
      <c r="N79" s="10">
        <v>0</v>
      </c>
      <c r="O79" s="10">
        <v>1</v>
      </c>
      <c r="P79" s="1">
        <v>-11</v>
      </c>
      <c r="Q79" s="10">
        <f>CHOOSE(MATCH(Tableau14[[#This Row],[Angle_p]],{-50,-14.9,-4.9,50},1),3,1,0)</f>
        <v>1</v>
      </c>
      <c r="R79" s="1">
        <v>1.36</v>
      </c>
      <c r="S79" s="1">
        <v>1.26</v>
      </c>
      <c r="T79" s="5">
        <f t="shared" si="7"/>
        <v>0.92647058823529405</v>
      </c>
      <c r="U79" s="10">
        <f>CHOOSE(MATCH(Tableau14[[#This Row],[Ratio_Torg]],{0,0.59,0.79,1.5},1),3,1,0)</f>
        <v>0</v>
      </c>
      <c r="V79" s="18">
        <v>1</v>
      </c>
      <c r="W79" s="7">
        <v>44092</v>
      </c>
      <c r="X79" s="3">
        <f t="shared" si="8"/>
        <v>17.52</v>
      </c>
      <c r="Y79" s="12">
        <v>17</v>
      </c>
      <c r="Z79" s="1">
        <v>4</v>
      </c>
      <c r="AA79" s="1">
        <v>4</v>
      </c>
      <c r="AB79" s="1">
        <v>2</v>
      </c>
      <c r="AC79" s="1">
        <v>2</v>
      </c>
      <c r="AD79" s="1">
        <v>2</v>
      </c>
      <c r="AE79" s="1">
        <v>3</v>
      </c>
      <c r="AF79" s="2">
        <v>44092</v>
      </c>
      <c r="AG79" s="18">
        <v>0</v>
      </c>
      <c r="AH79" s="20">
        <v>0</v>
      </c>
      <c r="AI79" s="20">
        <v>0</v>
      </c>
    </row>
    <row r="80" spans="1:35" x14ac:dyDescent="0.25">
      <c r="A80" s="3">
        <v>51</v>
      </c>
      <c r="B80" s="3" t="s">
        <v>58</v>
      </c>
      <c r="C80" s="2">
        <v>43133</v>
      </c>
      <c r="D80" s="1" t="s">
        <v>17</v>
      </c>
      <c r="E80" s="4">
        <f>Tableau14[[#This Row],[Pts_Fujiwara]]+Tableau14[[#This Row],[ HT2]]+Tableau14[[#This Row],[LCR]]+Tableau14[[#This Row],[Points_angle_p]]+Tableau14[[#This Row],[Point_Torg]]</f>
        <v>8</v>
      </c>
      <c r="F80" s="1">
        <v>0.94</v>
      </c>
      <c r="G80" s="1">
        <v>0.62</v>
      </c>
      <c r="H80" s="5">
        <v>0.65957446808510645</v>
      </c>
      <c r="I80" s="3">
        <v>2</v>
      </c>
      <c r="J80" s="1">
        <v>1.4</v>
      </c>
      <c r="K80" s="1">
        <v>0.62</v>
      </c>
      <c r="L80" s="5">
        <f t="shared" si="6"/>
        <v>0.44285714285714289</v>
      </c>
      <c r="M80" s="9">
        <f>CHOOSE(MATCH(Tableau14[[#This Row],[Fujiwara_P]],{0,0.39,0.49,1},1),3,1,0)</f>
        <v>1</v>
      </c>
      <c r="N80" s="10">
        <v>2</v>
      </c>
      <c r="O80" s="10">
        <v>4</v>
      </c>
      <c r="P80" s="1">
        <v>1.6</v>
      </c>
      <c r="Q80" s="10">
        <f>CHOOSE(MATCH(Tableau14[[#This Row],[Angle_p]],{-50,-14.9,-4.9,50},1),3,1,0)</f>
        <v>0</v>
      </c>
      <c r="R80" s="1">
        <v>1.73</v>
      </c>
      <c r="S80" s="1">
        <v>1.21</v>
      </c>
      <c r="T80" s="5">
        <f t="shared" si="7"/>
        <v>0.69942196531791911</v>
      </c>
      <c r="U80" s="10">
        <f>CHOOSE(MATCH(Tableau14[[#This Row],[Ratio_Torg]],{0,0.59,0.79,1.5},1),3,1,0)</f>
        <v>1</v>
      </c>
      <c r="V80" s="18">
        <v>1</v>
      </c>
      <c r="W80" s="7">
        <v>43137</v>
      </c>
      <c r="X80" s="3">
        <f t="shared" si="8"/>
        <v>9.51</v>
      </c>
      <c r="Y80" s="12">
        <v>8</v>
      </c>
      <c r="Z80" s="1">
        <v>1</v>
      </c>
      <c r="AA80" s="1">
        <v>1</v>
      </c>
      <c r="AB80" s="1">
        <v>1</v>
      </c>
      <c r="AC80" s="1">
        <v>1</v>
      </c>
      <c r="AD80" s="1">
        <v>1</v>
      </c>
      <c r="AE80" s="1">
        <v>3</v>
      </c>
      <c r="AF80" s="2"/>
      <c r="AG80" s="18"/>
      <c r="AH80" s="20"/>
      <c r="AI80" s="20"/>
    </row>
    <row r="81" spans="1:35" x14ac:dyDescent="0.25">
      <c r="A81" s="3">
        <v>71</v>
      </c>
      <c r="B81" s="3" t="s">
        <v>53</v>
      </c>
      <c r="C81" s="2">
        <v>43329</v>
      </c>
      <c r="D81" s="1" t="s">
        <v>14</v>
      </c>
      <c r="E81" s="4">
        <f>Tableau14[[#This Row],[Pts_Fujiwara]]+Tableau14[[#This Row],[ HT2]]+Tableau14[[#This Row],[LCR]]+Tableau14[[#This Row],[Points_angle_p]]+Tableau14[[#This Row],[Point_Torg]]</f>
        <v>7</v>
      </c>
      <c r="F81" s="1">
        <v>0.71</v>
      </c>
      <c r="G81" s="1">
        <v>0.56000000000000005</v>
      </c>
      <c r="H81" s="5">
        <v>0.78873239436619724</v>
      </c>
      <c r="I81" s="3">
        <v>2</v>
      </c>
      <c r="J81" s="1">
        <v>1.25</v>
      </c>
      <c r="K81" s="1">
        <v>0.56000000000000005</v>
      </c>
      <c r="L81" s="5">
        <f t="shared" si="6"/>
        <v>0.44800000000000006</v>
      </c>
      <c r="M81" s="9">
        <f>CHOOSE(MATCH(Tableau14[[#This Row],[Fujiwara_P]],{0,0.39,0.49,1},1),3,1,0)</f>
        <v>1</v>
      </c>
      <c r="N81" s="10">
        <v>4</v>
      </c>
      <c r="O81" s="10">
        <v>2</v>
      </c>
      <c r="P81" s="1">
        <v>0</v>
      </c>
      <c r="Q81" s="10">
        <f>CHOOSE(MATCH(Tableau14[[#This Row],[Angle_p]],{-50,-14.9,-4.9,50},1),3,1,0)</f>
        <v>0</v>
      </c>
      <c r="R81" s="1">
        <v>1.48</v>
      </c>
      <c r="S81" s="1">
        <v>1.2</v>
      </c>
      <c r="T81" s="5">
        <f t="shared" si="7"/>
        <v>0.81081081081081074</v>
      </c>
      <c r="U81" s="10">
        <f>CHOOSE(MATCH(Tableau14[[#This Row],[Ratio_Torg]],{0,0.59,0.79,1.5},1),3,1,0)</f>
        <v>0</v>
      </c>
      <c r="V81" s="18">
        <v>2</v>
      </c>
      <c r="W81" s="7">
        <v>43272</v>
      </c>
      <c r="X81" s="3">
        <f t="shared" si="8"/>
        <v>14.850000000000001</v>
      </c>
      <c r="Y81" s="12">
        <v>14</v>
      </c>
      <c r="AF81" s="2">
        <v>43329</v>
      </c>
      <c r="AG81" s="19">
        <v>3</v>
      </c>
      <c r="AH81" s="21"/>
      <c r="AI81" s="21">
        <v>3</v>
      </c>
    </row>
    <row r="82" spans="1:35" x14ac:dyDescent="0.25">
      <c r="A82" s="3">
        <v>74</v>
      </c>
      <c r="B82" s="3" t="s">
        <v>82</v>
      </c>
      <c r="C82" s="2">
        <v>44040</v>
      </c>
      <c r="D82" s="1" t="s">
        <v>17</v>
      </c>
      <c r="E82" s="4">
        <f>Tableau14[[#This Row],[Pts_Fujiwara]]+Tableau14[[#This Row],[ HT2]]+Tableau14[[#This Row],[LCR]]+Tableau14[[#This Row],[Points_angle_p]]+Tableau14[[#This Row],[Point_Torg]]</f>
        <v>3</v>
      </c>
      <c r="F82" s="1">
        <v>0.8</v>
      </c>
      <c r="G82" s="1">
        <v>0.6</v>
      </c>
      <c r="H82" s="5">
        <v>0.74999999999999989</v>
      </c>
      <c r="I82" s="3">
        <v>2</v>
      </c>
      <c r="J82" s="1">
        <v>1.33</v>
      </c>
      <c r="K82" s="1">
        <v>0.6</v>
      </c>
      <c r="L82" s="5">
        <f t="shared" si="6"/>
        <v>0.45112781954887216</v>
      </c>
      <c r="M82" s="9">
        <f>CHOOSE(MATCH(Tableau14[[#This Row],[Fujiwara_P]],{0,0.39,0.49,1},1),3,1,0)</f>
        <v>1</v>
      </c>
      <c r="N82" s="10">
        <v>0</v>
      </c>
      <c r="O82" s="10">
        <v>2</v>
      </c>
      <c r="P82" s="1">
        <v>2.7</v>
      </c>
      <c r="Q82" s="10">
        <f>CHOOSE(MATCH(Tableau14[[#This Row],[Angle_p]],{-50,-14.9,-4.9,50},1),3,1,0)</f>
        <v>0</v>
      </c>
      <c r="R82" s="1">
        <v>1.8</v>
      </c>
      <c r="S82" s="1">
        <v>1.5</v>
      </c>
      <c r="T82" s="5">
        <f t="shared" si="7"/>
        <v>0.83333333333333326</v>
      </c>
      <c r="U82" s="10">
        <f>CHOOSE(MATCH(Tableau14[[#This Row],[Ratio_Torg]],{0,0.59,0.79,1.5},1),3,1,0)</f>
        <v>0</v>
      </c>
      <c r="V82" s="18">
        <v>1</v>
      </c>
      <c r="W82" s="7">
        <v>44277</v>
      </c>
      <c r="X82" s="3">
        <f t="shared" si="8"/>
        <v>15.74</v>
      </c>
      <c r="Y82" s="12">
        <v>15</v>
      </c>
      <c r="Z82" s="1">
        <v>3</v>
      </c>
      <c r="AA82" s="1">
        <v>4</v>
      </c>
      <c r="AB82" s="1">
        <v>2</v>
      </c>
      <c r="AC82" s="1">
        <v>2</v>
      </c>
      <c r="AD82" s="1">
        <v>2</v>
      </c>
      <c r="AE82" s="1">
        <v>2</v>
      </c>
      <c r="AF82" s="2">
        <v>44309</v>
      </c>
      <c r="AG82" s="18">
        <v>0</v>
      </c>
      <c r="AH82" s="20">
        <v>0</v>
      </c>
      <c r="AI82" s="20">
        <v>0</v>
      </c>
    </row>
    <row r="83" spans="1:35" x14ac:dyDescent="0.25">
      <c r="A83" s="3">
        <v>75</v>
      </c>
      <c r="B83" s="3" t="s">
        <v>23</v>
      </c>
      <c r="C83" s="2">
        <v>43200</v>
      </c>
      <c r="D83" s="1" t="s">
        <v>17</v>
      </c>
      <c r="E83" s="4">
        <f>Tableau14[[#This Row],[Pts_Fujiwara]]+Tableau14[[#This Row],[ HT2]]+Tableau14[[#This Row],[LCR]]+Tableau14[[#This Row],[Points_angle_p]]+Tableau14[[#This Row],[Point_Torg]]</f>
        <v>3</v>
      </c>
      <c r="F83" s="1">
        <v>0.66</v>
      </c>
      <c r="G83" s="1">
        <v>0.6</v>
      </c>
      <c r="H83" s="5">
        <v>0.90909090909090906</v>
      </c>
      <c r="I83" s="3">
        <v>1</v>
      </c>
      <c r="J83" s="1">
        <v>1.33</v>
      </c>
      <c r="K83" s="1">
        <v>0.6</v>
      </c>
      <c r="L83" s="5">
        <f t="shared" si="6"/>
        <v>0.45112781954887216</v>
      </c>
      <c r="M83" s="9">
        <f>CHOOSE(MATCH(Tableau14[[#This Row],[Fujiwara_P]],{0,0.39,0.49,1},1),3,1,0)</f>
        <v>1</v>
      </c>
      <c r="N83" s="10">
        <v>0</v>
      </c>
      <c r="O83" s="10">
        <v>1</v>
      </c>
      <c r="P83" s="1">
        <v>-13</v>
      </c>
      <c r="Q83" s="10">
        <f>CHOOSE(MATCH(Tableau14[[#This Row],[Angle_p]],{-50,-14.9,-4.9,50},1),3,1,0)</f>
        <v>1</v>
      </c>
      <c r="R83" s="1">
        <v>1.56</v>
      </c>
      <c r="S83" s="1">
        <v>1.24</v>
      </c>
      <c r="T83" s="5">
        <f t="shared" si="7"/>
        <v>0.79487179487179482</v>
      </c>
      <c r="U83" s="10">
        <f>CHOOSE(MATCH(Tableau14[[#This Row],[Ratio_Torg]],{0,0.59,0.79,1.5},1),3,1,0)</f>
        <v>0</v>
      </c>
      <c r="V83" s="18">
        <v>1</v>
      </c>
      <c r="W83" s="7">
        <v>43290</v>
      </c>
      <c r="X83" s="3">
        <f t="shared" si="8"/>
        <v>15.74</v>
      </c>
      <c r="Y83" s="12">
        <v>15</v>
      </c>
      <c r="Z83" s="1">
        <v>4</v>
      </c>
      <c r="AA83" s="1">
        <v>4</v>
      </c>
      <c r="AB83" s="1">
        <v>1</v>
      </c>
      <c r="AC83" s="1">
        <v>2</v>
      </c>
      <c r="AD83" s="1">
        <v>2</v>
      </c>
      <c r="AE83" s="1">
        <v>3</v>
      </c>
      <c r="AF83" s="2">
        <v>42797</v>
      </c>
      <c r="AG83" s="19">
        <v>0</v>
      </c>
      <c r="AH83" s="21">
        <v>0</v>
      </c>
      <c r="AI83" s="21">
        <v>0</v>
      </c>
    </row>
    <row r="84" spans="1:35" x14ac:dyDescent="0.25">
      <c r="A84" s="3">
        <v>43</v>
      </c>
      <c r="B84" s="3" t="s">
        <v>56</v>
      </c>
      <c r="C84" s="2">
        <v>42985</v>
      </c>
      <c r="D84" s="1" t="s">
        <v>17</v>
      </c>
      <c r="E84" s="4">
        <f>Tableau14[[#This Row],[Pts_Fujiwara]]+Tableau14[[#This Row],[ HT2]]+Tableau14[[#This Row],[LCR]]+Tableau14[[#This Row],[Points_angle_p]]+Tableau14[[#This Row],[Point_Torg]]</f>
        <v>3</v>
      </c>
      <c r="F84" s="1">
        <v>0.7</v>
      </c>
      <c r="G84" s="1">
        <v>0.65</v>
      </c>
      <c r="H84" s="5">
        <v>1</v>
      </c>
      <c r="I84" s="3">
        <v>0</v>
      </c>
      <c r="J84" s="1">
        <v>1.43</v>
      </c>
      <c r="K84" s="1">
        <v>0.65</v>
      </c>
      <c r="L84" s="5">
        <f t="shared" si="6"/>
        <v>0.45454545454545459</v>
      </c>
      <c r="M84" s="9">
        <f>CHOOSE(MATCH(Tableau14[[#This Row],[Fujiwara_P]],{0,0.39,0.49,1},1),3,1,0)</f>
        <v>1</v>
      </c>
      <c r="N84" s="10">
        <v>0</v>
      </c>
      <c r="O84" s="10">
        <v>1</v>
      </c>
      <c r="P84" s="1">
        <v>5</v>
      </c>
      <c r="Q84" s="10">
        <f>CHOOSE(MATCH(Tableau14[[#This Row],[Angle_p]],{-50,-14.9,-4.9,50},1),3,1,0)</f>
        <v>0</v>
      </c>
      <c r="R84" s="1">
        <v>1.67</v>
      </c>
      <c r="S84" s="1">
        <v>1.1599999999999999</v>
      </c>
      <c r="T84" s="5">
        <f t="shared" si="7"/>
        <v>0.69461077844311381</v>
      </c>
      <c r="U84" s="10">
        <f>CHOOSE(MATCH(Tableau14[[#This Row],[Ratio_Torg]],{0,0.59,0.79,1.5},1),3,1,0)</f>
        <v>1</v>
      </c>
      <c r="V84" s="18">
        <v>1</v>
      </c>
      <c r="W84" s="7">
        <v>42909</v>
      </c>
      <c r="X84" s="3">
        <f t="shared" si="8"/>
        <v>16.63</v>
      </c>
      <c r="Y84" s="12">
        <v>16</v>
      </c>
      <c r="Z84" s="1">
        <v>4</v>
      </c>
      <c r="AA84" s="1">
        <v>4</v>
      </c>
      <c r="AB84" s="1">
        <v>1</v>
      </c>
      <c r="AC84" s="1">
        <v>2</v>
      </c>
      <c r="AD84" s="1">
        <v>2</v>
      </c>
      <c r="AE84" s="1">
        <v>3</v>
      </c>
      <c r="AF84" s="2"/>
      <c r="AG84" s="18"/>
      <c r="AH84" s="20"/>
      <c r="AI84" s="20"/>
    </row>
    <row r="85" spans="1:35" x14ac:dyDescent="0.25">
      <c r="A85" s="3">
        <v>78</v>
      </c>
      <c r="B85" s="3" t="s">
        <v>10</v>
      </c>
      <c r="C85" s="2">
        <v>43997</v>
      </c>
      <c r="D85" s="1" t="s">
        <v>9</v>
      </c>
      <c r="E85" s="4">
        <f>Tableau14[[#This Row],[Pts_Fujiwara]]+Tableau14[[#This Row],[ HT2]]+Tableau14[[#This Row],[LCR]]+Tableau14[[#This Row],[Points_angle_p]]+Tableau14[[#This Row],[Point_Torg]]</f>
        <v>9</v>
      </c>
      <c r="F85" s="1">
        <v>0.85</v>
      </c>
      <c r="G85" s="1">
        <v>0.62</v>
      </c>
      <c r="H85" s="5">
        <v>0.72941176470588232</v>
      </c>
      <c r="I85" s="3">
        <v>2</v>
      </c>
      <c r="J85" s="1">
        <v>1.36</v>
      </c>
      <c r="K85" s="1">
        <v>0.62</v>
      </c>
      <c r="L85" s="5">
        <f t="shared" ref="L85:L100" si="9">K85/J85</f>
        <v>0.45588235294117646</v>
      </c>
      <c r="M85" s="9">
        <f>CHOOSE(MATCH(Tableau14[[#This Row],[Fujiwara_P]],{0,0.39,0.49,1},1),3,1,0)</f>
        <v>1</v>
      </c>
      <c r="N85" s="10">
        <v>4</v>
      </c>
      <c r="O85" s="10">
        <v>1</v>
      </c>
      <c r="P85" s="1">
        <v>-15</v>
      </c>
      <c r="Q85" s="10">
        <f>CHOOSE(MATCH(Tableau14[[#This Row],[Angle_p]],{-50,-14.9,-4.9,50},1),3,1,0)</f>
        <v>3</v>
      </c>
      <c r="R85" s="1">
        <v>1.69</v>
      </c>
      <c r="S85" s="1">
        <v>1.4</v>
      </c>
      <c r="T85" s="5">
        <f t="shared" si="7"/>
        <v>0.82840236686390534</v>
      </c>
      <c r="U85" s="10">
        <f>CHOOSE(MATCH(Tableau14[[#This Row],[Ratio_Torg]],{0,0.59,0.79,1.5},1),3,1,0)</f>
        <v>0</v>
      </c>
      <c r="V85" s="18">
        <v>1</v>
      </c>
      <c r="W85" s="7">
        <v>44028</v>
      </c>
      <c r="X85" s="3">
        <f t="shared" si="8"/>
        <v>13.96</v>
      </c>
      <c r="Y85" s="12">
        <v>13</v>
      </c>
      <c r="Z85" s="1">
        <v>3</v>
      </c>
      <c r="AA85" s="1">
        <v>3</v>
      </c>
      <c r="AB85" s="1">
        <v>1</v>
      </c>
      <c r="AC85" s="1">
        <v>2</v>
      </c>
      <c r="AD85" s="1">
        <v>2</v>
      </c>
      <c r="AE85" s="1">
        <v>2</v>
      </c>
      <c r="AF85" s="2">
        <v>43648</v>
      </c>
      <c r="AG85" s="19">
        <v>2</v>
      </c>
      <c r="AH85" s="21">
        <v>1</v>
      </c>
      <c r="AI85" s="21">
        <v>2</v>
      </c>
    </row>
    <row r="86" spans="1:35" x14ac:dyDescent="0.25">
      <c r="A86" s="3">
        <v>56</v>
      </c>
      <c r="B86" s="3" t="s">
        <v>110</v>
      </c>
      <c r="C86" s="2">
        <v>43801</v>
      </c>
      <c r="D86" s="1" t="s">
        <v>17</v>
      </c>
      <c r="E86" s="4">
        <f>Tableau14[[#This Row],[Pts_Fujiwara]]+Tableau14[[#This Row],[ HT2]]+Tableau14[[#This Row],[LCR]]+Tableau14[[#This Row],[Points_angle_p]]+Tableau14[[#This Row],[Point_Torg]]</f>
        <v>9</v>
      </c>
      <c r="F86" s="1">
        <v>0.73</v>
      </c>
      <c r="G86" s="1">
        <v>0.63</v>
      </c>
      <c r="H86" s="5">
        <v>0.86301369863013699</v>
      </c>
      <c r="I86" s="3">
        <v>1</v>
      </c>
      <c r="J86" s="1">
        <v>1.38</v>
      </c>
      <c r="K86" s="1">
        <v>0.63</v>
      </c>
      <c r="L86" s="5">
        <f t="shared" si="9"/>
        <v>0.45652173913043481</v>
      </c>
      <c r="M86" s="9">
        <f>CHOOSE(MATCH(Tableau14[[#This Row],[Fujiwara_P]],{0,0.39,0.49,1},1),3,1,0)</f>
        <v>1</v>
      </c>
      <c r="N86" s="10">
        <v>4</v>
      </c>
      <c r="O86" s="10">
        <v>4</v>
      </c>
      <c r="P86" s="1">
        <v>14.5</v>
      </c>
      <c r="Q86" s="10">
        <f>CHOOSE(MATCH(Tableau14[[#This Row],[Angle_p]],{-50,-14.9,-4.9,50},1),3,1,0)</f>
        <v>0</v>
      </c>
      <c r="R86" s="1">
        <v>1.58</v>
      </c>
      <c r="S86" s="1">
        <v>1.55</v>
      </c>
      <c r="T86" s="5">
        <f t="shared" si="7"/>
        <v>0.98101265822784811</v>
      </c>
      <c r="U86" s="10">
        <f>CHOOSE(MATCH(Tableau14[[#This Row],[Ratio_Torg]],{0,0.59,0.79,1.5},1),3,1,0)</f>
        <v>0</v>
      </c>
      <c r="V86" s="18">
        <v>1</v>
      </c>
      <c r="W86" s="7">
        <v>43901</v>
      </c>
      <c r="X86" s="3">
        <f t="shared" si="8"/>
        <v>13.96</v>
      </c>
      <c r="Y86" s="12">
        <v>13</v>
      </c>
      <c r="Z86" s="1">
        <v>4</v>
      </c>
      <c r="AA86" s="1">
        <v>1</v>
      </c>
      <c r="AB86" s="1">
        <v>2</v>
      </c>
      <c r="AC86" s="1">
        <v>1</v>
      </c>
      <c r="AD86" s="1">
        <v>2</v>
      </c>
      <c r="AE86" s="1">
        <v>3</v>
      </c>
      <c r="AF86" s="2">
        <v>43878</v>
      </c>
      <c r="AG86" s="19">
        <v>2</v>
      </c>
      <c r="AH86" s="21">
        <v>2</v>
      </c>
      <c r="AI86" s="21">
        <v>2</v>
      </c>
    </row>
    <row r="87" spans="1:35" x14ac:dyDescent="0.25">
      <c r="A87" s="3">
        <v>47</v>
      </c>
      <c r="B87" s="3" t="s">
        <v>94</v>
      </c>
      <c r="C87" s="2">
        <v>43865</v>
      </c>
      <c r="D87" s="1" t="s">
        <v>17</v>
      </c>
      <c r="E87" s="4">
        <f>Tableau14[[#This Row],[Pts_Fujiwara]]+Tableau14[[#This Row],[ HT2]]+Tableau14[[#This Row],[LCR]]+Tableau14[[#This Row],[Points_angle_p]]+Tableau14[[#This Row],[Point_Torg]]</f>
        <v>2</v>
      </c>
      <c r="F87" s="1">
        <v>0.98</v>
      </c>
      <c r="G87" s="1">
        <v>0.68</v>
      </c>
      <c r="H87" s="5">
        <v>0.69387755102040827</v>
      </c>
      <c r="I87" s="3">
        <v>2</v>
      </c>
      <c r="J87" s="1">
        <v>1.46</v>
      </c>
      <c r="K87" s="1">
        <v>0.68</v>
      </c>
      <c r="L87" s="5">
        <f t="shared" si="9"/>
        <v>0.46575342465753428</v>
      </c>
      <c r="M87" s="9">
        <f>CHOOSE(MATCH(Tableau14[[#This Row],[Fujiwara_P]],{0,0.39,0.49,1},1),3,1,0)</f>
        <v>1</v>
      </c>
      <c r="N87" s="10">
        <v>0</v>
      </c>
      <c r="O87" s="10">
        <v>1</v>
      </c>
      <c r="P87" s="1">
        <v>2.8</v>
      </c>
      <c r="Q87" s="10">
        <f>CHOOSE(MATCH(Tableau14[[#This Row],[Angle_p]],{-50,-14.9,-4.9,50},1),3,1,0)</f>
        <v>0</v>
      </c>
      <c r="R87" s="1">
        <v>1.38</v>
      </c>
      <c r="S87" s="1">
        <v>1.42</v>
      </c>
      <c r="T87" s="5">
        <f t="shared" si="7"/>
        <v>1.0289855072463769</v>
      </c>
      <c r="U87" s="10">
        <f>CHOOSE(MATCH(Tableau14[[#This Row],[Ratio_Torg]],{0,0.59,0.79,1.5},1),3,1,0)</f>
        <v>0</v>
      </c>
      <c r="V87" s="18">
        <v>1</v>
      </c>
      <c r="W87" s="7">
        <v>43871</v>
      </c>
      <c r="X87" s="3">
        <f t="shared" si="8"/>
        <v>16.63</v>
      </c>
      <c r="Y87" s="12">
        <v>16</v>
      </c>
      <c r="Z87" s="1">
        <v>4</v>
      </c>
      <c r="AA87" s="1">
        <v>4</v>
      </c>
      <c r="AB87" s="1">
        <v>1</v>
      </c>
      <c r="AC87" s="1">
        <v>2</v>
      </c>
      <c r="AD87" s="1">
        <v>2</v>
      </c>
      <c r="AE87" s="1">
        <v>3</v>
      </c>
      <c r="AF87" s="2"/>
      <c r="AG87" s="18"/>
      <c r="AH87" s="20"/>
      <c r="AI87" s="20"/>
    </row>
    <row r="88" spans="1:35" x14ac:dyDescent="0.25">
      <c r="A88" s="3">
        <v>68</v>
      </c>
      <c r="B88" s="3" t="s">
        <v>107</v>
      </c>
      <c r="C88" s="2">
        <v>43797</v>
      </c>
      <c r="D88" s="1" t="s">
        <v>12</v>
      </c>
      <c r="E88" s="4">
        <f>Tableau14[[#This Row],[Pts_Fujiwara]]+Tableau14[[#This Row],[ HT2]]+Tableau14[[#This Row],[LCR]]+Tableau14[[#This Row],[Points_angle_p]]+Tableau14[[#This Row],[Point_Torg]]</f>
        <v>7</v>
      </c>
      <c r="F88" s="1">
        <v>0.69</v>
      </c>
      <c r="G88" s="1">
        <v>0.62</v>
      </c>
      <c r="H88" s="5">
        <v>0.89855072463768126</v>
      </c>
      <c r="I88" s="3">
        <v>1</v>
      </c>
      <c r="J88" s="1">
        <v>1.33</v>
      </c>
      <c r="K88" s="1">
        <v>0.62</v>
      </c>
      <c r="L88" s="5">
        <f t="shared" si="9"/>
        <v>0.46616541353383456</v>
      </c>
      <c r="M88" s="9">
        <f>CHOOSE(MATCH(Tableau14[[#This Row],[Fujiwara_P]],{0,0.39,0.49,1},1),3,1,0)</f>
        <v>1</v>
      </c>
      <c r="N88" s="10">
        <v>2</v>
      </c>
      <c r="O88" s="10">
        <v>4</v>
      </c>
      <c r="P88" s="1">
        <v>8.5</v>
      </c>
      <c r="Q88" s="10">
        <f>CHOOSE(MATCH(Tableau14[[#This Row],[Angle_p]],{-50,-14.9,-4.9,50},1),3,1,0)</f>
        <v>0</v>
      </c>
      <c r="R88" s="1">
        <v>1.4</v>
      </c>
      <c r="S88" s="1">
        <v>1.33</v>
      </c>
      <c r="T88" s="5">
        <f t="shared" si="7"/>
        <v>0.95000000000000007</v>
      </c>
      <c r="U88" s="10">
        <f>CHOOSE(MATCH(Tableau14[[#This Row],[Ratio_Torg]],{0,0.59,0.79,1.5},1),3,1,0)</f>
        <v>0</v>
      </c>
      <c r="V88" s="19">
        <v>2</v>
      </c>
      <c r="W88" s="7">
        <v>44028</v>
      </c>
      <c r="X88" s="3">
        <f t="shared" si="8"/>
        <v>11.290000000000001</v>
      </c>
      <c r="Y88" s="12">
        <v>10</v>
      </c>
      <c r="Z88" s="1">
        <v>1</v>
      </c>
      <c r="AA88" s="1">
        <v>4</v>
      </c>
      <c r="AB88" s="1">
        <v>1</v>
      </c>
      <c r="AC88" s="1">
        <v>1</v>
      </c>
      <c r="AD88" s="1">
        <v>1</v>
      </c>
      <c r="AE88" s="1">
        <v>2</v>
      </c>
      <c r="AF88" s="2"/>
      <c r="AG88" s="27"/>
      <c r="AH88" s="27"/>
      <c r="AI88" s="27"/>
    </row>
    <row r="89" spans="1:35" x14ac:dyDescent="0.25">
      <c r="A89" s="3">
        <v>80</v>
      </c>
      <c r="B89" s="3" t="s">
        <v>91</v>
      </c>
      <c r="C89" s="2">
        <v>44011</v>
      </c>
      <c r="D89" s="1" t="s">
        <v>12</v>
      </c>
      <c r="E89" s="4">
        <f>Tableau14[[#This Row],[Pts_Fujiwara]]+Tableau14[[#This Row],[ HT2]]+Tableau14[[#This Row],[LCR]]+Tableau14[[#This Row],[Points_angle_p]]+Tableau14[[#This Row],[Point_Torg]]</f>
        <v>2</v>
      </c>
      <c r="F89" s="1">
        <v>0.79</v>
      </c>
      <c r="G89" s="1">
        <v>0.71</v>
      </c>
      <c r="H89" s="5">
        <v>0.89873417721518978</v>
      </c>
      <c r="I89" s="3">
        <v>1</v>
      </c>
      <c r="J89" s="1">
        <v>1.52</v>
      </c>
      <c r="K89" s="1">
        <v>0.71</v>
      </c>
      <c r="L89" s="5">
        <f t="shared" si="9"/>
        <v>0.46710526315789469</v>
      </c>
      <c r="M89" s="9">
        <f>CHOOSE(MATCH(Tableau14[[#This Row],[Fujiwara_P]],{0,0.39,0.49,1},1),3,1,0)</f>
        <v>1</v>
      </c>
      <c r="N89" s="10">
        <v>0</v>
      </c>
      <c r="O89" s="10">
        <v>1</v>
      </c>
      <c r="P89" s="1">
        <v>2.1</v>
      </c>
      <c r="Q89" s="10">
        <f>CHOOSE(MATCH(Tableau14[[#This Row],[Angle_p]],{-50,-14.9,-4.9,50},1),3,1,0)</f>
        <v>0</v>
      </c>
      <c r="R89" s="1">
        <v>1.58</v>
      </c>
      <c r="S89" s="1">
        <v>1.53</v>
      </c>
      <c r="T89" s="5">
        <f t="shared" si="7"/>
        <v>0.96835443037974678</v>
      </c>
      <c r="U89" s="10">
        <f>CHOOSE(MATCH(Tableau14[[#This Row],[Ratio_Torg]],{0,0.59,0.79,1.5},1),3,1,0)</f>
        <v>0</v>
      </c>
      <c r="V89" s="18">
        <v>1</v>
      </c>
      <c r="W89" s="7">
        <v>44091</v>
      </c>
      <c r="X89" s="3">
        <f t="shared" si="8"/>
        <v>15.74</v>
      </c>
      <c r="Y89" s="12">
        <v>15</v>
      </c>
      <c r="Z89" s="1">
        <v>4</v>
      </c>
      <c r="AA89" s="1">
        <v>3</v>
      </c>
      <c r="AB89" s="1">
        <v>2</v>
      </c>
      <c r="AC89" s="1">
        <v>1</v>
      </c>
      <c r="AD89" s="1">
        <v>2</v>
      </c>
      <c r="AE89" s="1">
        <v>3</v>
      </c>
      <c r="AF89" s="2">
        <v>43709</v>
      </c>
      <c r="AG89" s="19">
        <v>2</v>
      </c>
      <c r="AH89" s="21">
        <v>2</v>
      </c>
      <c r="AI89" s="21">
        <v>1</v>
      </c>
    </row>
    <row r="90" spans="1:35" x14ac:dyDescent="0.25">
      <c r="A90" s="3">
        <v>56</v>
      </c>
      <c r="B90" s="3" t="s">
        <v>34</v>
      </c>
      <c r="C90" s="2">
        <v>43657</v>
      </c>
      <c r="D90" s="1" t="s">
        <v>9</v>
      </c>
      <c r="E90" s="4">
        <f>Tableau14[[#This Row],[Pts_Fujiwara]]+Tableau14[[#This Row],[ HT2]]+Tableau14[[#This Row],[LCR]]+Tableau14[[#This Row],[Points_angle_p]]+Tableau14[[#This Row],[Point_Torg]]</f>
        <v>4</v>
      </c>
      <c r="F90" s="1">
        <v>0.77</v>
      </c>
      <c r="G90" s="1">
        <v>0.66</v>
      </c>
      <c r="H90" s="5">
        <v>0.85714285714285721</v>
      </c>
      <c r="I90" s="3">
        <v>1</v>
      </c>
      <c r="J90" s="1">
        <v>1.4</v>
      </c>
      <c r="K90" s="1">
        <v>0.66</v>
      </c>
      <c r="L90" s="5">
        <f t="shared" si="9"/>
        <v>0.47142857142857147</v>
      </c>
      <c r="M90" s="9">
        <f>CHOOSE(MATCH(Tableau14[[#This Row],[Fujiwara_P]],{0,0.39,0.49,1},1),3,1,0)</f>
        <v>1</v>
      </c>
      <c r="N90" s="10">
        <v>0</v>
      </c>
      <c r="O90" s="10">
        <v>1</v>
      </c>
      <c r="P90" s="1">
        <v>-7</v>
      </c>
      <c r="Q90" s="10">
        <f>CHOOSE(MATCH(Tableau14[[#This Row],[Angle_p]],{-50,-14.9,-4.9,50},1),3,1,0)</f>
        <v>1</v>
      </c>
      <c r="R90" s="1">
        <v>1.54</v>
      </c>
      <c r="S90" s="1">
        <v>1.1299999999999999</v>
      </c>
      <c r="T90" s="5">
        <f t="shared" si="7"/>
        <v>0.73376623376623373</v>
      </c>
      <c r="U90" s="10">
        <f>CHOOSE(MATCH(Tableau14[[#This Row],[Ratio_Torg]],{0,0.59,0.79,1.5},1),3,1,0)</f>
        <v>1</v>
      </c>
      <c r="V90" s="19">
        <v>1</v>
      </c>
      <c r="W90" s="7">
        <v>43699</v>
      </c>
      <c r="X90" s="3">
        <f t="shared" si="8"/>
        <v>16.63</v>
      </c>
      <c r="Y90" s="12">
        <v>16</v>
      </c>
      <c r="AF90" s="2">
        <v>43756</v>
      </c>
      <c r="AG90" s="18">
        <v>0</v>
      </c>
      <c r="AH90" s="20">
        <v>0</v>
      </c>
      <c r="AI90" s="20">
        <v>0</v>
      </c>
    </row>
    <row r="91" spans="1:35" x14ac:dyDescent="0.25">
      <c r="A91" s="3">
        <v>52</v>
      </c>
      <c r="B91" s="3" t="s">
        <v>83</v>
      </c>
      <c r="C91" s="2">
        <v>44273</v>
      </c>
      <c r="D91" s="1" t="s">
        <v>12</v>
      </c>
      <c r="E91" s="4">
        <f>Tableau14[[#This Row],[Pts_Fujiwara]]+Tableau14[[#This Row],[ HT2]]+Tableau14[[#This Row],[LCR]]+Tableau14[[#This Row],[Points_angle_p]]+Tableau14[[#This Row],[Point_Torg]]</f>
        <v>4</v>
      </c>
      <c r="F91" s="1">
        <v>0.74</v>
      </c>
      <c r="G91" s="1">
        <v>0.53</v>
      </c>
      <c r="H91" s="5">
        <v>0.71621621621621623</v>
      </c>
      <c r="I91" s="3">
        <v>2</v>
      </c>
      <c r="J91" s="1">
        <v>1.1200000000000001</v>
      </c>
      <c r="K91" s="1">
        <v>0.53</v>
      </c>
      <c r="L91" s="5">
        <f t="shared" si="9"/>
        <v>0.4732142857142857</v>
      </c>
      <c r="M91" s="9">
        <f>CHOOSE(MATCH(Tableau14[[#This Row],[Fujiwara_P]],{0,0.39,0.49,1},1),3,1,0)</f>
        <v>1</v>
      </c>
      <c r="N91" s="10">
        <v>2</v>
      </c>
      <c r="O91" s="10">
        <v>1</v>
      </c>
      <c r="P91" s="1">
        <v>12.7</v>
      </c>
      <c r="Q91" s="10">
        <f>CHOOSE(MATCH(Tableau14[[#This Row],[Angle_p]],{-50,-14.9,-4.9,50},1),3,1,0)</f>
        <v>0</v>
      </c>
      <c r="R91" s="1">
        <v>1.58</v>
      </c>
      <c r="S91" s="1">
        <v>1.28</v>
      </c>
      <c r="T91" s="5">
        <f t="shared" si="7"/>
        <v>0.810126582278481</v>
      </c>
      <c r="U91" s="10">
        <f>CHOOSE(MATCH(Tableau14[[#This Row],[Ratio_Torg]],{0,0.59,0.79,1.5},1),3,1,0)</f>
        <v>0</v>
      </c>
      <c r="V91" s="19">
        <v>1</v>
      </c>
      <c r="W91" s="7">
        <v>44278</v>
      </c>
      <c r="X91" s="3">
        <f t="shared" si="8"/>
        <v>16.63</v>
      </c>
      <c r="Y91" s="12">
        <v>16</v>
      </c>
      <c r="Z91" s="1">
        <v>4</v>
      </c>
      <c r="AA91" s="1">
        <v>3</v>
      </c>
      <c r="AB91" s="1">
        <v>2</v>
      </c>
      <c r="AC91" s="1">
        <v>2</v>
      </c>
      <c r="AD91" s="1">
        <v>2</v>
      </c>
      <c r="AE91" s="1">
        <v>3</v>
      </c>
      <c r="AF91" s="2"/>
      <c r="AG91" s="24"/>
      <c r="AH91" s="25"/>
      <c r="AI91" s="25"/>
    </row>
    <row r="92" spans="1:35" x14ac:dyDescent="0.25">
      <c r="A92" s="3">
        <v>71</v>
      </c>
      <c r="B92" s="3" t="s">
        <v>27</v>
      </c>
      <c r="C92" s="2">
        <v>43497</v>
      </c>
      <c r="D92" s="1" t="s">
        <v>14</v>
      </c>
      <c r="E92" s="4">
        <f>Tableau14[[#This Row],[Pts_Fujiwara]]+Tableau14[[#This Row],[ HT2]]+Tableau14[[#This Row],[LCR]]+Tableau14[[#This Row],[Points_angle_p]]+Tableau14[[#This Row],[Point_Torg]]</f>
        <v>1</v>
      </c>
      <c r="F92" s="1">
        <v>0.79</v>
      </c>
      <c r="G92" s="1">
        <v>0.63</v>
      </c>
      <c r="H92" s="5">
        <v>0.79746835443037967</v>
      </c>
      <c r="I92" s="3">
        <v>1</v>
      </c>
      <c r="J92" s="1">
        <v>1.28</v>
      </c>
      <c r="K92" s="1">
        <v>0.63</v>
      </c>
      <c r="L92" s="5">
        <f t="shared" si="9"/>
        <v>0.4921875</v>
      </c>
      <c r="M92" s="9">
        <f>CHOOSE(MATCH(Tableau14[[#This Row],[Fujiwara_P]],{0,0.39,0.49,1},1),3,1,0)</f>
        <v>0</v>
      </c>
      <c r="N92" s="10">
        <v>0</v>
      </c>
      <c r="O92" s="10">
        <v>1</v>
      </c>
      <c r="P92" s="1">
        <v>10</v>
      </c>
      <c r="Q92" s="10">
        <f>CHOOSE(MATCH(Tableau14[[#This Row],[Angle_p]],{-50,-14.9,-4.9,50},1),3,1,0)</f>
        <v>0</v>
      </c>
      <c r="R92" s="1">
        <v>1.52</v>
      </c>
      <c r="S92" s="1">
        <v>1.28</v>
      </c>
      <c r="T92" s="5">
        <f t="shared" si="7"/>
        <v>0.84210526315789469</v>
      </c>
      <c r="U92" s="10">
        <f>CHOOSE(MATCH(Tableau14[[#This Row],[Ratio_Torg]],{0,0.59,0.79,1.5},1),3,1,0)</f>
        <v>0</v>
      </c>
      <c r="V92" s="19">
        <v>1</v>
      </c>
      <c r="W92" s="7">
        <v>43549</v>
      </c>
      <c r="X92" s="3">
        <f t="shared" si="8"/>
        <v>16.63</v>
      </c>
      <c r="Y92" s="12">
        <v>16</v>
      </c>
      <c r="AF92" s="2">
        <v>43497</v>
      </c>
      <c r="AG92" s="19">
        <v>0</v>
      </c>
      <c r="AH92" s="21">
        <v>0</v>
      </c>
      <c r="AI92" s="21">
        <v>0</v>
      </c>
    </row>
    <row r="93" spans="1:35" x14ac:dyDescent="0.25">
      <c r="A93" s="3">
        <v>58</v>
      </c>
      <c r="B93" s="3" t="s">
        <v>51</v>
      </c>
      <c r="C93" s="2">
        <v>43167</v>
      </c>
      <c r="D93" s="1" t="s">
        <v>12</v>
      </c>
      <c r="E93" s="4">
        <f>Tableau14[[#This Row],[Pts_Fujiwara]]+Tableau14[[#This Row],[ HT2]]+Tableau14[[#This Row],[LCR]]+Tableau14[[#This Row],[Points_angle_p]]+Tableau14[[#This Row],[Point_Torg]]</f>
        <v>6</v>
      </c>
      <c r="F93" s="1">
        <v>0.66</v>
      </c>
      <c r="G93" s="1">
        <v>0.61</v>
      </c>
      <c r="H93" s="5">
        <v>0.9242424242424242</v>
      </c>
      <c r="I93" s="3">
        <v>1</v>
      </c>
      <c r="J93" s="1">
        <v>1.23</v>
      </c>
      <c r="K93" s="1">
        <v>0.61</v>
      </c>
      <c r="L93" s="5">
        <f t="shared" si="9"/>
        <v>0.49593495934959347</v>
      </c>
      <c r="M93" s="9">
        <f>CHOOSE(MATCH(Tableau14[[#This Row],[Fujiwara_P]],{0,0.39,0.49,1},1),3,1,0)</f>
        <v>0</v>
      </c>
      <c r="N93" s="10">
        <v>4</v>
      </c>
      <c r="O93" s="10">
        <v>2</v>
      </c>
      <c r="P93" s="1">
        <v>0.7</v>
      </c>
      <c r="Q93" s="10">
        <f>CHOOSE(MATCH(Tableau14[[#This Row],[Angle_p]],{-50,-14.9,-4.9,50},1),3,1,0)</f>
        <v>0</v>
      </c>
      <c r="R93" s="1">
        <v>1.87</v>
      </c>
      <c r="S93" s="1">
        <v>1.76</v>
      </c>
      <c r="T93" s="5">
        <f t="shared" si="7"/>
        <v>0.94117647058823528</v>
      </c>
      <c r="U93" s="10">
        <f>CHOOSE(MATCH(Tableau14[[#This Row],[Ratio_Torg]],{0,0.59,0.79,1.5},1),3,1,0)</f>
        <v>0</v>
      </c>
      <c r="V93" s="19">
        <v>3</v>
      </c>
      <c r="W93" s="7">
        <v>43402</v>
      </c>
      <c r="X93" s="3">
        <f t="shared" si="8"/>
        <v>13.96</v>
      </c>
      <c r="Y93" s="12">
        <v>13</v>
      </c>
      <c r="AF93" s="2">
        <v>43209</v>
      </c>
      <c r="AG93" s="24">
        <v>0</v>
      </c>
      <c r="AH93" s="25">
        <v>0</v>
      </c>
      <c r="AI93" s="25">
        <v>0</v>
      </c>
    </row>
    <row r="94" spans="1:35" x14ac:dyDescent="0.25">
      <c r="A94" s="3">
        <v>56</v>
      </c>
      <c r="B94" s="3" t="s">
        <v>98</v>
      </c>
      <c r="C94" s="2">
        <v>44169</v>
      </c>
      <c r="D94" s="1" t="s">
        <v>9</v>
      </c>
      <c r="E94" s="4">
        <f>Tableau14[[#This Row],[Pts_Fujiwara]]+Tableau14[[#This Row],[ HT2]]+Tableau14[[#This Row],[LCR]]+Tableau14[[#This Row],[Points_angle_p]]+Tableau14[[#This Row],[Point_Torg]]</f>
        <v>0</v>
      </c>
      <c r="F94" s="1">
        <v>0.84</v>
      </c>
      <c r="G94" s="1">
        <v>0.72</v>
      </c>
      <c r="H94" s="5">
        <v>0.8571428571428571</v>
      </c>
      <c r="I94" s="3">
        <v>1</v>
      </c>
      <c r="J94" s="1">
        <v>1.44</v>
      </c>
      <c r="K94" s="1">
        <v>0.72</v>
      </c>
      <c r="L94" s="5">
        <f t="shared" si="9"/>
        <v>0.5</v>
      </c>
      <c r="M94" s="9">
        <f>CHOOSE(MATCH(Tableau14[[#This Row],[Fujiwara_P]],{0,0.39,0.49,1},1),3,1,0)</f>
        <v>0</v>
      </c>
      <c r="N94" s="10">
        <v>0</v>
      </c>
      <c r="O94" s="10">
        <v>0</v>
      </c>
      <c r="P94" s="1">
        <v>4.4000000000000004</v>
      </c>
      <c r="Q94" s="10">
        <f>CHOOSE(MATCH(Tableau14[[#This Row],[Angle_p]],{-50,-14.9,-4.9,50},1),3,1,0)</f>
        <v>0</v>
      </c>
      <c r="R94" s="1">
        <v>1.46</v>
      </c>
      <c r="S94" s="1">
        <v>1.73</v>
      </c>
      <c r="T94" s="5">
        <f t="shared" si="7"/>
        <v>1.1849315068493151</v>
      </c>
      <c r="U94" s="10">
        <f>CHOOSE(MATCH(Tableau14[[#This Row],[Ratio_Torg]],{0,0.59,0.79,1.5},1),3,1,0)</f>
        <v>0</v>
      </c>
      <c r="V94" s="19">
        <v>1</v>
      </c>
      <c r="W94" s="7">
        <v>44168</v>
      </c>
      <c r="X94" s="3">
        <f t="shared" si="8"/>
        <v>17.52</v>
      </c>
      <c r="Y94" s="12">
        <v>17</v>
      </c>
      <c r="Z94" s="1">
        <v>4</v>
      </c>
      <c r="AA94" s="1">
        <v>4</v>
      </c>
      <c r="AB94" s="1">
        <v>2</v>
      </c>
      <c r="AC94" s="1">
        <v>2</v>
      </c>
      <c r="AD94" s="1">
        <v>2</v>
      </c>
      <c r="AE94" s="1">
        <v>3</v>
      </c>
      <c r="AF94" s="2"/>
      <c r="AG94" s="28"/>
      <c r="AH94" s="29"/>
      <c r="AI94" s="29"/>
    </row>
    <row r="95" spans="1:35" x14ac:dyDescent="0.25">
      <c r="A95" s="3">
        <v>72</v>
      </c>
      <c r="B95" s="3" t="s">
        <v>41</v>
      </c>
      <c r="C95" s="2">
        <v>43379</v>
      </c>
      <c r="D95" s="1" t="s">
        <v>9</v>
      </c>
      <c r="E95" s="4">
        <f>Tableau14[[#This Row],[Pts_Fujiwara]]+Tableau14[[#This Row],[ HT2]]+Tableau14[[#This Row],[LCR]]+Tableau14[[#This Row],[Points_angle_p]]+Tableau14[[#This Row],[Point_Torg]]</f>
        <v>3</v>
      </c>
      <c r="F95" s="1">
        <v>0.62</v>
      </c>
      <c r="G95" s="1">
        <v>0.56000000000000005</v>
      </c>
      <c r="H95" s="5">
        <v>0.90322580645161299</v>
      </c>
      <c r="I95" s="3">
        <v>1</v>
      </c>
      <c r="J95" s="1">
        <v>1.1200000000000001</v>
      </c>
      <c r="K95" s="1">
        <v>0.56000000000000005</v>
      </c>
      <c r="L95" s="5">
        <f t="shared" si="9"/>
        <v>0.5</v>
      </c>
      <c r="M95" s="9">
        <f>CHOOSE(MATCH(Tableau14[[#This Row],[Fujiwara_P]],{0,0.39,0.49,1},1),3,1,0)</f>
        <v>0</v>
      </c>
      <c r="N95" s="10">
        <v>2</v>
      </c>
      <c r="O95" s="10">
        <v>1</v>
      </c>
      <c r="P95" s="1">
        <v>4</v>
      </c>
      <c r="Q95" s="10">
        <f>CHOOSE(MATCH(Tableau14[[#This Row],[Angle_p]],{-50,-14.9,-4.9,50},1),3,1,0)</f>
        <v>0</v>
      </c>
      <c r="R95" s="1">
        <v>1.42</v>
      </c>
      <c r="S95" s="1">
        <v>1.18</v>
      </c>
      <c r="T95" s="5">
        <f t="shared" si="7"/>
        <v>0.83098591549295775</v>
      </c>
      <c r="U95" s="10">
        <f>CHOOSE(MATCH(Tableau14[[#This Row],[Ratio_Torg]],{0,0.59,0.79,1.5},1),3,1,0)</f>
        <v>0</v>
      </c>
      <c r="V95" s="19">
        <v>1</v>
      </c>
      <c r="W95" s="7">
        <v>43684</v>
      </c>
      <c r="X95" s="3">
        <f t="shared" si="8"/>
        <v>17.52</v>
      </c>
      <c r="Y95" s="12">
        <v>17</v>
      </c>
      <c r="Z95" s="1">
        <v>4</v>
      </c>
      <c r="AA95" s="1">
        <v>4</v>
      </c>
      <c r="AB95" s="1">
        <v>2</v>
      </c>
      <c r="AC95" s="1">
        <v>2</v>
      </c>
      <c r="AD95" s="1">
        <v>2</v>
      </c>
      <c r="AE95" s="1">
        <v>3</v>
      </c>
      <c r="AF95" s="2">
        <v>43556</v>
      </c>
      <c r="AG95" s="19">
        <v>2</v>
      </c>
      <c r="AH95" s="21">
        <v>0</v>
      </c>
      <c r="AI95" s="21">
        <v>2</v>
      </c>
    </row>
    <row r="96" spans="1:35" x14ac:dyDescent="0.25">
      <c r="A96" s="3">
        <v>78</v>
      </c>
      <c r="B96" s="3" t="s">
        <v>33</v>
      </c>
      <c r="C96" s="2">
        <v>43714</v>
      </c>
      <c r="D96" s="1" t="s">
        <v>14</v>
      </c>
      <c r="E96" s="4">
        <f>Tableau14[[#This Row],[Pts_Fujiwara]]+Tableau14[[#This Row],[ HT2]]+Tableau14[[#This Row],[LCR]]+Tableau14[[#This Row],[Points_angle_p]]+Tableau14[[#This Row],[Point_Torg]]</f>
        <v>0</v>
      </c>
      <c r="F96" s="1">
        <v>0.82</v>
      </c>
      <c r="G96" s="1">
        <v>0.67</v>
      </c>
      <c r="H96" s="5">
        <v>0.81707317073170738</v>
      </c>
      <c r="I96" s="3">
        <v>1</v>
      </c>
      <c r="J96" s="1">
        <v>1.33</v>
      </c>
      <c r="K96" s="1">
        <v>0.67</v>
      </c>
      <c r="L96" s="5">
        <f t="shared" si="9"/>
        <v>0.50375939849624063</v>
      </c>
      <c r="M96" s="9">
        <f>CHOOSE(MATCH(Tableau14[[#This Row],[Fujiwara_P]],{0,0.39,0.49,1},1),3,1,0)</f>
        <v>0</v>
      </c>
      <c r="N96" s="10">
        <v>0</v>
      </c>
      <c r="O96" s="10">
        <v>0</v>
      </c>
      <c r="P96" s="1">
        <v>0</v>
      </c>
      <c r="Q96" s="10">
        <f>CHOOSE(MATCH(Tableau14[[#This Row],[Angle_p]],{-50,-14.9,-4.9,50},1),3,1,0)</f>
        <v>0</v>
      </c>
      <c r="R96" s="1">
        <v>1.53</v>
      </c>
      <c r="S96" s="1">
        <v>1.4</v>
      </c>
      <c r="T96" s="5">
        <f t="shared" si="7"/>
        <v>0.91503267973856206</v>
      </c>
      <c r="U96" s="10">
        <f>CHOOSE(MATCH(Tableau14[[#This Row],[Ratio_Torg]],{0,0.59,0.79,1.5},1),3,1,0)</f>
        <v>0</v>
      </c>
      <c r="V96" s="18">
        <v>1</v>
      </c>
      <c r="W96" s="7">
        <v>43300</v>
      </c>
      <c r="X96" s="3">
        <f t="shared" si="8"/>
        <v>17.52</v>
      </c>
      <c r="Y96" s="12">
        <v>17</v>
      </c>
      <c r="Z96" s="1">
        <v>4</v>
      </c>
      <c r="AA96" s="1">
        <v>4</v>
      </c>
      <c r="AB96" s="1">
        <v>2</v>
      </c>
      <c r="AC96" s="1">
        <v>2</v>
      </c>
      <c r="AD96" s="1">
        <v>2</v>
      </c>
      <c r="AE96" s="1">
        <v>3</v>
      </c>
      <c r="AF96" s="2">
        <v>43714</v>
      </c>
      <c r="AG96" s="24">
        <v>0</v>
      </c>
      <c r="AH96" s="25">
        <v>0</v>
      </c>
      <c r="AI96" s="25">
        <v>0</v>
      </c>
    </row>
    <row r="97" spans="1:35" x14ac:dyDescent="0.25">
      <c r="A97" s="3">
        <v>51</v>
      </c>
      <c r="B97" s="3" t="s">
        <v>44</v>
      </c>
      <c r="C97" s="2">
        <v>43574</v>
      </c>
      <c r="D97" s="1" t="s">
        <v>9</v>
      </c>
      <c r="E97" s="4">
        <f>Tableau14[[#This Row],[Pts_Fujiwara]]+Tableau14[[#This Row],[ HT2]]+Tableau14[[#This Row],[LCR]]+Tableau14[[#This Row],[Points_angle_p]]+Tableau14[[#This Row],[Point_Torg]]</f>
        <v>1</v>
      </c>
      <c r="F97" s="1">
        <v>0.69</v>
      </c>
      <c r="G97" s="1">
        <v>0.64</v>
      </c>
      <c r="H97" s="5">
        <v>0.92753623188405809</v>
      </c>
      <c r="I97" s="3">
        <v>1</v>
      </c>
      <c r="J97" s="1">
        <v>1.27</v>
      </c>
      <c r="K97" s="1">
        <v>0.64</v>
      </c>
      <c r="L97" s="5">
        <f t="shared" si="9"/>
        <v>0.50393700787401574</v>
      </c>
      <c r="M97" s="9">
        <f>CHOOSE(MATCH(Tableau14[[#This Row],[Fujiwara_P]],{0,0.39,0.49,1},1),3,1,0)</f>
        <v>0</v>
      </c>
      <c r="N97" s="10">
        <v>0</v>
      </c>
      <c r="O97" s="10">
        <v>1</v>
      </c>
      <c r="P97" s="1">
        <v>0.5</v>
      </c>
      <c r="Q97" s="10">
        <f>CHOOSE(MATCH(Tableau14[[#This Row],[Angle_p]],{-50,-14.9,-4.9,50},1),3,1,0)</f>
        <v>0</v>
      </c>
      <c r="R97" s="1">
        <v>1.37</v>
      </c>
      <c r="S97" s="1">
        <v>1.17</v>
      </c>
      <c r="T97" s="5">
        <f t="shared" si="7"/>
        <v>0.85401459854014583</v>
      </c>
      <c r="U97" s="10">
        <f>CHOOSE(MATCH(Tableau14[[#This Row],[Ratio_Torg]],{0,0.59,0.79,1.5},1),3,1,0)</f>
        <v>0</v>
      </c>
      <c r="V97" s="18">
        <v>1</v>
      </c>
      <c r="W97" s="7">
        <v>43719</v>
      </c>
      <c r="X97" s="3">
        <f t="shared" si="8"/>
        <v>17.52</v>
      </c>
      <c r="Y97" s="12">
        <v>17</v>
      </c>
      <c r="Z97" s="1">
        <v>4</v>
      </c>
      <c r="AA97" s="1">
        <v>4</v>
      </c>
      <c r="AB97" s="1">
        <v>2</v>
      </c>
      <c r="AC97" s="1">
        <v>2</v>
      </c>
      <c r="AD97" s="1">
        <v>2</v>
      </c>
      <c r="AE97" s="1">
        <v>3</v>
      </c>
      <c r="AF97" s="2">
        <v>43698</v>
      </c>
      <c r="AG97" s="28">
        <v>0</v>
      </c>
      <c r="AH97" s="29">
        <v>0</v>
      </c>
      <c r="AI97" s="29"/>
    </row>
    <row r="98" spans="1:35" x14ac:dyDescent="0.25">
      <c r="A98" s="3">
        <v>54</v>
      </c>
      <c r="B98" s="3" t="s">
        <v>70</v>
      </c>
      <c r="C98" s="2">
        <v>43336</v>
      </c>
      <c r="D98" s="1" t="s">
        <v>17</v>
      </c>
      <c r="E98" s="4">
        <f>Tableau14[[#This Row],[Pts_Fujiwara]]+Tableau14[[#This Row],[ HT2]]+Tableau14[[#This Row],[LCR]]+Tableau14[[#This Row],[Points_angle_p]]+Tableau14[[#This Row],[Point_Torg]]</f>
        <v>1</v>
      </c>
      <c r="F98" s="1">
        <v>0.78</v>
      </c>
      <c r="G98" s="1">
        <v>0.7</v>
      </c>
      <c r="H98" s="5">
        <v>0.89743589743589736</v>
      </c>
      <c r="I98" s="3">
        <v>1</v>
      </c>
      <c r="J98" s="1">
        <v>1.38</v>
      </c>
      <c r="K98" s="1">
        <v>0.7</v>
      </c>
      <c r="L98" s="5">
        <f t="shared" si="9"/>
        <v>0.50724637681159424</v>
      </c>
      <c r="M98" s="9">
        <f>CHOOSE(MATCH(Tableau14[[#This Row],[Fujiwara_P]],{0,0.39,0.49,1},1),3,1,0)</f>
        <v>0</v>
      </c>
      <c r="N98" s="10">
        <v>0</v>
      </c>
      <c r="O98" s="10">
        <v>0</v>
      </c>
      <c r="P98" s="1">
        <v>-5.5</v>
      </c>
      <c r="Q98" s="10">
        <f>CHOOSE(MATCH(Tableau14[[#This Row],[Angle_p]],{-50,-14.9,-4.9,50},1),3,1,0)</f>
        <v>1</v>
      </c>
      <c r="R98" s="1">
        <v>1.72</v>
      </c>
      <c r="S98" s="1">
        <v>1.55</v>
      </c>
      <c r="T98" s="5">
        <f t="shared" ref="T98:T100" si="10">S98/R98</f>
        <v>0.90116279069767447</v>
      </c>
      <c r="U98" s="10">
        <f>CHOOSE(MATCH(Tableau14[[#This Row],[Ratio_Torg]],{0,0.59,0.79,1.5},1),3,1,0)</f>
        <v>0</v>
      </c>
      <c r="V98" s="18">
        <v>1</v>
      </c>
      <c r="W98" s="7">
        <v>43291</v>
      </c>
      <c r="X98" s="3">
        <f t="shared" ref="X98:X100" si="11">2.39+0.89*(Y98)</f>
        <v>17.52</v>
      </c>
      <c r="Y98" s="12">
        <v>17</v>
      </c>
      <c r="Z98" s="1">
        <v>4</v>
      </c>
      <c r="AA98" s="1">
        <v>4</v>
      </c>
      <c r="AB98" s="1">
        <v>2</v>
      </c>
      <c r="AC98" s="1">
        <v>2</v>
      </c>
      <c r="AD98" s="1">
        <v>2</v>
      </c>
      <c r="AE98" s="1">
        <v>3</v>
      </c>
      <c r="AF98" s="2"/>
      <c r="AG98" s="43" t="e">
        <f>STDEVPA(#REF!,#REF!)</f>
        <v>#REF!</v>
      </c>
      <c r="AH98" s="44" t="e">
        <f>AVERAGE(#REF!,#REF!)</f>
        <v>#REF!</v>
      </c>
      <c r="AI98" s="20"/>
    </row>
    <row r="99" spans="1:35" x14ac:dyDescent="0.25">
      <c r="A99" s="3">
        <v>46</v>
      </c>
      <c r="B99" s="3" t="s">
        <v>21</v>
      </c>
      <c r="C99" s="2">
        <v>42431</v>
      </c>
      <c r="D99" s="1" t="s">
        <v>12</v>
      </c>
      <c r="E99" s="4">
        <f>Tableau14[[#This Row],[Pts_Fujiwara]]+Tableau14[[#This Row],[ HT2]]+Tableau14[[#This Row],[LCR]]+Tableau14[[#This Row],[Points_angle_p]]+Tableau14[[#This Row],[Point_Torg]]</f>
        <v>6</v>
      </c>
      <c r="F99" s="1">
        <v>0.64</v>
      </c>
      <c r="G99" s="1">
        <v>0.57999999999999996</v>
      </c>
      <c r="H99" s="5">
        <v>0.90624999999999989</v>
      </c>
      <c r="I99" s="3">
        <v>1</v>
      </c>
      <c r="J99" s="1">
        <v>1.0900000000000001</v>
      </c>
      <c r="K99" s="1">
        <v>0.57999999999999996</v>
      </c>
      <c r="L99" s="5">
        <f t="shared" si="9"/>
        <v>0.53211009174311918</v>
      </c>
      <c r="M99" s="9">
        <f>CHOOSE(MATCH(Tableau14[[#This Row],[Fujiwara_P]],{0,0.39,0.49,1},1),3,1,0)</f>
        <v>0</v>
      </c>
      <c r="N99" s="10">
        <v>4</v>
      </c>
      <c r="O99" s="10">
        <v>1</v>
      </c>
      <c r="P99" s="1">
        <v>13</v>
      </c>
      <c r="Q99" s="10">
        <f>CHOOSE(MATCH(Tableau14[[#This Row],[Angle_p]],{-50,-14.9,-4.9,50},1),3,1,0)</f>
        <v>0</v>
      </c>
      <c r="R99" s="1">
        <v>2.1</v>
      </c>
      <c r="S99" s="1">
        <v>1.46</v>
      </c>
      <c r="T99" s="5">
        <f t="shared" si="10"/>
        <v>0.69523809523809521</v>
      </c>
      <c r="U99" s="10">
        <f>CHOOSE(MATCH(Tableau14[[#This Row],[Ratio_Torg]],{0,0.59,0.79,1.5},1),3,1,0)</f>
        <v>1</v>
      </c>
      <c r="V99" s="18">
        <v>1</v>
      </c>
      <c r="W99" s="7">
        <v>42591</v>
      </c>
      <c r="X99" s="3">
        <f t="shared" si="11"/>
        <v>13.96</v>
      </c>
      <c r="Y99" s="12">
        <v>13</v>
      </c>
      <c r="AF99" s="2">
        <v>42657</v>
      </c>
      <c r="AG99" s="19">
        <v>3</v>
      </c>
      <c r="AH99" s="21">
        <v>0</v>
      </c>
      <c r="AI99" s="21">
        <v>3</v>
      </c>
    </row>
    <row r="100" spans="1:35" x14ac:dyDescent="0.25">
      <c r="A100" s="3">
        <v>50</v>
      </c>
      <c r="B100" s="3" t="s">
        <v>60</v>
      </c>
      <c r="C100" s="2">
        <v>43181</v>
      </c>
      <c r="D100" s="1" t="s">
        <v>12</v>
      </c>
      <c r="E100" s="4">
        <f>Tableau14[[#This Row],[Pts_Fujiwara]]+Tableau14[[#This Row],[ HT2]]+Tableau14[[#This Row],[LCR]]+Tableau14[[#This Row],[Points_angle_p]]+Tableau14[[#This Row],[Point_Torg]]</f>
        <v>2</v>
      </c>
      <c r="F100" s="1">
        <v>0.7</v>
      </c>
      <c r="G100" s="1">
        <v>0.66</v>
      </c>
      <c r="H100" s="5">
        <v>0.94285714285714295</v>
      </c>
      <c r="I100" s="3">
        <v>1</v>
      </c>
      <c r="J100" s="1">
        <v>1.2</v>
      </c>
      <c r="K100" s="1">
        <v>0.66</v>
      </c>
      <c r="L100" s="5">
        <f t="shared" si="9"/>
        <v>0.55000000000000004</v>
      </c>
      <c r="M100" s="9">
        <f>CHOOSE(MATCH(Tableau14[[#This Row],[Fujiwara_P]],{0,0.39,0.49,1},1),3,1,0)</f>
        <v>0</v>
      </c>
      <c r="N100" s="10">
        <v>0</v>
      </c>
      <c r="O100" s="10">
        <v>1</v>
      </c>
      <c r="P100" s="1">
        <v>8</v>
      </c>
      <c r="Q100" s="10">
        <f>CHOOSE(MATCH(Tableau14[[#This Row],[Angle_p]],{-50,-14.9,-4.9,50},1),3,1,0)</f>
        <v>0</v>
      </c>
      <c r="R100" s="1">
        <v>1.5</v>
      </c>
      <c r="S100" s="1">
        <v>1.1100000000000001</v>
      </c>
      <c r="T100" s="5">
        <f t="shared" si="10"/>
        <v>0.7400000000000001</v>
      </c>
      <c r="U100" s="10">
        <f>CHOOSE(MATCH(Tableau14[[#This Row],[Ratio_Torg]],{0,0.59,0.79,1.5},1),3,1,0)</f>
        <v>1</v>
      </c>
      <c r="V100" s="19">
        <v>1</v>
      </c>
      <c r="W100" s="7">
        <v>43207</v>
      </c>
      <c r="X100" s="3">
        <f t="shared" si="11"/>
        <v>16.63</v>
      </c>
      <c r="Y100" s="12">
        <v>16</v>
      </c>
      <c r="Z100" s="1">
        <v>4</v>
      </c>
      <c r="AA100" s="1">
        <v>4</v>
      </c>
      <c r="AB100" s="1">
        <v>1</v>
      </c>
      <c r="AC100" s="1">
        <v>2</v>
      </c>
      <c r="AD100" s="1">
        <v>2</v>
      </c>
      <c r="AE100" s="1">
        <v>3</v>
      </c>
      <c r="AF100" s="2"/>
      <c r="AG100" s="18"/>
      <c r="AH100" s="20"/>
      <c r="AI100" s="20"/>
    </row>
    <row r="101" spans="1:35" x14ac:dyDescent="0.25">
      <c r="A101" s="30"/>
      <c r="B101" s="30"/>
      <c r="C101" s="26"/>
      <c r="D101" s="25"/>
      <c r="E101" s="31"/>
      <c r="F101" s="31"/>
      <c r="G101" s="31"/>
      <c r="H101" s="32"/>
      <c r="I101" s="31"/>
      <c r="J101" s="25"/>
      <c r="K101" s="25"/>
      <c r="L101" s="33"/>
      <c r="M101" s="34"/>
      <c r="N101" s="35"/>
      <c r="O101" s="35"/>
      <c r="P101" s="25"/>
      <c r="Q101" s="36"/>
      <c r="R101" s="25"/>
      <c r="S101" s="25"/>
      <c r="T101" s="33">
        <f>AVERAGE(X2,X50)</f>
        <v>13.515000000000001</v>
      </c>
      <c r="U101" s="35"/>
      <c r="V101" s="37"/>
      <c r="W101" s="38"/>
      <c r="X101" s="30"/>
      <c r="Y101" s="39"/>
      <c r="Z101" s="25"/>
      <c r="AA101" s="25"/>
      <c r="AB101" s="25"/>
      <c r="AC101" s="25"/>
      <c r="AD101" s="25"/>
      <c r="AE101" s="25"/>
      <c r="AF101" s="26"/>
      <c r="AG101" s="40"/>
      <c r="AH101" s="25"/>
      <c r="AI101" s="25"/>
    </row>
    <row r="102" spans="1:35" x14ac:dyDescent="0.25">
      <c r="F102" s="1"/>
      <c r="G102" s="1"/>
      <c r="H102" s="5"/>
      <c r="I102" s="3"/>
      <c r="K102" s="1">
        <f>STDEVPA(L2:L22)</f>
        <v>3.4116811942981176E-2</v>
      </c>
      <c r="L102" s="5">
        <f>AVERAGE(L2:L22)</f>
        <v>0.25711476317298887</v>
      </c>
      <c r="M102" s="9">
        <f>STDEVA(L2:L22)</f>
        <v>3.4959329227123061E-2</v>
      </c>
      <c r="N102" s="11">
        <f>AVERAGE(X2:X45)</f>
        <v>14.040909090909089</v>
      </c>
      <c r="O102" s="11">
        <f>AVERAGE(X2,X7)</f>
        <v>12.18</v>
      </c>
      <c r="P102" s="5">
        <f>AVERAGE(X2,X26)</f>
        <v>14.405000000000001</v>
      </c>
      <c r="T102" s="5">
        <f>AVERAGE(X51,X93)</f>
        <v>14.405000000000001</v>
      </c>
      <c r="U102" s="10"/>
      <c r="V102" s="5">
        <f>AVERAGE(X2,X54)</f>
        <v>14.405000000000001</v>
      </c>
      <c r="W102" s="7"/>
      <c r="AF102" s="2"/>
      <c r="AG102" s="24"/>
      <c r="AH102" s="25"/>
      <c r="AI102" s="25"/>
    </row>
    <row r="103" spans="1:35" ht="15" customHeight="1" x14ac:dyDescent="0.25">
      <c r="A103" s="3" t="s">
        <v>131</v>
      </c>
      <c r="B103" s="2" t="s">
        <v>1</v>
      </c>
      <c r="C103" s="16" t="s">
        <v>132</v>
      </c>
      <c r="E103" s="1"/>
      <c r="F103" s="1"/>
      <c r="G103" s="1"/>
      <c r="H103" s="1"/>
      <c r="I103" s="1"/>
      <c r="K103" s="1">
        <f>STDEVPA(L7:L59)</f>
        <v>4.1219328988249995E-2</v>
      </c>
      <c r="L103" s="5">
        <f>AVERAGE(L23:L59)</f>
        <v>0.3443432169853905</v>
      </c>
      <c r="M103" s="9">
        <f>STDEVPA(L23:L59)</f>
        <v>2.7439630279347753E-2</v>
      </c>
      <c r="N103" s="11">
        <f>AVERAGE(X46,X78)</f>
        <v>16.184999999999999</v>
      </c>
      <c r="O103" s="11">
        <f>AVERAGE(X8,X50)</f>
        <v>14.405000000000001</v>
      </c>
      <c r="P103" s="5">
        <f>AVERAGE(X27,X100)</f>
        <v>14.405000000000001</v>
      </c>
      <c r="T103" s="3">
        <f>AVERAGE(X94,X100)</f>
        <v>17.074999999999999</v>
      </c>
      <c r="V103" s="5">
        <f>AVERAGE(X55,X81)</f>
        <v>15.74</v>
      </c>
    </row>
    <row r="104" spans="1:35" ht="15" customHeight="1" x14ac:dyDescent="0.25">
      <c r="B104" s="2" t="s">
        <v>162</v>
      </c>
      <c r="C104" s="16" t="s">
        <v>163</v>
      </c>
      <c r="E104" s="1"/>
      <c r="F104" s="1"/>
      <c r="G104" s="1"/>
      <c r="H104" s="1"/>
      <c r="I104" s="1"/>
      <c r="K104" s="1">
        <f>STDEVPA(L60:L92)</f>
        <v>2.4188670650910182E-2</v>
      </c>
      <c r="L104" s="5">
        <f>AVERAGE(L60:L92)</f>
        <v>0.43690225837180247</v>
      </c>
      <c r="M104" s="9">
        <f>STDEVA(L60:L92)</f>
        <v>2.4563711165635629E-2</v>
      </c>
      <c r="N104" s="11">
        <f>AVERAGE(X79,X100)</f>
        <v>17.074999999999999</v>
      </c>
      <c r="O104" s="11">
        <f>AVERAGE(X51,X71)</f>
        <v>14.405000000000001</v>
      </c>
      <c r="P104" s="5">
        <f>STDEVPA(X2,X26)</f>
        <v>0.44500000000000028</v>
      </c>
      <c r="T104" s="1">
        <f>STDEVPA(X2,X50)</f>
        <v>0.44500000000000028</v>
      </c>
      <c r="V104" s="5">
        <f>AVERAGE(X82,X100)</f>
        <v>16.184999999999999</v>
      </c>
    </row>
    <row r="105" spans="1:35" ht="15" customHeight="1" x14ac:dyDescent="0.25">
      <c r="B105" s="2" t="s">
        <v>115</v>
      </c>
      <c r="C105" s="17" t="s">
        <v>133</v>
      </c>
      <c r="E105" s="15"/>
      <c r="F105" s="15"/>
      <c r="G105" s="15"/>
      <c r="H105" s="15"/>
      <c r="I105" s="15"/>
      <c r="K105" s="1">
        <f>STDEVPA(L93:L100)</f>
        <v>1.7849661995420232E-2</v>
      </c>
      <c r="L105" s="5">
        <f>AVERAGE(L93:L100)</f>
        <v>0.51162347928432039</v>
      </c>
      <c r="N105" s="11">
        <f>STDEVPA(X2,X45)</f>
        <v>1.7799999999999976</v>
      </c>
      <c r="O105" s="11">
        <f>AVERAGE(X72,X100)</f>
        <v>16.63</v>
      </c>
      <c r="P105" s="5">
        <f>STDEVPA(X27,X100)</f>
        <v>2.2249999999999943</v>
      </c>
      <c r="T105" s="1">
        <f>STDEVPA(X51,X93)</f>
        <v>0.44500000000000028</v>
      </c>
      <c r="V105" s="5">
        <f>STDEVPA(X2,X54)</f>
        <v>0.44500000000000028</v>
      </c>
    </row>
    <row r="106" spans="1:35" ht="15" customHeight="1" x14ac:dyDescent="0.25">
      <c r="B106" s="2" t="s">
        <v>164</v>
      </c>
      <c r="C106" s="17" t="s">
        <v>165</v>
      </c>
      <c r="E106" s="15"/>
      <c r="F106" s="15"/>
      <c r="G106" s="15"/>
      <c r="H106" s="15"/>
      <c r="I106" s="15"/>
      <c r="K106" s="5">
        <f>STDEVPA(X2:X22)</f>
        <v>2.6221448353237427</v>
      </c>
      <c r="L106" s="5">
        <f>AVERAGE(X2:X22)</f>
        <v>12.815714285714286</v>
      </c>
      <c r="N106" s="11">
        <f>STDEVPA(X46,X78)</f>
        <v>0.4449999999999994</v>
      </c>
      <c r="O106" s="11">
        <f>STDEVPA(X2,X7)</f>
        <v>1.7800000000000056</v>
      </c>
      <c r="P106" s="5"/>
      <c r="T106" s="1">
        <f>STDEVPA(X94,X100)</f>
        <v>0.44500000000000028</v>
      </c>
      <c r="V106" s="5">
        <f>STDEVPA(X55,X81)</f>
        <v>0.88999999999999879</v>
      </c>
    </row>
    <row r="107" spans="1:35" ht="15" customHeight="1" x14ac:dyDescent="0.25">
      <c r="B107" s="2" t="s">
        <v>114</v>
      </c>
      <c r="C107" s="17" t="s">
        <v>134</v>
      </c>
      <c r="E107" s="15"/>
      <c r="F107" s="15"/>
      <c r="G107" s="15"/>
      <c r="H107" s="15"/>
      <c r="I107" s="15"/>
      <c r="K107" s="1">
        <f>STDEVPA(X23,X59)</f>
        <v>0.44500000000000028</v>
      </c>
      <c r="L107" s="5">
        <f>AVERAGE(X23,X59)</f>
        <v>11.735000000000001</v>
      </c>
      <c r="N107" s="11">
        <f>STDEVPA(X79,X100)</f>
        <v>0.44500000000000028</v>
      </c>
      <c r="O107" s="11">
        <f>STDEVPA(X8,X50)</f>
        <v>1.335</v>
      </c>
      <c r="V107" s="5">
        <f>STDEVPA(X82,X100)</f>
        <v>0.4449999999999994</v>
      </c>
    </row>
    <row r="108" spans="1:35" ht="15" customHeight="1" x14ac:dyDescent="0.25">
      <c r="B108" s="2" t="s">
        <v>116</v>
      </c>
      <c r="C108" s="17" t="s">
        <v>135</v>
      </c>
      <c r="E108" s="15"/>
      <c r="F108" s="15"/>
      <c r="G108" s="15"/>
      <c r="H108" s="15"/>
      <c r="I108" s="15"/>
      <c r="K108" s="1">
        <f>STDEVPA(X60,X92)</f>
        <v>0.4449999999999994</v>
      </c>
      <c r="L108" s="5">
        <f>AVERAGE(X60,X92)</f>
        <v>16.184999999999999</v>
      </c>
      <c r="N108" s="11"/>
      <c r="O108" s="11">
        <f>STDEVPA(X51,X71)</f>
        <v>0.44500000000000028</v>
      </c>
    </row>
    <row r="109" spans="1:35" ht="15" customHeight="1" x14ac:dyDescent="0.25">
      <c r="B109" s="2" t="s">
        <v>137</v>
      </c>
      <c r="C109" s="17" t="s">
        <v>138</v>
      </c>
      <c r="E109" s="15"/>
      <c r="F109" s="15"/>
      <c r="G109" s="15"/>
      <c r="H109" s="15"/>
      <c r="I109" s="15"/>
      <c r="K109" s="1">
        <f>STDEVPA(X93,X100)</f>
        <v>1.3349999999999991</v>
      </c>
      <c r="L109" s="5">
        <f>AVERAGE(X100,X93)</f>
        <v>15.295</v>
      </c>
      <c r="N109" s="11"/>
      <c r="O109" s="11">
        <f>STDEVA(X72,X100)</f>
        <v>0</v>
      </c>
    </row>
    <row r="110" spans="1:35" ht="15" customHeight="1" x14ac:dyDescent="0.25">
      <c r="B110" s="2" t="s">
        <v>139</v>
      </c>
      <c r="C110" s="17" t="s">
        <v>2</v>
      </c>
      <c r="E110" s="15"/>
      <c r="F110" s="15"/>
      <c r="G110" s="15"/>
      <c r="H110" s="15"/>
      <c r="I110" s="15"/>
      <c r="N110" s="11"/>
    </row>
    <row r="111" spans="1:35" ht="15" customHeight="1" x14ac:dyDescent="0.25">
      <c r="B111" s="2" t="s">
        <v>118</v>
      </c>
      <c r="C111" s="17" t="s">
        <v>3</v>
      </c>
      <c r="E111" s="15"/>
      <c r="F111" s="15"/>
      <c r="G111" s="15"/>
      <c r="H111" s="15"/>
      <c r="I111" s="15"/>
    </row>
    <row r="112" spans="1:35" ht="15" customHeight="1" x14ac:dyDescent="0.25">
      <c r="B112" s="2" t="s">
        <v>140</v>
      </c>
      <c r="C112" s="17" t="s">
        <v>141</v>
      </c>
      <c r="E112" s="15"/>
      <c r="F112" s="15"/>
      <c r="G112" s="15"/>
      <c r="H112" s="15"/>
      <c r="I112" s="15"/>
    </row>
    <row r="113" spans="2:9" ht="15" customHeight="1" x14ac:dyDescent="0.25">
      <c r="B113" s="2" t="s">
        <v>5</v>
      </c>
      <c r="C113" s="17" t="s">
        <v>150</v>
      </c>
      <c r="E113" s="15"/>
      <c r="F113" s="15"/>
      <c r="G113" s="15"/>
      <c r="H113" s="15"/>
      <c r="I113" s="15"/>
    </row>
    <row r="114" spans="2:9" ht="15" customHeight="1" x14ac:dyDescent="0.25">
      <c r="B114" s="2" t="s">
        <v>119</v>
      </c>
      <c r="C114" s="17" t="s">
        <v>142</v>
      </c>
      <c r="E114" s="15"/>
      <c r="F114" s="15"/>
      <c r="G114" s="15"/>
      <c r="H114" s="15"/>
      <c r="I114" s="15"/>
    </row>
    <row r="115" spans="2:9" ht="15" customHeight="1" x14ac:dyDescent="0.25">
      <c r="B115" s="2" t="s">
        <v>120</v>
      </c>
      <c r="C115" s="17" t="s">
        <v>143</v>
      </c>
      <c r="E115" s="15"/>
      <c r="F115" s="15"/>
      <c r="G115" s="15"/>
      <c r="H115" s="15"/>
      <c r="I115" s="15"/>
    </row>
    <row r="116" spans="2:9" ht="15" customHeight="1" x14ac:dyDescent="0.25">
      <c r="B116" s="2" t="s">
        <v>151</v>
      </c>
      <c r="C116" s="17" t="s">
        <v>152</v>
      </c>
      <c r="E116" s="15"/>
      <c r="F116" s="15"/>
      <c r="G116" s="15"/>
      <c r="H116" s="15"/>
      <c r="I116" s="15"/>
    </row>
    <row r="117" spans="2:9" ht="15" customHeight="1" x14ac:dyDescent="0.25">
      <c r="B117" s="2" t="s">
        <v>124</v>
      </c>
      <c r="C117" s="17" t="s">
        <v>153</v>
      </c>
      <c r="E117" s="15"/>
      <c r="F117" s="15"/>
      <c r="G117" s="15"/>
      <c r="H117" s="15"/>
      <c r="I117" s="15"/>
    </row>
    <row r="118" spans="2:9" ht="15" customHeight="1" x14ac:dyDescent="0.25">
      <c r="B118" s="2" t="s">
        <v>125</v>
      </c>
      <c r="C118" s="17" t="s">
        <v>144</v>
      </c>
      <c r="E118" s="15"/>
      <c r="F118" s="15"/>
      <c r="G118" s="15"/>
      <c r="H118" s="15"/>
      <c r="I118" s="15"/>
    </row>
    <row r="119" spans="2:9" ht="15" customHeight="1" x14ac:dyDescent="0.25">
      <c r="B119" s="2" t="s">
        <v>126</v>
      </c>
      <c r="C119" s="17" t="s">
        <v>145</v>
      </c>
      <c r="E119" s="15"/>
      <c r="F119" s="15"/>
      <c r="G119" s="15"/>
      <c r="H119" s="15"/>
      <c r="I119" s="15"/>
    </row>
    <row r="120" spans="2:9" ht="15" customHeight="1" x14ac:dyDescent="0.25">
      <c r="B120" s="2" t="s">
        <v>127</v>
      </c>
      <c r="C120" s="17" t="s">
        <v>146</v>
      </c>
      <c r="E120" s="15"/>
      <c r="F120" s="15"/>
      <c r="G120" s="15"/>
      <c r="H120" s="15"/>
      <c r="I120" s="15"/>
    </row>
    <row r="121" spans="2:9" ht="15" customHeight="1" x14ac:dyDescent="0.25">
      <c r="B121" s="2" t="s">
        <v>128</v>
      </c>
      <c r="C121" s="17" t="s">
        <v>147</v>
      </c>
      <c r="E121" s="15"/>
      <c r="F121" s="15"/>
      <c r="G121" s="15"/>
      <c r="H121" s="15"/>
      <c r="I121" s="15"/>
    </row>
    <row r="122" spans="2:9" ht="15" customHeight="1" x14ac:dyDescent="0.25">
      <c r="B122" s="2" t="s">
        <v>6</v>
      </c>
      <c r="C122" s="17" t="s">
        <v>148</v>
      </c>
      <c r="E122" s="15"/>
      <c r="F122" s="15"/>
      <c r="G122" s="15"/>
      <c r="H122" s="15"/>
      <c r="I122" s="15"/>
    </row>
    <row r="123" spans="2:9" x14ac:dyDescent="0.25">
      <c r="B123" s="2" t="s">
        <v>7</v>
      </c>
      <c r="C123" s="17" t="s">
        <v>149</v>
      </c>
      <c r="E123" s="15"/>
      <c r="F123" s="15"/>
      <c r="G123" s="15"/>
      <c r="H123" s="15"/>
      <c r="I123" s="15"/>
    </row>
    <row r="124" spans="2:9" x14ac:dyDescent="0.25">
      <c r="B124" s="3" t="s">
        <v>154</v>
      </c>
      <c r="C124" s="2" t="s">
        <v>155</v>
      </c>
    </row>
    <row r="125" spans="2:9" x14ac:dyDescent="0.25">
      <c r="B125" s="3" t="s">
        <v>156</v>
      </c>
      <c r="C125" s="2" t="s">
        <v>157</v>
      </c>
    </row>
    <row r="126" spans="2:9" x14ac:dyDescent="0.25">
      <c r="B126" s="3" t="s">
        <v>168</v>
      </c>
      <c r="C126" s="2" t="s">
        <v>169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26"/>
  <sheetViews>
    <sheetView tabSelected="1" zoomScale="75" workbookViewId="0">
      <selection activeCell="G102" sqref="G102:Z110"/>
    </sheetView>
  </sheetViews>
  <sheetFormatPr baseColWidth="10" defaultColWidth="10.875" defaultRowHeight="15.75" x14ac:dyDescent="0.25"/>
  <cols>
    <col min="1" max="1" width="12.375" style="3" customWidth="1"/>
    <col min="2" max="2" width="19.5" style="3" customWidth="1"/>
    <col min="3" max="3" width="20" style="2" customWidth="1"/>
    <col min="4" max="4" width="16.5" style="1" customWidth="1"/>
    <col min="5" max="6" width="15.625" style="4" customWidth="1"/>
    <col min="7" max="7" width="20.875" style="1" customWidth="1"/>
    <col min="8" max="8" width="22" style="1" customWidth="1"/>
    <col min="9" max="9" width="15.5" style="5" customWidth="1"/>
    <col min="10" max="10" width="17.875" style="9" customWidth="1"/>
    <col min="11" max="11" width="19.5" style="10" customWidth="1"/>
    <col min="12" max="12" width="18" style="10" customWidth="1"/>
    <col min="13" max="13" width="18" style="1" customWidth="1"/>
    <col min="14" max="14" width="20.125" style="10" customWidth="1"/>
    <col min="15" max="17" width="18" style="1" customWidth="1"/>
    <col min="18" max="18" width="18" style="11" customWidth="1"/>
    <col min="19" max="20" width="18" style="5" customWidth="1"/>
    <col min="21" max="21" width="20.5" style="1" customWidth="1"/>
    <col min="22" max="22" width="12.375" style="3" customWidth="1"/>
    <col min="23" max="23" width="12.5" style="12" customWidth="1"/>
    <col min="24" max="28" width="11" style="1" customWidth="1"/>
    <col min="29" max="29" width="13.125" style="1" customWidth="1"/>
    <col min="30" max="31" width="10.875" style="1"/>
    <col min="32" max="32" width="10.875" style="3"/>
    <col min="33" max="16384" width="10.875" style="1"/>
  </cols>
  <sheetData>
    <row r="1" spans="1:32" x14ac:dyDescent="0.25">
      <c r="A1" s="3" t="s">
        <v>0</v>
      </c>
      <c r="B1" s="3" t="s">
        <v>113</v>
      </c>
      <c r="C1" s="2" t="s">
        <v>112</v>
      </c>
      <c r="D1" s="1" t="s">
        <v>111</v>
      </c>
      <c r="E1" s="4" t="s">
        <v>1</v>
      </c>
      <c r="F1" s="4" t="s">
        <v>172</v>
      </c>
      <c r="G1" s="1" t="s">
        <v>114</v>
      </c>
      <c r="H1" s="1" t="s">
        <v>161</v>
      </c>
      <c r="I1" s="5" t="s">
        <v>116</v>
      </c>
      <c r="J1" s="9" t="s">
        <v>136</v>
      </c>
      <c r="K1" s="10" t="s">
        <v>117</v>
      </c>
      <c r="L1" s="10" t="s">
        <v>118</v>
      </c>
      <c r="M1" s="1" t="s">
        <v>4</v>
      </c>
      <c r="N1" s="10" t="s">
        <v>5</v>
      </c>
      <c r="O1" s="1" t="s">
        <v>119</v>
      </c>
      <c r="P1" s="1" t="s">
        <v>120</v>
      </c>
      <c r="Q1" s="5" t="s">
        <v>122</v>
      </c>
      <c r="R1" s="10" t="s">
        <v>121</v>
      </c>
      <c r="S1" s="1" t="s">
        <v>167</v>
      </c>
      <c r="T1" s="1" t="s">
        <v>171</v>
      </c>
      <c r="U1" s="1" t="s">
        <v>123</v>
      </c>
      <c r="V1" s="3" t="s">
        <v>170</v>
      </c>
      <c r="W1" s="12" t="s">
        <v>124</v>
      </c>
      <c r="X1" s="1" t="s">
        <v>125</v>
      </c>
      <c r="Y1" s="1" t="s">
        <v>126</v>
      </c>
      <c r="Z1" s="1" t="s">
        <v>127</v>
      </c>
      <c r="AA1" s="1" t="s">
        <v>128</v>
      </c>
      <c r="AB1" s="1" t="s">
        <v>6</v>
      </c>
      <c r="AC1" s="1" t="s">
        <v>7</v>
      </c>
      <c r="AF1" s="1"/>
    </row>
    <row r="2" spans="1:32" x14ac:dyDescent="0.25">
      <c r="A2" s="3">
        <v>57</v>
      </c>
      <c r="B2" s="3" t="s">
        <v>40</v>
      </c>
      <c r="C2" s="2">
        <v>44120</v>
      </c>
      <c r="D2" s="1" t="s">
        <v>17</v>
      </c>
      <c r="E2" s="4">
        <f>Tableau143[[#This Row],[Pts_Fujiwara]]+Tableau143[[#This Row],[ HT2]]+Tableau143[[#This Row],[LCR]]+Tableau143[[#This Row],[Points_angle_p]]+Tableau143[[#This Row],[Point_Torg]]</f>
        <v>4</v>
      </c>
      <c r="F2" s="4">
        <f>SUM(Tableau143[[#This Row],[Pts_Fujiwara]],Tableau143[[#This Row],[ HT2]],Tableau143[[#This Row],[LCR]],Tableau143[[#This Row],[Points_angle_p]],Tableau143[[#This Row],[Point_Torg]],Tableau143[[#This Row],[Pts_sténoses]])</f>
        <v>4</v>
      </c>
      <c r="G2" s="1">
        <v>1.35</v>
      </c>
      <c r="H2" s="1">
        <v>0.45</v>
      </c>
      <c r="I2" s="5">
        <f t="shared" ref="I2:I43" si="0">H2/G2</f>
        <v>0.33333333333333331</v>
      </c>
      <c r="J2" s="9">
        <v>3</v>
      </c>
      <c r="K2" s="10">
        <v>0</v>
      </c>
      <c r="L2" s="10">
        <v>0</v>
      </c>
      <c r="M2" s="1">
        <v>1</v>
      </c>
      <c r="N2" s="10">
        <f>CHOOSE(MATCH(Tableau143[[#This Row],[Angle_p]],{-50,-14.9,-4.9,50},1),3,1,0)</f>
        <v>0</v>
      </c>
      <c r="O2" s="1">
        <v>1.44</v>
      </c>
      <c r="P2" s="1">
        <v>0.87</v>
      </c>
      <c r="Q2" s="5">
        <f t="shared" ref="Q2:Q33" si="1">P2/O2</f>
        <v>0.60416666666666674</v>
      </c>
      <c r="R2" s="10">
        <f>CHOOSE(MATCH(Tableau143[[#This Row],[Ratio_Torg]],{0,0.59,0.79,1.5},1),3,1,0)</f>
        <v>1</v>
      </c>
      <c r="S2" s="18">
        <v>1</v>
      </c>
      <c r="T2" s="24">
        <v>0</v>
      </c>
      <c r="U2" s="7">
        <v>44120</v>
      </c>
      <c r="V2" s="3">
        <f t="shared" ref="V2:V33" si="2">2.39+0.89*(W2)</f>
        <v>17.52</v>
      </c>
      <c r="W2" s="12">
        <v>17</v>
      </c>
      <c r="X2" s="1">
        <v>4</v>
      </c>
      <c r="Y2" s="1">
        <v>4</v>
      </c>
      <c r="Z2" s="1">
        <v>2</v>
      </c>
      <c r="AA2" s="1">
        <v>2</v>
      </c>
      <c r="AB2" s="1">
        <v>2</v>
      </c>
      <c r="AC2" s="1">
        <v>3</v>
      </c>
      <c r="AF2" s="1"/>
    </row>
    <row r="3" spans="1:32" x14ac:dyDescent="0.25">
      <c r="A3" s="3">
        <v>70</v>
      </c>
      <c r="B3" s="3" t="s">
        <v>29</v>
      </c>
      <c r="C3" s="2">
        <v>43782</v>
      </c>
      <c r="D3" s="1" t="s">
        <v>9</v>
      </c>
      <c r="E3" s="4">
        <f>Tableau143[[#This Row],[Pts_Fujiwara]]+Tableau143[[#This Row],[ HT2]]+Tableau143[[#This Row],[LCR]]+Tableau143[[#This Row],[Points_angle_p]]+Tableau143[[#This Row],[Point_Torg]]</f>
        <v>6</v>
      </c>
      <c r="F3" s="4">
        <f>SUM(Tableau143[[#This Row],[Pts_Fujiwara]],Tableau143[[#This Row],[ HT2]],Tableau143[[#This Row],[LCR]],Tableau143[[#This Row],[Points_angle_p]],Tableau143[[#This Row],[Point_Torg]],Tableau143[[#This Row],[Pts_sténoses]])</f>
        <v>7</v>
      </c>
      <c r="G3" s="1">
        <v>1.32</v>
      </c>
      <c r="H3" s="1">
        <v>0.44</v>
      </c>
      <c r="I3" s="5">
        <f t="shared" si="0"/>
        <v>0.33333333333333331</v>
      </c>
      <c r="J3" s="9">
        <v>3</v>
      </c>
      <c r="K3" s="10">
        <v>0</v>
      </c>
      <c r="L3" s="10">
        <v>1</v>
      </c>
      <c r="M3" s="1">
        <v>-8</v>
      </c>
      <c r="N3" s="10">
        <v>1</v>
      </c>
      <c r="O3" s="1">
        <v>2.5299999999999998</v>
      </c>
      <c r="P3" s="1">
        <v>1.57</v>
      </c>
      <c r="Q3" s="5">
        <f t="shared" si="1"/>
        <v>0.62055335968379455</v>
      </c>
      <c r="R3" s="10">
        <f>CHOOSE(MATCH(Tableau143[[#This Row],[Ratio_Torg]],{0,0.59,0.79,1.5},1),3,1,0)</f>
        <v>1</v>
      </c>
      <c r="S3" s="18">
        <v>2</v>
      </c>
      <c r="T3" s="28">
        <v>1</v>
      </c>
      <c r="U3" s="7">
        <v>43544</v>
      </c>
      <c r="V3" s="3">
        <f t="shared" si="2"/>
        <v>15.74</v>
      </c>
      <c r="W3" s="12">
        <v>15</v>
      </c>
      <c r="AF3" s="1"/>
    </row>
    <row r="4" spans="1:32" x14ac:dyDescent="0.25">
      <c r="A4" s="3">
        <v>61</v>
      </c>
      <c r="B4" s="3" t="s">
        <v>52</v>
      </c>
      <c r="C4" s="2">
        <v>43370</v>
      </c>
      <c r="D4" s="1" t="s">
        <v>17</v>
      </c>
      <c r="E4" s="4">
        <f>Tableau143[[#This Row],[Pts_Fujiwara]]+Tableau143[[#This Row],[ HT2]]+Tableau143[[#This Row],[LCR]]+Tableau143[[#This Row],[Points_angle_p]]+Tableau143[[#This Row],[Point_Torg]]</f>
        <v>6</v>
      </c>
      <c r="F4" s="4">
        <f>SUM(Tableau143[[#This Row],[Pts_Fujiwara]],Tableau143[[#This Row],[ HT2]],Tableau143[[#This Row],[LCR]],Tableau143[[#This Row],[Points_angle_p]],Tableau143[[#This Row],[Point_Torg]],Tableau143[[#This Row],[Pts_sténoses]])</f>
        <v>6</v>
      </c>
      <c r="G4" s="1">
        <v>1.42</v>
      </c>
      <c r="H4" s="1">
        <v>0.42</v>
      </c>
      <c r="I4" s="5">
        <f t="shared" si="0"/>
        <v>0.29577464788732394</v>
      </c>
      <c r="J4" s="9">
        <v>3</v>
      </c>
      <c r="K4" s="10">
        <v>0</v>
      </c>
      <c r="L4" s="10">
        <v>1</v>
      </c>
      <c r="M4" s="1">
        <v>-11</v>
      </c>
      <c r="N4" s="10">
        <v>1</v>
      </c>
      <c r="O4" s="1">
        <v>1.33</v>
      </c>
      <c r="P4" s="1">
        <v>0.85</v>
      </c>
      <c r="Q4" s="5">
        <f t="shared" si="1"/>
        <v>0.63909774436090216</v>
      </c>
      <c r="R4" s="10">
        <f>CHOOSE(MATCH(Tableau143[[#This Row],[Ratio_Torg]],{0,0.59,0.79,1.5},1),3,1,0)</f>
        <v>1</v>
      </c>
      <c r="S4" s="19">
        <v>1</v>
      </c>
      <c r="T4" s="24">
        <v>0</v>
      </c>
      <c r="U4" s="7">
        <v>43417</v>
      </c>
      <c r="V4" s="3">
        <f t="shared" si="2"/>
        <v>12.180000000000001</v>
      </c>
      <c r="W4" s="12">
        <v>11</v>
      </c>
      <c r="AF4" s="1"/>
    </row>
    <row r="5" spans="1:32" x14ac:dyDescent="0.25">
      <c r="A5" s="3">
        <v>71</v>
      </c>
      <c r="B5" s="3" t="s">
        <v>39</v>
      </c>
      <c r="C5" s="2">
        <v>44062</v>
      </c>
      <c r="D5" s="1" t="s">
        <v>17</v>
      </c>
      <c r="E5" s="4">
        <f>Tableau143[[#This Row],[Pts_Fujiwara]]+Tableau143[[#This Row],[ HT2]]+Tableau143[[#This Row],[LCR]]+Tableau143[[#This Row],[Points_angle_p]]+Tableau143[[#This Row],[Point_Torg]]</f>
        <v>6</v>
      </c>
      <c r="F5" s="4">
        <f>SUM(Tableau143[[#This Row],[Pts_Fujiwara]],Tableau143[[#This Row],[ HT2]],Tableau143[[#This Row],[LCR]],Tableau143[[#This Row],[Points_angle_p]],Tableau143[[#This Row],[Point_Torg]],Tableau143[[#This Row],[Pts_sténoses]])</f>
        <v>10</v>
      </c>
      <c r="G5" s="1">
        <v>1.28</v>
      </c>
      <c r="H5" s="1">
        <v>0.42</v>
      </c>
      <c r="I5" s="5">
        <f t="shared" si="0"/>
        <v>0.328125</v>
      </c>
      <c r="J5" s="9">
        <v>3</v>
      </c>
      <c r="K5" s="10">
        <v>0</v>
      </c>
      <c r="L5" s="10">
        <v>1</v>
      </c>
      <c r="M5" s="1">
        <v>-6</v>
      </c>
      <c r="N5" s="10">
        <v>1</v>
      </c>
      <c r="O5" s="1">
        <v>1.55</v>
      </c>
      <c r="P5" s="1">
        <v>1.01</v>
      </c>
      <c r="Q5" s="5">
        <f t="shared" si="1"/>
        <v>0.65161290322580645</v>
      </c>
      <c r="R5" s="10">
        <f>CHOOSE(MATCH(Tableau143[[#This Row],[Ratio_Torg]],{0,0.59,0.79,1.5},1),3,1,0)</f>
        <v>1</v>
      </c>
      <c r="S5" s="18">
        <v>3</v>
      </c>
      <c r="T5" s="24">
        <v>4</v>
      </c>
      <c r="U5" s="7">
        <v>44088</v>
      </c>
      <c r="V5" s="3">
        <f t="shared" si="2"/>
        <v>17.52</v>
      </c>
      <c r="W5" s="12">
        <v>17</v>
      </c>
      <c r="X5" s="1">
        <v>4</v>
      </c>
      <c r="Y5" s="1">
        <v>4</v>
      </c>
      <c r="Z5" s="1">
        <v>2</v>
      </c>
      <c r="AA5" s="1">
        <v>2</v>
      </c>
      <c r="AB5" s="1">
        <v>2</v>
      </c>
      <c r="AC5" s="1">
        <v>3</v>
      </c>
      <c r="AF5" s="1"/>
    </row>
    <row r="6" spans="1:32" x14ac:dyDescent="0.25">
      <c r="A6" s="3">
        <v>62</v>
      </c>
      <c r="B6" s="3" t="s">
        <v>68</v>
      </c>
      <c r="C6" s="2">
        <v>42865</v>
      </c>
      <c r="D6" s="1" t="s">
        <v>9</v>
      </c>
      <c r="E6" s="4">
        <f>Tableau143[[#This Row],[Pts_Fujiwara]]+Tableau143[[#This Row],[ HT2]]+Tableau143[[#This Row],[LCR]]+Tableau143[[#This Row],[Points_angle_p]]+Tableau143[[#This Row],[Point_Torg]]</f>
        <v>10</v>
      </c>
      <c r="F6" s="4">
        <f>SUM(Tableau143[[#This Row],[Pts_Fujiwara]],Tableau143[[#This Row],[ HT2]],Tableau143[[#This Row],[LCR]],Tableau143[[#This Row],[Points_angle_p]],Tableau143[[#This Row],[Point_Torg]],Tableau143[[#This Row],[Pts_sténoses]])</f>
        <v>14</v>
      </c>
      <c r="G6" s="1">
        <v>1.85</v>
      </c>
      <c r="H6" s="1">
        <v>0.52</v>
      </c>
      <c r="I6" s="5">
        <f t="shared" si="0"/>
        <v>0.2810810810810811</v>
      </c>
      <c r="J6" s="9">
        <v>4</v>
      </c>
      <c r="K6" s="10">
        <v>2</v>
      </c>
      <c r="L6" s="10">
        <v>2</v>
      </c>
      <c r="M6" s="1">
        <v>-10.3</v>
      </c>
      <c r="N6" s="10">
        <v>1</v>
      </c>
      <c r="O6" s="1">
        <v>1.8</v>
      </c>
      <c r="P6" s="1">
        <v>1.22</v>
      </c>
      <c r="Q6" s="5">
        <f t="shared" si="1"/>
        <v>0.6777777777777777</v>
      </c>
      <c r="R6" s="10">
        <f>CHOOSE(MATCH(Tableau143[[#This Row],[Ratio_Torg]],{0,0.59,0.79,1.5},1),3,1,0)</f>
        <v>1</v>
      </c>
      <c r="S6" s="19">
        <v>3</v>
      </c>
      <c r="T6" s="24">
        <v>4</v>
      </c>
      <c r="U6" s="7">
        <v>43244</v>
      </c>
      <c r="V6" s="3">
        <f t="shared" si="2"/>
        <v>10.4</v>
      </c>
      <c r="W6" s="12">
        <v>9</v>
      </c>
      <c r="X6" s="1">
        <v>2</v>
      </c>
      <c r="Y6" s="1">
        <v>2</v>
      </c>
      <c r="Z6" s="1">
        <v>1</v>
      </c>
      <c r="AA6" s="1">
        <v>1</v>
      </c>
      <c r="AB6" s="1">
        <v>1</v>
      </c>
      <c r="AC6" s="1">
        <v>2</v>
      </c>
      <c r="AF6" s="1"/>
    </row>
    <row r="7" spans="1:32" x14ac:dyDescent="0.25">
      <c r="A7" s="3">
        <v>53</v>
      </c>
      <c r="B7" s="3" t="s">
        <v>99</v>
      </c>
      <c r="C7" s="2">
        <v>44020</v>
      </c>
      <c r="D7" s="1" t="s">
        <v>9</v>
      </c>
      <c r="E7" s="4">
        <f>Tableau143[[#This Row],[Pts_Fujiwara]]+Tableau143[[#This Row],[ HT2]]+Tableau143[[#This Row],[LCR]]+Tableau143[[#This Row],[Points_angle_p]]+Tableau143[[#This Row],[Point_Torg]]</f>
        <v>10</v>
      </c>
      <c r="F7" s="4">
        <f>SUM(Tableau143[[#This Row],[Pts_Fujiwara]],Tableau143[[#This Row],[ HT2]],Tableau143[[#This Row],[LCR]],Tableau143[[#This Row],[Points_angle_p]],Tableau143[[#This Row],[Point_Torg]],Tableau143[[#This Row],[Pts_sténoses]])</f>
        <v>10</v>
      </c>
      <c r="G7" s="1">
        <v>1.27</v>
      </c>
      <c r="H7" s="1">
        <v>0.47</v>
      </c>
      <c r="I7" s="5">
        <f t="shared" si="0"/>
        <v>0.37007874015748027</v>
      </c>
      <c r="J7" s="9">
        <v>3</v>
      </c>
      <c r="K7" s="10">
        <v>2</v>
      </c>
      <c r="L7" s="10">
        <v>4</v>
      </c>
      <c r="M7" s="1">
        <v>4.5999999999999996</v>
      </c>
      <c r="N7" s="10">
        <f>CHOOSE(MATCH(Tableau143[[#This Row],[Angle_p]],{-50,-14.9,-4.9,50},1),3,1,0)</f>
        <v>0</v>
      </c>
      <c r="O7" s="1">
        <v>1.86</v>
      </c>
      <c r="P7" s="1">
        <v>1.29</v>
      </c>
      <c r="Q7" s="5">
        <f t="shared" si="1"/>
        <v>0.69354838709677413</v>
      </c>
      <c r="R7" s="10">
        <f>CHOOSE(MATCH(Tableau143[[#This Row],[Ratio_Torg]],{0,0.59,0.79,1.5},1),3,1,0)</f>
        <v>1</v>
      </c>
      <c r="S7" s="19">
        <v>1</v>
      </c>
      <c r="T7" s="24">
        <v>0</v>
      </c>
      <c r="U7" s="7">
        <v>43847</v>
      </c>
      <c r="V7" s="3">
        <f t="shared" si="2"/>
        <v>13.07</v>
      </c>
      <c r="W7" s="12">
        <v>12</v>
      </c>
      <c r="X7" s="1">
        <v>3</v>
      </c>
      <c r="Y7" s="1">
        <v>3</v>
      </c>
      <c r="Z7" s="1">
        <v>1</v>
      </c>
      <c r="AA7" s="1">
        <v>1</v>
      </c>
      <c r="AB7" s="1">
        <v>1</v>
      </c>
      <c r="AC7" s="1">
        <v>3</v>
      </c>
      <c r="AF7" s="1"/>
    </row>
    <row r="8" spans="1:32" x14ac:dyDescent="0.25">
      <c r="A8" s="3">
        <v>56</v>
      </c>
      <c r="B8" s="3" t="s">
        <v>34</v>
      </c>
      <c r="C8" s="2">
        <v>43657</v>
      </c>
      <c r="D8" s="1" t="s">
        <v>9</v>
      </c>
      <c r="E8" s="4">
        <f>Tableau143[[#This Row],[Pts_Fujiwara]]+Tableau143[[#This Row],[ HT2]]+Tableau143[[#This Row],[LCR]]+Tableau143[[#This Row],[Points_angle_p]]+Tableau143[[#This Row],[Point_Torg]]</f>
        <v>4</v>
      </c>
      <c r="F8" s="4">
        <f>SUM(Tableau143[[#This Row],[Pts_Fujiwara]],Tableau143[[#This Row],[ HT2]],Tableau143[[#This Row],[LCR]],Tableau143[[#This Row],[Points_angle_p]],Tableau143[[#This Row],[Point_Torg]],Tableau143[[#This Row],[Pts_sténoses]])</f>
        <v>4</v>
      </c>
      <c r="G8" s="1">
        <v>1.4</v>
      </c>
      <c r="H8" s="1">
        <v>0.66</v>
      </c>
      <c r="I8" s="5">
        <f t="shared" si="0"/>
        <v>0.47142857142857147</v>
      </c>
      <c r="J8" s="9">
        <f>CHOOSE(MATCH(Tableau143[[#This Row],[Fujiwara_P]],{0,0.39,0.49,1},1),3,1,0)</f>
        <v>1</v>
      </c>
      <c r="K8" s="10">
        <v>0</v>
      </c>
      <c r="L8" s="10">
        <v>1</v>
      </c>
      <c r="M8" s="1">
        <v>-7</v>
      </c>
      <c r="N8" s="10">
        <v>1</v>
      </c>
      <c r="O8" s="1">
        <v>1.54</v>
      </c>
      <c r="P8" s="1">
        <v>1.1299999999999999</v>
      </c>
      <c r="Q8" s="5">
        <f t="shared" si="1"/>
        <v>0.73376623376623373</v>
      </c>
      <c r="R8" s="10">
        <f>CHOOSE(MATCH(Tableau143[[#This Row],[Ratio_Torg]],{0,0.59,0.79,1.5},1),3,1,0)</f>
        <v>1</v>
      </c>
      <c r="S8" s="19">
        <v>1</v>
      </c>
      <c r="T8" s="24">
        <v>0</v>
      </c>
      <c r="U8" s="7">
        <v>43699</v>
      </c>
      <c r="V8" s="3">
        <f t="shared" si="2"/>
        <v>16.63</v>
      </c>
      <c r="W8" s="12">
        <v>16</v>
      </c>
      <c r="AF8" s="1"/>
    </row>
    <row r="9" spans="1:32" x14ac:dyDescent="0.25">
      <c r="A9" s="3">
        <v>55</v>
      </c>
      <c r="B9" s="3" t="s">
        <v>16</v>
      </c>
      <c r="C9" s="2">
        <v>43829</v>
      </c>
      <c r="D9" s="1" t="s">
        <v>17</v>
      </c>
      <c r="E9" s="4">
        <f>Tableau143[[#This Row],[Pts_Fujiwara]]+Tableau143[[#This Row],[ HT2]]+Tableau143[[#This Row],[LCR]]+Tableau143[[#This Row],[Points_angle_p]]+Tableau143[[#This Row],[Point_Torg]]</f>
        <v>3</v>
      </c>
      <c r="F9" s="4">
        <f>SUM(Tableau143[[#This Row],[Pts_Fujiwara]],Tableau143[[#This Row],[ HT2]],Tableau143[[#This Row],[LCR]],Tableau143[[#This Row],[Points_angle_p]],Tableau143[[#This Row],[Point_Torg]],Tableau143[[#This Row],[Pts_sténoses]])</f>
        <v>3</v>
      </c>
      <c r="G9" s="1">
        <v>1.26</v>
      </c>
      <c r="H9" s="1">
        <v>0.51</v>
      </c>
      <c r="I9" s="5">
        <f t="shared" si="0"/>
        <v>0.40476190476190477</v>
      </c>
      <c r="J9" s="9">
        <f>CHOOSE(MATCH(Tableau143[[#This Row],[Fujiwara_P]],{0,0.39,0.49,1},1),3,1,0)</f>
        <v>1</v>
      </c>
      <c r="K9" s="10">
        <v>0</v>
      </c>
      <c r="L9" s="10">
        <v>1</v>
      </c>
      <c r="M9" s="1">
        <v>0</v>
      </c>
      <c r="N9" s="10">
        <f>CHOOSE(MATCH(Tableau143[[#This Row],[Angle_p]],{-50,-14.9,-4.9,50},1),3,1,0)</f>
        <v>0</v>
      </c>
      <c r="O9" s="1">
        <v>1.53</v>
      </c>
      <c r="P9" s="1">
        <v>1.1399999999999999</v>
      </c>
      <c r="Q9" s="5">
        <f t="shared" si="1"/>
        <v>0.74509803921568618</v>
      </c>
      <c r="R9" s="10">
        <f>CHOOSE(MATCH(Tableau143[[#This Row],[Ratio_Torg]],{0,0.59,0.79,1.5},1),3,1,0)</f>
        <v>1</v>
      </c>
      <c r="S9" s="19">
        <v>1</v>
      </c>
      <c r="T9" s="24">
        <v>0</v>
      </c>
      <c r="U9" s="7">
        <v>44095</v>
      </c>
      <c r="V9" s="3">
        <f t="shared" si="2"/>
        <v>16.63</v>
      </c>
      <c r="W9" s="12">
        <v>16</v>
      </c>
      <c r="AF9" s="1"/>
    </row>
    <row r="10" spans="1:32" x14ac:dyDescent="0.25">
      <c r="A10" s="3">
        <v>50</v>
      </c>
      <c r="B10" s="3" t="s">
        <v>45</v>
      </c>
      <c r="C10" s="2">
        <v>43349</v>
      </c>
      <c r="D10" s="1" t="s">
        <v>14</v>
      </c>
      <c r="E10" s="4">
        <f>Tableau143[[#This Row],[Pts_Fujiwara]]+Tableau143[[#This Row],[ HT2]]+Tableau143[[#This Row],[LCR]]+Tableau143[[#This Row],[Points_angle_p]]+Tableau143[[#This Row],[Point_Torg]]</f>
        <v>5</v>
      </c>
      <c r="F10" s="4">
        <f>SUM(Tableau143[[#This Row],[Pts_Fujiwara]],Tableau143[[#This Row],[ HT2]],Tableau143[[#This Row],[LCR]],Tableau143[[#This Row],[Points_angle_p]],Tableau143[[#This Row],[Point_Torg]],Tableau143[[#This Row],[Pts_sténoses]])</f>
        <v>6</v>
      </c>
      <c r="G10" s="1">
        <v>1.5</v>
      </c>
      <c r="H10" s="1">
        <v>0.49</v>
      </c>
      <c r="I10" s="5">
        <f t="shared" si="0"/>
        <v>0.32666666666666666</v>
      </c>
      <c r="J10" s="9">
        <v>3</v>
      </c>
      <c r="K10" s="10">
        <v>0</v>
      </c>
      <c r="L10" s="10">
        <v>0</v>
      </c>
      <c r="M10" s="1">
        <v>-6</v>
      </c>
      <c r="N10" s="10">
        <v>1</v>
      </c>
      <c r="O10" s="1">
        <v>1.39</v>
      </c>
      <c r="P10" s="1">
        <v>1.04</v>
      </c>
      <c r="Q10" s="5">
        <f t="shared" si="1"/>
        <v>0.74820143884892099</v>
      </c>
      <c r="R10" s="10">
        <f>CHOOSE(MATCH(Tableau143[[#This Row],[Ratio_Torg]],{0,0.59,0.79,1.5},1),3,1,0)</f>
        <v>1</v>
      </c>
      <c r="S10" s="19">
        <v>2</v>
      </c>
      <c r="T10" s="28">
        <v>1</v>
      </c>
      <c r="U10" s="7">
        <v>43467</v>
      </c>
      <c r="V10" s="3">
        <f t="shared" si="2"/>
        <v>17.52</v>
      </c>
      <c r="W10" s="12">
        <v>17</v>
      </c>
      <c r="X10" s="1">
        <v>4</v>
      </c>
      <c r="Y10" s="1">
        <v>4</v>
      </c>
      <c r="Z10" s="1">
        <v>2</v>
      </c>
      <c r="AA10" s="1">
        <v>2</v>
      </c>
      <c r="AB10" s="1">
        <v>2</v>
      </c>
      <c r="AC10" s="1">
        <v>3</v>
      </c>
      <c r="AF10" s="1"/>
    </row>
    <row r="11" spans="1:32" x14ac:dyDescent="0.25">
      <c r="A11" s="3">
        <v>71</v>
      </c>
      <c r="B11" s="3" t="s">
        <v>46</v>
      </c>
      <c r="C11" s="2">
        <v>43649</v>
      </c>
      <c r="D11" s="1" t="s">
        <v>17</v>
      </c>
      <c r="E11" s="4">
        <f>Tableau143[[#This Row],[Pts_Fujiwara]]+Tableau143[[#This Row],[ HT2]]+Tableau143[[#This Row],[LCR]]+Tableau143[[#This Row],[Points_angle_p]]+Tableau143[[#This Row],[Point_Torg]]</f>
        <v>5</v>
      </c>
      <c r="F11" s="4">
        <f>SUM(Tableau143[[#This Row],[Pts_Fujiwara]],Tableau143[[#This Row],[ HT2]],Tableau143[[#This Row],[LCR]],Tableau143[[#This Row],[Points_angle_p]],Tableau143[[#This Row],[Point_Torg]],Tableau143[[#This Row],[Pts_sténoses]])</f>
        <v>6</v>
      </c>
      <c r="G11" s="1">
        <v>1.55</v>
      </c>
      <c r="H11" s="1">
        <v>0.53</v>
      </c>
      <c r="I11" s="5">
        <f t="shared" si="0"/>
        <v>0.34193548387096773</v>
      </c>
      <c r="J11" s="9">
        <v>3</v>
      </c>
      <c r="K11" s="10">
        <v>0</v>
      </c>
      <c r="L11" s="10">
        <v>1</v>
      </c>
      <c r="M11" s="1">
        <v>10</v>
      </c>
      <c r="N11" s="10">
        <f>CHOOSE(MATCH(Tableau143[[#This Row],[Angle_p]],{-50,-14.9,-4.9,50},1),3,1,0)</f>
        <v>0</v>
      </c>
      <c r="O11" s="1">
        <v>1.57</v>
      </c>
      <c r="P11" s="1">
        <v>1.22</v>
      </c>
      <c r="Q11" s="5">
        <f t="shared" si="1"/>
        <v>0.77707006369426745</v>
      </c>
      <c r="R11" s="10">
        <f>CHOOSE(MATCH(Tableau143[[#This Row],[Ratio_Torg]],{0,0.59,0.79,1.5},1),3,1,0)</f>
        <v>1</v>
      </c>
      <c r="S11" s="19">
        <v>2</v>
      </c>
      <c r="T11" s="28">
        <v>1</v>
      </c>
      <c r="U11" s="7">
        <v>43734</v>
      </c>
      <c r="V11" s="3">
        <f t="shared" si="2"/>
        <v>17.52</v>
      </c>
      <c r="W11" s="12">
        <v>17</v>
      </c>
      <c r="X11" s="1">
        <v>4</v>
      </c>
      <c r="Y11" s="1">
        <v>4</v>
      </c>
      <c r="Z11" s="1">
        <v>2</v>
      </c>
      <c r="AA11" s="1">
        <v>2</v>
      </c>
      <c r="AB11" s="1">
        <v>2</v>
      </c>
      <c r="AC11" s="1">
        <v>3</v>
      </c>
      <c r="AF11" s="1"/>
    </row>
    <row r="12" spans="1:32" ht="15" customHeight="1" x14ac:dyDescent="0.25">
      <c r="A12" s="3">
        <v>75</v>
      </c>
      <c r="B12" s="3" t="s">
        <v>28</v>
      </c>
      <c r="C12" s="2">
        <v>43581</v>
      </c>
      <c r="D12" s="1" t="s">
        <v>12</v>
      </c>
      <c r="E12" s="4">
        <f>Tableau143[[#This Row],[Pts_Fujiwara]]+Tableau143[[#This Row],[ HT2]]+Tableau143[[#This Row],[LCR]]+Tableau143[[#This Row],[Points_angle_p]]+Tableau143[[#This Row],[Point_Torg]]</f>
        <v>6</v>
      </c>
      <c r="F12" s="4">
        <f>SUM(Tableau143[[#This Row],[Pts_Fujiwara]],Tableau143[[#This Row],[ HT2]],Tableau143[[#This Row],[LCR]],Tableau143[[#This Row],[Points_angle_p]],Tableau143[[#This Row],[Point_Torg]],Tableau143[[#This Row],[Pts_sténoses]])</f>
        <v>7</v>
      </c>
      <c r="G12" s="1">
        <v>1.56</v>
      </c>
      <c r="H12" s="1">
        <v>0.61</v>
      </c>
      <c r="I12" s="5">
        <f t="shared" si="0"/>
        <v>0.39102564102564102</v>
      </c>
      <c r="J12" s="9">
        <v>3</v>
      </c>
      <c r="K12" s="10">
        <v>0</v>
      </c>
      <c r="L12" s="10">
        <v>1</v>
      </c>
      <c r="M12" s="1">
        <v>-5</v>
      </c>
      <c r="N12" s="10">
        <v>1</v>
      </c>
      <c r="O12" s="1">
        <v>1.62</v>
      </c>
      <c r="P12" s="1">
        <v>1.28</v>
      </c>
      <c r="Q12" s="5">
        <f t="shared" si="1"/>
        <v>0.79012345679012341</v>
      </c>
      <c r="R12" s="10">
        <v>1</v>
      </c>
      <c r="S12" s="18">
        <v>2</v>
      </c>
      <c r="T12" s="28">
        <v>1</v>
      </c>
      <c r="U12" s="7">
        <v>43766</v>
      </c>
      <c r="V12" s="3">
        <f t="shared" si="2"/>
        <v>11.290000000000001</v>
      </c>
      <c r="W12" s="12">
        <v>10</v>
      </c>
      <c r="AF12" s="1"/>
    </row>
    <row r="13" spans="1:32" ht="12.95" customHeight="1" x14ac:dyDescent="0.25">
      <c r="A13" s="3">
        <v>55</v>
      </c>
      <c r="B13" s="3" t="s">
        <v>20</v>
      </c>
      <c r="C13" s="2">
        <v>42504</v>
      </c>
      <c r="D13" s="1" t="s">
        <v>17</v>
      </c>
      <c r="E13" s="4">
        <f>Tableau143[[#This Row],[Pts_Fujiwara]]+Tableau143[[#This Row],[ HT2]]+Tableau143[[#This Row],[LCR]]+Tableau143[[#This Row],[Points_angle_p]]+Tableau143[[#This Row],[Point_Torg]]</f>
        <v>3</v>
      </c>
      <c r="F13" s="4">
        <f>SUM(Tableau143[[#This Row],[Pts_Fujiwara]],Tableau143[[#This Row],[ HT2]],Tableau143[[#This Row],[LCR]],Tableau143[[#This Row],[Points_angle_p]],Tableau143[[#This Row],[Point_Torg]],Tableau143[[#This Row],[Pts_sténoses]])</f>
        <v>3</v>
      </c>
      <c r="G13" s="1">
        <v>1.41</v>
      </c>
      <c r="H13" s="1">
        <v>0.62</v>
      </c>
      <c r="I13" s="5">
        <f t="shared" si="0"/>
        <v>0.43971631205673761</v>
      </c>
      <c r="J13" s="9">
        <f>CHOOSE(MATCH(Tableau143[[#This Row],[Fujiwara_P]],{0,0.39,0.49,1},1),3,1,0)</f>
        <v>1</v>
      </c>
      <c r="K13" s="10">
        <v>0</v>
      </c>
      <c r="L13" s="10">
        <v>1</v>
      </c>
      <c r="M13" s="1">
        <v>1</v>
      </c>
      <c r="N13" s="10">
        <f>CHOOSE(MATCH(Tableau143[[#This Row],[Angle_p]],{-50,-14.9,-4.9,50},1),3,1,0)</f>
        <v>0</v>
      </c>
      <c r="O13" s="1">
        <v>1.64</v>
      </c>
      <c r="P13" s="1">
        <v>1.3</v>
      </c>
      <c r="Q13" s="5">
        <f t="shared" si="1"/>
        <v>0.79268292682926833</v>
      </c>
      <c r="R13" s="10">
        <v>1</v>
      </c>
      <c r="S13" s="18">
        <v>1</v>
      </c>
      <c r="T13" s="24">
        <v>0</v>
      </c>
      <c r="U13" s="7">
        <v>42473</v>
      </c>
      <c r="V13" s="3">
        <f t="shared" si="2"/>
        <v>17.52</v>
      </c>
      <c r="W13" s="12">
        <v>17</v>
      </c>
      <c r="X13" s="1">
        <v>4</v>
      </c>
      <c r="Y13" s="1">
        <v>4</v>
      </c>
      <c r="Z13" s="1">
        <v>2</v>
      </c>
      <c r="AA13" s="1">
        <v>2</v>
      </c>
      <c r="AB13" s="1">
        <v>2</v>
      </c>
      <c r="AC13" s="1">
        <v>3</v>
      </c>
      <c r="AF13" s="1"/>
    </row>
    <row r="14" spans="1:32" ht="14.1" customHeight="1" x14ac:dyDescent="0.25">
      <c r="A14" s="3">
        <v>75</v>
      </c>
      <c r="B14" s="3" t="s">
        <v>23</v>
      </c>
      <c r="C14" s="2">
        <v>43200</v>
      </c>
      <c r="D14" s="1" t="s">
        <v>17</v>
      </c>
      <c r="E14" s="4">
        <f>Tableau143[[#This Row],[Pts_Fujiwara]]+Tableau143[[#This Row],[ HT2]]+Tableau143[[#This Row],[LCR]]+Tableau143[[#This Row],[Points_angle_p]]+Tableau143[[#This Row],[Point_Torg]]</f>
        <v>4</v>
      </c>
      <c r="F14" s="4">
        <f>SUM(Tableau143[[#This Row],[Pts_Fujiwara]],Tableau143[[#This Row],[ HT2]],Tableau143[[#This Row],[LCR]],Tableau143[[#This Row],[Points_angle_p]],Tableau143[[#This Row],[Point_Torg]],Tableau143[[#This Row],[Pts_sténoses]])</f>
        <v>4</v>
      </c>
      <c r="G14" s="1">
        <v>1.33</v>
      </c>
      <c r="H14" s="1">
        <v>0.6</v>
      </c>
      <c r="I14" s="5">
        <f t="shared" si="0"/>
        <v>0.45112781954887216</v>
      </c>
      <c r="J14" s="9">
        <f>CHOOSE(MATCH(Tableau143[[#This Row],[Fujiwara_P]],{0,0.39,0.49,1},1),3,1,0)</f>
        <v>1</v>
      </c>
      <c r="K14" s="10">
        <v>0</v>
      </c>
      <c r="L14" s="10">
        <v>1</v>
      </c>
      <c r="M14" s="1">
        <v>-13</v>
      </c>
      <c r="N14" s="10">
        <v>1</v>
      </c>
      <c r="O14" s="1">
        <v>1.56</v>
      </c>
      <c r="P14" s="1">
        <v>1.24</v>
      </c>
      <c r="Q14" s="5">
        <f t="shared" si="1"/>
        <v>0.79487179487179482</v>
      </c>
      <c r="R14" s="10">
        <v>1</v>
      </c>
      <c r="S14" s="18">
        <v>1</v>
      </c>
      <c r="T14" s="24">
        <v>0</v>
      </c>
      <c r="U14" s="7">
        <v>43290</v>
      </c>
      <c r="V14" s="3">
        <f t="shared" si="2"/>
        <v>15.74</v>
      </c>
      <c r="W14" s="12">
        <v>15</v>
      </c>
      <c r="X14" s="1">
        <v>4</v>
      </c>
      <c r="Y14" s="1">
        <v>4</v>
      </c>
      <c r="Z14" s="1">
        <v>1</v>
      </c>
      <c r="AA14" s="1">
        <v>2</v>
      </c>
      <c r="AB14" s="1">
        <v>2</v>
      </c>
      <c r="AC14" s="1">
        <v>3</v>
      </c>
      <c r="AF14" s="1"/>
    </row>
    <row r="15" spans="1:32" x14ac:dyDescent="0.25">
      <c r="A15" s="3">
        <v>76</v>
      </c>
      <c r="B15" s="3" t="s">
        <v>36</v>
      </c>
      <c r="C15" s="2">
        <v>44036</v>
      </c>
      <c r="D15" s="1" t="s">
        <v>17</v>
      </c>
      <c r="E15" s="4">
        <f>Tableau143[[#This Row],[Pts_Fujiwara]]+Tableau143[[#This Row],[ HT2]]+Tableau143[[#This Row],[LCR]]+Tableau143[[#This Row],[Points_angle_p]]+Tableau143[[#This Row],[Point_Torg]]</f>
        <v>4</v>
      </c>
      <c r="F15" s="4">
        <f>SUM(Tableau143[[#This Row],[Pts_Fujiwara]],Tableau143[[#This Row],[ HT2]],Tableau143[[#This Row],[LCR]],Tableau143[[#This Row],[Points_angle_p]],Tableau143[[#This Row],[Point_Torg]],Tableau143[[#This Row],[Pts_sténoses]])</f>
        <v>8</v>
      </c>
      <c r="G15" s="1">
        <v>1.6</v>
      </c>
      <c r="H15" s="1">
        <v>0.48</v>
      </c>
      <c r="I15" s="5">
        <f t="shared" si="0"/>
        <v>0.3</v>
      </c>
      <c r="J15" s="9">
        <v>3</v>
      </c>
      <c r="K15" s="10">
        <v>0</v>
      </c>
      <c r="L15" s="10">
        <v>1</v>
      </c>
      <c r="M15" s="1">
        <v>-1</v>
      </c>
      <c r="N15" s="10">
        <f>CHOOSE(MATCH(Tableau143[[#This Row],[Angle_p]],{-50,-14.9,-4.9,50},1),3,1,0)</f>
        <v>0</v>
      </c>
      <c r="O15" s="1">
        <v>1.27</v>
      </c>
      <c r="P15" s="1">
        <v>1.02</v>
      </c>
      <c r="Q15" s="5">
        <f t="shared" si="1"/>
        <v>0.80314960629921262</v>
      </c>
      <c r="R15" s="10">
        <f>CHOOSE(MATCH(Tableau143[[#This Row],[Ratio_Torg]],{0,0.59,0.79,1.5},1),3,1,0)</f>
        <v>0</v>
      </c>
      <c r="S15" s="19">
        <v>3</v>
      </c>
      <c r="T15" s="24">
        <v>4</v>
      </c>
      <c r="U15" s="7">
        <v>43748</v>
      </c>
      <c r="V15" s="3">
        <f t="shared" si="2"/>
        <v>17.52</v>
      </c>
      <c r="W15" s="12">
        <v>17</v>
      </c>
      <c r="X15" s="1">
        <v>4</v>
      </c>
      <c r="Y15" s="1">
        <v>4</v>
      </c>
      <c r="Z15" s="1">
        <v>2</v>
      </c>
      <c r="AA15" s="1">
        <v>2</v>
      </c>
      <c r="AB15" s="1">
        <v>2</v>
      </c>
      <c r="AC15" s="1">
        <v>3</v>
      </c>
      <c r="AF15" s="1"/>
    </row>
    <row r="16" spans="1:32" x14ac:dyDescent="0.25">
      <c r="A16" s="3">
        <v>70</v>
      </c>
      <c r="B16" s="3" t="s">
        <v>75</v>
      </c>
      <c r="C16" s="2">
        <v>44218</v>
      </c>
      <c r="D16" s="1" t="s">
        <v>9</v>
      </c>
      <c r="E16" s="4">
        <f>Tableau143[[#This Row],[Pts_Fujiwara]]+Tableau143[[#This Row],[ HT2]]+Tableau143[[#This Row],[LCR]]+Tableau143[[#This Row],[Points_angle_p]]+Tableau143[[#This Row],[Point_Torg]]</f>
        <v>5</v>
      </c>
      <c r="F16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16" s="1">
        <v>1.5</v>
      </c>
      <c r="H16" s="1">
        <v>0.5</v>
      </c>
      <c r="I16" s="5">
        <f t="shared" si="0"/>
        <v>0.33333333333333331</v>
      </c>
      <c r="J16" s="9">
        <v>3</v>
      </c>
      <c r="K16" s="10">
        <v>0</v>
      </c>
      <c r="L16" s="10">
        <v>1</v>
      </c>
      <c r="M16" s="1">
        <v>-10</v>
      </c>
      <c r="N16" s="10">
        <v>1</v>
      </c>
      <c r="O16" s="1">
        <v>1.5</v>
      </c>
      <c r="P16" s="1">
        <v>1.21</v>
      </c>
      <c r="Q16" s="5">
        <f t="shared" si="1"/>
        <v>0.80666666666666664</v>
      </c>
      <c r="R16" s="10">
        <f>CHOOSE(MATCH(Tableau143[[#This Row],[Ratio_Torg]],{0,0.59,0.79,1.5},1),3,1,0)</f>
        <v>0</v>
      </c>
      <c r="S16" s="18">
        <v>3</v>
      </c>
      <c r="T16" s="24">
        <v>4</v>
      </c>
      <c r="U16" s="7">
        <v>44133</v>
      </c>
      <c r="V16" s="3">
        <f t="shared" si="2"/>
        <v>13.07</v>
      </c>
      <c r="W16" s="12">
        <v>12</v>
      </c>
      <c r="X16" s="1">
        <v>3</v>
      </c>
      <c r="Y16" s="1">
        <v>2</v>
      </c>
      <c r="Z16" s="1">
        <v>2</v>
      </c>
      <c r="AA16" s="1">
        <v>2</v>
      </c>
      <c r="AB16" s="1">
        <v>2</v>
      </c>
      <c r="AC16" s="1">
        <v>1</v>
      </c>
      <c r="AF16" s="1"/>
    </row>
    <row r="17" spans="1:32" x14ac:dyDescent="0.25">
      <c r="A17" s="3">
        <v>74</v>
      </c>
      <c r="B17" s="3" t="s">
        <v>82</v>
      </c>
      <c r="C17" s="2">
        <v>44040</v>
      </c>
      <c r="D17" s="1" t="s">
        <v>17</v>
      </c>
      <c r="E17" s="4">
        <f>Tableau143[[#This Row],[Pts_Fujiwara]]+Tableau143[[#This Row],[ HT2]]+Tableau143[[#This Row],[LCR]]+Tableau143[[#This Row],[Points_angle_p]]+Tableau143[[#This Row],[Point_Torg]]</f>
        <v>3</v>
      </c>
      <c r="F17" s="4">
        <f>SUM(Tableau143[[#This Row],[Pts_Fujiwara]],Tableau143[[#This Row],[ HT2]],Tableau143[[#This Row],[LCR]],Tableau143[[#This Row],[Points_angle_p]],Tableau143[[#This Row],[Point_Torg]],Tableau143[[#This Row],[Pts_sténoses]])</f>
        <v>3</v>
      </c>
      <c r="G17" s="1">
        <v>1.33</v>
      </c>
      <c r="H17" s="1">
        <v>0.6</v>
      </c>
      <c r="I17" s="5">
        <f t="shared" si="0"/>
        <v>0.45112781954887216</v>
      </c>
      <c r="J17" s="9">
        <f>CHOOSE(MATCH(Tableau143[[#This Row],[Fujiwara_P]],{0,0.39,0.49,1},1),3,1,0)</f>
        <v>1</v>
      </c>
      <c r="K17" s="10">
        <v>0</v>
      </c>
      <c r="L17" s="10">
        <v>2</v>
      </c>
      <c r="M17" s="1">
        <v>2.7</v>
      </c>
      <c r="N17" s="10">
        <f>CHOOSE(MATCH(Tableau143[[#This Row],[Angle_p]],{-50,-14.9,-4.9,50},1),3,1,0)</f>
        <v>0</v>
      </c>
      <c r="O17" s="1">
        <v>1.8</v>
      </c>
      <c r="P17" s="1">
        <v>1.5</v>
      </c>
      <c r="Q17" s="5">
        <f t="shared" si="1"/>
        <v>0.83333333333333326</v>
      </c>
      <c r="R17" s="10">
        <f>CHOOSE(MATCH(Tableau143[[#This Row],[Ratio_Torg]],{0,0.59,0.79,1.5},1),3,1,0)</f>
        <v>0</v>
      </c>
      <c r="S17" s="18">
        <v>1</v>
      </c>
      <c r="T17" s="24">
        <v>0</v>
      </c>
      <c r="U17" s="7">
        <v>44277</v>
      </c>
      <c r="V17" s="3">
        <f t="shared" si="2"/>
        <v>15.74</v>
      </c>
      <c r="W17" s="12">
        <v>15</v>
      </c>
      <c r="X17" s="1">
        <v>3</v>
      </c>
      <c r="Y17" s="1">
        <v>4</v>
      </c>
      <c r="Z17" s="1">
        <v>2</v>
      </c>
      <c r="AA17" s="1">
        <v>2</v>
      </c>
      <c r="AB17" s="1">
        <v>2</v>
      </c>
      <c r="AC17" s="1">
        <v>2</v>
      </c>
      <c r="AF17" s="1"/>
    </row>
    <row r="18" spans="1:32" x14ac:dyDescent="0.25">
      <c r="A18" s="3">
        <v>71</v>
      </c>
      <c r="B18" s="3" t="s">
        <v>27</v>
      </c>
      <c r="C18" s="2">
        <v>43497</v>
      </c>
      <c r="D18" s="1" t="s">
        <v>14</v>
      </c>
      <c r="E18" s="4">
        <f>Tableau143[[#This Row],[Pts_Fujiwara]]+Tableau143[[#This Row],[ HT2]]+Tableau143[[#This Row],[LCR]]+Tableau143[[#This Row],[Points_angle_p]]+Tableau143[[#This Row],[Point_Torg]]</f>
        <v>2</v>
      </c>
      <c r="F18" s="4">
        <f>SUM(Tableau143[[#This Row],[Pts_Fujiwara]],Tableau143[[#This Row],[ HT2]],Tableau143[[#This Row],[LCR]],Tableau143[[#This Row],[Points_angle_p]],Tableau143[[#This Row],[Point_Torg]],Tableau143[[#This Row],[Pts_sténoses]])</f>
        <v>2</v>
      </c>
      <c r="G18" s="1">
        <v>1.28</v>
      </c>
      <c r="H18" s="1">
        <v>0.63</v>
      </c>
      <c r="I18" s="5">
        <f t="shared" si="0"/>
        <v>0.4921875</v>
      </c>
      <c r="J18" s="9">
        <v>1</v>
      </c>
      <c r="K18" s="10">
        <v>0</v>
      </c>
      <c r="L18" s="10">
        <v>1</v>
      </c>
      <c r="M18" s="1">
        <v>10</v>
      </c>
      <c r="N18" s="10">
        <f>CHOOSE(MATCH(Tableau143[[#This Row],[Angle_p]],{-50,-14.9,-4.9,50},1),3,1,0)</f>
        <v>0</v>
      </c>
      <c r="O18" s="1">
        <v>1.52</v>
      </c>
      <c r="P18" s="1">
        <v>1.28</v>
      </c>
      <c r="Q18" s="5">
        <f t="shared" si="1"/>
        <v>0.84210526315789469</v>
      </c>
      <c r="R18" s="10">
        <f>CHOOSE(MATCH(Tableau143[[#This Row],[Ratio_Torg]],{0,0.59,0.79,1.5},1),3,1,0)</f>
        <v>0</v>
      </c>
      <c r="S18" s="19">
        <v>1</v>
      </c>
      <c r="T18" s="24">
        <v>0</v>
      </c>
      <c r="U18" s="7">
        <v>43549</v>
      </c>
      <c r="V18" s="3">
        <f t="shared" si="2"/>
        <v>16.63</v>
      </c>
      <c r="W18" s="12">
        <v>16</v>
      </c>
      <c r="AF18" s="1"/>
    </row>
    <row r="19" spans="1:32" x14ac:dyDescent="0.25">
      <c r="A19" s="3">
        <v>51</v>
      </c>
      <c r="B19" s="3" t="s">
        <v>44</v>
      </c>
      <c r="C19" s="2">
        <v>43574</v>
      </c>
      <c r="D19" s="1" t="s">
        <v>9</v>
      </c>
      <c r="E19" s="4">
        <f>Tableau143[[#This Row],[Pts_Fujiwara]]+Tableau143[[#This Row],[ HT2]]+Tableau143[[#This Row],[LCR]]+Tableau143[[#This Row],[Points_angle_p]]+Tableau143[[#This Row],[Point_Torg]]</f>
        <v>1</v>
      </c>
      <c r="F19" s="4">
        <f>SUM(Tableau143[[#This Row],[Pts_Fujiwara]],Tableau143[[#This Row],[ HT2]],Tableau143[[#This Row],[LCR]],Tableau143[[#This Row],[Points_angle_p]],Tableau143[[#This Row],[Point_Torg]],Tableau143[[#This Row],[Pts_sténoses]])</f>
        <v>1</v>
      </c>
      <c r="G19" s="1">
        <v>1.27</v>
      </c>
      <c r="H19" s="1">
        <v>0.64</v>
      </c>
      <c r="I19" s="5">
        <f t="shared" si="0"/>
        <v>0.50393700787401574</v>
      </c>
      <c r="J19" s="9">
        <f>CHOOSE(MATCH(Tableau143[[#This Row],[Fujiwara_P]],{0,0.39,0.49,1},1),3,1,0)</f>
        <v>0</v>
      </c>
      <c r="K19" s="10">
        <v>0</v>
      </c>
      <c r="L19" s="10">
        <v>1</v>
      </c>
      <c r="M19" s="1">
        <v>0.5</v>
      </c>
      <c r="N19" s="10">
        <f>CHOOSE(MATCH(Tableau143[[#This Row],[Angle_p]],{-50,-14.9,-4.9,50},1),3,1,0)</f>
        <v>0</v>
      </c>
      <c r="O19" s="1">
        <v>1.37</v>
      </c>
      <c r="P19" s="1">
        <v>1.17</v>
      </c>
      <c r="Q19" s="5">
        <f t="shared" si="1"/>
        <v>0.85401459854014583</v>
      </c>
      <c r="R19" s="10">
        <f>CHOOSE(MATCH(Tableau143[[#This Row],[Ratio_Torg]],{0,0.59,0.79,1.5},1),3,1,0)</f>
        <v>0</v>
      </c>
      <c r="S19" s="18">
        <v>1</v>
      </c>
      <c r="T19" s="24">
        <v>0</v>
      </c>
      <c r="U19" s="7">
        <v>43719</v>
      </c>
      <c r="V19" s="3">
        <f t="shared" si="2"/>
        <v>17.52</v>
      </c>
      <c r="W19" s="12">
        <v>17</v>
      </c>
      <c r="X19" s="1">
        <v>4</v>
      </c>
      <c r="Y19" s="1">
        <v>4</v>
      </c>
      <c r="Z19" s="1">
        <v>2</v>
      </c>
      <c r="AA19" s="1">
        <v>2</v>
      </c>
      <c r="AB19" s="1">
        <v>2</v>
      </c>
      <c r="AC19" s="1">
        <v>3</v>
      </c>
      <c r="AF19" s="1"/>
    </row>
    <row r="20" spans="1:32" x14ac:dyDescent="0.25">
      <c r="A20" s="3">
        <v>63</v>
      </c>
      <c r="B20" s="3" t="s">
        <v>24</v>
      </c>
      <c r="C20" s="2">
        <v>42528</v>
      </c>
      <c r="D20" s="1" t="s">
        <v>17</v>
      </c>
      <c r="E20" s="4">
        <f>Tableau143[[#This Row],[Pts_Fujiwara]]+Tableau143[[#This Row],[ HT2]]+Tableau143[[#This Row],[LCR]]+Tableau143[[#This Row],[Points_angle_p]]+Tableau143[[#This Row],[Point_Torg]]</f>
        <v>8</v>
      </c>
      <c r="F20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20" s="1">
        <v>1.5</v>
      </c>
      <c r="H20" s="1">
        <v>0.38</v>
      </c>
      <c r="I20" s="5">
        <f t="shared" si="0"/>
        <v>0.25333333333333335</v>
      </c>
      <c r="J20" s="9">
        <v>4</v>
      </c>
      <c r="K20" s="10">
        <v>2</v>
      </c>
      <c r="L20" s="10">
        <v>2</v>
      </c>
      <c r="M20" s="1">
        <v>7</v>
      </c>
      <c r="N20" s="10">
        <f>CHOOSE(MATCH(Tableau143[[#This Row],[Angle_p]],{-50,-14.9,-4.9,50},1),3,1,0)</f>
        <v>0</v>
      </c>
      <c r="O20" s="1">
        <v>1.6</v>
      </c>
      <c r="P20" s="1">
        <v>1.4</v>
      </c>
      <c r="Q20" s="5">
        <f t="shared" si="1"/>
        <v>0.87499999999999989</v>
      </c>
      <c r="R20" s="10">
        <f>CHOOSE(MATCH(Tableau143[[#This Row],[Ratio_Torg]],{0,0.59,0.79,1.5},1),3,1,0)</f>
        <v>0</v>
      </c>
      <c r="S20" s="18">
        <v>2</v>
      </c>
      <c r="T20" s="28">
        <v>1</v>
      </c>
      <c r="U20" s="7">
        <v>42804</v>
      </c>
      <c r="V20" s="3">
        <f t="shared" si="2"/>
        <v>15.74</v>
      </c>
      <c r="W20" s="12">
        <v>15</v>
      </c>
      <c r="AF20" s="1"/>
    </row>
    <row r="21" spans="1:32" x14ac:dyDescent="0.25">
      <c r="A21" s="3">
        <v>58</v>
      </c>
      <c r="B21" s="3" t="s">
        <v>37</v>
      </c>
      <c r="C21" s="2">
        <v>44050</v>
      </c>
      <c r="D21" s="1" t="s">
        <v>17</v>
      </c>
      <c r="E21" s="4">
        <f>Tableau143[[#This Row],[Pts_Fujiwara]]+Tableau143[[#This Row],[ HT2]]+Tableau143[[#This Row],[LCR]]+Tableau143[[#This Row],[Points_angle_p]]+Tableau143[[#This Row],[Point_Torg]]</f>
        <v>4</v>
      </c>
      <c r="F21" s="4">
        <f>SUM(Tableau143[[#This Row],[Pts_Fujiwara]],Tableau143[[#This Row],[ HT2]],Tableau143[[#This Row],[LCR]],Tableau143[[#This Row],[Points_angle_p]],Tableau143[[#This Row],[Point_Torg]],Tableau143[[#This Row],[Pts_sténoses]])</f>
        <v>4</v>
      </c>
      <c r="G21" s="1">
        <v>1.47</v>
      </c>
      <c r="H21" s="1">
        <v>0.53</v>
      </c>
      <c r="I21" s="5">
        <f t="shared" si="0"/>
        <v>0.36054421768707484</v>
      </c>
      <c r="J21" s="9">
        <v>3</v>
      </c>
      <c r="K21" s="10">
        <v>0</v>
      </c>
      <c r="L21" s="10">
        <v>1</v>
      </c>
      <c r="M21" s="1">
        <v>1</v>
      </c>
      <c r="N21" s="10">
        <f>CHOOSE(MATCH(Tableau143[[#This Row],[Angle_p]],{-50,-14.9,-4.9,50},1),3,1,0)</f>
        <v>0</v>
      </c>
      <c r="O21" s="1">
        <v>1.4</v>
      </c>
      <c r="P21" s="1">
        <v>1.23</v>
      </c>
      <c r="Q21" s="5">
        <f t="shared" si="1"/>
        <v>0.87857142857142867</v>
      </c>
      <c r="R21" s="10">
        <f>CHOOSE(MATCH(Tableau143[[#This Row],[Ratio_Torg]],{0,0.59,0.79,1.5},1),3,1,0)</f>
        <v>0</v>
      </c>
      <c r="S21" s="19">
        <v>1</v>
      </c>
      <c r="T21" s="24">
        <v>0</v>
      </c>
      <c r="U21" s="7">
        <v>43795</v>
      </c>
      <c r="V21" s="3">
        <f t="shared" si="2"/>
        <v>17.52</v>
      </c>
      <c r="W21" s="12">
        <v>17</v>
      </c>
      <c r="X21" s="1">
        <v>4</v>
      </c>
      <c r="Y21" s="1">
        <v>4</v>
      </c>
      <c r="Z21" s="1">
        <v>2</v>
      </c>
      <c r="AA21" s="1">
        <v>2</v>
      </c>
      <c r="AB21" s="1">
        <v>2</v>
      </c>
      <c r="AC21" s="1">
        <v>3</v>
      </c>
      <c r="AF21" s="1"/>
    </row>
    <row r="22" spans="1:32" x14ac:dyDescent="0.25">
      <c r="A22" s="3">
        <v>78</v>
      </c>
      <c r="B22" s="3" t="s">
        <v>33</v>
      </c>
      <c r="C22" s="2">
        <v>43714</v>
      </c>
      <c r="D22" s="1" t="s">
        <v>14</v>
      </c>
      <c r="E22" s="4">
        <f>Tableau143[[#This Row],[Pts_Fujiwara]]+Tableau143[[#This Row],[ HT2]]+Tableau143[[#This Row],[LCR]]+Tableau143[[#This Row],[Points_angle_p]]+Tableau143[[#This Row],[Point_Torg]]</f>
        <v>0</v>
      </c>
      <c r="F22" s="4">
        <f>SUM(Tableau143[[#This Row],[Pts_Fujiwara]],Tableau143[[#This Row],[ HT2]],Tableau143[[#This Row],[LCR]],Tableau143[[#This Row],[Points_angle_p]],Tableau143[[#This Row],[Point_Torg]],Tableau143[[#This Row],[Pts_sténoses]])</f>
        <v>0</v>
      </c>
      <c r="G22" s="1">
        <v>1.33</v>
      </c>
      <c r="H22" s="1">
        <v>0.67</v>
      </c>
      <c r="I22" s="5">
        <f t="shared" si="0"/>
        <v>0.50375939849624063</v>
      </c>
      <c r="J22" s="9">
        <f>CHOOSE(MATCH(Tableau143[[#This Row],[Fujiwara_P]],{0,0.39,0.49,1},1),3,1,0)</f>
        <v>0</v>
      </c>
      <c r="K22" s="10">
        <v>0</v>
      </c>
      <c r="L22" s="10">
        <v>0</v>
      </c>
      <c r="M22" s="1">
        <v>0</v>
      </c>
      <c r="N22" s="10">
        <f>CHOOSE(MATCH(Tableau143[[#This Row],[Angle_p]],{-50,-14.9,-4.9,50},1),3,1,0)</f>
        <v>0</v>
      </c>
      <c r="O22" s="1">
        <v>1.53</v>
      </c>
      <c r="P22" s="1">
        <v>1.4</v>
      </c>
      <c r="Q22" s="5">
        <f t="shared" si="1"/>
        <v>0.91503267973856206</v>
      </c>
      <c r="R22" s="10">
        <f>CHOOSE(MATCH(Tableau143[[#This Row],[Ratio_Torg]],{0,0.59,0.79,1.5},1),3,1,0)</f>
        <v>0</v>
      </c>
      <c r="S22" s="18">
        <v>1</v>
      </c>
      <c r="T22" s="24">
        <v>0</v>
      </c>
      <c r="U22" s="7">
        <v>43300</v>
      </c>
      <c r="V22" s="3">
        <f t="shared" si="2"/>
        <v>17.52</v>
      </c>
      <c r="W22" s="12">
        <v>17</v>
      </c>
      <c r="X22" s="1">
        <v>4</v>
      </c>
      <c r="Y22" s="1">
        <v>4</v>
      </c>
      <c r="Z22" s="1">
        <v>2</v>
      </c>
      <c r="AA22" s="1">
        <v>2</v>
      </c>
      <c r="AB22" s="1">
        <v>2</v>
      </c>
      <c r="AC22" s="1">
        <v>3</v>
      </c>
      <c r="AF22" s="1"/>
    </row>
    <row r="23" spans="1:32" x14ac:dyDescent="0.25">
      <c r="A23" s="3">
        <v>66</v>
      </c>
      <c r="B23" s="3" t="s">
        <v>38</v>
      </c>
      <c r="C23" s="2">
        <v>43771</v>
      </c>
      <c r="D23" s="1" t="s">
        <v>17</v>
      </c>
      <c r="E23" s="4">
        <f>Tableau143[[#This Row],[Pts_Fujiwara]]+Tableau143[[#This Row],[ HT2]]+Tableau143[[#This Row],[LCR]]+Tableau143[[#This Row],[Points_angle_p]]+Tableau143[[#This Row],[Point_Torg]]</f>
        <v>3</v>
      </c>
      <c r="F23" s="4">
        <f>SUM(Tableau143[[#This Row],[Pts_Fujiwara]],Tableau143[[#This Row],[ HT2]],Tableau143[[#This Row],[LCR]],Tableau143[[#This Row],[Points_angle_p]],Tableau143[[#This Row],[Point_Torg]],Tableau143[[#This Row],[Pts_sténoses]])</f>
        <v>3</v>
      </c>
      <c r="G23" s="1">
        <v>1.36</v>
      </c>
      <c r="H23" s="1">
        <v>0.6</v>
      </c>
      <c r="I23" s="5">
        <f t="shared" si="0"/>
        <v>0.44117647058823523</v>
      </c>
      <c r="J23" s="9">
        <f>CHOOSE(MATCH(Tableau143[[#This Row],[Fujiwara_P]],{0,0.39,0.49,1},1),3,1,0)</f>
        <v>1</v>
      </c>
      <c r="K23" s="10">
        <v>0</v>
      </c>
      <c r="L23" s="10">
        <v>1</v>
      </c>
      <c r="M23" s="1">
        <v>-11</v>
      </c>
      <c r="N23" s="10">
        <v>1</v>
      </c>
      <c r="O23" s="1">
        <v>1.36</v>
      </c>
      <c r="P23" s="1">
        <v>1.26</v>
      </c>
      <c r="Q23" s="5">
        <f t="shared" si="1"/>
        <v>0.92647058823529405</v>
      </c>
      <c r="R23" s="10">
        <f>CHOOSE(MATCH(Tableau143[[#This Row],[Ratio_Torg]],{0,0.59,0.79,1.5},1),3,1,0)</f>
        <v>0</v>
      </c>
      <c r="S23" s="18">
        <v>1</v>
      </c>
      <c r="T23" s="24">
        <v>0</v>
      </c>
      <c r="U23" s="7">
        <v>44092</v>
      </c>
      <c r="V23" s="3">
        <f t="shared" si="2"/>
        <v>17.52</v>
      </c>
      <c r="W23" s="12">
        <v>17</v>
      </c>
      <c r="X23" s="1">
        <v>4</v>
      </c>
      <c r="Y23" s="1">
        <v>4</v>
      </c>
      <c r="Z23" s="1">
        <v>2</v>
      </c>
      <c r="AA23" s="1">
        <v>2</v>
      </c>
      <c r="AB23" s="1">
        <v>2</v>
      </c>
      <c r="AC23" s="1">
        <v>3</v>
      </c>
      <c r="AF23" s="1"/>
    </row>
    <row r="24" spans="1:32" x14ac:dyDescent="0.25">
      <c r="A24" s="3">
        <v>64</v>
      </c>
      <c r="B24" s="3" t="s">
        <v>67</v>
      </c>
      <c r="C24" s="2">
        <v>43013</v>
      </c>
      <c r="D24" s="1" t="s">
        <v>14</v>
      </c>
      <c r="E24" s="4">
        <f>Tableau143[[#This Row],[Pts_Fujiwara]]+Tableau143[[#This Row],[ HT2]]+Tableau143[[#This Row],[LCR]]+Tableau143[[#This Row],[Points_angle_p]]+Tableau143[[#This Row],[Point_Torg]]</f>
        <v>5</v>
      </c>
      <c r="F24" s="4">
        <f>SUM(Tableau143[[#This Row],[Pts_Fujiwara]],Tableau143[[#This Row],[ HT2]],Tableau143[[#This Row],[LCR]],Tableau143[[#This Row],[Points_angle_p]],Tableau143[[#This Row],[Point_Torg]],Tableau143[[#This Row],[Pts_sténoses]])</f>
        <v>5</v>
      </c>
      <c r="G24" s="1">
        <v>1.37</v>
      </c>
      <c r="H24" s="1">
        <v>0.57999999999999996</v>
      </c>
      <c r="I24" s="5">
        <f t="shared" si="0"/>
        <v>0.42335766423357657</v>
      </c>
      <c r="J24" s="9">
        <f>CHOOSE(MATCH(Tableau143[[#This Row],[Fujiwara_P]],{0,0.39,0.49,1},1),3,1,0)</f>
        <v>1</v>
      </c>
      <c r="K24" s="10">
        <v>2</v>
      </c>
      <c r="L24" s="10">
        <v>1</v>
      </c>
      <c r="M24" s="1">
        <v>-12</v>
      </c>
      <c r="N24" s="10">
        <v>1</v>
      </c>
      <c r="O24" s="1">
        <v>1.53</v>
      </c>
      <c r="P24" s="1">
        <v>1.43</v>
      </c>
      <c r="Q24" s="5">
        <f t="shared" si="1"/>
        <v>0.93464052287581689</v>
      </c>
      <c r="R24" s="10">
        <f>CHOOSE(MATCH(Tableau143[[#This Row],[Ratio_Torg]],{0,0.59,0.79,1.5},1),3,1,0)</f>
        <v>0</v>
      </c>
      <c r="S24" s="19">
        <v>1</v>
      </c>
      <c r="T24" s="24">
        <v>0</v>
      </c>
      <c r="U24" s="7">
        <v>43076</v>
      </c>
      <c r="V24" s="3">
        <f t="shared" si="2"/>
        <v>15.74</v>
      </c>
      <c r="W24" s="12">
        <v>15</v>
      </c>
      <c r="X24" s="1">
        <v>4</v>
      </c>
      <c r="Y24" s="1">
        <v>3</v>
      </c>
      <c r="Z24" s="1">
        <v>2</v>
      </c>
      <c r="AA24" s="1">
        <v>1</v>
      </c>
      <c r="AB24" s="1">
        <v>2</v>
      </c>
      <c r="AC24" s="1">
        <v>3</v>
      </c>
      <c r="AF24" s="1"/>
    </row>
    <row r="25" spans="1:32" x14ac:dyDescent="0.25">
      <c r="A25" s="3">
        <v>43</v>
      </c>
      <c r="B25" s="3" t="s">
        <v>26</v>
      </c>
      <c r="C25" s="2">
        <v>43483</v>
      </c>
      <c r="D25" s="1" t="s">
        <v>17</v>
      </c>
      <c r="E25" s="4">
        <f>Tableau143[[#This Row],[Pts_Fujiwara]]+Tableau143[[#This Row],[ HT2]]+Tableau143[[#This Row],[LCR]]+Tableau143[[#This Row],[Points_angle_p]]+Tableau143[[#This Row],[Point_Torg]]</f>
        <v>5</v>
      </c>
      <c r="F25" s="4">
        <f>SUM(Tableau143[[#This Row],[Pts_Fujiwara]],Tableau143[[#This Row],[ HT2]],Tableau143[[#This Row],[LCR]],Tableau143[[#This Row],[Points_angle_p]],Tableau143[[#This Row],[Point_Torg]],Tableau143[[#This Row],[Pts_sténoses]])</f>
        <v>6</v>
      </c>
      <c r="G25" s="1">
        <v>1.51</v>
      </c>
      <c r="H25" s="1">
        <v>0.54</v>
      </c>
      <c r="I25" s="5">
        <f t="shared" si="0"/>
        <v>0.35761589403973509</v>
      </c>
      <c r="J25" s="9">
        <v>3</v>
      </c>
      <c r="K25" s="10">
        <v>0</v>
      </c>
      <c r="L25" s="10">
        <v>1</v>
      </c>
      <c r="M25" s="1">
        <v>-6</v>
      </c>
      <c r="N25" s="10">
        <v>1</v>
      </c>
      <c r="O25" s="1">
        <v>1.29</v>
      </c>
      <c r="P25" s="1">
        <v>1.21</v>
      </c>
      <c r="Q25" s="5">
        <f t="shared" si="1"/>
        <v>0.93798449612403101</v>
      </c>
      <c r="R25" s="10">
        <f>CHOOSE(MATCH(Tableau143[[#This Row],[Ratio_Torg]],{0,0.59,0.79,1.5},1),3,1,0)</f>
        <v>0</v>
      </c>
      <c r="S25" s="19">
        <v>2</v>
      </c>
      <c r="T25" s="28">
        <v>1</v>
      </c>
      <c r="U25" s="7">
        <v>43500</v>
      </c>
      <c r="V25" s="3">
        <f t="shared" si="2"/>
        <v>17.52</v>
      </c>
      <c r="W25" s="12">
        <v>17</v>
      </c>
      <c r="X25" s="1">
        <v>4</v>
      </c>
      <c r="Y25" s="1">
        <v>4</v>
      </c>
      <c r="Z25" s="1">
        <v>2</v>
      </c>
      <c r="AA25" s="1">
        <v>2</v>
      </c>
      <c r="AB25" s="1">
        <v>2</v>
      </c>
      <c r="AC25" s="1">
        <v>3</v>
      </c>
      <c r="AF25" s="1"/>
    </row>
    <row r="26" spans="1:32" x14ac:dyDescent="0.25">
      <c r="A26" s="3">
        <v>58</v>
      </c>
      <c r="B26" s="3" t="s">
        <v>51</v>
      </c>
      <c r="C26" s="2">
        <v>43167</v>
      </c>
      <c r="D26" s="1" t="s">
        <v>12</v>
      </c>
      <c r="E26" s="4">
        <f>Tableau143[[#This Row],[Pts_Fujiwara]]+Tableau143[[#This Row],[ HT2]]+Tableau143[[#This Row],[LCR]]+Tableau143[[#This Row],[Points_angle_p]]+Tableau143[[#This Row],[Point_Torg]]</f>
        <v>6</v>
      </c>
      <c r="F26" s="4">
        <f>SUM(Tableau143[[#This Row],[Pts_Fujiwara]],Tableau143[[#This Row],[ HT2]],Tableau143[[#This Row],[LCR]],Tableau143[[#This Row],[Points_angle_p]],Tableau143[[#This Row],[Point_Torg]],Tableau143[[#This Row],[Pts_sténoses]])</f>
        <v>10</v>
      </c>
      <c r="G26" s="1">
        <v>1.23</v>
      </c>
      <c r="H26" s="1">
        <v>0.61</v>
      </c>
      <c r="I26" s="5">
        <f t="shared" si="0"/>
        <v>0.49593495934959347</v>
      </c>
      <c r="J26" s="9">
        <f>CHOOSE(MATCH(Tableau143[[#This Row],[Fujiwara_P]],{0,0.39,0.49,1},1),3,1,0)</f>
        <v>0</v>
      </c>
      <c r="K26" s="10">
        <v>4</v>
      </c>
      <c r="L26" s="10">
        <v>2</v>
      </c>
      <c r="M26" s="1">
        <v>0.7</v>
      </c>
      <c r="N26" s="10">
        <f>CHOOSE(MATCH(Tableau143[[#This Row],[Angle_p]],{-50,-14.9,-4.9,50},1),3,1,0)</f>
        <v>0</v>
      </c>
      <c r="O26" s="1">
        <v>1.87</v>
      </c>
      <c r="P26" s="1">
        <v>1.76</v>
      </c>
      <c r="Q26" s="5">
        <f t="shared" si="1"/>
        <v>0.94117647058823528</v>
      </c>
      <c r="R26" s="10">
        <f>CHOOSE(MATCH(Tableau143[[#This Row],[Ratio_Torg]],{0,0.59,0.79,1.5},1),3,1,0)</f>
        <v>0</v>
      </c>
      <c r="S26" s="19">
        <v>3</v>
      </c>
      <c r="T26" s="24">
        <v>4</v>
      </c>
      <c r="U26" s="7">
        <v>43402</v>
      </c>
      <c r="V26" s="3">
        <f t="shared" si="2"/>
        <v>13.96</v>
      </c>
      <c r="W26" s="12">
        <v>13</v>
      </c>
      <c r="AF26" s="1"/>
    </row>
    <row r="27" spans="1:32" x14ac:dyDescent="0.25">
      <c r="A27" s="3">
        <v>61</v>
      </c>
      <c r="B27" s="3" t="s">
        <v>19</v>
      </c>
      <c r="C27" s="2">
        <v>43852</v>
      </c>
      <c r="D27" s="1" t="s">
        <v>17</v>
      </c>
      <c r="E27" s="4">
        <f>Tableau143[[#This Row],[Pts_Fujiwara]]+Tableau143[[#This Row],[ HT2]]+Tableau143[[#This Row],[LCR]]+Tableau143[[#This Row],[Points_angle_p]]+Tableau143[[#This Row],[Point_Torg]]</f>
        <v>5</v>
      </c>
      <c r="F27" s="4">
        <f>SUM(Tableau143[[#This Row],[Pts_Fujiwara]],Tableau143[[#This Row],[ HT2]],Tableau143[[#This Row],[LCR]],Tableau143[[#This Row],[Points_angle_p]],Tableau143[[#This Row],[Point_Torg]],Tableau143[[#This Row],[Pts_sténoses]])</f>
        <v>5</v>
      </c>
      <c r="G27" s="1">
        <v>1.4</v>
      </c>
      <c r="H27" s="1">
        <v>0.61</v>
      </c>
      <c r="I27" s="5">
        <f t="shared" si="0"/>
        <v>0.43571428571428572</v>
      </c>
      <c r="J27" s="9">
        <f>CHOOSE(MATCH(Tableau143[[#This Row],[Fujiwara_P]],{0,0.39,0.49,1},1),3,1,0)</f>
        <v>1</v>
      </c>
      <c r="K27" s="10">
        <v>0</v>
      </c>
      <c r="L27" s="10">
        <v>4</v>
      </c>
      <c r="M27" s="1">
        <v>10.8</v>
      </c>
      <c r="N27" s="10">
        <f>CHOOSE(MATCH(Tableau143[[#This Row],[Angle_p]],{-50,-14.9,-4.9,50},1),3,1,0)</f>
        <v>0</v>
      </c>
      <c r="O27" s="1">
        <v>1.42</v>
      </c>
      <c r="P27" s="1">
        <v>1.42</v>
      </c>
      <c r="Q27" s="5">
        <f t="shared" si="1"/>
        <v>1</v>
      </c>
      <c r="R27" s="10">
        <f>CHOOSE(MATCH(Tableau143[[#This Row],[Ratio_Torg]],{0,0.59,0.79,1.5},1),3,1,0)</f>
        <v>0</v>
      </c>
      <c r="S27" s="18">
        <v>1</v>
      </c>
      <c r="T27" s="24">
        <v>0</v>
      </c>
      <c r="U27" s="7">
        <v>44070</v>
      </c>
      <c r="V27" s="3">
        <f t="shared" si="2"/>
        <v>15.74</v>
      </c>
      <c r="W27" s="12">
        <v>15</v>
      </c>
      <c r="X27" s="1">
        <v>4</v>
      </c>
      <c r="Y27" s="1">
        <v>3</v>
      </c>
      <c r="Z27" s="1">
        <v>1</v>
      </c>
      <c r="AA27" s="1">
        <v>2</v>
      </c>
      <c r="AB27" s="1">
        <v>2</v>
      </c>
      <c r="AC27" s="1">
        <v>3</v>
      </c>
      <c r="AF27" s="1"/>
    </row>
    <row r="28" spans="1:32" x14ac:dyDescent="0.25">
      <c r="A28" s="3">
        <v>72</v>
      </c>
      <c r="B28" s="3" t="s">
        <v>92</v>
      </c>
      <c r="C28" s="2">
        <v>44169</v>
      </c>
      <c r="D28" s="1" t="s">
        <v>12</v>
      </c>
      <c r="E28" s="4">
        <f>Tableau143[[#This Row],[Pts_Fujiwara]]+Tableau143[[#This Row],[ HT2]]+Tableau143[[#This Row],[LCR]]+Tableau143[[#This Row],[Points_angle_p]]+Tableau143[[#This Row],[Point_Torg]]</f>
        <v>9</v>
      </c>
      <c r="F28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28" s="1">
        <v>1.57</v>
      </c>
      <c r="H28" s="1">
        <v>0.52</v>
      </c>
      <c r="I28" s="5">
        <f t="shared" si="0"/>
        <v>0.33121019108280253</v>
      </c>
      <c r="J28" s="9">
        <v>3</v>
      </c>
      <c r="K28" s="10">
        <v>2</v>
      </c>
      <c r="L28" s="10">
        <v>4</v>
      </c>
      <c r="M28" s="1">
        <v>6.1</v>
      </c>
      <c r="N28" s="10">
        <f>CHOOSE(MATCH(Tableau143[[#This Row],[Angle_p]],{-50,-14.9,-4.9,50},1),3,1,0)</f>
        <v>0</v>
      </c>
      <c r="O28" s="1">
        <v>1.44</v>
      </c>
      <c r="P28" s="1">
        <v>1.47</v>
      </c>
      <c r="Q28" s="5">
        <f t="shared" si="1"/>
        <v>1.0208333333333333</v>
      </c>
      <c r="R28" s="10">
        <f>CHOOSE(MATCH(Tableau143[[#This Row],[Ratio_Torg]],{0,0.59,0.79,1.5},1),3,1,0)</f>
        <v>0</v>
      </c>
      <c r="S28" s="19">
        <v>1</v>
      </c>
      <c r="T28" s="24">
        <v>0</v>
      </c>
      <c r="U28" s="7">
        <v>44204</v>
      </c>
      <c r="V28" s="3">
        <f t="shared" si="2"/>
        <v>15.74</v>
      </c>
      <c r="W28" s="12">
        <v>15</v>
      </c>
      <c r="X28" s="1">
        <v>4</v>
      </c>
      <c r="Y28" s="1">
        <v>4</v>
      </c>
      <c r="Z28" s="1">
        <v>1</v>
      </c>
      <c r="AA28" s="1">
        <v>2</v>
      </c>
      <c r="AB28" s="1">
        <v>2</v>
      </c>
      <c r="AC28" s="1">
        <v>2</v>
      </c>
      <c r="AF28" s="1"/>
    </row>
    <row r="29" spans="1:32" x14ac:dyDescent="0.25">
      <c r="A29" s="3">
        <v>57</v>
      </c>
      <c r="B29" s="3" t="s">
        <v>90</v>
      </c>
      <c r="C29" s="2">
        <v>44168</v>
      </c>
      <c r="D29" s="1" t="s">
        <v>17</v>
      </c>
      <c r="E29" s="4">
        <f>Tableau143[[#This Row],[Pts_Fujiwara]]+Tableau143[[#This Row],[ HT2]]+Tableau143[[#This Row],[LCR]]+Tableau143[[#This Row],[Points_angle_p]]+Tableau143[[#This Row],[Point_Torg]]</f>
        <v>2</v>
      </c>
      <c r="F29" s="4">
        <f>SUM(Tableau143[[#This Row],[Pts_Fujiwara]],Tableau143[[#This Row],[ HT2]],Tableau143[[#This Row],[LCR]],Tableau143[[#This Row],[Points_angle_p]],Tableau143[[#This Row],[Point_Torg]],Tableau143[[#This Row],[Pts_sténoses]])</f>
        <v>2</v>
      </c>
      <c r="G29" s="1">
        <v>1.38</v>
      </c>
      <c r="H29" s="1">
        <v>0.6</v>
      </c>
      <c r="I29" s="5">
        <f t="shared" si="0"/>
        <v>0.43478260869565222</v>
      </c>
      <c r="J29" s="9">
        <f>CHOOSE(MATCH(Tableau143[[#This Row],[Fujiwara_P]],{0,0.39,0.49,1},1),3,1,0)</f>
        <v>1</v>
      </c>
      <c r="K29" s="10">
        <v>0</v>
      </c>
      <c r="L29" s="10">
        <v>1</v>
      </c>
      <c r="M29" s="1">
        <v>3.9</v>
      </c>
      <c r="N29" s="10">
        <f>CHOOSE(MATCH(Tableau143[[#This Row],[Angle_p]],{-50,-14.9,-4.9,50},1),3,1,0)</f>
        <v>0</v>
      </c>
      <c r="O29" s="1">
        <v>1.35</v>
      </c>
      <c r="P29" s="1">
        <v>1.47</v>
      </c>
      <c r="Q29" s="5">
        <f t="shared" si="1"/>
        <v>1.0888888888888888</v>
      </c>
      <c r="R29" s="10">
        <f>CHOOSE(MATCH(Tableau143[[#This Row],[Ratio_Torg]],{0,0.59,0.79,1.5},1),3,1,0)</f>
        <v>0</v>
      </c>
      <c r="S29" s="18">
        <v>1</v>
      </c>
      <c r="T29" s="24">
        <v>0</v>
      </c>
      <c r="U29" s="7">
        <v>44172</v>
      </c>
      <c r="V29" s="3">
        <f t="shared" si="2"/>
        <v>17.52</v>
      </c>
      <c r="W29" s="12">
        <v>17</v>
      </c>
      <c r="X29" s="1">
        <v>4</v>
      </c>
      <c r="Y29" s="1">
        <v>4</v>
      </c>
      <c r="Z29" s="1">
        <v>2</v>
      </c>
      <c r="AA29" s="1">
        <v>2</v>
      </c>
      <c r="AB29" s="1">
        <v>2</v>
      </c>
      <c r="AC29" s="1">
        <v>3</v>
      </c>
      <c r="AF29" s="1"/>
    </row>
    <row r="30" spans="1:32" x14ac:dyDescent="0.25">
      <c r="A30" s="3">
        <v>45</v>
      </c>
      <c r="B30" s="3" t="s">
        <v>54</v>
      </c>
      <c r="C30" s="2">
        <v>43424</v>
      </c>
      <c r="D30" s="1" t="s">
        <v>17</v>
      </c>
      <c r="E30" s="4">
        <f>Tableau143[[#This Row],[Pts_Fujiwara]]+Tableau143[[#This Row],[ HT2]]+Tableau143[[#This Row],[LCR]]+Tableau143[[#This Row],[Points_angle_p]]+Tableau143[[#This Row],[Point_Torg]]</f>
        <v>9</v>
      </c>
      <c r="F30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30" s="1">
        <v>1.28</v>
      </c>
      <c r="H30" s="1">
        <v>0.46</v>
      </c>
      <c r="I30" s="5">
        <f t="shared" si="0"/>
        <v>0.359375</v>
      </c>
      <c r="J30" s="9">
        <v>3</v>
      </c>
      <c r="K30" s="10">
        <v>2</v>
      </c>
      <c r="L30" s="10">
        <v>1</v>
      </c>
      <c r="M30" s="1">
        <v>-9</v>
      </c>
      <c r="N30" s="10">
        <v>1</v>
      </c>
      <c r="O30" s="1">
        <v>1.8</v>
      </c>
      <c r="P30" s="1">
        <v>0.96</v>
      </c>
      <c r="Q30" s="5">
        <f t="shared" si="1"/>
        <v>0.53333333333333333</v>
      </c>
      <c r="R30" s="10">
        <v>2</v>
      </c>
      <c r="S30" s="19">
        <v>1</v>
      </c>
      <c r="T30" s="24">
        <v>0</v>
      </c>
      <c r="U30" s="7">
        <v>43601</v>
      </c>
      <c r="V30" s="3">
        <f t="shared" si="2"/>
        <v>16.63</v>
      </c>
      <c r="W30" s="12">
        <v>16</v>
      </c>
      <c r="AF30" s="1"/>
    </row>
    <row r="31" spans="1:32" x14ac:dyDescent="0.25">
      <c r="A31" s="3">
        <v>52</v>
      </c>
      <c r="B31" s="3" t="s">
        <v>49</v>
      </c>
      <c r="C31" s="2">
        <v>43297</v>
      </c>
      <c r="D31" s="1" t="s">
        <v>17</v>
      </c>
      <c r="E31" s="4">
        <f>Tableau143[[#This Row],[Pts_Fujiwara]]+Tableau143[[#This Row],[ HT2]]+Tableau143[[#This Row],[LCR]]+Tableau143[[#This Row],[Points_angle_p]]+Tableau143[[#This Row],[Point_Torg]]</f>
        <v>10</v>
      </c>
      <c r="F31" s="4">
        <f>SUM(Tableau143[[#This Row],[Pts_Fujiwara]],Tableau143[[#This Row],[ HT2]],Tableau143[[#This Row],[LCR]],Tableau143[[#This Row],[Points_angle_p]],Tableau143[[#This Row],[Point_Torg]],Tableau143[[#This Row],[Pts_sténoses]])</f>
        <v>14</v>
      </c>
      <c r="G31" s="1">
        <v>1.29</v>
      </c>
      <c r="H31" s="1">
        <v>0.45</v>
      </c>
      <c r="I31" s="5">
        <f t="shared" si="0"/>
        <v>0.34883720930232559</v>
      </c>
      <c r="J31" s="9">
        <v>3</v>
      </c>
      <c r="K31" s="10">
        <v>2</v>
      </c>
      <c r="L31" s="10">
        <v>4</v>
      </c>
      <c r="M31" s="1">
        <v>5</v>
      </c>
      <c r="N31" s="10">
        <f>CHOOSE(MATCH(Tableau143[[#This Row],[Angle_p]],{-50,-14.9,-4.9,50},1),3,1,0)</f>
        <v>0</v>
      </c>
      <c r="O31" s="1">
        <v>1.46</v>
      </c>
      <c r="P31" s="1">
        <v>1.07</v>
      </c>
      <c r="Q31" s="5">
        <f t="shared" si="1"/>
        <v>0.73287671232876717</v>
      </c>
      <c r="R31" s="10">
        <f>CHOOSE(MATCH(Tableau143[[#This Row],[Ratio_Torg]],{0,0.59,0.79,1.5},1),3,1,0)</f>
        <v>1</v>
      </c>
      <c r="S31" s="19">
        <v>3</v>
      </c>
      <c r="T31" s="24">
        <v>4</v>
      </c>
      <c r="U31" s="7">
        <v>43368</v>
      </c>
      <c r="V31" s="3">
        <f t="shared" si="2"/>
        <v>11.290000000000001</v>
      </c>
      <c r="W31" s="12">
        <v>10</v>
      </c>
      <c r="AF31" s="1"/>
    </row>
    <row r="32" spans="1:32" x14ac:dyDescent="0.25">
      <c r="A32" s="3">
        <v>62</v>
      </c>
      <c r="B32" s="3" t="s">
        <v>89</v>
      </c>
      <c r="C32" s="2">
        <v>43657</v>
      </c>
      <c r="D32" s="1" t="s">
        <v>14</v>
      </c>
      <c r="E32" s="4">
        <f>Tableau143[[#This Row],[Pts_Fujiwara]]+Tableau143[[#This Row],[ HT2]]+Tableau143[[#This Row],[LCR]]+Tableau143[[#This Row],[Points_angle_p]]+Tableau143[[#This Row],[Point_Torg]]</f>
        <v>5</v>
      </c>
      <c r="F32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32" s="1">
        <v>1.57</v>
      </c>
      <c r="H32" s="1">
        <v>0.56999999999999995</v>
      </c>
      <c r="I32" s="5">
        <f t="shared" si="0"/>
        <v>0.36305732484076431</v>
      </c>
      <c r="J32" s="9">
        <v>3</v>
      </c>
      <c r="K32" s="10">
        <v>0</v>
      </c>
      <c r="L32" s="10">
        <v>1</v>
      </c>
      <c r="M32" s="1">
        <v>0.2</v>
      </c>
      <c r="N32" s="10">
        <f>CHOOSE(MATCH(Tableau143[[#This Row],[Angle_p]],{-50,-14.9,-4.9,50},1),3,1,0)</f>
        <v>0</v>
      </c>
      <c r="O32" s="1">
        <v>1.73</v>
      </c>
      <c r="P32" s="1">
        <v>1.35</v>
      </c>
      <c r="Q32" s="5">
        <f t="shared" si="1"/>
        <v>0.78034682080924866</v>
      </c>
      <c r="R32" s="10">
        <f>CHOOSE(MATCH(Tableau143[[#This Row],[Ratio_Torg]],{0,0.59,0.79,1.5},1),3,1,0)</f>
        <v>1</v>
      </c>
      <c r="S32" s="18">
        <v>3</v>
      </c>
      <c r="T32" s="24">
        <v>4</v>
      </c>
      <c r="U32" s="7">
        <v>44124</v>
      </c>
      <c r="V32" s="3">
        <f t="shared" si="2"/>
        <v>15.74</v>
      </c>
      <c r="W32" s="12">
        <v>15</v>
      </c>
      <c r="X32" s="1">
        <v>3</v>
      </c>
      <c r="Y32" s="1">
        <v>4</v>
      </c>
      <c r="Z32" s="1">
        <v>1</v>
      </c>
      <c r="AA32" s="1">
        <v>2</v>
      </c>
      <c r="AB32" s="1">
        <v>2</v>
      </c>
      <c r="AC32" s="1">
        <v>3</v>
      </c>
      <c r="AF32" s="1"/>
    </row>
    <row r="33" spans="1:32" x14ac:dyDescent="0.25">
      <c r="A33" s="3">
        <v>60</v>
      </c>
      <c r="B33" s="3" t="s">
        <v>69</v>
      </c>
      <c r="C33" s="2">
        <v>42985</v>
      </c>
      <c r="D33" s="1" t="s">
        <v>12</v>
      </c>
      <c r="E33" s="4">
        <f>Tableau143[[#This Row],[Pts_Fujiwara]]+Tableau143[[#This Row],[ HT2]]+Tableau143[[#This Row],[LCR]]+Tableau143[[#This Row],[Points_angle_p]]+Tableau143[[#This Row],[Point_Torg]]</f>
        <v>8</v>
      </c>
      <c r="F33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33" s="1">
        <v>1.51</v>
      </c>
      <c r="H33" s="1">
        <v>0.27</v>
      </c>
      <c r="I33" s="5">
        <f t="shared" si="0"/>
        <v>0.17880794701986755</v>
      </c>
      <c r="J33" s="9">
        <v>4</v>
      </c>
      <c r="K33" s="10">
        <v>0</v>
      </c>
      <c r="L33" s="10">
        <v>4</v>
      </c>
      <c r="M33" s="1">
        <v>11.4</v>
      </c>
      <c r="N33" s="10">
        <f>CHOOSE(MATCH(Tableau143[[#This Row],[Angle_p]],{-50,-14.9,-4.9,50},1),3,1,0)</f>
        <v>0</v>
      </c>
      <c r="O33" s="1">
        <v>1.35</v>
      </c>
      <c r="P33" s="1">
        <v>1.1599999999999999</v>
      </c>
      <c r="Q33" s="5">
        <f t="shared" si="1"/>
        <v>0.85925925925925917</v>
      </c>
      <c r="R33" s="10">
        <f>CHOOSE(MATCH(Tableau143[[#This Row],[Ratio_Torg]],{0,0.59,0.79,1.5},1),3,1,0)</f>
        <v>0</v>
      </c>
      <c r="S33" s="18">
        <v>2</v>
      </c>
      <c r="T33" s="28">
        <v>1</v>
      </c>
      <c r="U33" s="7">
        <v>43151</v>
      </c>
      <c r="V33" s="3">
        <f t="shared" si="2"/>
        <v>13.96</v>
      </c>
      <c r="W33" s="12">
        <v>13</v>
      </c>
      <c r="X33" s="1">
        <v>3</v>
      </c>
      <c r="Y33" s="1">
        <v>3</v>
      </c>
      <c r="Z33" s="1">
        <v>2</v>
      </c>
      <c r="AA33" s="1">
        <v>2</v>
      </c>
      <c r="AB33" s="1">
        <v>2</v>
      </c>
      <c r="AC33" s="1">
        <v>1</v>
      </c>
      <c r="AF33" s="1"/>
    </row>
    <row r="34" spans="1:32" x14ac:dyDescent="0.25">
      <c r="A34" s="3">
        <v>59</v>
      </c>
      <c r="B34" s="3" t="s">
        <v>48</v>
      </c>
      <c r="C34" s="2">
        <v>43290</v>
      </c>
      <c r="D34" s="1" t="s">
        <v>9</v>
      </c>
      <c r="E34" s="4">
        <f>Tableau143[[#This Row],[Pts_Fujiwara]]+Tableau143[[#This Row],[ HT2]]+Tableau143[[#This Row],[LCR]]+Tableau143[[#This Row],[Points_angle_p]]+Tableau143[[#This Row],[Point_Torg]]</f>
        <v>12</v>
      </c>
      <c r="F34" s="4">
        <f>SUM(Tableau143[[#This Row],[Pts_Fujiwara]],Tableau143[[#This Row],[ HT2]],Tableau143[[#This Row],[LCR]],Tableau143[[#This Row],[Points_angle_p]],Tableau143[[#This Row],[Point_Torg]],Tableau143[[#This Row],[Pts_sténoses]])</f>
        <v>13</v>
      </c>
      <c r="G34" s="1">
        <v>1.1599999999999999</v>
      </c>
      <c r="H34" s="1">
        <v>0.43</v>
      </c>
      <c r="I34" s="5">
        <f t="shared" si="0"/>
        <v>0.37068965517241381</v>
      </c>
      <c r="J34" s="9">
        <v>3</v>
      </c>
      <c r="K34" s="10">
        <v>4</v>
      </c>
      <c r="L34" s="10">
        <v>2</v>
      </c>
      <c r="M34" s="1">
        <v>-4</v>
      </c>
      <c r="N34" s="10">
        <v>1</v>
      </c>
      <c r="O34" s="1">
        <v>1.82</v>
      </c>
      <c r="P34" s="1">
        <v>1.08</v>
      </c>
      <c r="Q34" s="5">
        <f t="shared" ref="Q34:Q65" si="3">P34/O34</f>
        <v>0.59340659340659341</v>
      </c>
      <c r="R34" s="10">
        <v>2</v>
      </c>
      <c r="S34" s="19">
        <v>2</v>
      </c>
      <c r="T34" s="28">
        <v>1</v>
      </c>
      <c r="U34" s="7">
        <v>43396</v>
      </c>
      <c r="V34" s="3">
        <f t="shared" ref="V34:V65" si="4">2.39+0.89*(W34)</f>
        <v>14.850000000000001</v>
      </c>
      <c r="W34" s="12">
        <v>14</v>
      </c>
      <c r="AF34" s="1"/>
    </row>
    <row r="35" spans="1:32" x14ac:dyDescent="0.25">
      <c r="A35" s="3">
        <v>62</v>
      </c>
      <c r="B35" s="3" t="s">
        <v>22</v>
      </c>
      <c r="C35" s="2">
        <v>42507</v>
      </c>
      <c r="D35" s="1" t="s">
        <v>9</v>
      </c>
      <c r="E35" s="4">
        <f>Tableau143[[#This Row],[Pts_Fujiwara]]+Tableau143[[#This Row],[ HT2]]+Tableau143[[#This Row],[LCR]]+Tableau143[[#This Row],[Points_angle_p]]+Tableau143[[#This Row],[Point_Torg]]</f>
        <v>7</v>
      </c>
      <c r="F35" s="4">
        <f>SUM(Tableau143[[#This Row],[Pts_Fujiwara]],Tableau143[[#This Row],[ HT2]],Tableau143[[#This Row],[LCR]],Tableau143[[#This Row],[Points_angle_p]],Tableau143[[#This Row],[Point_Torg]],Tableau143[[#This Row],[Pts_sténoses]])</f>
        <v>7</v>
      </c>
      <c r="G35" s="1">
        <v>1.6</v>
      </c>
      <c r="H35" s="1">
        <v>0.6</v>
      </c>
      <c r="I35" s="5">
        <f t="shared" si="0"/>
        <v>0.37499999999999994</v>
      </c>
      <c r="J35" s="9">
        <v>3</v>
      </c>
      <c r="K35" s="10">
        <v>2</v>
      </c>
      <c r="L35" s="10">
        <v>1</v>
      </c>
      <c r="M35" s="1">
        <v>4.17</v>
      </c>
      <c r="N35" s="10">
        <f>CHOOSE(MATCH(Tableau143[[#This Row],[Angle_p]],{-50,-14.9,-4.9,50},1),3,1,0)</f>
        <v>0</v>
      </c>
      <c r="O35" s="1">
        <v>1.65</v>
      </c>
      <c r="P35" s="1">
        <v>1.08</v>
      </c>
      <c r="Q35" s="5">
        <f t="shared" si="3"/>
        <v>0.65454545454545465</v>
      </c>
      <c r="R35" s="10">
        <f>CHOOSE(MATCH(Tableau143[[#This Row],[Ratio_Torg]],{0,0.59,0.79,1.5},1),3,1,0)</f>
        <v>1</v>
      </c>
      <c r="S35" s="19">
        <v>1</v>
      </c>
      <c r="T35" s="24">
        <v>0</v>
      </c>
      <c r="U35" s="7">
        <v>42591</v>
      </c>
      <c r="V35" s="3">
        <f t="shared" si="4"/>
        <v>14.850000000000001</v>
      </c>
      <c r="W35" s="12">
        <v>14</v>
      </c>
      <c r="X35" s="1">
        <v>4</v>
      </c>
      <c r="Y35" s="1">
        <v>3</v>
      </c>
      <c r="Z35" s="1">
        <v>1</v>
      </c>
      <c r="AA35" s="1">
        <v>1</v>
      </c>
      <c r="AB35" s="1">
        <v>2</v>
      </c>
      <c r="AC35" s="1">
        <v>3</v>
      </c>
      <c r="AF35" s="1"/>
    </row>
    <row r="36" spans="1:32" x14ac:dyDescent="0.25">
      <c r="A36" s="3">
        <v>50</v>
      </c>
      <c r="B36" s="3" t="s">
        <v>66</v>
      </c>
      <c r="C36" s="2">
        <v>42794</v>
      </c>
      <c r="D36" s="1" t="s">
        <v>9</v>
      </c>
      <c r="E36" s="4">
        <f>Tableau143[[#This Row],[Pts_Fujiwara]]+Tableau143[[#This Row],[ HT2]]+Tableau143[[#This Row],[LCR]]+Tableau143[[#This Row],[Points_angle_p]]+Tableau143[[#This Row],[Point_Torg]]</f>
        <v>4</v>
      </c>
      <c r="F36" s="4">
        <f>SUM(Tableau143[[#This Row],[Pts_Fujiwara]],Tableau143[[#This Row],[ HT2]],Tableau143[[#This Row],[LCR]],Tableau143[[#This Row],[Points_angle_p]],Tableau143[[#This Row],[Point_Torg]],Tableau143[[#This Row],[Pts_sténoses]])</f>
        <v>4</v>
      </c>
      <c r="G36" s="1">
        <v>1.32</v>
      </c>
      <c r="H36" s="1">
        <v>0.55000000000000004</v>
      </c>
      <c r="I36" s="5">
        <f t="shared" si="0"/>
        <v>0.41666666666666669</v>
      </c>
      <c r="J36" s="9">
        <f>CHOOSE(MATCH(Tableau143[[#This Row],[Fujiwara_P]],{0,0.39,0.49,1},1),3,1,0)</f>
        <v>1</v>
      </c>
      <c r="K36" s="10">
        <v>0</v>
      </c>
      <c r="L36" s="10">
        <v>2</v>
      </c>
      <c r="M36" s="1">
        <v>16.399999999999999</v>
      </c>
      <c r="N36" s="10">
        <f>CHOOSE(MATCH(Tableau143[[#This Row],[Angle_p]],{-50,-14.9,-4.9,50},1),3,1,0)</f>
        <v>0</v>
      </c>
      <c r="O36" s="1">
        <v>1.76</v>
      </c>
      <c r="P36" s="1">
        <v>1.21</v>
      </c>
      <c r="Q36" s="5">
        <f t="shared" si="3"/>
        <v>0.6875</v>
      </c>
      <c r="R36" s="10">
        <f>CHOOSE(MATCH(Tableau143[[#This Row],[Ratio_Torg]],{0,0.59,0.79,1.5},1),3,1,0)</f>
        <v>1</v>
      </c>
      <c r="S36" s="19">
        <v>1</v>
      </c>
      <c r="T36" s="24">
        <v>0</v>
      </c>
      <c r="U36" s="7">
        <v>43210</v>
      </c>
      <c r="V36" s="3">
        <f t="shared" si="4"/>
        <v>15.74</v>
      </c>
      <c r="W36" s="12">
        <v>15</v>
      </c>
      <c r="X36" s="1">
        <v>4</v>
      </c>
      <c r="Y36" s="1">
        <v>4</v>
      </c>
      <c r="Z36" s="1">
        <v>1</v>
      </c>
      <c r="AA36" s="1">
        <v>1</v>
      </c>
      <c r="AB36" s="1">
        <v>2</v>
      </c>
      <c r="AC36" s="1">
        <v>3</v>
      </c>
      <c r="AF36" s="1"/>
    </row>
    <row r="37" spans="1:32" x14ac:dyDescent="0.25">
      <c r="A37" s="3">
        <v>73</v>
      </c>
      <c r="B37" s="3" t="s">
        <v>8</v>
      </c>
      <c r="C37" s="2">
        <v>43854</v>
      </c>
      <c r="D37" s="1" t="s">
        <v>9</v>
      </c>
      <c r="E37" s="4">
        <f>Tableau143[[#This Row],[Pts_Fujiwara]]+Tableau143[[#This Row],[ HT2]]+Tableau143[[#This Row],[LCR]]+Tableau143[[#This Row],[Points_angle_p]]+Tableau143[[#This Row],[Point_Torg]]</f>
        <v>9</v>
      </c>
      <c r="F37" s="4">
        <f>SUM(Tableau143[[#This Row],[Pts_Fujiwara]],Tableau143[[#This Row],[ HT2]],Tableau143[[#This Row],[LCR]],Tableau143[[#This Row],[Points_angle_p]],Tableau143[[#This Row],[Point_Torg]],Tableau143[[#This Row],[Pts_sténoses]])</f>
        <v>10</v>
      </c>
      <c r="G37" s="1">
        <v>1.62</v>
      </c>
      <c r="H37" s="1">
        <v>0.42</v>
      </c>
      <c r="I37" s="5">
        <f t="shared" si="0"/>
        <v>0.25925925925925924</v>
      </c>
      <c r="J37" s="9">
        <v>4</v>
      </c>
      <c r="K37" s="10">
        <v>0</v>
      </c>
      <c r="L37" s="10">
        <v>4</v>
      </c>
      <c r="M37" s="1">
        <v>3</v>
      </c>
      <c r="N37" s="10">
        <f>CHOOSE(MATCH(Tableau143[[#This Row],[Angle_p]],{-50,-14.9,-4.9,50},1),3,1,0)</f>
        <v>0</v>
      </c>
      <c r="O37" s="1">
        <v>1.54</v>
      </c>
      <c r="P37" s="1">
        <v>1.1000000000000001</v>
      </c>
      <c r="Q37" s="5">
        <f t="shared" si="3"/>
        <v>0.7142857142857143</v>
      </c>
      <c r="R37" s="10">
        <f>CHOOSE(MATCH(Tableau143[[#This Row],[Ratio_Torg]],{0,0.59,0.79,1.5},1),3,1,0)</f>
        <v>1</v>
      </c>
      <c r="S37" s="18">
        <v>2</v>
      </c>
      <c r="T37" s="28">
        <v>1</v>
      </c>
      <c r="U37" s="7">
        <v>43880</v>
      </c>
      <c r="V37" s="3">
        <f t="shared" si="4"/>
        <v>15.74</v>
      </c>
      <c r="W37" s="12">
        <v>15</v>
      </c>
      <c r="X37" s="1">
        <v>4</v>
      </c>
      <c r="Y37" s="1">
        <v>3</v>
      </c>
      <c r="Z37" s="1">
        <v>1</v>
      </c>
      <c r="AA37" s="1">
        <v>2</v>
      </c>
      <c r="AB37" s="1">
        <v>2</v>
      </c>
      <c r="AC37" s="1">
        <v>3</v>
      </c>
      <c r="AF37" s="1"/>
    </row>
    <row r="38" spans="1:32" x14ac:dyDescent="0.25">
      <c r="A38" s="3">
        <v>52</v>
      </c>
      <c r="B38" s="3" t="s">
        <v>105</v>
      </c>
      <c r="C38" s="2">
        <v>43165</v>
      </c>
      <c r="D38" s="1" t="s">
        <v>14</v>
      </c>
      <c r="E38" s="4">
        <f>Tableau143[[#This Row],[Pts_Fujiwara]]+Tableau143[[#This Row],[ HT2]]+Tableau143[[#This Row],[LCR]]+Tableau143[[#This Row],[Points_angle_p]]+Tableau143[[#This Row],[Point_Torg]]</f>
        <v>7</v>
      </c>
      <c r="F38" s="4">
        <f>SUM(Tableau143[[#This Row],[Pts_Fujiwara]],Tableau143[[#This Row],[ HT2]],Tableau143[[#This Row],[LCR]],Tableau143[[#This Row],[Points_angle_p]],Tableau143[[#This Row],[Point_Torg]],Tableau143[[#This Row],[Pts_sténoses]])</f>
        <v>8</v>
      </c>
      <c r="G38" s="1">
        <v>1.45</v>
      </c>
      <c r="H38" s="1">
        <v>0.4</v>
      </c>
      <c r="I38" s="5">
        <f t="shared" si="0"/>
        <v>0.27586206896551724</v>
      </c>
      <c r="J38" s="9">
        <v>4</v>
      </c>
      <c r="K38" s="10">
        <v>2</v>
      </c>
      <c r="L38" s="10">
        <v>1</v>
      </c>
      <c r="M38" s="1">
        <v>-1</v>
      </c>
      <c r="N38" s="10">
        <f>CHOOSE(MATCH(Tableau143[[#This Row],[Angle_p]],{-50,-14.9,-4.9,50},1),3,1,0)</f>
        <v>0</v>
      </c>
      <c r="O38" s="1">
        <v>1.74</v>
      </c>
      <c r="P38" s="1">
        <v>1.41</v>
      </c>
      <c r="Q38" s="5">
        <f t="shared" si="3"/>
        <v>0.81034482758620685</v>
      </c>
      <c r="R38" s="10">
        <f>CHOOSE(MATCH(Tableau143[[#This Row],[Ratio_Torg]],{0,0.59,0.79,1.5},1),3,1,0)</f>
        <v>0</v>
      </c>
      <c r="S38" s="18">
        <v>2</v>
      </c>
      <c r="T38" s="28">
        <v>1</v>
      </c>
      <c r="U38" s="7">
        <v>43423</v>
      </c>
      <c r="V38" s="3">
        <f t="shared" si="4"/>
        <v>15.74</v>
      </c>
      <c r="W38" s="12">
        <v>15</v>
      </c>
      <c r="X38" s="1">
        <v>4</v>
      </c>
      <c r="Y38" s="1">
        <v>3</v>
      </c>
      <c r="Z38" s="1">
        <v>2</v>
      </c>
      <c r="AA38" s="1">
        <v>1</v>
      </c>
      <c r="AB38" s="1">
        <v>2</v>
      </c>
      <c r="AC38" s="1">
        <v>3</v>
      </c>
      <c r="AF38" s="1"/>
    </row>
    <row r="39" spans="1:32" x14ac:dyDescent="0.25">
      <c r="A39" s="3">
        <v>69</v>
      </c>
      <c r="B39" s="3" t="s">
        <v>35</v>
      </c>
      <c r="C39" s="2">
        <v>43966</v>
      </c>
      <c r="D39" s="1" t="s">
        <v>17</v>
      </c>
      <c r="E39" s="4">
        <f>Tableau143[[#This Row],[Pts_Fujiwara]]+Tableau143[[#This Row],[ HT2]]+Tableau143[[#This Row],[LCR]]+Tableau143[[#This Row],[Points_angle_p]]+Tableau143[[#This Row],[Point_Torg]]</f>
        <v>4</v>
      </c>
      <c r="F39" s="4">
        <f>SUM(Tableau143[[#This Row],[Pts_Fujiwara]],Tableau143[[#This Row],[ HT2]],Tableau143[[#This Row],[LCR]],Tableau143[[#This Row],[Points_angle_p]],Tableau143[[#This Row],[Point_Torg]],Tableau143[[#This Row],[Pts_sténoses]])</f>
        <v>4</v>
      </c>
      <c r="G39" s="1">
        <v>1.53</v>
      </c>
      <c r="H39" s="1">
        <v>0.55000000000000004</v>
      </c>
      <c r="I39" s="5">
        <f t="shared" si="0"/>
        <v>0.35947712418300654</v>
      </c>
      <c r="J39" s="9">
        <v>3</v>
      </c>
      <c r="K39" s="10">
        <v>0</v>
      </c>
      <c r="L39" s="10">
        <v>1</v>
      </c>
      <c r="M39" s="1">
        <v>0</v>
      </c>
      <c r="N39" s="10">
        <f>CHOOSE(MATCH(Tableau143[[#This Row],[Angle_p]],{-50,-14.9,-4.9,50},1),3,1,0)</f>
        <v>0</v>
      </c>
      <c r="O39" s="1">
        <v>1.61</v>
      </c>
      <c r="P39" s="1">
        <v>1.31</v>
      </c>
      <c r="Q39" s="5">
        <f t="shared" si="3"/>
        <v>0.81366459627329191</v>
      </c>
      <c r="R39" s="10">
        <f>CHOOSE(MATCH(Tableau143[[#This Row],[Ratio_Torg]],{0,0.59,0.79,1.5},1),3,1,0)</f>
        <v>0</v>
      </c>
      <c r="S39" s="18">
        <v>1</v>
      </c>
      <c r="T39" s="24">
        <v>0</v>
      </c>
      <c r="U39" s="7">
        <v>43978</v>
      </c>
      <c r="V39" s="3">
        <f t="shared" si="4"/>
        <v>16.63</v>
      </c>
      <c r="W39" s="12">
        <v>16</v>
      </c>
      <c r="AF39" s="1"/>
    </row>
    <row r="40" spans="1:32" x14ac:dyDescent="0.25">
      <c r="A40" s="3">
        <v>78</v>
      </c>
      <c r="B40" s="3" t="s">
        <v>10</v>
      </c>
      <c r="C40" s="2">
        <v>43997</v>
      </c>
      <c r="D40" s="1" t="s">
        <v>9</v>
      </c>
      <c r="E40" s="4">
        <f>Tableau143[[#This Row],[Pts_Fujiwara]]+Tableau143[[#This Row],[ HT2]]+Tableau143[[#This Row],[LCR]]+Tableau143[[#This Row],[Points_angle_p]]+Tableau143[[#This Row],[Point_Torg]]</f>
        <v>7</v>
      </c>
      <c r="F40" s="4">
        <f>SUM(Tableau143[[#This Row],[Pts_Fujiwara]],Tableau143[[#This Row],[ HT2]],Tableau143[[#This Row],[LCR]],Tableau143[[#This Row],[Points_angle_p]],Tableau143[[#This Row],[Point_Torg]],Tableau143[[#This Row],[Pts_sténoses]])</f>
        <v>7</v>
      </c>
      <c r="G40" s="1">
        <v>1.36</v>
      </c>
      <c r="H40" s="1">
        <v>0.62</v>
      </c>
      <c r="I40" s="5">
        <f t="shared" si="0"/>
        <v>0.45588235294117646</v>
      </c>
      <c r="J40" s="9">
        <f>CHOOSE(MATCH(Tableau143[[#This Row],[Fujiwara_P]],{0,0.39,0.49,1},1),3,1,0)</f>
        <v>1</v>
      </c>
      <c r="K40" s="10">
        <v>4</v>
      </c>
      <c r="L40" s="10">
        <v>1</v>
      </c>
      <c r="M40" s="1">
        <v>-15</v>
      </c>
      <c r="N40" s="10">
        <v>1</v>
      </c>
      <c r="O40" s="1">
        <v>1.69</v>
      </c>
      <c r="P40" s="1">
        <v>1.4</v>
      </c>
      <c r="Q40" s="5">
        <f t="shared" si="3"/>
        <v>0.82840236686390534</v>
      </c>
      <c r="R40" s="10">
        <f>CHOOSE(MATCH(Tableau143[[#This Row],[Ratio_Torg]],{0,0.59,0.79,1.5},1),3,1,0)</f>
        <v>0</v>
      </c>
      <c r="S40" s="18">
        <v>1</v>
      </c>
      <c r="T40" s="24">
        <v>0</v>
      </c>
      <c r="U40" s="7">
        <v>44028</v>
      </c>
      <c r="V40" s="3">
        <f t="shared" si="4"/>
        <v>13.96</v>
      </c>
      <c r="W40" s="12">
        <v>13</v>
      </c>
      <c r="X40" s="1">
        <v>3</v>
      </c>
      <c r="Y40" s="1">
        <v>3</v>
      </c>
      <c r="Z40" s="1">
        <v>1</v>
      </c>
      <c r="AA40" s="1">
        <v>2</v>
      </c>
      <c r="AB40" s="1">
        <v>2</v>
      </c>
      <c r="AC40" s="1">
        <v>2</v>
      </c>
      <c r="AF40" s="1"/>
    </row>
    <row r="41" spans="1:32" x14ac:dyDescent="0.25">
      <c r="A41" s="3">
        <v>75</v>
      </c>
      <c r="B41" s="3" t="s">
        <v>74</v>
      </c>
      <c r="C41" s="2">
        <v>44012</v>
      </c>
      <c r="D41" s="1" t="s">
        <v>12</v>
      </c>
      <c r="E41" s="4">
        <f>Tableau143[[#This Row],[Pts_Fujiwara]]+Tableau143[[#This Row],[ HT2]]+Tableau143[[#This Row],[LCR]]+Tableau143[[#This Row],[Points_angle_p]]+Tableau143[[#This Row],[Point_Torg]]</f>
        <v>5</v>
      </c>
      <c r="F41" s="4">
        <f>SUM(Tableau143[[#This Row],[Pts_Fujiwara]],Tableau143[[#This Row],[ HT2]],Tableau143[[#This Row],[LCR]],Tableau143[[#This Row],[Points_angle_p]],Tableau143[[#This Row],[Point_Torg]],Tableau143[[#This Row],[Pts_sténoses]])</f>
        <v>5</v>
      </c>
      <c r="G41" s="1">
        <v>0.95</v>
      </c>
      <c r="H41" s="1">
        <v>0.4</v>
      </c>
      <c r="I41" s="5">
        <f t="shared" si="0"/>
        <v>0.4210526315789474</v>
      </c>
      <c r="J41" s="9">
        <f>CHOOSE(MATCH(Tableau143[[#This Row],[Fujiwara_P]],{0,0.39,0.49,1},1),3,1,0)</f>
        <v>1</v>
      </c>
      <c r="K41" s="10">
        <v>2</v>
      </c>
      <c r="L41" s="10">
        <v>2</v>
      </c>
      <c r="M41" s="1">
        <v>14.4</v>
      </c>
      <c r="N41" s="10">
        <f>CHOOSE(MATCH(Tableau143[[#This Row],[Angle_p]],{-50,-14.9,-4.9,50},1),3,1,0)</f>
        <v>0</v>
      </c>
      <c r="O41" s="1">
        <v>1.46</v>
      </c>
      <c r="P41" s="1">
        <v>1.21</v>
      </c>
      <c r="Q41" s="5">
        <f t="shared" si="3"/>
        <v>0.82876712328767121</v>
      </c>
      <c r="R41" s="10">
        <f>CHOOSE(MATCH(Tableau143[[#This Row],[Ratio_Torg]],{0,0.59,0.79,1.5},1),3,1,0)</f>
        <v>0</v>
      </c>
      <c r="S41" s="19">
        <v>1</v>
      </c>
      <c r="T41" s="24">
        <v>0</v>
      </c>
      <c r="U41" s="7">
        <v>44169</v>
      </c>
      <c r="V41" s="3">
        <f t="shared" si="4"/>
        <v>14.850000000000001</v>
      </c>
      <c r="W41" s="12">
        <v>14</v>
      </c>
      <c r="X41" s="1">
        <v>4</v>
      </c>
      <c r="Y41" s="1">
        <v>4</v>
      </c>
      <c r="Z41" s="1">
        <v>2</v>
      </c>
      <c r="AA41" s="1">
        <v>2</v>
      </c>
      <c r="AB41" s="1">
        <v>2</v>
      </c>
      <c r="AC41" s="1">
        <v>3</v>
      </c>
      <c r="AF41" s="1"/>
    </row>
    <row r="42" spans="1:32" x14ac:dyDescent="0.25">
      <c r="A42" s="3">
        <v>72</v>
      </c>
      <c r="B42" s="3" t="s">
        <v>41</v>
      </c>
      <c r="C42" s="2">
        <v>43379</v>
      </c>
      <c r="D42" s="1" t="s">
        <v>9</v>
      </c>
      <c r="E42" s="4">
        <f>Tableau143[[#This Row],[Pts_Fujiwara]]+Tableau143[[#This Row],[ HT2]]+Tableau143[[#This Row],[LCR]]+Tableau143[[#This Row],[Points_angle_p]]+Tableau143[[#This Row],[Point_Torg]]</f>
        <v>3</v>
      </c>
      <c r="F42" s="4">
        <f>SUM(Tableau143[[#This Row],[Pts_Fujiwara]],Tableau143[[#This Row],[ HT2]],Tableau143[[#This Row],[LCR]],Tableau143[[#This Row],[Points_angle_p]],Tableau143[[#This Row],[Point_Torg]],Tableau143[[#This Row],[Pts_sténoses]])</f>
        <v>3</v>
      </c>
      <c r="G42" s="1">
        <v>1.1200000000000001</v>
      </c>
      <c r="H42" s="1">
        <v>0.56000000000000005</v>
      </c>
      <c r="I42" s="5">
        <f t="shared" si="0"/>
        <v>0.5</v>
      </c>
      <c r="J42" s="9">
        <f>CHOOSE(MATCH(Tableau143[[#This Row],[Fujiwara_P]],{0,0.39,0.49,1},1),3,1,0)</f>
        <v>0</v>
      </c>
      <c r="K42" s="10">
        <v>2</v>
      </c>
      <c r="L42" s="10">
        <v>1</v>
      </c>
      <c r="M42" s="1">
        <v>4</v>
      </c>
      <c r="N42" s="10">
        <f>CHOOSE(MATCH(Tableau143[[#This Row],[Angle_p]],{-50,-14.9,-4.9,50},1),3,1,0)</f>
        <v>0</v>
      </c>
      <c r="O42" s="1">
        <v>1.42</v>
      </c>
      <c r="P42" s="1">
        <v>1.18</v>
      </c>
      <c r="Q42" s="5">
        <f t="shared" si="3"/>
        <v>0.83098591549295775</v>
      </c>
      <c r="R42" s="10">
        <f>CHOOSE(MATCH(Tableau143[[#This Row],[Ratio_Torg]],{0,0.59,0.79,1.5},1),3,1,0)</f>
        <v>0</v>
      </c>
      <c r="S42" s="19">
        <v>1</v>
      </c>
      <c r="T42" s="24">
        <v>0</v>
      </c>
      <c r="U42" s="7">
        <v>43684</v>
      </c>
      <c r="V42" s="3">
        <f t="shared" si="4"/>
        <v>17.52</v>
      </c>
      <c r="W42" s="12">
        <v>17</v>
      </c>
      <c r="X42" s="1">
        <v>4</v>
      </c>
      <c r="Y42" s="1">
        <v>4</v>
      </c>
      <c r="Z42" s="1">
        <v>2</v>
      </c>
      <c r="AA42" s="1">
        <v>2</v>
      </c>
      <c r="AB42" s="1">
        <v>2</v>
      </c>
      <c r="AC42" s="1">
        <v>3</v>
      </c>
      <c r="AF42" s="1"/>
    </row>
    <row r="43" spans="1:32" x14ac:dyDescent="0.25">
      <c r="A43" s="3">
        <v>80</v>
      </c>
      <c r="B43" s="3" t="s">
        <v>91</v>
      </c>
      <c r="C43" s="2">
        <v>44011</v>
      </c>
      <c r="D43" s="1" t="s">
        <v>12</v>
      </c>
      <c r="E43" s="4">
        <f>Tableau143[[#This Row],[Pts_Fujiwara]]+Tableau143[[#This Row],[ HT2]]+Tableau143[[#This Row],[LCR]]+Tableau143[[#This Row],[Points_angle_p]]+Tableau143[[#This Row],[Point_Torg]]</f>
        <v>2</v>
      </c>
      <c r="F43" s="4">
        <f>SUM(Tableau143[[#This Row],[Pts_Fujiwara]],Tableau143[[#This Row],[ HT2]],Tableau143[[#This Row],[LCR]],Tableau143[[#This Row],[Points_angle_p]],Tableau143[[#This Row],[Point_Torg]],Tableau143[[#This Row],[Pts_sténoses]])</f>
        <v>2</v>
      </c>
      <c r="G43" s="1">
        <v>1.52</v>
      </c>
      <c r="H43" s="1">
        <v>0.71</v>
      </c>
      <c r="I43" s="5">
        <f t="shared" si="0"/>
        <v>0.46710526315789469</v>
      </c>
      <c r="J43" s="9">
        <f>CHOOSE(MATCH(Tableau143[[#This Row],[Fujiwara_P]],{0,0.39,0.49,1},1),3,1,0)</f>
        <v>1</v>
      </c>
      <c r="K43" s="10">
        <v>0</v>
      </c>
      <c r="L43" s="10">
        <v>1</v>
      </c>
      <c r="M43" s="1">
        <v>2.1</v>
      </c>
      <c r="N43" s="10">
        <f>CHOOSE(MATCH(Tableau143[[#This Row],[Angle_p]],{-50,-14.9,-4.9,50},1),3,1,0)</f>
        <v>0</v>
      </c>
      <c r="O43" s="1">
        <v>1.58</v>
      </c>
      <c r="P43" s="1">
        <v>1.53</v>
      </c>
      <c r="Q43" s="5">
        <f t="shared" si="3"/>
        <v>0.96835443037974678</v>
      </c>
      <c r="R43" s="10">
        <f>CHOOSE(MATCH(Tableau143[[#This Row],[Ratio_Torg]],{0,0.59,0.79,1.5},1),3,1,0)</f>
        <v>0</v>
      </c>
      <c r="S43" s="18">
        <v>1</v>
      </c>
      <c r="T43" s="24">
        <v>0</v>
      </c>
      <c r="U43" s="7">
        <v>44091</v>
      </c>
      <c r="V43" s="3">
        <f t="shared" si="4"/>
        <v>15.74</v>
      </c>
      <c r="W43" s="12">
        <v>15</v>
      </c>
      <c r="X43" s="1">
        <v>4</v>
      </c>
      <c r="Y43" s="1">
        <v>3</v>
      </c>
      <c r="Z43" s="1">
        <v>2</v>
      </c>
      <c r="AA43" s="1">
        <v>1</v>
      </c>
      <c r="AB43" s="1">
        <v>2</v>
      </c>
      <c r="AC43" s="1">
        <v>3</v>
      </c>
      <c r="AF43" s="1"/>
    </row>
    <row r="44" spans="1:32" x14ac:dyDescent="0.25">
      <c r="A44" s="3">
        <v>75</v>
      </c>
      <c r="B44" s="3" t="s">
        <v>47</v>
      </c>
      <c r="C44" s="2">
        <v>43783</v>
      </c>
      <c r="D44" s="1" t="s">
        <v>9</v>
      </c>
      <c r="E44" s="4">
        <f>Tableau143[[#This Row],[Pts_Fujiwara]]+Tableau143[[#This Row],[ HT2]]+Tableau143[[#This Row],[LCR]]+Tableau143[[#This Row],[Points_angle_p]]+Tableau143[[#This Row],[Point_Torg]]</f>
        <v>14</v>
      </c>
      <c r="F44" s="4">
        <f>SUM(Tableau143[[#This Row],[Pts_Fujiwara]],Tableau143[[#This Row],[ HT2]],Tableau143[[#This Row],[LCR]],Tableau143[[#This Row],[Points_angle_p]],Tableau143[[#This Row],[Point_Torg]],Tableau143[[#This Row],[Pts_sténoses]])</f>
        <v>18</v>
      </c>
      <c r="G44" s="1">
        <v>1.34</v>
      </c>
      <c r="H44" s="1">
        <v>0.28999999999999998</v>
      </c>
      <c r="I44" s="5">
        <v>0.28999999999999998</v>
      </c>
      <c r="J44" s="9">
        <v>4</v>
      </c>
      <c r="K44" s="10">
        <v>4</v>
      </c>
      <c r="L44" s="10">
        <v>4</v>
      </c>
      <c r="M44" s="1">
        <v>1.2</v>
      </c>
      <c r="N44" s="10">
        <f>CHOOSE(MATCH(Tableau143[[#This Row],[Angle_p]],{-50,-14.9,-4.9,50},1),3,1,0)</f>
        <v>0</v>
      </c>
      <c r="O44" s="1">
        <v>1.85</v>
      </c>
      <c r="P44" s="1">
        <v>0.89</v>
      </c>
      <c r="Q44" s="5">
        <f t="shared" si="3"/>
        <v>0.48108108108108105</v>
      </c>
      <c r="R44" s="10">
        <v>2</v>
      </c>
      <c r="S44" s="19">
        <v>3</v>
      </c>
      <c r="T44" s="24">
        <v>4</v>
      </c>
      <c r="U44" s="7">
        <v>43811</v>
      </c>
      <c r="V44" s="3">
        <f t="shared" si="4"/>
        <v>13.07</v>
      </c>
      <c r="W44" s="12">
        <v>12</v>
      </c>
      <c r="X44" s="1">
        <v>3</v>
      </c>
      <c r="Y44" s="1">
        <v>3</v>
      </c>
      <c r="Z44" s="1">
        <v>1</v>
      </c>
      <c r="AA44" s="1">
        <v>2</v>
      </c>
      <c r="AB44" s="1">
        <v>2</v>
      </c>
      <c r="AC44" s="1">
        <v>1</v>
      </c>
      <c r="AF44" s="1"/>
    </row>
    <row r="45" spans="1:32" x14ac:dyDescent="0.25">
      <c r="A45" s="3">
        <v>68</v>
      </c>
      <c r="B45" s="3" t="s">
        <v>43</v>
      </c>
      <c r="C45" s="2">
        <v>43711</v>
      </c>
      <c r="D45" s="1" t="s">
        <v>17</v>
      </c>
      <c r="E45" s="4">
        <f>Tableau143[[#This Row],[Pts_Fujiwara]]+Tableau143[[#This Row],[ HT2]]+Tableau143[[#This Row],[LCR]]+Tableau143[[#This Row],[Points_angle_p]]+Tableau143[[#This Row],[Point_Torg]]</f>
        <v>9</v>
      </c>
      <c r="F45" s="4">
        <f>SUM(Tableau143[[#This Row],[Pts_Fujiwara]],Tableau143[[#This Row],[ HT2]],Tableau143[[#This Row],[LCR]],Tableau143[[#This Row],[Points_angle_p]],Tableau143[[#This Row],[Point_Torg]],Tableau143[[#This Row],[Pts_sténoses]])</f>
        <v>13</v>
      </c>
      <c r="G45" s="1">
        <v>1.18</v>
      </c>
      <c r="H45" s="1">
        <v>0.34</v>
      </c>
      <c r="I45" s="5">
        <f t="shared" ref="I45:I76" si="5">H45/G45</f>
        <v>0.28813559322033899</v>
      </c>
      <c r="J45" s="9">
        <v>4</v>
      </c>
      <c r="K45" s="10">
        <v>2</v>
      </c>
      <c r="L45" s="10">
        <v>1</v>
      </c>
      <c r="M45" s="1">
        <v>5</v>
      </c>
      <c r="N45" s="10">
        <f>CHOOSE(MATCH(Tableau143[[#This Row],[Angle_p]],{-50,-14.9,-4.9,50},1),3,1,0)</f>
        <v>0</v>
      </c>
      <c r="O45" s="1">
        <v>1.8</v>
      </c>
      <c r="P45" s="1">
        <v>0.96</v>
      </c>
      <c r="Q45" s="5">
        <f t="shared" si="3"/>
        <v>0.53333333333333333</v>
      </c>
      <c r="R45" s="10">
        <v>2</v>
      </c>
      <c r="S45" s="18">
        <v>4</v>
      </c>
      <c r="T45" s="24">
        <v>4</v>
      </c>
      <c r="U45" s="7">
        <v>43502</v>
      </c>
      <c r="V45" s="3">
        <f t="shared" si="4"/>
        <v>6.84</v>
      </c>
      <c r="W45" s="12">
        <v>5</v>
      </c>
      <c r="AF45" s="1"/>
    </row>
    <row r="46" spans="1:32" x14ac:dyDescent="0.25">
      <c r="A46" s="3">
        <v>51</v>
      </c>
      <c r="B46" s="3" t="s">
        <v>62</v>
      </c>
      <c r="C46" s="2">
        <v>43062</v>
      </c>
      <c r="D46" s="1" t="s">
        <v>12</v>
      </c>
      <c r="E46" s="4">
        <f>Tableau143[[#This Row],[Pts_Fujiwara]]+Tableau143[[#This Row],[ HT2]]+Tableau143[[#This Row],[LCR]]+Tableau143[[#This Row],[Points_angle_p]]+Tableau143[[#This Row],[Point_Torg]]</f>
        <v>15</v>
      </c>
      <c r="F46" s="4">
        <f>SUM(Tableau143[[#This Row],[Pts_Fujiwara]],Tableau143[[#This Row],[ HT2]],Tableau143[[#This Row],[LCR]],Tableau143[[#This Row],[Points_angle_p]],Tableau143[[#This Row],[Point_Torg]],Tableau143[[#This Row],[Pts_sténoses]])</f>
        <v>19</v>
      </c>
      <c r="G46" s="1">
        <v>1.44</v>
      </c>
      <c r="H46" s="1">
        <v>0.4</v>
      </c>
      <c r="I46" s="5">
        <f t="shared" si="5"/>
        <v>0.27777777777777779</v>
      </c>
      <c r="J46" s="9">
        <v>4</v>
      </c>
      <c r="K46" s="10">
        <v>4</v>
      </c>
      <c r="L46" s="10">
        <v>4</v>
      </c>
      <c r="M46" s="1">
        <v>-4</v>
      </c>
      <c r="N46" s="10">
        <v>1</v>
      </c>
      <c r="O46" s="1">
        <v>1.69</v>
      </c>
      <c r="P46" s="1">
        <v>0.93</v>
      </c>
      <c r="Q46" s="5">
        <f t="shared" si="3"/>
        <v>0.55029585798816572</v>
      </c>
      <c r="R46" s="10">
        <v>2</v>
      </c>
      <c r="S46" s="18">
        <v>3</v>
      </c>
      <c r="T46" s="24">
        <v>4</v>
      </c>
      <c r="U46" s="7">
        <v>43147</v>
      </c>
      <c r="V46" s="3">
        <f t="shared" si="4"/>
        <v>13.07</v>
      </c>
      <c r="W46" s="12">
        <v>12</v>
      </c>
      <c r="X46" s="1">
        <v>3</v>
      </c>
      <c r="Y46" s="1">
        <v>2</v>
      </c>
      <c r="Z46" s="1">
        <v>1</v>
      </c>
      <c r="AA46" s="1">
        <v>1</v>
      </c>
      <c r="AB46" s="1">
        <v>2</v>
      </c>
      <c r="AC46" s="1">
        <v>3</v>
      </c>
      <c r="AF46" s="1"/>
    </row>
    <row r="47" spans="1:32" x14ac:dyDescent="0.25">
      <c r="A47" s="3">
        <v>66</v>
      </c>
      <c r="B47" s="3" t="s">
        <v>102</v>
      </c>
      <c r="C47" s="2">
        <v>43797</v>
      </c>
      <c r="D47" s="1" t="s">
        <v>9</v>
      </c>
      <c r="E47" s="4">
        <f>Tableau143[[#This Row],[Pts_Fujiwara]]+Tableau143[[#This Row],[ HT2]]+Tableau143[[#This Row],[LCR]]+Tableau143[[#This Row],[Points_angle_p]]+Tableau143[[#This Row],[Point_Torg]]</f>
        <v>10</v>
      </c>
      <c r="F47" s="4">
        <f>SUM(Tableau143[[#This Row],[Pts_Fujiwara]],Tableau143[[#This Row],[ HT2]],Tableau143[[#This Row],[LCR]],Tableau143[[#This Row],[Points_angle_p]],Tableau143[[#This Row],[Point_Torg]],Tableau143[[#This Row],[Pts_sténoses]])</f>
        <v>11</v>
      </c>
      <c r="G47" s="1">
        <v>1.2</v>
      </c>
      <c r="H47" s="1">
        <v>0.49</v>
      </c>
      <c r="I47" s="5">
        <f t="shared" si="5"/>
        <v>0.40833333333333333</v>
      </c>
      <c r="J47" s="9">
        <f>CHOOSE(MATCH(Tableau143[[#This Row],[Fujiwara_P]],{0,0.39,0.49,1},1),3,1,0)</f>
        <v>1</v>
      </c>
      <c r="K47" s="10">
        <v>2</v>
      </c>
      <c r="L47" s="10">
        <v>4</v>
      </c>
      <c r="M47" s="1">
        <v>-4</v>
      </c>
      <c r="N47" s="10">
        <v>1</v>
      </c>
      <c r="O47" s="1">
        <v>1.84</v>
      </c>
      <c r="P47" s="1">
        <v>1.07</v>
      </c>
      <c r="Q47" s="5">
        <f t="shared" si="3"/>
        <v>0.58152173913043481</v>
      </c>
      <c r="R47" s="10">
        <v>2</v>
      </c>
      <c r="S47" s="19">
        <v>2</v>
      </c>
      <c r="T47" s="28">
        <v>1</v>
      </c>
      <c r="U47" s="7">
        <v>43836</v>
      </c>
      <c r="V47" s="3">
        <f t="shared" si="4"/>
        <v>15.74</v>
      </c>
      <c r="W47" s="12">
        <v>15</v>
      </c>
      <c r="X47" s="1">
        <v>3</v>
      </c>
      <c r="Y47" s="1">
        <v>4</v>
      </c>
      <c r="Z47" s="1">
        <v>1</v>
      </c>
      <c r="AA47" s="1">
        <v>2</v>
      </c>
      <c r="AB47" s="1">
        <v>2</v>
      </c>
      <c r="AC47" s="1">
        <v>3</v>
      </c>
      <c r="AF47" s="1"/>
    </row>
    <row r="48" spans="1:32" x14ac:dyDescent="0.25">
      <c r="A48" s="3">
        <v>64</v>
      </c>
      <c r="B48" s="3" t="s">
        <v>85</v>
      </c>
      <c r="C48" s="2">
        <v>44193</v>
      </c>
      <c r="D48" s="1" t="s">
        <v>9</v>
      </c>
      <c r="E48" s="4">
        <f>Tableau143[[#This Row],[Pts_Fujiwara]]+Tableau143[[#This Row],[ HT2]]+Tableau143[[#This Row],[LCR]]+Tableau143[[#This Row],[Points_angle_p]]+Tableau143[[#This Row],[Point_Torg]]</f>
        <v>10</v>
      </c>
      <c r="F48" s="4">
        <f>SUM(Tableau143[[#This Row],[Pts_Fujiwara]],Tableau143[[#This Row],[ HT2]],Tableau143[[#This Row],[LCR]],Tableau143[[#This Row],[Points_angle_p]],Tableau143[[#This Row],[Point_Torg]],Tableau143[[#This Row],[Pts_sténoses]])</f>
        <v>14</v>
      </c>
      <c r="G48" s="1">
        <v>1.18</v>
      </c>
      <c r="H48" s="1">
        <v>0.44</v>
      </c>
      <c r="I48" s="5">
        <f t="shared" si="5"/>
        <v>0.3728813559322034</v>
      </c>
      <c r="J48" s="9">
        <v>3</v>
      </c>
      <c r="K48" s="10">
        <v>2</v>
      </c>
      <c r="L48" s="10">
        <v>4</v>
      </c>
      <c r="M48" s="1">
        <v>0.5</v>
      </c>
      <c r="N48" s="10">
        <f>CHOOSE(MATCH(Tableau143[[#This Row],[Angle_p]],{-50,-14.9,-4.9,50},1),3,1,0)</f>
        <v>0</v>
      </c>
      <c r="O48" s="1">
        <v>1.87</v>
      </c>
      <c r="P48" s="1">
        <v>1.1299999999999999</v>
      </c>
      <c r="Q48" s="5">
        <f t="shared" si="3"/>
        <v>0.60427807486631002</v>
      </c>
      <c r="R48" s="10">
        <f>CHOOSE(MATCH(Tableau143[[#This Row],[Ratio_Torg]],{0,0.59,0.79,1.5},1),3,1,0)</f>
        <v>1</v>
      </c>
      <c r="S48" s="18">
        <v>4</v>
      </c>
      <c r="T48" s="24">
        <v>4</v>
      </c>
      <c r="U48" s="7">
        <v>44236</v>
      </c>
      <c r="V48" s="3">
        <f t="shared" si="4"/>
        <v>13.96</v>
      </c>
      <c r="W48" s="12">
        <v>13</v>
      </c>
      <c r="X48" s="1">
        <v>3</v>
      </c>
      <c r="Y48" s="1">
        <v>3</v>
      </c>
      <c r="Z48" s="1">
        <v>1</v>
      </c>
      <c r="AA48" s="1">
        <v>2</v>
      </c>
      <c r="AB48" s="1">
        <v>2</v>
      </c>
      <c r="AC48" s="1">
        <v>2</v>
      </c>
      <c r="AF48" s="1"/>
    </row>
    <row r="49" spans="1:32" x14ac:dyDescent="0.25">
      <c r="A49" s="3">
        <v>77</v>
      </c>
      <c r="B49" s="3" t="s">
        <v>42</v>
      </c>
      <c r="C49" s="2">
        <v>43437</v>
      </c>
      <c r="D49" s="1" t="s">
        <v>14</v>
      </c>
      <c r="E49" s="4">
        <f>Tableau143[[#This Row],[Pts_Fujiwara]]+Tableau143[[#This Row],[ HT2]]+Tableau143[[#This Row],[LCR]]+Tableau143[[#This Row],[Points_angle_p]]+Tableau143[[#This Row],[Point_Torg]]</f>
        <v>9</v>
      </c>
      <c r="F49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49" s="1">
        <v>1.2</v>
      </c>
      <c r="H49" s="1">
        <v>0.38</v>
      </c>
      <c r="I49" s="5">
        <f t="shared" si="5"/>
        <v>0.31666666666666671</v>
      </c>
      <c r="J49" s="9">
        <v>3</v>
      </c>
      <c r="K49" s="10">
        <v>4</v>
      </c>
      <c r="L49" s="10">
        <v>1</v>
      </c>
      <c r="M49" s="1">
        <v>0</v>
      </c>
      <c r="N49" s="10">
        <f>CHOOSE(MATCH(Tableau143[[#This Row],[Angle_p]],{-50,-14.9,-4.9,50},1),3,1,0)</f>
        <v>0</v>
      </c>
      <c r="O49" s="1">
        <v>1.75</v>
      </c>
      <c r="P49" s="1">
        <v>1.06</v>
      </c>
      <c r="Q49" s="5">
        <f t="shared" si="3"/>
        <v>0.60571428571428576</v>
      </c>
      <c r="R49" s="10">
        <f>CHOOSE(MATCH(Tableau143[[#This Row],[Ratio_Torg]],{0,0.59,0.79,1.5},1),3,1,0)</f>
        <v>1</v>
      </c>
      <c r="S49" s="19">
        <v>1</v>
      </c>
      <c r="T49" s="24">
        <v>0</v>
      </c>
      <c r="U49" s="7">
        <v>43517</v>
      </c>
      <c r="V49" s="3">
        <f t="shared" si="4"/>
        <v>15.74</v>
      </c>
      <c r="W49" s="12">
        <v>15</v>
      </c>
      <c r="AF49" s="1"/>
    </row>
    <row r="50" spans="1:32" x14ac:dyDescent="0.25">
      <c r="A50" s="3">
        <v>59</v>
      </c>
      <c r="B50" s="3" t="s">
        <v>32</v>
      </c>
      <c r="C50" s="2">
        <v>43426</v>
      </c>
      <c r="D50" s="1" t="s">
        <v>17</v>
      </c>
      <c r="E50" s="4">
        <f>Tableau143[[#This Row],[Pts_Fujiwara]]+Tableau143[[#This Row],[ HT2]]+Tableau143[[#This Row],[LCR]]+Tableau143[[#This Row],[Points_angle_p]]+Tableau143[[#This Row],[Point_Torg]]</f>
        <v>10</v>
      </c>
      <c r="F50" s="4">
        <f>SUM(Tableau143[[#This Row],[Pts_Fujiwara]],Tableau143[[#This Row],[ HT2]],Tableau143[[#This Row],[LCR]],Tableau143[[#This Row],[Points_angle_p]],Tableau143[[#This Row],[Point_Torg]],Tableau143[[#This Row],[Pts_sténoses]])</f>
        <v>11</v>
      </c>
      <c r="G50" s="1">
        <v>1.51</v>
      </c>
      <c r="H50" s="1">
        <v>0.38</v>
      </c>
      <c r="I50" s="5">
        <f t="shared" si="5"/>
        <v>0.25165562913907286</v>
      </c>
      <c r="J50" s="9">
        <v>4</v>
      </c>
      <c r="K50" s="10">
        <v>4</v>
      </c>
      <c r="L50" s="10">
        <v>1</v>
      </c>
      <c r="M50" s="1">
        <v>6</v>
      </c>
      <c r="N50" s="10">
        <f>CHOOSE(MATCH(Tableau143[[#This Row],[Angle_p]],{-50,-14.9,-4.9,50},1),3,1,0)</f>
        <v>0</v>
      </c>
      <c r="O50" s="1">
        <v>1.73</v>
      </c>
      <c r="P50" s="1">
        <v>1.06</v>
      </c>
      <c r="Q50" s="5">
        <f t="shared" si="3"/>
        <v>0.61271676300578037</v>
      </c>
      <c r="R50" s="10">
        <f>CHOOSE(MATCH(Tableau143[[#This Row],[Ratio_Torg]],{0,0.59,0.79,1.5},1),3,1,0)</f>
        <v>1</v>
      </c>
      <c r="S50" s="19">
        <v>2</v>
      </c>
      <c r="T50" s="28">
        <v>1</v>
      </c>
      <c r="U50" s="7">
        <v>43651</v>
      </c>
      <c r="V50" s="3">
        <f t="shared" si="4"/>
        <v>15.74</v>
      </c>
      <c r="W50" s="12">
        <v>15</v>
      </c>
      <c r="AF50" s="1"/>
    </row>
    <row r="51" spans="1:32" x14ac:dyDescent="0.25">
      <c r="A51" s="3">
        <v>75</v>
      </c>
      <c r="B51" s="3" t="s">
        <v>65</v>
      </c>
      <c r="C51" s="2">
        <v>43263</v>
      </c>
      <c r="D51" s="1" t="s">
        <v>9</v>
      </c>
      <c r="E51" s="4">
        <f>Tableau143[[#This Row],[Pts_Fujiwara]]+Tableau143[[#This Row],[ HT2]]+Tableau143[[#This Row],[LCR]]+Tableau143[[#This Row],[Points_angle_p]]+Tableau143[[#This Row],[Point_Torg]]</f>
        <v>10</v>
      </c>
      <c r="F51" s="4">
        <f>SUM(Tableau143[[#This Row],[Pts_Fujiwara]],Tableau143[[#This Row],[ HT2]],Tableau143[[#This Row],[LCR]],Tableau143[[#This Row],[Points_angle_p]],Tableau143[[#This Row],[Point_Torg]],Tableau143[[#This Row],[Pts_sténoses]])</f>
        <v>14</v>
      </c>
      <c r="G51" s="1">
        <v>1.25</v>
      </c>
      <c r="H51" s="1">
        <v>0.48</v>
      </c>
      <c r="I51" s="5">
        <f t="shared" si="5"/>
        <v>0.38400000000000001</v>
      </c>
      <c r="J51" s="9">
        <v>3</v>
      </c>
      <c r="K51" s="10">
        <v>2</v>
      </c>
      <c r="L51" s="10">
        <v>4</v>
      </c>
      <c r="M51" s="1">
        <v>-1.7</v>
      </c>
      <c r="N51" s="10">
        <f>CHOOSE(MATCH(Tableau143[[#This Row],[Angle_p]],{-50,-14.9,-4.9,50},1),3,1,0)</f>
        <v>0</v>
      </c>
      <c r="O51" s="1">
        <v>1.66</v>
      </c>
      <c r="P51" s="1">
        <v>1.1200000000000001</v>
      </c>
      <c r="Q51" s="5">
        <f t="shared" si="3"/>
        <v>0.67469879518072295</v>
      </c>
      <c r="R51" s="10">
        <f>CHOOSE(MATCH(Tableau143[[#This Row],[Ratio_Torg]],{0,0.59,0.79,1.5},1),3,1,0)</f>
        <v>1</v>
      </c>
      <c r="S51" s="18">
        <v>3</v>
      </c>
      <c r="T51" s="24">
        <v>4</v>
      </c>
      <c r="U51" s="7">
        <v>43307</v>
      </c>
      <c r="V51" s="3">
        <f t="shared" si="4"/>
        <v>10.4</v>
      </c>
      <c r="W51" s="12">
        <v>9</v>
      </c>
      <c r="X51" s="1">
        <v>1</v>
      </c>
      <c r="Y51" s="1">
        <v>1</v>
      </c>
      <c r="Z51" s="1">
        <v>1</v>
      </c>
      <c r="AA51" s="1">
        <v>2</v>
      </c>
      <c r="AB51" s="1">
        <v>2</v>
      </c>
      <c r="AC51" s="1">
        <v>2</v>
      </c>
      <c r="AF51" s="1"/>
    </row>
    <row r="52" spans="1:32" x14ac:dyDescent="0.25">
      <c r="A52" s="3">
        <v>79</v>
      </c>
      <c r="B52" s="3" t="s">
        <v>55</v>
      </c>
      <c r="C52" s="2">
        <v>43665</v>
      </c>
      <c r="D52" s="1" t="s">
        <v>17</v>
      </c>
      <c r="E52" s="4">
        <f>Tableau143[[#This Row],[Pts_Fujiwara]]+Tableau143[[#This Row],[ HT2]]+Tableau143[[#This Row],[LCR]]+Tableau143[[#This Row],[Points_angle_p]]+Tableau143[[#This Row],[Point_Torg]]</f>
        <v>8</v>
      </c>
      <c r="F52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52" s="1">
        <v>1.3</v>
      </c>
      <c r="H52" s="1">
        <v>0.4</v>
      </c>
      <c r="I52" s="5">
        <f t="shared" si="5"/>
        <v>0.30769230769230771</v>
      </c>
      <c r="J52" s="9">
        <v>3</v>
      </c>
      <c r="K52" s="10">
        <v>0</v>
      </c>
      <c r="L52" s="10">
        <v>4</v>
      </c>
      <c r="M52" s="1">
        <v>-3.1</v>
      </c>
      <c r="N52" s="10">
        <f>CHOOSE(MATCH(Tableau143[[#This Row],[Angle_p]],{-50,-14.9,-4.9,50},1),3,1,0)</f>
        <v>0</v>
      </c>
      <c r="O52" s="1">
        <v>1.75</v>
      </c>
      <c r="P52" s="1">
        <v>1.28</v>
      </c>
      <c r="Q52" s="5">
        <f t="shared" si="3"/>
        <v>0.73142857142857143</v>
      </c>
      <c r="R52" s="10">
        <f>CHOOSE(MATCH(Tableau143[[#This Row],[Ratio_Torg]],{0,0.59,0.79,1.5},1),3,1,0)</f>
        <v>1</v>
      </c>
      <c r="S52" s="18">
        <v>2</v>
      </c>
      <c r="T52" s="28">
        <v>1</v>
      </c>
      <c r="U52" s="7">
        <v>43683</v>
      </c>
      <c r="V52" s="3">
        <f t="shared" si="4"/>
        <v>13.96</v>
      </c>
      <c r="W52" s="12">
        <v>13</v>
      </c>
      <c r="X52" s="1">
        <v>2</v>
      </c>
      <c r="Y52" s="1">
        <v>3</v>
      </c>
      <c r="Z52" s="1">
        <v>2</v>
      </c>
      <c r="AA52" s="1">
        <v>1</v>
      </c>
      <c r="AB52" s="1">
        <v>2</v>
      </c>
      <c r="AC52" s="1">
        <v>3</v>
      </c>
      <c r="AF52" s="1"/>
    </row>
    <row r="53" spans="1:32" x14ac:dyDescent="0.25">
      <c r="A53" s="3">
        <v>70</v>
      </c>
      <c r="B53" s="3" t="s">
        <v>93</v>
      </c>
      <c r="C53" s="2">
        <v>44117</v>
      </c>
      <c r="D53" s="1" t="s">
        <v>9</v>
      </c>
      <c r="E53" s="4">
        <f>Tableau143[[#This Row],[Pts_Fujiwara]]+Tableau143[[#This Row],[ HT2]]+Tableau143[[#This Row],[LCR]]+Tableau143[[#This Row],[Points_angle_p]]+Tableau143[[#This Row],[Point_Torg]]</f>
        <v>13</v>
      </c>
      <c r="F53" s="4">
        <f>SUM(Tableau143[[#This Row],[Pts_Fujiwara]],Tableau143[[#This Row],[ HT2]],Tableau143[[#This Row],[LCR]],Tableau143[[#This Row],[Points_angle_p]],Tableau143[[#This Row],[Point_Torg]],Tableau143[[#This Row],[Pts_sténoses]])</f>
        <v>17</v>
      </c>
      <c r="G53" s="1">
        <v>1.54</v>
      </c>
      <c r="H53" s="1">
        <v>0.28999999999999998</v>
      </c>
      <c r="I53" s="5">
        <f t="shared" si="5"/>
        <v>0.18831168831168829</v>
      </c>
      <c r="J53" s="9">
        <v>4</v>
      </c>
      <c r="K53" s="10">
        <v>4</v>
      </c>
      <c r="L53" s="10">
        <v>4</v>
      </c>
      <c r="M53" s="1">
        <v>12.9</v>
      </c>
      <c r="N53" s="10">
        <f>CHOOSE(MATCH(Tableau143[[#This Row],[Angle_p]],{-50,-14.9,-4.9,50},1),3,1,0)</f>
        <v>0</v>
      </c>
      <c r="O53" s="1">
        <v>1.65</v>
      </c>
      <c r="P53" s="1">
        <v>1.25</v>
      </c>
      <c r="Q53" s="5">
        <f t="shared" si="3"/>
        <v>0.75757575757575757</v>
      </c>
      <c r="R53" s="10">
        <f>CHOOSE(MATCH(Tableau143[[#This Row],[Ratio_Torg]],{0,0.59,0.79,1.5},1),3,1,0)</f>
        <v>1</v>
      </c>
      <c r="S53" s="18">
        <v>3</v>
      </c>
      <c r="T53" s="24">
        <v>4</v>
      </c>
      <c r="U53" s="7">
        <v>44236</v>
      </c>
      <c r="V53" s="3">
        <f t="shared" si="4"/>
        <v>7.73</v>
      </c>
      <c r="W53" s="12">
        <v>6</v>
      </c>
      <c r="X53" s="1">
        <v>2</v>
      </c>
      <c r="Y53" s="1">
        <v>1</v>
      </c>
      <c r="Z53" s="1">
        <v>1</v>
      </c>
      <c r="AA53" s="1">
        <v>1</v>
      </c>
      <c r="AB53" s="1">
        <v>1</v>
      </c>
      <c r="AC53" s="1">
        <v>0</v>
      </c>
      <c r="AF53" s="1"/>
    </row>
    <row r="54" spans="1:32" x14ac:dyDescent="0.25">
      <c r="A54" s="3">
        <v>68</v>
      </c>
      <c r="B54" s="3" t="s">
        <v>25</v>
      </c>
      <c r="C54" s="2">
        <v>43315</v>
      </c>
      <c r="D54" s="1" t="s">
        <v>14</v>
      </c>
      <c r="E54" s="4">
        <f>Tableau143[[#This Row],[Pts_Fujiwara]]+Tableau143[[#This Row],[ HT2]]+Tableau143[[#This Row],[LCR]]+Tableau143[[#This Row],[Points_angle_p]]+Tableau143[[#This Row],[Point_Torg]]</f>
        <v>8</v>
      </c>
      <c r="F54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54" s="1">
        <v>1.06</v>
      </c>
      <c r="H54" s="1">
        <v>0.32</v>
      </c>
      <c r="I54" s="5">
        <f t="shared" si="5"/>
        <v>0.30188679245283018</v>
      </c>
      <c r="J54" s="9">
        <v>3</v>
      </c>
      <c r="K54" s="10">
        <v>2</v>
      </c>
      <c r="L54" s="10">
        <v>2</v>
      </c>
      <c r="M54" s="1">
        <v>16</v>
      </c>
      <c r="N54" s="10">
        <f>CHOOSE(MATCH(Tableau143[[#This Row],[Angle_p]],{-50,-14.9,-4.9,50},1),3,1,0)</f>
        <v>0</v>
      </c>
      <c r="O54" s="1">
        <v>1.63</v>
      </c>
      <c r="P54" s="1">
        <v>1.24</v>
      </c>
      <c r="Q54" s="5">
        <f t="shared" si="3"/>
        <v>0.76073619631901845</v>
      </c>
      <c r="R54" s="10">
        <f>CHOOSE(MATCH(Tableau143[[#This Row],[Ratio_Torg]],{0,0.59,0.79,1.5},1),3,1,0)</f>
        <v>1</v>
      </c>
      <c r="S54" s="19">
        <v>2</v>
      </c>
      <c r="T54" s="28">
        <v>1</v>
      </c>
      <c r="U54" s="7">
        <v>43171</v>
      </c>
      <c r="V54" s="3">
        <f t="shared" si="4"/>
        <v>8.620000000000001</v>
      </c>
      <c r="W54" s="12">
        <v>7</v>
      </c>
      <c r="AF54" s="1"/>
    </row>
    <row r="55" spans="1:32" x14ac:dyDescent="0.25">
      <c r="A55" s="3">
        <v>71</v>
      </c>
      <c r="B55" s="3" t="s">
        <v>97</v>
      </c>
      <c r="C55" s="2">
        <v>43696</v>
      </c>
      <c r="D55" s="1" t="s">
        <v>17</v>
      </c>
      <c r="E55" s="4">
        <f>Tableau143[[#This Row],[Pts_Fujiwara]]+Tableau143[[#This Row],[ HT2]]+Tableau143[[#This Row],[LCR]]+Tableau143[[#This Row],[Points_angle_p]]+Tableau143[[#This Row],[Point_Torg]]</f>
        <v>11</v>
      </c>
      <c r="F55" s="4">
        <f>SUM(Tableau143[[#This Row],[Pts_Fujiwara]],Tableau143[[#This Row],[ HT2]],Tableau143[[#This Row],[LCR]],Tableau143[[#This Row],[Points_angle_p]],Tableau143[[#This Row],[Point_Torg]],Tableau143[[#This Row],[Pts_sténoses]])</f>
        <v>15</v>
      </c>
      <c r="G55" s="1">
        <v>1.44</v>
      </c>
      <c r="H55" s="1">
        <v>0.31</v>
      </c>
      <c r="I55" s="5">
        <f t="shared" si="5"/>
        <v>0.21527777777777779</v>
      </c>
      <c r="J55" s="9">
        <v>4</v>
      </c>
      <c r="K55" s="10">
        <v>2</v>
      </c>
      <c r="L55" s="10">
        <v>4</v>
      </c>
      <c r="M55" s="1">
        <v>10</v>
      </c>
      <c r="N55" s="10">
        <f>CHOOSE(MATCH(Tableau143[[#This Row],[Angle_p]],{-50,-14.9,-4.9,50},1),3,1,0)</f>
        <v>0</v>
      </c>
      <c r="O55" s="1">
        <v>1.66</v>
      </c>
      <c r="P55" s="1">
        <v>1.31</v>
      </c>
      <c r="Q55" s="5">
        <f t="shared" si="3"/>
        <v>0.78915662650602414</v>
      </c>
      <c r="R55" s="10">
        <f>CHOOSE(MATCH(Tableau143[[#This Row],[Ratio_Torg]],{0,0.59,0.79,1.5},1),3,1,0)</f>
        <v>1</v>
      </c>
      <c r="S55" s="19">
        <v>3</v>
      </c>
      <c r="T55" s="24">
        <v>4</v>
      </c>
      <c r="U55" s="7">
        <v>43480</v>
      </c>
      <c r="V55" s="3">
        <f t="shared" si="4"/>
        <v>13.96</v>
      </c>
      <c r="W55" s="12">
        <v>13</v>
      </c>
      <c r="X55" s="1">
        <v>3</v>
      </c>
      <c r="Y55" s="1">
        <v>3</v>
      </c>
      <c r="Z55" s="1">
        <v>1</v>
      </c>
      <c r="AA55" s="1">
        <v>2</v>
      </c>
      <c r="AB55" s="1">
        <v>2</v>
      </c>
      <c r="AC55" s="1">
        <v>2</v>
      </c>
      <c r="AF55" s="1"/>
    </row>
    <row r="56" spans="1:32" x14ac:dyDescent="0.25">
      <c r="A56" s="3">
        <v>50</v>
      </c>
      <c r="B56" s="3" t="s">
        <v>87</v>
      </c>
      <c r="C56" s="2">
        <v>43588</v>
      </c>
      <c r="D56" s="1" t="s">
        <v>14</v>
      </c>
      <c r="E56" s="4">
        <f>Tableau143[[#This Row],[Pts_Fujiwara]]+Tableau143[[#This Row],[ HT2]]+Tableau143[[#This Row],[LCR]]+Tableau143[[#This Row],[Points_angle_p]]+Tableau143[[#This Row],[Point_Torg]]</f>
        <v>7</v>
      </c>
      <c r="F56" s="4">
        <f>SUM(Tableau143[[#This Row],[Pts_Fujiwara]],Tableau143[[#This Row],[ HT2]],Tableau143[[#This Row],[LCR]],Tableau143[[#This Row],[Points_angle_p]],Tableau143[[#This Row],[Point_Torg]],Tableau143[[#This Row],[Pts_sténoses]])</f>
        <v>8</v>
      </c>
      <c r="G56" s="1">
        <v>1.48</v>
      </c>
      <c r="H56" s="1">
        <v>0.56999999999999995</v>
      </c>
      <c r="I56" s="5">
        <f t="shared" si="5"/>
        <v>0.38513513513513509</v>
      </c>
      <c r="J56" s="9">
        <v>3</v>
      </c>
      <c r="K56" s="10">
        <v>2</v>
      </c>
      <c r="L56" s="10">
        <v>2</v>
      </c>
      <c r="M56" s="1">
        <v>4</v>
      </c>
      <c r="N56" s="10">
        <f>CHOOSE(MATCH(Tableau143[[#This Row],[Angle_p]],{-50,-14.9,-4.9,50},1),3,1,0)</f>
        <v>0</v>
      </c>
      <c r="O56" s="1">
        <v>1.64</v>
      </c>
      <c r="P56" s="1">
        <v>1.36</v>
      </c>
      <c r="Q56" s="5">
        <f t="shared" si="3"/>
        <v>0.8292682926829269</v>
      </c>
      <c r="R56" s="10">
        <f>CHOOSE(MATCH(Tableau143[[#This Row],[Ratio_Torg]],{0,0.59,0.79,1.5},1),3,1,0)</f>
        <v>0</v>
      </c>
      <c r="S56" s="19">
        <v>2</v>
      </c>
      <c r="T56" s="28">
        <v>1</v>
      </c>
      <c r="U56" s="7">
        <v>43804</v>
      </c>
      <c r="V56" s="3">
        <f t="shared" si="4"/>
        <v>10.4</v>
      </c>
      <c r="W56" s="12">
        <v>9</v>
      </c>
      <c r="X56" s="1">
        <v>3</v>
      </c>
      <c r="Y56" s="1">
        <v>3</v>
      </c>
      <c r="Z56" s="1">
        <v>1</v>
      </c>
      <c r="AA56" s="1">
        <v>1</v>
      </c>
      <c r="AB56" s="1">
        <v>1</v>
      </c>
      <c r="AC56" s="1">
        <v>0</v>
      </c>
      <c r="AF56" s="1"/>
    </row>
    <row r="57" spans="1:32" x14ac:dyDescent="0.25">
      <c r="A57" s="3">
        <v>67</v>
      </c>
      <c r="B57" s="3" t="s">
        <v>15</v>
      </c>
      <c r="C57" s="2">
        <v>43537</v>
      </c>
      <c r="D57" s="1" t="s">
        <v>9</v>
      </c>
      <c r="E57" s="4">
        <f>Tableau143[[#This Row],[Pts_Fujiwara]]+Tableau143[[#This Row],[ HT2]]+Tableau143[[#This Row],[LCR]]+Tableau143[[#This Row],[Points_angle_p]]+Tableau143[[#This Row],[Point_Torg]]</f>
        <v>5</v>
      </c>
      <c r="F57" s="4">
        <f>SUM(Tableau143[[#This Row],[Pts_Fujiwara]],Tableau143[[#This Row],[ HT2]],Tableau143[[#This Row],[LCR]],Tableau143[[#This Row],[Points_angle_p]],Tableau143[[#This Row],[Point_Torg]],Tableau143[[#This Row],[Pts_sténoses]])</f>
        <v>5</v>
      </c>
      <c r="G57" s="1">
        <v>1.27</v>
      </c>
      <c r="H57" s="1">
        <v>0.48</v>
      </c>
      <c r="I57" s="5">
        <f t="shared" si="5"/>
        <v>0.37795275590551181</v>
      </c>
      <c r="J57" s="9">
        <v>3</v>
      </c>
      <c r="K57" s="10">
        <v>0</v>
      </c>
      <c r="L57" s="10">
        <v>2</v>
      </c>
      <c r="M57" s="1">
        <v>5</v>
      </c>
      <c r="N57" s="10">
        <f>CHOOSE(MATCH(Tableau143[[#This Row],[Angle_p]],{-50,-14.9,-4.9,50},1),3,1,0)</f>
        <v>0</v>
      </c>
      <c r="O57" s="1">
        <v>1.35</v>
      </c>
      <c r="P57" s="1">
        <v>1.1200000000000001</v>
      </c>
      <c r="Q57" s="5">
        <f t="shared" si="3"/>
        <v>0.82962962962962961</v>
      </c>
      <c r="R57" s="10">
        <f>CHOOSE(MATCH(Tableau143[[#This Row],[Ratio_Torg]],{0,0.59,0.79,1.5},1),3,1,0)</f>
        <v>0</v>
      </c>
      <c r="S57" s="18">
        <v>1</v>
      </c>
      <c r="T57" s="24">
        <v>0</v>
      </c>
      <c r="U57" s="7">
        <v>43670</v>
      </c>
      <c r="V57" s="3">
        <f t="shared" si="4"/>
        <v>16.63</v>
      </c>
      <c r="W57" s="12">
        <v>16</v>
      </c>
      <c r="AF57" s="1"/>
    </row>
    <row r="58" spans="1:32" x14ac:dyDescent="0.25">
      <c r="A58" s="3">
        <v>72</v>
      </c>
      <c r="B58" s="3" t="s">
        <v>11</v>
      </c>
      <c r="C58" s="2">
        <v>43356</v>
      </c>
      <c r="D58" s="1" t="s">
        <v>12</v>
      </c>
      <c r="E58" s="4">
        <f>Tableau143[[#This Row],[Pts_Fujiwara]]+Tableau143[[#This Row],[ HT2]]+Tableau143[[#This Row],[LCR]]+Tableau143[[#This Row],[Points_angle_p]]+Tableau143[[#This Row],[Point_Torg]]</f>
        <v>9</v>
      </c>
      <c r="F58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58" s="1">
        <v>1.47</v>
      </c>
      <c r="H58" s="1">
        <v>0.43</v>
      </c>
      <c r="I58" s="5">
        <f t="shared" si="5"/>
        <v>0.29251700680272108</v>
      </c>
      <c r="J58" s="9">
        <v>4</v>
      </c>
      <c r="K58" s="10">
        <v>4</v>
      </c>
      <c r="L58" s="10">
        <v>1</v>
      </c>
      <c r="M58" s="1">
        <v>8</v>
      </c>
      <c r="N58" s="10">
        <f>CHOOSE(MATCH(Tableau143[[#This Row],[Angle_p]],{-50,-14.9,-4.9,50},1),3,1,0)</f>
        <v>0</v>
      </c>
      <c r="O58" s="1">
        <v>1.39</v>
      </c>
      <c r="P58" s="1">
        <v>1.25</v>
      </c>
      <c r="Q58" s="5">
        <f t="shared" si="3"/>
        <v>0.89928057553956842</v>
      </c>
      <c r="R58" s="10">
        <f>CHOOSE(MATCH(Tableau143[[#This Row],[Ratio_Torg]],{0,0.59,0.79,1.5},1),3,1,0)</f>
        <v>0</v>
      </c>
      <c r="S58" s="18">
        <v>1</v>
      </c>
      <c r="T58" s="24">
        <v>0</v>
      </c>
      <c r="U58" s="7">
        <v>43698</v>
      </c>
      <c r="V58" s="3">
        <f t="shared" si="4"/>
        <v>13.96</v>
      </c>
      <c r="W58" s="12">
        <v>13</v>
      </c>
      <c r="AF58" s="1"/>
    </row>
    <row r="59" spans="1:32" x14ac:dyDescent="0.25">
      <c r="A59" s="3">
        <v>68</v>
      </c>
      <c r="B59" s="3" t="s">
        <v>95</v>
      </c>
      <c r="C59" s="2">
        <v>44056</v>
      </c>
      <c r="D59" s="1" t="s">
        <v>14</v>
      </c>
      <c r="E59" s="4">
        <f>Tableau143[[#This Row],[Pts_Fujiwara]]+Tableau143[[#This Row],[ HT2]]+Tableau143[[#This Row],[LCR]]+Tableau143[[#This Row],[Points_angle_p]]+Tableau143[[#This Row],[Point_Torg]]</f>
        <v>7</v>
      </c>
      <c r="F59" s="4">
        <f>SUM(Tableau143[[#This Row],[Pts_Fujiwara]],Tableau143[[#This Row],[ HT2]],Tableau143[[#This Row],[LCR]],Tableau143[[#This Row],[Points_angle_p]],Tableau143[[#This Row],[Point_Torg]],Tableau143[[#This Row],[Pts_sténoses]])</f>
        <v>7</v>
      </c>
      <c r="G59" s="1">
        <v>1.32</v>
      </c>
      <c r="H59" s="1">
        <v>0.53</v>
      </c>
      <c r="I59" s="5">
        <f t="shared" si="5"/>
        <v>0.40151515151515149</v>
      </c>
      <c r="J59" s="9">
        <f>CHOOSE(MATCH(Tableau143[[#This Row],[Fujiwara_P]],{0,0.39,0.49,1},1),3,1,0)</f>
        <v>1</v>
      </c>
      <c r="K59" s="10">
        <v>4</v>
      </c>
      <c r="L59" s="10">
        <v>1</v>
      </c>
      <c r="M59" s="1">
        <v>-15.9</v>
      </c>
      <c r="N59" s="10">
        <v>1</v>
      </c>
      <c r="O59" s="1">
        <v>1.72</v>
      </c>
      <c r="P59" s="1">
        <v>1.59</v>
      </c>
      <c r="Q59" s="5">
        <f t="shared" si="3"/>
        <v>0.92441860465116288</v>
      </c>
      <c r="R59" s="10">
        <f>CHOOSE(MATCH(Tableau143[[#This Row],[Ratio_Torg]],{0,0.59,0.79,1.5},1),3,1,0)</f>
        <v>0</v>
      </c>
      <c r="S59" s="19">
        <v>1</v>
      </c>
      <c r="T59" s="24">
        <v>0</v>
      </c>
      <c r="U59" s="7">
        <v>44056</v>
      </c>
      <c r="V59" s="3">
        <f t="shared" si="4"/>
        <v>13.96</v>
      </c>
      <c r="W59" s="12">
        <v>13</v>
      </c>
      <c r="X59" s="1">
        <v>4</v>
      </c>
      <c r="Y59" s="1">
        <v>1</v>
      </c>
      <c r="Z59" s="1">
        <v>2</v>
      </c>
      <c r="AA59" s="1">
        <v>1</v>
      </c>
      <c r="AB59" s="1">
        <v>2</v>
      </c>
      <c r="AC59" s="1">
        <v>3</v>
      </c>
      <c r="AF59" s="1"/>
    </row>
    <row r="60" spans="1:32" x14ac:dyDescent="0.25">
      <c r="A60" s="3">
        <v>56</v>
      </c>
      <c r="B60" s="3" t="s">
        <v>110</v>
      </c>
      <c r="C60" s="2">
        <v>43801</v>
      </c>
      <c r="D60" s="1" t="s">
        <v>17</v>
      </c>
      <c r="E60" s="4">
        <f>Tableau143[[#This Row],[Pts_Fujiwara]]+Tableau143[[#This Row],[ HT2]]+Tableau143[[#This Row],[LCR]]+Tableau143[[#This Row],[Points_angle_p]]+Tableau143[[#This Row],[Point_Torg]]</f>
        <v>9</v>
      </c>
      <c r="F60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60" s="1">
        <v>1.38</v>
      </c>
      <c r="H60" s="1">
        <v>0.63</v>
      </c>
      <c r="I60" s="5">
        <f t="shared" si="5"/>
        <v>0.45652173913043481</v>
      </c>
      <c r="J60" s="9">
        <f>CHOOSE(MATCH(Tableau143[[#This Row],[Fujiwara_P]],{0,0.39,0.49,1},1),3,1,0)</f>
        <v>1</v>
      </c>
      <c r="K60" s="10">
        <v>4</v>
      </c>
      <c r="L60" s="10">
        <v>4</v>
      </c>
      <c r="M60" s="1">
        <v>14.5</v>
      </c>
      <c r="N60" s="10">
        <f>CHOOSE(MATCH(Tableau143[[#This Row],[Angle_p]],{-50,-14.9,-4.9,50},1),3,1,0)</f>
        <v>0</v>
      </c>
      <c r="O60" s="1">
        <v>1.58</v>
      </c>
      <c r="P60" s="1">
        <v>1.55</v>
      </c>
      <c r="Q60" s="5">
        <f t="shared" si="3"/>
        <v>0.98101265822784811</v>
      </c>
      <c r="R60" s="10">
        <f>CHOOSE(MATCH(Tableau143[[#This Row],[Ratio_Torg]],{0,0.59,0.79,1.5},1),3,1,0)</f>
        <v>0</v>
      </c>
      <c r="S60" s="18">
        <v>1</v>
      </c>
      <c r="T60" s="24">
        <v>0</v>
      </c>
      <c r="U60" s="7">
        <v>43901</v>
      </c>
      <c r="V60" s="3">
        <f t="shared" si="4"/>
        <v>13.96</v>
      </c>
      <c r="W60" s="12">
        <v>13</v>
      </c>
      <c r="X60" s="1">
        <v>4</v>
      </c>
      <c r="Y60" s="1">
        <v>1</v>
      </c>
      <c r="Z60" s="1">
        <v>2</v>
      </c>
      <c r="AA60" s="1">
        <v>1</v>
      </c>
      <c r="AB60" s="1">
        <v>2</v>
      </c>
      <c r="AC60" s="1">
        <v>3</v>
      </c>
      <c r="AF60" s="1"/>
    </row>
    <row r="61" spans="1:32" x14ac:dyDescent="0.25">
      <c r="A61" s="3">
        <v>76</v>
      </c>
      <c r="B61" s="3" t="s">
        <v>88</v>
      </c>
      <c r="C61" s="2">
        <v>44202</v>
      </c>
      <c r="D61" s="1" t="s">
        <v>14</v>
      </c>
      <c r="E61" s="4">
        <f>Tableau143[[#This Row],[Pts_Fujiwara]]+Tableau143[[#This Row],[ HT2]]+Tableau143[[#This Row],[LCR]]+Tableau143[[#This Row],[Points_angle_p]]+Tableau143[[#This Row],[Point_Torg]]</f>
        <v>12</v>
      </c>
      <c r="F61" s="4">
        <f>SUM(Tableau143[[#This Row],[Pts_Fujiwara]],Tableau143[[#This Row],[ HT2]],Tableau143[[#This Row],[LCR]],Tableau143[[#This Row],[Points_angle_p]],Tableau143[[#This Row],[Point_Torg]],Tableau143[[#This Row],[Pts_sténoses]])</f>
        <v>16</v>
      </c>
      <c r="G61" s="1">
        <v>1.27</v>
      </c>
      <c r="H61" s="1">
        <v>0.28999999999999998</v>
      </c>
      <c r="I61" s="5">
        <f t="shared" si="5"/>
        <v>0.22834645669291337</v>
      </c>
      <c r="J61" s="9">
        <v>4</v>
      </c>
      <c r="K61" s="10">
        <v>4</v>
      </c>
      <c r="L61" s="10">
        <v>4</v>
      </c>
      <c r="M61" s="1">
        <v>16.399999999999999</v>
      </c>
      <c r="N61" s="10">
        <f>CHOOSE(MATCH(Tableau143[[#This Row],[Angle_p]],{-50,-14.9,-4.9,50},1),3,1,0)</f>
        <v>0</v>
      </c>
      <c r="O61" s="1">
        <v>1.51</v>
      </c>
      <c r="P61" s="1">
        <v>1.49</v>
      </c>
      <c r="Q61" s="5">
        <f t="shared" si="3"/>
        <v>0.98675496688741726</v>
      </c>
      <c r="R61" s="10">
        <f>CHOOSE(MATCH(Tableau143[[#This Row],[Ratio_Torg]],{0,0.59,0.79,1.5},1),3,1,0)</f>
        <v>0</v>
      </c>
      <c r="S61" s="18">
        <v>3</v>
      </c>
      <c r="T61" s="24">
        <v>4</v>
      </c>
      <c r="U61" s="7">
        <v>44207</v>
      </c>
      <c r="V61" s="3">
        <f t="shared" si="4"/>
        <v>10.4</v>
      </c>
      <c r="W61" s="12">
        <v>9</v>
      </c>
      <c r="X61" s="1">
        <v>1</v>
      </c>
      <c r="Y61" s="1">
        <v>1</v>
      </c>
      <c r="Z61" s="1">
        <v>1</v>
      </c>
      <c r="AA61" s="1">
        <v>2</v>
      </c>
      <c r="AB61" s="1">
        <v>1</v>
      </c>
      <c r="AC61" s="1">
        <v>3</v>
      </c>
      <c r="AF61" s="1"/>
    </row>
    <row r="62" spans="1:32" x14ac:dyDescent="0.25">
      <c r="A62" s="3">
        <v>76</v>
      </c>
      <c r="B62" s="3" t="s">
        <v>109</v>
      </c>
      <c r="C62" s="2">
        <v>43844</v>
      </c>
      <c r="D62" s="1" t="s">
        <v>17</v>
      </c>
      <c r="E62" s="4">
        <f>Tableau143[[#This Row],[Pts_Fujiwara]]+Tableau143[[#This Row],[ HT2]]+Tableau143[[#This Row],[LCR]]+Tableau143[[#This Row],[Points_angle_p]]+Tableau143[[#This Row],[Point_Torg]]</f>
        <v>8</v>
      </c>
      <c r="F62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62" s="1">
        <v>1.38</v>
      </c>
      <c r="H62" s="1">
        <v>0.4</v>
      </c>
      <c r="I62" s="5">
        <f t="shared" si="5"/>
        <v>0.28985507246376818</v>
      </c>
      <c r="J62" s="9">
        <v>4</v>
      </c>
      <c r="K62" s="10">
        <v>0</v>
      </c>
      <c r="L62" s="10">
        <v>4</v>
      </c>
      <c r="M62" s="1">
        <v>0.4</v>
      </c>
      <c r="N62" s="10">
        <f>CHOOSE(MATCH(Tableau143[[#This Row],[Angle_p]],{-50,-14.9,-4.9,50},1),3,1,0)</f>
        <v>0</v>
      </c>
      <c r="O62" s="1">
        <v>1.34</v>
      </c>
      <c r="P62" s="1">
        <v>1.37</v>
      </c>
      <c r="Q62" s="5">
        <f t="shared" si="3"/>
        <v>1.0223880597014925</v>
      </c>
      <c r="R62" s="10">
        <f>CHOOSE(MATCH(Tableau143[[#This Row],[Ratio_Torg]],{0,0.59,0.79,1.5},1),3,1,0)</f>
        <v>0</v>
      </c>
      <c r="S62" s="19">
        <v>2</v>
      </c>
      <c r="T62" s="28">
        <v>1</v>
      </c>
      <c r="U62" s="7">
        <v>43978</v>
      </c>
      <c r="V62" s="3">
        <f t="shared" si="4"/>
        <v>13.07</v>
      </c>
      <c r="W62" s="12">
        <v>12</v>
      </c>
      <c r="X62" s="1">
        <v>4</v>
      </c>
      <c r="Y62" s="1">
        <v>1</v>
      </c>
      <c r="Z62" s="1">
        <v>2</v>
      </c>
      <c r="AA62" s="1">
        <v>1</v>
      </c>
      <c r="AB62" s="1">
        <v>2</v>
      </c>
      <c r="AC62" s="1">
        <v>2</v>
      </c>
      <c r="AF62" s="1"/>
    </row>
    <row r="63" spans="1:32" x14ac:dyDescent="0.25">
      <c r="A63" s="3">
        <v>73</v>
      </c>
      <c r="B63" s="3" t="s">
        <v>96</v>
      </c>
      <c r="C63" s="2">
        <v>44011</v>
      </c>
      <c r="D63" s="1" t="s">
        <v>17</v>
      </c>
      <c r="E63" s="4">
        <f>Tableau143[[#This Row],[Pts_Fujiwara]]+Tableau143[[#This Row],[ HT2]]+Tableau143[[#This Row],[LCR]]+Tableau143[[#This Row],[Points_angle_p]]+Tableau143[[#This Row],[Point_Torg]]</f>
        <v>11</v>
      </c>
      <c r="F63" s="4">
        <f>SUM(Tableau143[[#This Row],[Pts_Fujiwara]],Tableau143[[#This Row],[ HT2]],Tableau143[[#This Row],[LCR]],Tableau143[[#This Row],[Points_angle_p]],Tableau143[[#This Row],[Point_Torg]],Tableau143[[#This Row],[Pts_sténoses]])</f>
        <v>12</v>
      </c>
      <c r="G63" s="1">
        <v>1.54</v>
      </c>
      <c r="H63" s="1">
        <v>0.51</v>
      </c>
      <c r="I63" s="5">
        <f t="shared" si="5"/>
        <v>0.33116883116883117</v>
      </c>
      <c r="J63" s="9">
        <v>3</v>
      </c>
      <c r="K63" s="10">
        <v>4</v>
      </c>
      <c r="L63" s="10">
        <v>4</v>
      </c>
      <c r="M63" s="1">
        <v>0</v>
      </c>
      <c r="N63" s="10">
        <f>CHOOSE(MATCH(Tableau143[[#This Row],[Angle_p]],{-50,-14.9,-4.9,50},1),3,1,0)</f>
        <v>0</v>
      </c>
      <c r="O63" s="1">
        <v>1.29</v>
      </c>
      <c r="P63" s="1">
        <v>1.45</v>
      </c>
      <c r="Q63" s="5">
        <f t="shared" si="3"/>
        <v>1.124031007751938</v>
      </c>
      <c r="R63" s="10">
        <f>CHOOSE(MATCH(Tableau143[[#This Row],[Ratio_Torg]],{0,0.59,0.79,1.5},1),3,1,0)</f>
        <v>0</v>
      </c>
      <c r="S63" s="19">
        <v>2</v>
      </c>
      <c r="T63" s="28">
        <v>1</v>
      </c>
      <c r="U63" s="7">
        <v>44125</v>
      </c>
      <c r="V63" s="3">
        <f t="shared" si="4"/>
        <v>13.96</v>
      </c>
      <c r="W63" s="12">
        <v>13</v>
      </c>
      <c r="X63" s="1">
        <v>3</v>
      </c>
      <c r="Y63" s="1">
        <v>3</v>
      </c>
      <c r="Z63" s="1">
        <v>1</v>
      </c>
      <c r="AA63" s="1">
        <v>2</v>
      </c>
      <c r="AB63" s="1">
        <v>2</v>
      </c>
      <c r="AC63" s="1">
        <v>2</v>
      </c>
      <c r="AF63" s="1"/>
    </row>
    <row r="64" spans="1:32" x14ac:dyDescent="0.25">
      <c r="A64" s="3">
        <v>59</v>
      </c>
      <c r="B64" s="3" t="s">
        <v>50</v>
      </c>
      <c r="C64" s="2">
        <v>43194</v>
      </c>
      <c r="D64" s="1" t="s">
        <v>17</v>
      </c>
      <c r="E64" s="4">
        <f>Tableau143[[#This Row],[Pts_Fujiwara]]+Tableau143[[#This Row],[ HT2]]+Tableau143[[#This Row],[LCR]]+Tableau143[[#This Row],[Points_angle_p]]+Tableau143[[#This Row],[Point_Torg]]</f>
        <v>12</v>
      </c>
      <c r="F64" s="4">
        <f>SUM(Tableau143[[#This Row],[Pts_Fujiwara]],Tableau143[[#This Row],[ HT2]],Tableau143[[#This Row],[LCR]],Tableau143[[#This Row],[Points_angle_p]],Tableau143[[#This Row],[Point_Torg]],Tableau143[[#This Row],[Pts_sténoses]])</f>
        <v>13</v>
      </c>
      <c r="G64" s="1">
        <v>1.6</v>
      </c>
      <c r="H64" s="1">
        <v>0.45</v>
      </c>
      <c r="I64" s="5">
        <f t="shared" si="5"/>
        <v>0.28125</v>
      </c>
      <c r="J64" s="9">
        <v>4</v>
      </c>
      <c r="K64" s="10">
        <v>2</v>
      </c>
      <c r="L64" s="10">
        <v>4</v>
      </c>
      <c r="M64" s="1">
        <v>13</v>
      </c>
      <c r="N64" s="10">
        <f>CHOOSE(MATCH(Tableau143[[#This Row],[Angle_p]],{-50,-14.9,-4.9,50},1),3,1,0)</f>
        <v>0</v>
      </c>
      <c r="O64" s="1">
        <v>1.73</v>
      </c>
      <c r="P64" s="1">
        <v>1</v>
      </c>
      <c r="Q64" s="5">
        <f t="shared" si="3"/>
        <v>0.5780346820809249</v>
      </c>
      <c r="R64" s="10">
        <v>2</v>
      </c>
      <c r="S64" s="18">
        <v>2</v>
      </c>
      <c r="T64" s="28">
        <v>1</v>
      </c>
      <c r="U64" s="7">
        <v>43416</v>
      </c>
      <c r="V64" s="3">
        <f t="shared" si="4"/>
        <v>13.96</v>
      </c>
      <c r="W64" s="12">
        <v>13</v>
      </c>
      <c r="AF64" s="1"/>
    </row>
    <row r="65" spans="1:32" x14ac:dyDescent="0.25">
      <c r="A65" s="3">
        <v>84</v>
      </c>
      <c r="B65" s="3" t="s">
        <v>31</v>
      </c>
      <c r="C65" s="2">
        <v>43627</v>
      </c>
      <c r="D65" s="1" t="s">
        <v>14</v>
      </c>
      <c r="E65" s="4">
        <f>Tableau143[[#This Row],[Pts_Fujiwara]]+Tableau143[[#This Row],[ HT2]]+Tableau143[[#This Row],[LCR]]+Tableau143[[#This Row],[Points_angle_p]]+Tableau143[[#This Row],[Point_Torg]]</f>
        <v>13</v>
      </c>
      <c r="F65" s="4">
        <f>SUM(Tableau143[[#This Row],[Pts_Fujiwara]],Tableau143[[#This Row],[ HT2]],Tableau143[[#This Row],[LCR]],Tableau143[[#This Row],[Points_angle_p]],Tableau143[[#This Row],[Point_Torg]],Tableau143[[#This Row],[Pts_sténoses]])</f>
        <v>17</v>
      </c>
      <c r="G65" s="1">
        <v>1.45</v>
      </c>
      <c r="H65" s="1">
        <v>0.42</v>
      </c>
      <c r="I65" s="5">
        <f t="shared" si="5"/>
        <v>0.28965517241379313</v>
      </c>
      <c r="J65" s="9">
        <v>4</v>
      </c>
      <c r="K65" s="10">
        <v>4</v>
      </c>
      <c r="L65" s="10">
        <v>4</v>
      </c>
      <c r="M65" s="1">
        <v>3.2</v>
      </c>
      <c r="N65" s="10">
        <f>CHOOSE(MATCH(Tableau143[[#This Row],[Angle_p]],{-50,-14.9,-4.9,50},1),3,1,0)</f>
        <v>0</v>
      </c>
      <c r="O65" s="1">
        <v>1.57</v>
      </c>
      <c r="P65" s="1">
        <v>1.02</v>
      </c>
      <c r="Q65" s="5">
        <f t="shared" si="3"/>
        <v>0.64968152866242035</v>
      </c>
      <c r="R65" s="10">
        <f>CHOOSE(MATCH(Tableau143[[#This Row],[Ratio_Torg]],{0,0.59,0.79,1.5},1),3,1,0)</f>
        <v>1</v>
      </c>
      <c r="S65" s="19">
        <v>4</v>
      </c>
      <c r="T65" s="24">
        <v>4</v>
      </c>
      <c r="U65" s="7">
        <v>43633</v>
      </c>
      <c r="V65" s="3">
        <f t="shared" si="4"/>
        <v>13.07</v>
      </c>
      <c r="W65" s="12">
        <v>12</v>
      </c>
      <c r="AF65" s="1"/>
    </row>
    <row r="66" spans="1:32" x14ac:dyDescent="0.25">
      <c r="A66" s="3">
        <v>72</v>
      </c>
      <c r="B66" s="3" t="s">
        <v>30</v>
      </c>
      <c r="C66" s="2">
        <v>43637</v>
      </c>
      <c r="D66" s="1" t="s">
        <v>9</v>
      </c>
      <c r="E66" s="4">
        <f>Tableau143[[#This Row],[Pts_Fujiwara]]+Tableau143[[#This Row],[ HT2]]+Tableau143[[#This Row],[LCR]]+Tableau143[[#This Row],[Points_angle_p]]+Tableau143[[#This Row],[Point_Torg]]</f>
        <v>5</v>
      </c>
      <c r="F66" s="4">
        <f>SUM(Tableau143[[#This Row],[Pts_Fujiwara]],Tableau143[[#This Row],[ HT2]],Tableau143[[#This Row],[LCR]],Tableau143[[#This Row],[Points_angle_p]],Tableau143[[#This Row],[Point_Torg]],Tableau143[[#This Row],[Pts_sténoses]])</f>
        <v>5</v>
      </c>
      <c r="G66" s="1">
        <v>1.3</v>
      </c>
      <c r="H66" s="1">
        <v>0.49</v>
      </c>
      <c r="I66" s="5">
        <f t="shared" si="5"/>
        <v>0.37692307692307692</v>
      </c>
      <c r="J66" s="9">
        <v>3</v>
      </c>
      <c r="K66" s="10">
        <v>0</v>
      </c>
      <c r="L66" s="10">
        <v>1</v>
      </c>
      <c r="M66" s="1">
        <v>2</v>
      </c>
      <c r="N66" s="10">
        <f>CHOOSE(MATCH(Tableau143[[#This Row],[Angle_p]],{-50,-14.9,-4.9,50},1),3,1,0)</f>
        <v>0</v>
      </c>
      <c r="O66" s="1">
        <v>1.86</v>
      </c>
      <c r="P66" s="1">
        <v>1.29</v>
      </c>
      <c r="Q66" s="5">
        <f t="shared" ref="Q66:Q97" si="6">P66/O66</f>
        <v>0.69354838709677413</v>
      </c>
      <c r="R66" s="10">
        <f>CHOOSE(MATCH(Tableau143[[#This Row],[Ratio_Torg]],{0,0.59,0.79,1.5},1),3,1,0)</f>
        <v>1</v>
      </c>
      <c r="S66" s="19">
        <v>1</v>
      </c>
      <c r="T66" s="24">
        <v>0</v>
      </c>
      <c r="U66" s="7">
        <v>43559</v>
      </c>
      <c r="V66" s="3">
        <f t="shared" ref="V66:V97" si="7">2.39+0.89*(W66)</f>
        <v>14.850000000000001</v>
      </c>
      <c r="W66" s="12">
        <v>14</v>
      </c>
      <c r="AF66" s="1"/>
    </row>
    <row r="67" spans="1:32" x14ac:dyDescent="0.25">
      <c r="A67" s="3">
        <v>46</v>
      </c>
      <c r="B67" s="3" t="s">
        <v>21</v>
      </c>
      <c r="C67" s="2">
        <v>42431</v>
      </c>
      <c r="D67" s="1" t="s">
        <v>12</v>
      </c>
      <c r="E67" s="4">
        <f>Tableau143[[#This Row],[Pts_Fujiwara]]+Tableau143[[#This Row],[ HT2]]+Tableau143[[#This Row],[LCR]]+Tableau143[[#This Row],[Points_angle_p]]+Tableau143[[#This Row],[Point_Torg]]</f>
        <v>6</v>
      </c>
      <c r="F67" s="4">
        <f>SUM(Tableau143[[#This Row],[Pts_Fujiwara]],Tableau143[[#This Row],[ HT2]],Tableau143[[#This Row],[LCR]],Tableau143[[#This Row],[Points_angle_p]],Tableau143[[#This Row],[Point_Torg]],Tableau143[[#This Row],[Pts_sténoses]])</f>
        <v>6</v>
      </c>
      <c r="G67" s="1">
        <v>1.0900000000000001</v>
      </c>
      <c r="H67" s="1">
        <v>0.57999999999999996</v>
      </c>
      <c r="I67" s="5">
        <f t="shared" si="5"/>
        <v>0.53211009174311918</v>
      </c>
      <c r="J67" s="9">
        <f>CHOOSE(MATCH(Tableau143[[#This Row],[Fujiwara_P]],{0,0.39,0.49,1},1),3,1,0)</f>
        <v>0</v>
      </c>
      <c r="K67" s="10">
        <v>4</v>
      </c>
      <c r="L67" s="10">
        <v>1</v>
      </c>
      <c r="M67" s="1">
        <v>13</v>
      </c>
      <c r="N67" s="10">
        <f>CHOOSE(MATCH(Tableau143[[#This Row],[Angle_p]],{-50,-14.9,-4.9,50},1),3,1,0)</f>
        <v>0</v>
      </c>
      <c r="O67" s="1">
        <v>2.1</v>
      </c>
      <c r="P67" s="1">
        <v>1.46</v>
      </c>
      <c r="Q67" s="5">
        <f t="shared" si="6"/>
        <v>0.69523809523809521</v>
      </c>
      <c r="R67" s="10">
        <f>CHOOSE(MATCH(Tableau143[[#This Row],[Ratio_Torg]],{0,0.59,0.79,1.5},1),3,1,0)</f>
        <v>1</v>
      </c>
      <c r="S67" s="18">
        <v>1</v>
      </c>
      <c r="T67" s="24">
        <v>0</v>
      </c>
      <c r="U67" s="7">
        <v>42591</v>
      </c>
      <c r="V67" s="3">
        <f t="shared" si="7"/>
        <v>13.96</v>
      </c>
      <c r="W67" s="12">
        <v>13</v>
      </c>
      <c r="AF67" s="1"/>
    </row>
    <row r="68" spans="1:32" x14ac:dyDescent="0.25">
      <c r="A68" s="3">
        <v>71</v>
      </c>
      <c r="B68" s="3" t="s">
        <v>53</v>
      </c>
      <c r="C68" s="2">
        <v>43329</v>
      </c>
      <c r="D68" s="1" t="s">
        <v>14</v>
      </c>
      <c r="E68" s="4">
        <f>Tableau143[[#This Row],[Pts_Fujiwara]]+Tableau143[[#This Row],[ HT2]]+Tableau143[[#This Row],[LCR]]+Tableau143[[#This Row],[Points_angle_p]]+Tableau143[[#This Row],[Point_Torg]]</f>
        <v>7</v>
      </c>
      <c r="F68" s="4">
        <f>SUM(Tableau143[[#This Row],[Pts_Fujiwara]],Tableau143[[#This Row],[ HT2]],Tableau143[[#This Row],[LCR]],Tableau143[[#This Row],[Points_angle_p]],Tableau143[[#This Row],[Point_Torg]],Tableau143[[#This Row],[Pts_sténoses]])</f>
        <v>8</v>
      </c>
      <c r="G68" s="1">
        <v>1.25</v>
      </c>
      <c r="H68" s="1">
        <v>0.56000000000000005</v>
      </c>
      <c r="I68" s="5">
        <f t="shared" si="5"/>
        <v>0.44800000000000006</v>
      </c>
      <c r="J68" s="9">
        <f>CHOOSE(MATCH(Tableau143[[#This Row],[Fujiwara_P]],{0,0.39,0.49,1},1),3,1,0)</f>
        <v>1</v>
      </c>
      <c r="K68" s="10">
        <v>4</v>
      </c>
      <c r="L68" s="10">
        <v>2</v>
      </c>
      <c r="M68" s="1">
        <v>0</v>
      </c>
      <c r="N68" s="10">
        <f>CHOOSE(MATCH(Tableau143[[#This Row],[Angle_p]],{-50,-14.9,-4.9,50},1),3,1,0)</f>
        <v>0</v>
      </c>
      <c r="O68" s="1">
        <v>1.48</v>
      </c>
      <c r="P68" s="1">
        <v>1.2</v>
      </c>
      <c r="Q68" s="5">
        <f t="shared" si="6"/>
        <v>0.81081081081081074</v>
      </c>
      <c r="R68" s="10">
        <f>CHOOSE(MATCH(Tableau143[[#This Row],[Ratio_Torg]],{0,0.59,0.79,1.5},1),3,1,0)</f>
        <v>0</v>
      </c>
      <c r="S68" s="18">
        <v>2</v>
      </c>
      <c r="T68" s="28">
        <v>1</v>
      </c>
      <c r="U68" s="7">
        <v>43272</v>
      </c>
      <c r="V68" s="3">
        <f t="shared" si="7"/>
        <v>14.850000000000001</v>
      </c>
      <c r="W68" s="12">
        <v>14</v>
      </c>
      <c r="AF68" s="1"/>
    </row>
    <row r="69" spans="1:32" x14ac:dyDescent="0.25">
      <c r="A69" s="3">
        <v>68</v>
      </c>
      <c r="B69" s="3" t="s">
        <v>80</v>
      </c>
      <c r="C69" s="2">
        <v>44235</v>
      </c>
      <c r="D69" s="1" t="s">
        <v>9</v>
      </c>
      <c r="E69" s="4">
        <f>Tableau143[[#This Row],[Pts_Fujiwara]]+Tableau143[[#This Row],[ HT2]]+Tableau143[[#This Row],[LCR]]+Tableau143[[#This Row],[Points_angle_p]]+Tableau143[[#This Row],[Point_Torg]]</f>
        <v>9</v>
      </c>
      <c r="F69" s="4">
        <f>SUM(Tableau143[[#This Row],[Pts_Fujiwara]],Tableau143[[#This Row],[ HT2]],Tableau143[[#This Row],[LCR]],Tableau143[[#This Row],[Points_angle_p]],Tableau143[[#This Row],[Point_Torg]],Tableau143[[#This Row],[Pts_sténoses]])</f>
        <v>13</v>
      </c>
      <c r="G69" s="1">
        <v>1.3</v>
      </c>
      <c r="H69" s="1">
        <v>0.42</v>
      </c>
      <c r="I69" s="5">
        <f t="shared" si="5"/>
        <v>0.32307692307692304</v>
      </c>
      <c r="J69" s="9">
        <v>3</v>
      </c>
      <c r="K69" s="10">
        <v>4</v>
      </c>
      <c r="L69" s="10">
        <v>1</v>
      </c>
      <c r="M69" s="1">
        <v>-5.5</v>
      </c>
      <c r="N69" s="10">
        <v>1</v>
      </c>
      <c r="O69" s="1">
        <v>1.59</v>
      </c>
      <c r="P69" s="1">
        <v>1.3</v>
      </c>
      <c r="Q69" s="5">
        <f t="shared" si="6"/>
        <v>0.8176100628930818</v>
      </c>
      <c r="R69" s="10">
        <f>CHOOSE(MATCH(Tableau143[[#This Row],[Ratio_Torg]],{0,0.59,0.79,1.5},1),3,1,0)</f>
        <v>0</v>
      </c>
      <c r="S69" s="19">
        <v>3</v>
      </c>
      <c r="T69" s="24">
        <v>4</v>
      </c>
      <c r="U69" s="7">
        <v>44243</v>
      </c>
      <c r="V69" s="3">
        <f t="shared" si="7"/>
        <v>14.850000000000001</v>
      </c>
      <c r="W69" s="12">
        <v>14</v>
      </c>
      <c r="X69" s="1">
        <v>3</v>
      </c>
      <c r="Y69" s="1">
        <v>3</v>
      </c>
      <c r="Z69" s="1">
        <v>1</v>
      </c>
      <c r="AA69" s="1">
        <v>2</v>
      </c>
      <c r="AB69" s="1">
        <v>2</v>
      </c>
      <c r="AC69" s="1">
        <v>3</v>
      </c>
      <c r="AF69" s="1"/>
    </row>
    <row r="70" spans="1:32" x14ac:dyDescent="0.25">
      <c r="A70" s="3">
        <v>65</v>
      </c>
      <c r="B70" s="3" t="s">
        <v>104</v>
      </c>
      <c r="C70" s="2">
        <v>43894</v>
      </c>
      <c r="D70" s="1" t="s">
        <v>17</v>
      </c>
      <c r="E70" s="4">
        <f>Tableau143[[#This Row],[Pts_Fujiwara]]+Tableau143[[#This Row],[ HT2]]+Tableau143[[#This Row],[LCR]]+Tableau143[[#This Row],[Points_angle_p]]+Tableau143[[#This Row],[Point_Torg]]</f>
        <v>8</v>
      </c>
      <c r="F70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70" s="1">
        <v>1.34</v>
      </c>
      <c r="H70" s="1">
        <v>0.52</v>
      </c>
      <c r="I70" s="5">
        <f t="shared" si="5"/>
        <v>0.38805970149253732</v>
      </c>
      <c r="J70" s="9">
        <v>3</v>
      </c>
      <c r="K70" s="10">
        <v>2</v>
      </c>
      <c r="L70" s="10">
        <v>2</v>
      </c>
      <c r="M70" s="1">
        <v>3.7</v>
      </c>
      <c r="N70" s="10">
        <f>CHOOSE(MATCH(Tableau143[[#This Row],[Angle_p]],{-50,-14.9,-4.9,50},1),3,1,0)</f>
        <v>0</v>
      </c>
      <c r="O70" s="1">
        <v>2.0099999999999998</v>
      </c>
      <c r="P70" s="1">
        <v>1.25</v>
      </c>
      <c r="Q70" s="5">
        <f t="shared" si="6"/>
        <v>0.62189054726368165</v>
      </c>
      <c r="R70" s="10">
        <f>CHOOSE(MATCH(Tableau143[[#This Row],[Ratio_Torg]],{0,0.59,0.79,1.5},1),3,1,0)</f>
        <v>1</v>
      </c>
      <c r="S70" s="19">
        <v>2</v>
      </c>
      <c r="T70" s="28">
        <v>1</v>
      </c>
      <c r="U70" s="7">
        <v>44005</v>
      </c>
      <c r="V70" s="3">
        <f t="shared" si="7"/>
        <v>15.74</v>
      </c>
      <c r="W70" s="12">
        <v>15</v>
      </c>
      <c r="X70" s="1">
        <v>4</v>
      </c>
      <c r="Y70" s="1">
        <v>3</v>
      </c>
      <c r="Z70" s="1">
        <v>2</v>
      </c>
      <c r="AA70" s="1">
        <v>2</v>
      </c>
      <c r="AB70" s="1">
        <v>2</v>
      </c>
      <c r="AC70" s="1">
        <v>2</v>
      </c>
      <c r="AF70" s="1"/>
    </row>
    <row r="71" spans="1:32" x14ac:dyDescent="0.25">
      <c r="A71" s="3">
        <v>57</v>
      </c>
      <c r="B71" s="3" t="s">
        <v>61</v>
      </c>
      <c r="C71" s="2">
        <v>43117</v>
      </c>
      <c r="D71" s="1" t="s">
        <v>17</v>
      </c>
      <c r="E71" s="4">
        <f>Tableau143[[#This Row],[Pts_Fujiwara]]+Tableau143[[#This Row],[ HT2]]+Tableau143[[#This Row],[LCR]]+Tableau143[[#This Row],[Points_angle_p]]+Tableau143[[#This Row],[Point_Torg]]</f>
        <v>3</v>
      </c>
      <c r="F71" s="4">
        <f>SUM(Tableau143[[#This Row],[Pts_Fujiwara]],Tableau143[[#This Row],[ HT2]],Tableau143[[#This Row],[LCR]],Tableau143[[#This Row],[Points_angle_p]],Tableau143[[#This Row],[Point_Torg]],Tableau143[[#This Row],[Pts_sténoses]])</f>
        <v>3</v>
      </c>
      <c r="G71" s="1">
        <v>1.32</v>
      </c>
      <c r="H71" s="1">
        <v>0.56999999999999995</v>
      </c>
      <c r="I71" s="5">
        <f t="shared" si="5"/>
        <v>0.43181818181818177</v>
      </c>
      <c r="J71" s="9">
        <f>CHOOSE(MATCH(Tableau143[[#This Row],[Fujiwara_P]],{0,0.39,0.49,1},1),3,1,0)</f>
        <v>1</v>
      </c>
      <c r="K71" s="10">
        <v>0</v>
      </c>
      <c r="L71" s="10">
        <v>1</v>
      </c>
      <c r="M71" s="1">
        <v>-3.3</v>
      </c>
      <c r="N71" s="10">
        <f>CHOOSE(MATCH(Tableau143[[#This Row],[Angle_p]],{-50,-14.9,-4.9,50},1),3,1,0)</f>
        <v>0</v>
      </c>
      <c r="O71" s="1">
        <v>1.68</v>
      </c>
      <c r="P71" s="1">
        <v>1.06</v>
      </c>
      <c r="Q71" s="5">
        <f t="shared" si="6"/>
        <v>0.63095238095238104</v>
      </c>
      <c r="R71" s="10">
        <f>CHOOSE(MATCH(Tableau143[[#This Row],[Ratio_Torg]],{0,0.59,0.79,1.5},1),3,1,0)</f>
        <v>1</v>
      </c>
      <c r="S71" s="18">
        <v>1</v>
      </c>
      <c r="T71" s="24">
        <v>0</v>
      </c>
      <c r="U71" s="7">
        <v>43193</v>
      </c>
      <c r="V71" s="3">
        <f t="shared" si="7"/>
        <v>16.63</v>
      </c>
      <c r="W71" s="12">
        <v>16</v>
      </c>
      <c r="X71" s="1">
        <v>4</v>
      </c>
      <c r="Y71" s="1">
        <v>4</v>
      </c>
      <c r="Z71" s="1">
        <v>1</v>
      </c>
      <c r="AA71" s="1">
        <v>2</v>
      </c>
      <c r="AB71" s="1">
        <v>2</v>
      </c>
      <c r="AC71" s="1">
        <v>3</v>
      </c>
      <c r="AF71" s="1"/>
    </row>
    <row r="72" spans="1:32" x14ac:dyDescent="0.25">
      <c r="A72" s="3">
        <v>58</v>
      </c>
      <c r="B72" s="3" t="s">
        <v>76</v>
      </c>
      <c r="C72" s="2">
        <v>42664</v>
      </c>
      <c r="D72" s="1" t="s">
        <v>14</v>
      </c>
      <c r="E72" s="4">
        <f>Tableau143[[#This Row],[Pts_Fujiwara]]+Tableau143[[#This Row],[ HT2]]+Tableau143[[#This Row],[LCR]]+Tableau143[[#This Row],[Points_angle_p]]+Tableau143[[#This Row],[Point_Torg]]</f>
        <v>12</v>
      </c>
      <c r="F72" s="4">
        <f>SUM(Tableau143[[#This Row],[Pts_Fujiwara]],Tableau143[[#This Row],[ HT2]],Tableau143[[#This Row],[LCR]],Tableau143[[#This Row],[Points_angle_p]],Tableau143[[#This Row],[Point_Torg]],Tableau143[[#This Row],[Pts_sténoses]])</f>
        <v>13</v>
      </c>
      <c r="G72" s="1">
        <v>1.77</v>
      </c>
      <c r="H72" s="1">
        <v>0.4</v>
      </c>
      <c r="I72" s="5">
        <f t="shared" si="5"/>
        <v>0.22598870056497175</v>
      </c>
      <c r="J72" s="9">
        <v>4</v>
      </c>
      <c r="K72" s="10">
        <v>2</v>
      </c>
      <c r="L72" s="10">
        <v>4</v>
      </c>
      <c r="M72" s="1">
        <v>-5</v>
      </c>
      <c r="N72" s="10">
        <v>1</v>
      </c>
      <c r="O72" s="1">
        <v>1.63</v>
      </c>
      <c r="P72" s="1">
        <v>1.1000000000000001</v>
      </c>
      <c r="Q72" s="5">
        <f t="shared" si="6"/>
        <v>0.67484662576687127</v>
      </c>
      <c r="R72" s="10">
        <f>CHOOSE(MATCH(Tableau143[[#This Row],[Ratio_Torg]],{0,0.59,0.79,1.5},1),3,1,0)</f>
        <v>1</v>
      </c>
      <c r="S72" s="18">
        <v>2</v>
      </c>
      <c r="T72" s="28">
        <v>1</v>
      </c>
      <c r="U72" s="7">
        <v>42684</v>
      </c>
      <c r="V72" s="3">
        <f t="shared" si="7"/>
        <v>14.850000000000001</v>
      </c>
      <c r="W72" s="12">
        <v>14</v>
      </c>
      <c r="X72" s="8">
        <v>3</v>
      </c>
      <c r="Y72" s="1">
        <v>4</v>
      </c>
      <c r="Z72" s="1">
        <v>1</v>
      </c>
      <c r="AA72" s="1">
        <v>2</v>
      </c>
      <c r="AB72" s="1">
        <v>2</v>
      </c>
      <c r="AC72" s="1">
        <v>2</v>
      </c>
      <c r="AF72" s="1"/>
    </row>
    <row r="73" spans="1:32" x14ac:dyDescent="0.25">
      <c r="A73" s="3">
        <v>60</v>
      </c>
      <c r="B73" s="3" t="s">
        <v>79</v>
      </c>
      <c r="C73" s="2">
        <v>44076</v>
      </c>
      <c r="D73" s="1" t="s">
        <v>14</v>
      </c>
      <c r="E73" s="4">
        <f>Tableau143[[#This Row],[Pts_Fujiwara]]+Tableau143[[#This Row],[ HT2]]+Tableau143[[#This Row],[LCR]]+Tableau143[[#This Row],[Points_angle_p]]+Tableau143[[#This Row],[Point_Torg]]</f>
        <v>6</v>
      </c>
      <c r="F73" s="4">
        <f>SUM(Tableau143[[#This Row],[Pts_Fujiwara]],Tableau143[[#This Row],[ HT2]],Tableau143[[#This Row],[LCR]],Tableau143[[#This Row],[Points_angle_p]],Tableau143[[#This Row],[Point_Torg]],Tableau143[[#This Row],[Pts_sténoses]])</f>
        <v>6</v>
      </c>
      <c r="G73" s="1">
        <v>1.31</v>
      </c>
      <c r="H73" s="1">
        <v>0.52</v>
      </c>
      <c r="I73" s="5">
        <f t="shared" si="5"/>
        <v>0.39694656488549618</v>
      </c>
      <c r="J73" s="9">
        <v>1</v>
      </c>
      <c r="K73" s="10">
        <v>2</v>
      </c>
      <c r="L73" s="10">
        <v>2</v>
      </c>
      <c r="M73" s="1">
        <v>4</v>
      </c>
      <c r="N73" s="10">
        <f>CHOOSE(MATCH(Tableau143[[#This Row],[Angle_p]],{-50,-14.9,-4.9,50},1),3,1,0)</f>
        <v>0</v>
      </c>
      <c r="O73" s="1">
        <v>1.8</v>
      </c>
      <c r="P73" s="1">
        <v>1.23</v>
      </c>
      <c r="Q73" s="5">
        <f t="shared" si="6"/>
        <v>0.68333333333333335</v>
      </c>
      <c r="R73" s="10">
        <f>CHOOSE(MATCH(Tableau143[[#This Row],[Ratio_Torg]],{0,0.59,0.79,1.5},1),3,1,0)</f>
        <v>1</v>
      </c>
      <c r="S73" s="19">
        <v>1</v>
      </c>
      <c r="T73" s="24">
        <v>0</v>
      </c>
      <c r="U73" s="7">
        <v>44349</v>
      </c>
      <c r="V73" s="3">
        <f t="shared" si="7"/>
        <v>15.74</v>
      </c>
      <c r="W73" s="12">
        <v>15</v>
      </c>
      <c r="AF73" s="1"/>
    </row>
    <row r="74" spans="1:32" x14ac:dyDescent="0.25">
      <c r="A74" s="3">
        <v>43</v>
      </c>
      <c r="B74" s="3" t="s">
        <v>56</v>
      </c>
      <c r="C74" s="2">
        <v>42985</v>
      </c>
      <c r="D74" s="1" t="s">
        <v>17</v>
      </c>
      <c r="E74" s="4">
        <f>Tableau143[[#This Row],[Pts_Fujiwara]]+Tableau143[[#This Row],[ HT2]]+Tableau143[[#This Row],[LCR]]+Tableau143[[#This Row],[Points_angle_p]]+Tableau143[[#This Row],[Point_Torg]]</f>
        <v>3</v>
      </c>
      <c r="F74" s="4">
        <f>SUM(Tableau143[[#This Row],[Pts_Fujiwara]],Tableau143[[#This Row],[ HT2]],Tableau143[[#This Row],[LCR]],Tableau143[[#This Row],[Points_angle_p]],Tableau143[[#This Row],[Point_Torg]],Tableau143[[#This Row],[Pts_sténoses]])</f>
        <v>3</v>
      </c>
      <c r="G74" s="1">
        <v>1.43</v>
      </c>
      <c r="H74" s="1">
        <v>0.65</v>
      </c>
      <c r="I74" s="5">
        <f t="shared" si="5"/>
        <v>0.45454545454545459</v>
      </c>
      <c r="J74" s="9">
        <f>CHOOSE(MATCH(Tableau143[[#This Row],[Fujiwara_P]],{0,0.39,0.49,1},1),3,1,0)</f>
        <v>1</v>
      </c>
      <c r="K74" s="10">
        <v>0</v>
      </c>
      <c r="L74" s="10">
        <v>1</v>
      </c>
      <c r="M74" s="1">
        <v>5</v>
      </c>
      <c r="N74" s="10">
        <f>CHOOSE(MATCH(Tableau143[[#This Row],[Angle_p]],{-50,-14.9,-4.9,50},1),3,1,0)</f>
        <v>0</v>
      </c>
      <c r="O74" s="1">
        <v>1.67</v>
      </c>
      <c r="P74" s="1">
        <v>1.1599999999999999</v>
      </c>
      <c r="Q74" s="5">
        <f t="shared" si="6"/>
        <v>0.69461077844311381</v>
      </c>
      <c r="R74" s="10">
        <f>CHOOSE(MATCH(Tableau143[[#This Row],[Ratio_Torg]],{0,0.59,0.79,1.5},1),3,1,0)</f>
        <v>1</v>
      </c>
      <c r="S74" s="18">
        <v>1</v>
      </c>
      <c r="T74" s="24">
        <v>0</v>
      </c>
      <c r="U74" s="7">
        <v>42909</v>
      </c>
      <c r="V74" s="3">
        <f t="shared" si="7"/>
        <v>16.63</v>
      </c>
      <c r="W74" s="12">
        <v>16</v>
      </c>
      <c r="X74" s="1">
        <v>4</v>
      </c>
      <c r="Y74" s="1">
        <v>4</v>
      </c>
      <c r="Z74" s="1">
        <v>1</v>
      </c>
      <c r="AA74" s="1">
        <v>2</v>
      </c>
      <c r="AB74" s="1">
        <v>2</v>
      </c>
      <c r="AC74" s="1">
        <v>3</v>
      </c>
      <c r="AF74" s="1"/>
    </row>
    <row r="75" spans="1:32" x14ac:dyDescent="0.25">
      <c r="A75" s="3">
        <v>51</v>
      </c>
      <c r="B75" s="3" t="s">
        <v>58</v>
      </c>
      <c r="C75" s="2">
        <v>43133</v>
      </c>
      <c r="D75" s="1" t="s">
        <v>17</v>
      </c>
      <c r="E75" s="4">
        <f>Tableau143[[#This Row],[Pts_Fujiwara]]+Tableau143[[#This Row],[ HT2]]+Tableau143[[#This Row],[LCR]]+Tableau143[[#This Row],[Points_angle_p]]+Tableau143[[#This Row],[Point_Torg]]</f>
        <v>8</v>
      </c>
      <c r="F75" s="4">
        <f>SUM(Tableau143[[#This Row],[Pts_Fujiwara]],Tableau143[[#This Row],[ HT2]],Tableau143[[#This Row],[LCR]],Tableau143[[#This Row],[Points_angle_p]],Tableau143[[#This Row],[Point_Torg]],Tableau143[[#This Row],[Pts_sténoses]])</f>
        <v>8</v>
      </c>
      <c r="G75" s="1">
        <v>1.4</v>
      </c>
      <c r="H75" s="1">
        <v>0.62</v>
      </c>
      <c r="I75" s="5">
        <f t="shared" si="5"/>
        <v>0.44285714285714289</v>
      </c>
      <c r="J75" s="9">
        <f>CHOOSE(MATCH(Tableau143[[#This Row],[Fujiwara_P]],{0,0.39,0.49,1},1),3,1,0)</f>
        <v>1</v>
      </c>
      <c r="K75" s="10">
        <v>2</v>
      </c>
      <c r="L75" s="10">
        <v>4</v>
      </c>
      <c r="M75" s="1">
        <v>1.6</v>
      </c>
      <c r="N75" s="10">
        <f>CHOOSE(MATCH(Tableau143[[#This Row],[Angle_p]],{-50,-14.9,-4.9,50},1),3,1,0)</f>
        <v>0</v>
      </c>
      <c r="O75" s="1">
        <v>1.73</v>
      </c>
      <c r="P75" s="1">
        <v>1.21</v>
      </c>
      <c r="Q75" s="5">
        <f t="shared" si="6"/>
        <v>0.69942196531791911</v>
      </c>
      <c r="R75" s="10">
        <f>CHOOSE(MATCH(Tableau143[[#This Row],[Ratio_Torg]],{0,0.59,0.79,1.5},1),3,1,0)</f>
        <v>1</v>
      </c>
      <c r="S75" s="18">
        <v>1</v>
      </c>
      <c r="T75" s="24">
        <v>0</v>
      </c>
      <c r="U75" s="7">
        <v>43137</v>
      </c>
      <c r="V75" s="3">
        <f t="shared" si="7"/>
        <v>9.51</v>
      </c>
      <c r="W75" s="12">
        <v>8</v>
      </c>
      <c r="X75" s="1">
        <v>1</v>
      </c>
      <c r="Y75" s="1">
        <v>1</v>
      </c>
      <c r="Z75" s="1">
        <v>1</v>
      </c>
      <c r="AA75" s="1">
        <v>1</v>
      </c>
      <c r="AB75" s="1">
        <v>1</v>
      </c>
      <c r="AC75" s="1">
        <v>3</v>
      </c>
      <c r="AF75" s="1"/>
    </row>
    <row r="76" spans="1:32" x14ac:dyDescent="0.25">
      <c r="A76" s="3">
        <v>53</v>
      </c>
      <c r="B76" s="3" t="s">
        <v>57</v>
      </c>
      <c r="C76" s="2">
        <v>43090</v>
      </c>
      <c r="D76" s="1" t="s">
        <v>9</v>
      </c>
      <c r="E76" s="4">
        <f>Tableau143[[#This Row],[Pts_Fujiwara]]+Tableau143[[#This Row],[ HT2]]+Tableau143[[#This Row],[LCR]]+Tableau143[[#This Row],[Points_angle_p]]+Tableau143[[#This Row],[Point_Torg]]</f>
        <v>3</v>
      </c>
      <c r="F76" s="4">
        <f>SUM(Tableau143[[#This Row],[Pts_Fujiwara]],Tableau143[[#This Row],[ HT2]],Tableau143[[#This Row],[LCR]],Tableau143[[#This Row],[Points_angle_p]],Tableau143[[#This Row],[Point_Torg]],Tableau143[[#This Row],[Pts_sténoses]])</f>
        <v>3</v>
      </c>
      <c r="G76" s="1">
        <v>1.35</v>
      </c>
      <c r="H76" s="1">
        <v>0.55000000000000004</v>
      </c>
      <c r="I76" s="5">
        <f t="shared" si="5"/>
        <v>0.40740740740740744</v>
      </c>
      <c r="J76" s="9">
        <f>CHOOSE(MATCH(Tableau143[[#This Row],[Fujiwara_P]],{0,0.39,0.49,1},1),3,1,0)</f>
        <v>1</v>
      </c>
      <c r="K76" s="10">
        <v>0</v>
      </c>
      <c r="L76" s="10">
        <v>0</v>
      </c>
      <c r="M76" s="1">
        <v>-8</v>
      </c>
      <c r="N76" s="10">
        <v>1</v>
      </c>
      <c r="O76" s="1">
        <v>1.58</v>
      </c>
      <c r="P76" s="1">
        <v>1.1100000000000001</v>
      </c>
      <c r="Q76" s="5">
        <f t="shared" si="6"/>
        <v>0.70253164556962033</v>
      </c>
      <c r="R76" s="10">
        <f>CHOOSE(MATCH(Tableau143[[#This Row],[Ratio_Torg]],{0,0.59,0.79,1.5},1),3,1,0)</f>
        <v>1</v>
      </c>
      <c r="S76" s="18">
        <v>1</v>
      </c>
      <c r="T76" s="24">
        <v>0</v>
      </c>
      <c r="U76" s="7">
        <v>43130</v>
      </c>
      <c r="V76" s="3">
        <f t="shared" si="7"/>
        <v>17.52</v>
      </c>
      <c r="W76" s="12">
        <v>17</v>
      </c>
      <c r="X76" s="1">
        <v>4</v>
      </c>
      <c r="Y76" s="1">
        <v>4</v>
      </c>
      <c r="Z76" s="1">
        <v>2</v>
      </c>
      <c r="AA76" s="1">
        <v>2</v>
      </c>
      <c r="AB76" s="1">
        <v>2</v>
      </c>
      <c r="AC76" s="1">
        <v>3</v>
      </c>
      <c r="AF76" s="1"/>
    </row>
    <row r="77" spans="1:32" x14ac:dyDescent="0.25">
      <c r="A77" s="3">
        <v>79</v>
      </c>
      <c r="B77" s="3" t="s">
        <v>84</v>
      </c>
      <c r="C77" s="2">
        <v>44236</v>
      </c>
      <c r="D77" s="1" t="s">
        <v>14</v>
      </c>
      <c r="E77" s="4">
        <f>Tableau143[[#This Row],[Pts_Fujiwara]]+Tableau143[[#This Row],[ HT2]]+Tableau143[[#This Row],[LCR]]+Tableau143[[#This Row],[Points_angle_p]]+Tableau143[[#This Row],[Point_Torg]]</f>
        <v>10</v>
      </c>
      <c r="F77" s="4">
        <f>SUM(Tableau143[[#This Row],[Pts_Fujiwara]],Tableau143[[#This Row],[ HT2]],Tableau143[[#This Row],[LCR]],Tableau143[[#This Row],[Points_angle_p]],Tableau143[[#This Row],[Point_Torg]],Tableau143[[#This Row],[Pts_sténoses]])</f>
        <v>10</v>
      </c>
      <c r="G77" s="1">
        <v>1.36</v>
      </c>
      <c r="H77" s="1">
        <v>0.59</v>
      </c>
      <c r="I77" s="5">
        <f t="shared" ref="I77:I100" si="8">H77/G77</f>
        <v>0.43382352941176466</v>
      </c>
      <c r="J77" s="9">
        <f>CHOOSE(MATCH(Tableau143[[#This Row],[Fujiwara_P]],{0,0.39,0.49,1},1),3,1,0)</f>
        <v>1</v>
      </c>
      <c r="K77" s="10">
        <v>4</v>
      </c>
      <c r="L77" s="10">
        <v>4</v>
      </c>
      <c r="M77" s="1">
        <v>12</v>
      </c>
      <c r="N77" s="10">
        <f>CHOOSE(MATCH(Tableau143[[#This Row],[Angle_p]],{-50,-14.9,-4.9,50},1),3,1,0)</f>
        <v>0</v>
      </c>
      <c r="O77" s="1">
        <v>2.0699999999999998</v>
      </c>
      <c r="P77" s="1">
        <v>1.47</v>
      </c>
      <c r="Q77" s="5">
        <f t="shared" si="6"/>
        <v>0.71014492753623193</v>
      </c>
      <c r="R77" s="10">
        <f>CHOOSE(MATCH(Tableau143[[#This Row],[Ratio_Torg]],{0,0.59,0.79,1.5},1),3,1,0)</f>
        <v>1</v>
      </c>
      <c r="S77" s="19">
        <v>1</v>
      </c>
      <c r="T77" s="24">
        <v>0</v>
      </c>
      <c r="U77" s="7">
        <v>44264</v>
      </c>
      <c r="V77" s="3">
        <f t="shared" si="7"/>
        <v>10.4</v>
      </c>
      <c r="W77" s="12">
        <v>9</v>
      </c>
      <c r="X77" s="1">
        <v>2</v>
      </c>
      <c r="Y77" s="1">
        <v>1</v>
      </c>
      <c r="Z77" s="1">
        <v>1</v>
      </c>
      <c r="AA77" s="1">
        <v>2</v>
      </c>
      <c r="AB77" s="1">
        <v>2</v>
      </c>
      <c r="AC77" s="1">
        <v>1</v>
      </c>
      <c r="AF77" s="1"/>
    </row>
    <row r="78" spans="1:32" x14ac:dyDescent="0.25">
      <c r="A78" s="3">
        <v>67</v>
      </c>
      <c r="B78" s="3" t="s">
        <v>71</v>
      </c>
      <c r="C78" s="2">
        <v>43322</v>
      </c>
      <c r="D78" s="1" t="s">
        <v>9</v>
      </c>
      <c r="E78" s="4">
        <f>Tableau143[[#This Row],[Pts_Fujiwara]]+Tableau143[[#This Row],[ HT2]]+Tableau143[[#This Row],[LCR]]+Tableau143[[#This Row],[Points_angle_p]]+Tableau143[[#This Row],[Point_Torg]]</f>
        <v>8</v>
      </c>
      <c r="F78" s="4">
        <f>SUM(Tableau143[[#This Row],[Pts_Fujiwara]],Tableau143[[#This Row],[ HT2]],Tableau143[[#This Row],[LCR]],Tableau143[[#This Row],[Points_angle_p]],Tableau143[[#This Row],[Point_Torg]],Tableau143[[#This Row],[Pts_sténoses]])</f>
        <v>8</v>
      </c>
      <c r="G78" s="1">
        <v>1.53</v>
      </c>
      <c r="H78" s="1">
        <v>0.65</v>
      </c>
      <c r="I78" s="5">
        <f t="shared" si="8"/>
        <v>0.42483660130718953</v>
      </c>
      <c r="J78" s="9">
        <f>CHOOSE(MATCH(Tableau143[[#This Row],[Fujiwara_P]],{0,0.39,0.49,1},1),3,1,0)</f>
        <v>1</v>
      </c>
      <c r="K78" s="10">
        <v>2</v>
      </c>
      <c r="L78" s="10">
        <v>4</v>
      </c>
      <c r="M78" s="1">
        <v>11</v>
      </c>
      <c r="N78" s="10">
        <f>CHOOSE(MATCH(Tableau143[[#This Row],[Angle_p]],{-50,-14.9,-4.9,50},1),3,1,0)</f>
        <v>0</v>
      </c>
      <c r="O78" s="1">
        <v>1.77</v>
      </c>
      <c r="P78" s="1">
        <v>1.3</v>
      </c>
      <c r="Q78" s="5">
        <f t="shared" si="6"/>
        <v>0.7344632768361582</v>
      </c>
      <c r="R78" s="10">
        <f>CHOOSE(MATCH(Tableau143[[#This Row],[Ratio_Torg]],{0,0.59,0.79,1.5},1),3,1,0)</f>
        <v>1</v>
      </c>
      <c r="S78" s="18">
        <v>1</v>
      </c>
      <c r="T78" s="24">
        <v>0</v>
      </c>
      <c r="U78" s="7">
        <v>43340</v>
      </c>
      <c r="V78" s="3">
        <f t="shared" si="7"/>
        <v>13.96</v>
      </c>
      <c r="W78" s="12">
        <v>13</v>
      </c>
      <c r="X78" s="1">
        <v>4</v>
      </c>
      <c r="Y78" s="1">
        <v>3</v>
      </c>
      <c r="Z78" s="1">
        <v>1</v>
      </c>
      <c r="AA78" s="1">
        <v>1</v>
      </c>
      <c r="AB78" s="1">
        <v>1</v>
      </c>
      <c r="AC78" s="1">
        <v>3</v>
      </c>
      <c r="AF78" s="1"/>
    </row>
    <row r="79" spans="1:32" x14ac:dyDescent="0.25">
      <c r="A79" s="3">
        <v>80</v>
      </c>
      <c r="B79" s="3" t="s">
        <v>81</v>
      </c>
      <c r="C79" s="2">
        <v>43815</v>
      </c>
      <c r="D79" s="1" t="s">
        <v>14</v>
      </c>
      <c r="E79" s="4">
        <f>Tableau143[[#This Row],[Pts_Fujiwara]]+Tableau143[[#This Row],[ HT2]]+Tableau143[[#This Row],[LCR]]+Tableau143[[#This Row],[Points_angle_p]]+Tableau143[[#This Row],[Point_Torg]]</f>
        <v>6</v>
      </c>
      <c r="F79" s="4">
        <f>SUM(Tableau143[[#This Row],[Pts_Fujiwara]],Tableau143[[#This Row],[ HT2]],Tableau143[[#This Row],[LCR]],Tableau143[[#This Row],[Points_angle_p]],Tableau143[[#This Row],[Point_Torg]],Tableau143[[#This Row],[Pts_sténoses]])</f>
        <v>7</v>
      </c>
      <c r="G79" s="1">
        <v>1.27</v>
      </c>
      <c r="H79" s="1">
        <v>0.56000000000000005</v>
      </c>
      <c r="I79" s="5">
        <f t="shared" si="8"/>
        <v>0.44094488188976383</v>
      </c>
      <c r="J79" s="9">
        <f>CHOOSE(MATCH(Tableau143[[#This Row],[Fujiwara_P]],{0,0.39,0.49,1},1),3,1,0)</f>
        <v>1</v>
      </c>
      <c r="K79" s="10">
        <v>2</v>
      </c>
      <c r="L79" s="10">
        <v>2</v>
      </c>
      <c r="M79" s="1">
        <v>0</v>
      </c>
      <c r="N79" s="10">
        <f>CHOOSE(MATCH(Tableau143[[#This Row],[Angle_p]],{-50,-14.9,-4.9,50},1),3,1,0)</f>
        <v>0</v>
      </c>
      <c r="O79" s="1">
        <v>1.86</v>
      </c>
      <c r="P79" s="1">
        <v>1.37</v>
      </c>
      <c r="Q79" s="5">
        <f t="shared" si="6"/>
        <v>0.73655913978494625</v>
      </c>
      <c r="R79" s="10">
        <f>CHOOSE(MATCH(Tableau143[[#This Row],[Ratio_Torg]],{0,0.59,0.79,1.5},1),3,1,0)</f>
        <v>1</v>
      </c>
      <c r="S79" s="19">
        <v>2</v>
      </c>
      <c r="T79" s="28">
        <v>1</v>
      </c>
      <c r="U79" s="7">
        <v>43858</v>
      </c>
      <c r="V79" s="3">
        <f t="shared" si="7"/>
        <v>15.74</v>
      </c>
      <c r="W79" s="12">
        <v>15</v>
      </c>
      <c r="X79" s="1">
        <v>4</v>
      </c>
      <c r="Y79" s="1">
        <v>3</v>
      </c>
      <c r="Z79" s="1">
        <v>1</v>
      </c>
      <c r="AA79" s="1">
        <v>2</v>
      </c>
      <c r="AB79" s="1">
        <v>2</v>
      </c>
      <c r="AC79" s="1">
        <v>3</v>
      </c>
      <c r="AF79" s="1"/>
    </row>
    <row r="80" spans="1:32" x14ac:dyDescent="0.25">
      <c r="A80" s="3">
        <v>50</v>
      </c>
      <c r="B80" s="3" t="s">
        <v>60</v>
      </c>
      <c r="C80" s="2">
        <v>43181</v>
      </c>
      <c r="D80" s="1" t="s">
        <v>12</v>
      </c>
      <c r="E80" s="4">
        <f>Tableau143[[#This Row],[Pts_Fujiwara]]+Tableau143[[#This Row],[ HT2]]+Tableau143[[#This Row],[LCR]]+Tableau143[[#This Row],[Points_angle_p]]+Tableau143[[#This Row],[Point_Torg]]</f>
        <v>2</v>
      </c>
      <c r="F80" s="4">
        <f>SUM(Tableau143[[#This Row],[Pts_Fujiwara]],Tableau143[[#This Row],[ HT2]],Tableau143[[#This Row],[LCR]],Tableau143[[#This Row],[Points_angle_p]],Tableau143[[#This Row],[Point_Torg]],Tableau143[[#This Row],[Pts_sténoses]])</f>
        <v>2</v>
      </c>
      <c r="G80" s="1">
        <v>1.2</v>
      </c>
      <c r="H80" s="1">
        <v>0.66</v>
      </c>
      <c r="I80" s="5">
        <f t="shared" si="8"/>
        <v>0.55000000000000004</v>
      </c>
      <c r="J80" s="9">
        <f>CHOOSE(MATCH(Tableau143[[#This Row],[Fujiwara_P]],{0,0.39,0.49,1},1),3,1,0)</f>
        <v>0</v>
      </c>
      <c r="K80" s="10">
        <v>0</v>
      </c>
      <c r="L80" s="10">
        <v>1</v>
      </c>
      <c r="M80" s="1">
        <v>8</v>
      </c>
      <c r="N80" s="10">
        <f>CHOOSE(MATCH(Tableau143[[#This Row],[Angle_p]],{-50,-14.9,-4.9,50},1),3,1,0)</f>
        <v>0</v>
      </c>
      <c r="O80" s="1">
        <v>1.5</v>
      </c>
      <c r="P80" s="1">
        <v>1.1100000000000001</v>
      </c>
      <c r="Q80" s="5">
        <f t="shared" si="6"/>
        <v>0.7400000000000001</v>
      </c>
      <c r="R80" s="10">
        <f>CHOOSE(MATCH(Tableau143[[#This Row],[Ratio_Torg]],{0,0.59,0.79,1.5},1),3,1,0)</f>
        <v>1</v>
      </c>
      <c r="S80" s="19">
        <v>1</v>
      </c>
      <c r="T80" s="24">
        <v>0</v>
      </c>
      <c r="U80" s="7">
        <v>43207</v>
      </c>
      <c r="V80" s="3">
        <f t="shared" si="7"/>
        <v>16.63</v>
      </c>
      <c r="W80" s="12">
        <v>16</v>
      </c>
      <c r="X80" s="1">
        <v>4</v>
      </c>
      <c r="Y80" s="1">
        <v>4</v>
      </c>
      <c r="Z80" s="1">
        <v>1</v>
      </c>
      <c r="AA80" s="1">
        <v>2</v>
      </c>
      <c r="AB80" s="1">
        <v>2</v>
      </c>
      <c r="AC80" s="1">
        <v>3</v>
      </c>
      <c r="AF80" s="1"/>
    </row>
    <row r="81" spans="1:32" x14ac:dyDescent="0.25">
      <c r="A81" s="3">
        <v>70</v>
      </c>
      <c r="B81" s="3" t="s">
        <v>64</v>
      </c>
      <c r="C81" s="2">
        <v>43157</v>
      </c>
      <c r="D81" s="1" t="s">
        <v>17</v>
      </c>
      <c r="E81" s="4">
        <f>Tableau143[[#This Row],[Pts_Fujiwara]]+Tableau143[[#This Row],[ HT2]]+Tableau143[[#This Row],[LCR]]+Tableau143[[#This Row],[Points_angle_p]]+Tableau143[[#This Row],[Point_Torg]]</f>
        <v>7</v>
      </c>
      <c r="F81" s="4">
        <f>SUM(Tableau143[[#This Row],[Pts_Fujiwara]],Tableau143[[#This Row],[ HT2]],Tableau143[[#This Row],[LCR]],Tableau143[[#This Row],[Points_angle_p]],Tableau143[[#This Row],[Point_Torg]],Tableau143[[#This Row],[Pts_sténoses]])</f>
        <v>8</v>
      </c>
      <c r="G81" s="1">
        <v>1.33</v>
      </c>
      <c r="H81" s="1">
        <v>0.45</v>
      </c>
      <c r="I81" s="5">
        <f t="shared" si="8"/>
        <v>0.33834586466165412</v>
      </c>
      <c r="J81" s="9">
        <v>3</v>
      </c>
      <c r="K81" s="10">
        <v>2</v>
      </c>
      <c r="L81" s="10">
        <v>1</v>
      </c>
      <c r="M81" s="1">
        <v>8.9</v>
      </c>
      <c r="N81" s="10">
        <f>CHOOSE(MATCH(Tableau143[[#This Row],[Angle_p]],{-50,-14.9,-4.9,50},1),3,1,0)</f>
        <v>0</v>
      </c>
      <c r="O81" s="1">
        <v>1.52</v>
      </c>
      <c r="P81" s="1">
        <v>1.17</v>
      </c>
      <c r="Q81" s="5">
        <f t="shared" si="6"/>
        <v>0.76973684210526305</v>
      </c>
      <c r="R81" s="10">
        <f>CHOOSE(MATCH(Tableau143[[#This Row],[Ratio_Torg]],{0,0.59,0.79,1.5},1),3,1,0)</f>
        <v>1</v>
      </c>
      <c r="S81" s="18">
        <v>2</v>
      </c>
      <c r="T81" s="28">
        <v>1</v>
      </c>
      <c r="U81" s="7">
        <v>43087</v>
      </c>
      <c r="V81" s="3">
        <f t="shared" si="7"/>
        <v>15.74</v>
      </c>
      <c r="W81" s="12">
        <v>15</v>
      </c>
      <c r="X81" s="1">
        <v>3</v>
      </c>
      <c r="Y81" s="1">
        <v>4</v>
      </c>
      <c r="Z81" s="1">
        <v>1</v>
      </c>
      <c r="AA81" s="1">
        <v>2</v>
      </c>
      <c r="AB81" s="1">
        <v>2</v>
      </c>
      <c r="AC81" s="1">
        <v>3</v>
      </c>
      <c r="AF81" s="1"/>
    </row>
    <row r="82" spans="1:32" x14ac:dyDescent="0.25">
      <c r="A82" s="3">
        <v>55</v>
      </c>
      <c r="B82" s="3" t="s">
        <v>59</v>
      </c>
      <c r="C82" s="2">
        <v>43152</v>
      </c>
      <c r="D82" s="1" t="s">
        <v>9</v>
      </c>
      <c r="E82" s="4">
        <f>Tableau143[[#This Row],[Pts_Fujiwara]]+Tableau143[[#This Row],[ HT2]]+Tableau143[[#This Row],[LCR]]+Tableau143[[#This Row],[Points_angle_p]]+Tableau143[[#This Row],[Point_Torg]]</f>
        <v>12</v>
      </c>
      <c r="F82" s="4">
        <f>SUM(Tableau143[[#This Row],[Pts_Fujiwara]],Tableau143[[#This Row],[ HT2]],Tableau143[[#This Row],[LCR]],Tableau143[[#This Row],[Points_angle_p]],Tableau143[[#This Row],[Point_Torg]],Tableau143[[#This Row],[Pts_sténoses]])</f>
        <v>13</v>
      </c>
      <c r="G82" s="1">
        <v>1.48</v>
      </c>
      <c r="H82" s="1">
        <v>0.45</v>
      </c>
      <c r="I82" s="5">
        <f t="shared" si="8"/>
        <v>0.30405405405405406</v>
      </c>
      <c r="J82" s="9">
        <v>3</v>
      </c>
      <c r="K82" s="10">
        <v>4</v>
      </c>
      <c r="L82" s="10">
        <v>4</v>
      </c>
      <c r="M82" s="1">
        <v>1</v>
      </c>
      <c r="N82" s="10">
        <f>CHOOSE(MATCH(Tableau143[[#This Row],[Angle_p]],{-50,-14.9,-4.9,50},1),3,1,0)</f>
        <v>0</v>
      </c>
      <c r="O82" s="1">
        <v>1.62</v>
      </c>
      <c r="P82" s="1">
        <v>1.25</v>
      </c>
      <c r="Q82" s="5">
        <f t="shared" si="6"/>
        <v>0.77160493827160492</v>
      </c>
      <c r="R82" s="10">
        <f>CHOOSE(MATCH(Tableau143[[#This Row],[Ratio_Torg]],{0,0.59,0.79,1.5},1),3,1,0)</f>
        <v>1</v>
      </c>
      <c r="S82" s="18">
        <v>2</v>
      </c>
      <c r="T82" s="28">
        <v>1</v>
      </c>
      <c r="U82" s="7">
        <v>43179</v>
      </c>
      <c r="V82" s="3">
        <f t="shared" si="7"/>
        <v>12.180000000000001</v>
      </c>
      <c r="W82" s="12">
        <v>11</v>
      </c>
      <c r="X82" s="1">
        <v>4</v>
      </c>
      <c r="Y82" s="1">
        <v>1</v>
      </c>
      <c r="Z82" s="1">
        <v>2</v>
      </c>
      <c r="AA82" s="1">
        <v>1</v>
      </c>
      <c r="AB82" s="1">
        <v>1</v>
      </c>
      <c r="AC82" s="1">
        <v>2</v>
      </c>
      <c r="AF82" s="1"/>
    </row>
    <row r="83" spans="1:32" x14ac:dyDescent="0.25">
      <c r="A83" s="3">
        <v>51</v>
      </c>
      <c r="B83" s="3" t="s">
        <v>86</v>
      </c>
      <c r="C83" s="2">
        <v>44016</v>
      </c>
      <c r="D83" s="1" t="s">
        <v>17</v>
      </c>
      <c r="E83" s="4">
        <f>Tableau143[[#This Row],[Pts_Fujiwara]]+Tableau143[[#This Row],[ HT2]]+Tableau143[[#This Row],[LCR]]+Tableau143[[#This Row],[Points_angle_p]]+Tableau143[[#This Row],[Point_Torg]]</f>
        <v>10</v>
      </c>
      <c r="F83" s="4">
        <f>SUM(Tableau143[[#This Row],[Pts_Fujiwara]],Tableau143[[#This Row],[ HT2]],Tableau143[[#This Row],[LCR]],Tableau143[[#This Row],[Points_angle_p]],Tableau143[[#This Row],[Point_Torg]],Tableau143[[#This Row],[Pts_sténoses]])</f>
        <v>11</v>
      </c>
      <c r="G83" s="1">
        <v>1.1000000000000001</v>
      </c>
      <c r="H83" s="1">
        <v>0.37</v>
      </c>
      <c r="I83" s="5">
        <f t="shared" si="8"/>
        <v>0.33636363636363631</v>
      </c>
      <c r="J83" s="9">
        <v>3</v>
      </c>
      <c r="K83" s="10">
        <v>4</v>
      </c>
      <c r="L83" s="10">
        <v>2</v>
      </c>
      <c r="M83" s="1">
        <v>7</v>
      </c>
      <c r="N83" s="10">
        <f>CHOOSE(MATCH(Tableau143[[#This Row],[Angle_p]],{-50,-14.9,-4.9,50},1),3,1,0)</f>
        <v>0</v>
      </c>
      <c r="O83" s="1">
        <v>1.63</v>
      </c>
      <c r="P83" s="1">
        <v>1.29</v>
      </c>
      <c r="Q83" s="5">
        <f t="shared" si="6"/>
        <v>0.79141104294478537</v>
      </c>
      <c r="R83" s="10">
        <v>1</v>
      </c>
      <c r="S83" s="19">
        <v>2</v>
      </c>
      <c r="T83" s="28">
        <v>1</v>
      </c>
      <c r="U83" s="7">
        <v>44041</v>
      </c>
      <c r="V83" s="3">
        <f t="shared" si="7"/>
        <v>14.850000000000001</v>
      </c>
      <c r="W83" s="12">
        <v>14</v>
      </c>
      <c r="X83" s="1">
        <v>3</v>
      </c>
      <c r="Y83" s="1">
        <v>3</v>
      </c>
      <c r="Z83" s="1">
        <v>1</v>
      </c>
      <c r="AA83" s="1">
        <v>2</v>
      </c>
      <c r="AB83" s="1">
        <v>2</v>
      </c>
      <c r="AC83" s="1">
        <v>3</v>
      </c>
      <c r="AF83" s="1"/>
    </row>
    <row r="84" spans="1:32" x14ac:dyDescent="0.25">
      <c r="A84" s="3">
        <v>52</v>
      </c>
      <c r="B84" s="3" t="s">
        <v>83</v>
      </c>
      <c r="C84" s="2">
        <v>44273</v>
      </c>
      <c r="D84" s="1" t="s">
        <v>12</v>
      </c>
      <c r="E84" s="4">
        <f>Tableau143[[#This Row],[Pts_Fujiwara]]+Tableau143[[#This Row],[ HT2]]+Tableau143[[#This Row],[LCR]]+Tableau143[[#This Row],[Points_angle_p]]+Tableau143[[#This Row],[Point_Torg]]</f>
        <v>4</v>
      </c>
      <c r="F84" s="4">
        <f>SUM(Tableau143[[#This Row],[Pts_Fujiwara]],Tableau143[[#This Row],[ HT2]],Tableau143[[#This Row],[LCR]],Tableau143[[#This Row],[Points_angle_p]],Tableau143[[#This Row],[Point_Torg]],Tableau143[[#This Row],[Pts_sténoses]])</f>
        <v>4</v>
      </c>
      <c r="G84" s="1">
        <v>1.1200000000000001</v>
      </c>
      <c r="H84" s="1">
        <v>0.53</v>
      </c>
      <c r="I84" s="5">
        <f t="shared" si="8"/>
        <v>0.4732142857142857</v>
      </c>
      <c r="J84" s="9">
        <f>CHOOSE(MATCH(Tableau143[[#This Row],[Fujiwara_P]],{0,0.39,0.49,1},1),3,1,0)</f>
        <v>1</v>
      </c>
      <c r="K84" s="10">
        <v>2</v>
      </c>
      <c r="L84" s="10">
        <v>1</v>
      </c>
      <c r="M84" s="1">
        <v>12.7</v>
      </c>
      <c r="N84" s="10">
        <f>CHOOSE(MATCH(Tableau143[[#This Row],[Angle_p]],{-50,-14.9,-4.9,50},1),3,1,0)</f>
        <v>0</v>
      </c>
      <c r="O84" s="1">
        <v>1.58</v>
      </c>
      <c r="P84" s="1">
        <v>1.28</v>
      </c>
      <c r="Q84" s="5">
        <f t="shared" si="6"/>
        <v>0.810126582278481</v>
      </c>
      <c r="R84" s="10">
        <f>CHOOSE(MATCH(Tableau143[[#This Row],[Ratio_Torg]],{0,0.59,0.79,1.5},1),3,1,0)</f>
        <v>0</v>
      </c>
      <c r="S84" s="19">
        <v>1</v>
      </c>
      <c r="T84" s="24">
        <v>0</v>
      </c>
      <c r="U84" s="7">
        <v>44278</v>
      </c>
      <c r="V84" s="3">
        <f t="shared" si="7"/>
        <v>16.63</v>
      </c>
      <c r="W84" s="12">
        <v>16</v>
      </c>
      <c r="X84" s="1">
        <v>4</v>
      </c>
      <c r="Y84" s="1">
        <v>3</v>
      </c>
      <c r="Z84" s="1">
        <v>2</v>
      </c>
      <c r="AA84" s="1">
        <v>2</v>
      </c>
      <c r="AB84" s="1">
        <v>2</v>
      </c>
      <c r="AC84" s="1">
        <v>3</v>
      </c>
      <c r="AF84" s="1"/>
    </row>
    <row r="85" spans="1:32" x14ac:dyDescent="0.25">
      <c r="A85" s="3">
        <v>73</v>
      </c>
      <c r="B85" s="3" t="s">
        <v>103</v>
      </c>
      <c r="C85" s="2">
        <v>44110</v>
      </c>
      <c r="D85" s="1" t="s">
        <v>17</v>
      </c>
      <c r="E85" s="4">
        <f>Tableau143[[#This Row],[Pts_Fujiwara]]+Tableau143[[#This Row],[ HT2]]+Tableau143[[#This Row],[LCR]]+Tableau143[[#This Row],[Points_angle_p]]+Tableau143[[#This Row],[Point_Torg]]</f>
        <v>3</v>
      </c>
      <c r="F85" s="4">
        <f>SUM(Tableau143[[#This Row],[Pts_Fujiwara]],Tableau143[[#This Row],[ HT2]],Tableau143[[#This Row],[LCR]],Tableau143[[#This Row],[Points_angle_p]],Tableau143[[#This Row],[Point_Torg]],Tableau143[[#This Row],[Pts_sténoses]])</f>
        <v>3</v>
      </c>
      <c r="G85" s="1">
        <v>1.5</v>
      </c>
      <c r="H85" s="1">
        <v>0.62</v>
      </c>
      <c r="I85" s="5">
        <f t="shared" si="8"/>
        <v>0.41333333333333333</v>
      </c>
      <c r="J85" s="9">
        <f>CHOOSE(MATCH(Tableau143[[#This Row],[Fujiwara_P]],{0,0.39,0.49,1},1),3,1,0)</f>
        <v>1</v>
      </c>
      <c r="K85" s="10">
        <v>0</v>
      </c>
      <c r="L85" s="10">
        <v>2</v>
      </c>
      <c r="M85" s="1">
        <v>9.5</v>
      </c>
      <c r="N85" s="10">
        <f>CHOOSE(MATCH(Tableau143[[#This Row],[Angle_p]],{-50,-14.9,-4.9,50},1),3,1,0)</f>
        <v>0</v>
      </c>
      <c r="O85" s="1">
        <v>1.48</v>
      </c>
      <c r="P85" s="1">
        <v>1.2</v>
      </c>
      <c r="Q85" s="5">
        <f t="shared" si="6"/>
        <v>0.81081081081081074</v>
      </c>
      <c r="R85" s="10">
        <f>CHOOSE(MATCH(Tableau143[[#This Row],[Ratio_Torg]],{0,0.59,0.79,1.5},1),3,1,0)</f>
        <v>0</v>
      </c>
      <c r="S85" s="18">
        <v>1</v>
      </c>
      <c r="T85" s="24">
        <v>0</v>
      </c>
      <c r="U85" s="7">
        <v>44095</v>
      </c>
      <c r="V85" s="3">
        <f t="shared" si="7"/>
        <v>16.63</v>
      </c>
      <c r="W85" s="12">
        <v>16</v>
      </c>
      <c r="X85" s="1">
        <v>3</v>
      </c>
      <c r="Y85" s="1">
        <v>4</v>
      </c>
      <c r="Z85" s="1">
        <v>2</v>
      </c>
      <c r="AA85" s="1">
        <v>2</v>
      </c>
      <c r="AB85" s="1">
        <v>2</v>
      </c>
      <c r="AC85" s="1">
        <v>3</v>
      </c>
      <c r="AF85" s="1"/>
    </row>
    <row r="86" spans="1:32" x14ac:dyDescent="0.25">
      <c r="A86" s="3">
        <v>71</v>
      </c>
      <c r="B86" s="3" t="s">
        <v>108</v>
      </c>
      <c r="C86" s="2">
        <v>43906</v>
      </c>
      <c r="D86" s="1" t="s">
        <v>17</v>
      </c>
      <c r="E86" s="4">
        <f>Tableau143[[#This Row],[Pts_Fujiwara]]+Tableau143[[#This Row],[ HT2]]+Tableau143[[#This Row],[LCR]]+Tableau143[[#This Row],[Points_angle_p]]+Tableau143[[#This Row],[Point_Torg]]</f>
        <v>11</v>
      </c>
      <c r="F86" s="4">
        <f>SUM(Tableau143[[#This Row],[Pts_Fujiwara]],Tableau143[[#This Row],[ HT2]],Tableau143[[#This Row],[LCR]],Tableau143[[#This Row],[Points_angle_p]],Tableau143[[#This Row],[Point_Torg]],Tableau143[[#This Row],[Pts_sténoses]])</f>
        <v>15</v>
      </c>
      <c r="G86" s="1">
        <v>1.5</v>
      </c>
      <c r="H86" s="1">
        <v>0.44</v>
      </c>
      <c r="I86" s="5">
        <f t="shared" si="8"/>
        <v>0.29333333333333333</v>
      </c>
      <c r="J86" s="9">
        <v>4</v>
      </c>
      <c r="K86" s="10">
        <v>2</v>
      </c>
      <c r="L86" s="10">
        <v>4</v>
      </c>
      <c r="M86" s="1">
        <v>-4.0999999999999996</v>
      </c>
      <c r="N86" s="10">
        <v>1</v>
      </c>
      <c r="O86" s="1">
        <v>1.7</v>
      </c>
      <c r="P86" s="1">
        <v>1.4</v>
      </c>
      <c r="Q86" s="5">
        <f t="shared" si="6"/>
        <v>0.82352941176470584</v>
      </c>
      <c r="R86" s="10">
        <f>CHOOSE(MATCH(Tableau143[[#This Row],[Ratio_Torg]],{0,0.59,0.79,1.5},1),3,1,0)</f>
        <v>0</v>
      </c>
      <c r="S86" s="19">
        <v>3</v>
      </c>
      <c r="T86" s="24">
        <v>4</v>
      </c>
      <c r="U86" s="7">
        <v>43970</v>
      </c>
      <c r="V86" s="3">
        <f t="shared" si="7"/>
        <v>9.51</v>
      </c>
      <c r="W86" s="12">
        <v>8</v>
      </c>
      <c r="X86" s="1">
        <v>0</v>
      </c>
      <c r="Y86" s="1">
        <v>3</v>
      </c>
      <c r="Z86" s="1">
        <v>2</v>
      </c>
      <c r="AA86" s="1">
        <v>1</v>
      </c>
      <c r="AB86" s="1">
        <v>2</v>
      </c>
      <c r="AC86" s="1">
        <v>0</v>
      </c>
      <c r="AF86" s="1"/>
    </row>
    <row r="87" spans="1:32" x14ac:dyDescent="0.25">
      <c r="A87" s="3">
        <v>66</v>
      </c>
      <c r="B87" s="3" t="s">
        <v>63</v>
      </c>
      <c r="C87" s="2">
        <v>43271</v>
      </c>
      <c r="D87" s="1" t="s">
        <v>9</v>
      </c>
      <c r="E87" s="4">
        <f>Tableau143[[#This Row],[Pts_Fujiwara]]+Tableau143[[#This Row],[ HT2]]+Tableau143[[#This Row],[LCR]]+Tableau143[[#This Row],[Points_angle_p]]+Tableau143[[#This Row],[Point_Torg]]</f>
        <v>2</v>
      </c>
      <c r="F87" s="4">
        <f>SUM(Tableau143[[#This Row],[Pts_Fujiwara]],Tableau143[[#This Row],[ HT2]],Tableau143[[#This Row],[LCR]],Tableau143[[#This Row],[Points_angle_p]],Tableau143[[#This Row],[Point_Torg]],Tableau143[[#This Row],[Pts_sténoses]])</f>
        <v>2</v>
      </c>
      <c r="G87" s="1">
        <v>1.4</v>
      </c>
      <c r="H87" s="1">
        <v>0.56000000000000005</v>
      </c>
      <c r="I87" s="5">
        <f t="shared" si="8"/>
        <v>0.40000000000000008</v>
      </c>
      <c r="J87" s="9">
        <f>CHOOSE(MATCH(Tableau143[[#This Row],[Fujiwara_P]],{0,0.39,0.49,1},1),3,1,0)</f>
        <v>1</v>
      </c>
      <c r="K87" s="10">
        <v>0</v>
      </c>
      <c r="L87" s="10">
        <v>1</v>
      </c>
      <c r="M87" s="1">
        <v>2</v>
      </c>
      <c r="N87" s="10">
        <f>CHOOSE(MATCH(Tableau143[[#This Row],[Angle_p]],{-50,-14.9,-4.9,50},1),3,1,0)</f>
        <v>0</v>
      </c>
      <c r="O87" s="1">
        <v>1.48</v>
      </c>
      <c r="P87" s="1">
        <v>1.23</v>
      </c>
      <c r="Q87" s="5">
        <f t="shared" si="6"/>
        <v>0.83108108108108103</v>
      </c>
      <c r="R87" s="10">
        <f>CHOOSE(MATCH(Tableau143[[#This Row],[Ratio_Torg]],{0,0.59,0.79,1.5},1),3,1,0)</f>
        <v>0</v>
      </c>
      <c r="S87" s="19">
        <v>1</v>
      </c>
      <c r="T87" s="24">
        <v>0</v>
      </c>
      <c r="U87" s="7">
        <v>43160</v>
      </c>
      <c r="V87" s="3">
        <f t="shared" si="7"/>
        <v>17.52</v>
      </c>
      <c r="W87" s="12">
        <v>17</v>
      </c>
      <c r="X87" s="1">
        <v>4</v>
      </c>
      <c r="Y87" s="1">
        <v>4</v>
      </c>
      <c r="Z87" s="1">
        <v>2</v>
      </c>
      <c r="AA87" s="1">
        <v>2</v>
      </c>
      <c r="AB87" s="1">
        <v>2</v>
      </c>
      <c r="AC87" s="1">
        <v>3</v>
      </c>
      <c r="AF87" s="1"/>
    </row>
    <row r="88" spans="1:32" x14ac:dyDescent="0.25">
      <c r="A88" s="3">
        <v>44</v>
      </c>
      <c r="B88" s="3" t="s">
        <v>13</v>
      </c>
      <c r="C88" s="2">
        <v>43650</v>
      </c>
      <c r="D88" s="1" t="s">
        <v>14</v>
      </c>
      <c r="E88" s="4">
        <f>Tableau143[[#This Row],[Pts_Fujiwara]]+Tableau143[[#This Row],[ HT2]]+Tableau143[[#This Row],[LCR]]+Tableau143[[#This Row],[Points_angle_p]]+Tableau143[[#This Row],[Point_Torg]]</f>
        <v>7</v>
      </c>
      <c r="F88" s="4">
        <f>SUM(Tableau143[[#This Row],[Pts_Fujiwara]],Tableau143[[#This Row],[ HT2]],Tableau143[[#This Row],[LCR]],Tableau143[[#This Row],[Points_angle_p]],Tableau143[[#This Row],[Point_Torg]],Tableau143[[#This Row],[Pts_sténoses]])</f>
        <v>7</v>
      </c>
      <c r="G88" s="1">
        <v>1.78</v>
      </c>
      <c r="H88" s="1">
        <v>0.54</v>
      </c>
      <c r="I88" s="5">
        <f t="shared" si="8"/>
        <v>0.30337078651685395</v>
      </c>
      <c r="J88" s="9">
        <v>3</v>
      </c>
      <c r="K88" s="10">
        <v>2</v>
      </c>
      <c r="L88" s="10">
        <v>2</v>
      </c>
      <c r="M88" s="1">
        <v>0</v>
      </c>
      <c r="N88" s="10">
        <f>CHOOSE(MATCH(Tableau143[[#This Row],[Angle_p]],{-50,-14.9,-4.9,50},1),3,1,0)</f>
        <v>0</v>
      </c>
      <c r="O88" s="1">
        <v>1.45</v>
      </c>
      <c r="P88" s="1">
        <v>1.24</v>
      </c>
      <c r="Q88" s="5">
        <f t="shared" si="6"/>
        <v>0.85517241379310349</v>
      </c>
      <c r="R88" s="10">
        <f>CHOOSE(MATCH(Tableau143[[#This Row],[Ratio_Torg]],{0,0.59,0.79,1.5},1),3,1,0)</f>
        <v>0</v>
      </c>
      <c r="S88" s="19">
        <v>1</v>
      </c>
      <c r="T88" s="24">
        <v>0</v>
      </c>
      <c r="U88" s="7">
        <v>43791</v>
      </c>
      <c r="V88" s="3">
        <f t="shared" si="7"/>
        <v>14.850000000000001</v>
      </c>
      <c r="W88" s="12">
        <v>14</v>
      </c>
      <c r="AF88" s="1"/>
    </row>
    <row r="89" spans="1:32" x14ac:dyDescent="0.25">
      <c r="A89" s="3">
        <v>28</v>
      </c>
      <c r="B89" s="3" t="s">
        <v>73</v>
      </c>
      <c r="C89" s="2">
        <v>43146</v>
      </c>
      <c r="D89" s="1" t="s">
        <v>12</v>
      </c>
      <c r="E89" s="4">
        <f>Tableau143[[#This Row],[Pts_Fujiwara]]+Tableau143[[#This Row],[ HT2]]+Tableau143[[#This Row],[LCR]]+Tableau143[[#This Row],[Points_angle_p]]+Tableau143[[#This Row],[Point_Torg]]</f>
        <v>4</v>
      </c>
      <c r="F89" s="4">
        <f>SUM(Tableau143[[#This Row],[Pts_Fujiwara]],Tableau143[[#This Row],[ HT2]],Tableau143[[#This Row],[LCR]],Tableau143[[#This Row],[Points_angle_p]],Tableau143[[#This Row],[Point_Torg]],Tableau143[[#This Row],[Pts_sténoses]])</f>
        <v>4</v>
      </c>
      <c r="G89" s="1">
        <v>1.64</v>
      </c>
      <c r="H89" s="1">
        <v>0.55000000000000004</v>
      </c>
      <c r="I89" s="5">
        <f t="shared" si="8"/>
        <v>0.33536585365853661</v>
      </c>
      <c r="J89" s="9">
        <v>3</v>
      </c>
      <c r="K89" s="10">
        <v>0</v>
      </c>
      <c r="L89" s="10">
        <v>1</v>
      </c>
      <c r="M89" s="1">
        <v>-2.8</v>
      </c>
      <c r="N89" s="10">
        <f>CHOOSE(MATCH(Tableau143[[#This Row],[Angle_p]],{-50,-14.9,-4.9,50},1),3,1,0)</f>
        <v>0</v>
      </c>
      <c r="O89" s="1">
        <v>1.52</v>
      </c>
      <c r="P89" s="1">
        <v>1.31</v>
      </c>
      <c r="Q89" s="5">
        <f t="shared" si="6"/>
        <v>0.86184210526315796</v>
      </c>
      <c r="R89" s="10">
        <f>CHOOSE(MATCH(Tableau143[[#This Row],[Ratio_Torg]],{0,0.59,0.79,1.5},1),3,1,0)</f>
        <v>0</v>
      </c>
      <c r="S89" s="18">
        <v>1</v>
      </c>
      <c r="T89" s="24">
        <v>0</v>
      </c>
      <c r="U89" s="7">
        <v>43292</v>
      </c>
      <c r="V89" s="3">
        <f t="shared" si="7"/>
        <v>17.52</v>
      </c>
      <c r="W89" s="12">
        <v>17</v>
      </c>
      <c r="X89" s="1">
        <v>4</v>
      </c>
      <c r="Y89" s="1">
        <v>4</v>
      </c>
      <c r="Z89" s="1">
        <v>2</v>
      </c>
      <c r="AA89" s="1">
        <v>2</v>
      </c>
      <c r="AB89" s="1">
        <v>2</v>
      </c>
      <c r="AC89" s="1">
        <v>3</v>
      </c>
      <c r="AF89" s="1"/>
    </row>
    <row r="90" spans="1:32" x14ac:dyDescent="0.25">
      <c r="A90" s="3">
        <v>54</v>
      </c>
      <c r="B90" s="3" t="s">
        <v>70</v>
      </c>
      <c r="C90" s="2">
        <v>43336</v>
      </c>
      <c r="D90" s="1" t="s">
        <v>17</v>
      </c>
      <c r="E90" s="4">
        <f>Tableau143[[#This Row],[Pts_Fujiwara]]+Tableau143[[#This Row],[ HT2]]+Tableau143[[#This Row],[LCR]]+Tableau143[[#This Row],[Points_angle_p]]+Tableau143[[#This Row],[Point_Torg]]</f>
        <v>1</v>
      </c>
      <c r="F90" s="4">
        <f>SUM(Tableau143[[#This Row],[Pts_Fujiwara]],Tableau143[[#This Row],[ HT2]],Tableau143[[#This Row],[LCR]],Tableau143[[#This Row],[Points_angle_p]],Tableau143[[#This Row],[Point_Torg]],Tableau143[[#This Row],[Pts_sténoses]])</f>
        <v>1</v>
      </c>
      <c r="G90" s="1">
        <v>1.38</v>
      </c>
      <c r="H90" s="1">
        <v>0.7</v>
      </c>
      <c r="I90" s="5">
        <f t="shared" si="8"/>
        <v>0.50724637681159424</v>
      </c>
      <c r="J90" s="9">
        <f>CHOOSE(MATCH(Tableau143[[#This Row],[Fujiwara_P]],{0,0.39,0.49,1},1),3,1,0)</f>
        <v>0</v>
      </c>
      <c r="K90" s="10">
        <v>0</v>
      </c>
      <c r="L90" s="10">
        <v>0</v>
      </c>
      <c r="M90" s="1">
        <v>-5.5</v>
      </c>
      <c r="N90" s="10">
        <v>1</v>
      </c>
      <c r="O90" s="1">
        <v>1.72</v>
      </c>
      <c r="P90" s="1">
        <v>1.55</v>
      </c>
      <c r="Q90" s="5">
        <f t="shared" si="6"/>
        <v>0.90116279069767447</v>
      </c>
      <c r="R90" s="10">
        <f>CHOOSE(MATCH(Tableau143[[#This Row],[Ratio_Torg]],{0,0.59,0.79,1.5},1),3,1,0)</f>
        <v>0</v>
      </c>
      <c r="S90" s="18">
        <v>1</v>
      </c>
      <c r="T90" s="24">
        <v>0</v>
      </c>
      <c r="U90" s="7">
        <v>43291</v>
      </c>
      <c r="V90" s="3">
        <f t="shared" si="7"/>
        <v>17.52</v>
      </c>
      <c r="W90" s="12">
        <v>17</v>
      </c>
      <c r="X90" s="1">
        <v>4</v>
      </c>
      <c r="Y90" s="1">
        <v>4</v>
      </c>
      <c r="Z90" s="1">
        <v>2</v>
      </c>
      <c r="AA90" s="1">
        <v>2</v>
      </c>
      <c r="AB90" s="1">
        <v>2</v>
      </c>
      <c r="AC90" s="1">
        <v>3</v>
      </c>
      <c r="AF90" s="1"/>
    </row>
    <row r="91" spans="1:32" x14ac:dyDescent="0.25">
      <c r="A91" s="3">
        <v>61</v>
      </c>
      <c r="B91" s="3" t="s">
        <v>78</v>
      </c>
      <c r="C91" s="2">
        <v>44176</v>
      </c>
      <c r="D91" s="1" t="s">
        <v>17</v>
      </c>
      <c r="E91" s="4">
        <f>Tableau143[[#This Row],[Pts_Fujiwara]]+Tableau143[[#This Row],[ HT2]]+Tableau143[[#This Row],[LCR]]+Tableau143[[#This Row],[Points_angle_p]]+Tableau143[[#This Row],[Point_Torg]]</f>
        <v>2</v>
      </c>
      <c r="F91" s="4">
        <f>SUM(Tableau143[[#This Row],[Pts_Fujiwara]],Tableau143[[#This Row],[ HT2]],Tableau143[[#This Row],[LCR]],Tableau143[[#This Row],[Points_angle_p]],Tableau143[[#This Row],[Point_Torg]],Tableau143[[#This Row],[Pts_sténoses]])</f>
        <v>2</v>
      </c>
      <c r="G91" s="1">
        <v>1.1599999999999999</v>
      </c>
      <c r="H91" s="1">
        <v>0.51</v>
      </c>
      <c r="I91" s="5">
        <f t="shared" si="8"/>
        <v>0.43965517241379315</v>
      </c>
      <c r="J91" s="9">
        <f>CHOOSE(MATCH(Tableau143[[#This Row],[Fujiwara_P]],{0,0.39,0.49,1},1),3,1,0)</f>
        <v>1</v>
      </c>
      <c r="K91" s="10">
        <v>0</v>
      </c>
      <c r="L91" s="10">
        <v>1</v>
      </c>
      <c r="M91" s="1">
        <v>13</v>
      </c>
      <c r="N91" s="10">
        <f>CHOOSE(MATCH(Tableau143[[#This Row],[Angle_p]],{-50,-14.9,-4.9,50},1),3,1,0)</f>
        <v>0</v>
      </c>
      <c r="O91" s="1">
        <v>1.58</v>
      </c>
      <c r="P91" s="1">
        <v>1.44</v>
      </c>
      <c r="Q91" s="5">
        <f t="shared" si="6"/>
        <v>0.91139240506329111</v>
      </c>
      <c r="R91" s="10">
        <f>CHOOSE(MATCH(Tableau143[[#This Row],[Ratio_Torg]],{0,0.59,0.79,1.5},1),3,1,0)</f>
        <v>0</v>
      </c>
      <c r="S91" s="18">
        <v>1</v>
      </c>
      <c r="T91" s="24">
        <v>0</v>
      </c>
      <c r="U91" s="7">
        <v>44210</v>
      </c>
      <c r="V91" s="3">
        <f t="shared" si="7"/>
        <v>17.52</v>
      </c>
      <c r="W91" s="12">
        <v>17</v>
      </c>
      <c r="AF91" s="1"/>
    </row>
    <row r="92" spans="1:32" x14ac:dyDescent="0.25">
      <c r="A92" s="3">
        <v>29</v>
      </c>
      <c r="B92" s="3" t="s">
        <v>72</v>
      </c>
      <c r="C92" s="2">
        <v>43283</v>
      </c>
      <c r="D92" s="1" t="s">
        <v>14</v>
      </c>
      <c r="E92" s="4">
        <f>Tableau143[[#This Row],[Pts_Fujiwara]]+Tableau143[[#This Row],[ HT2]]+Tableau143[[#This Row],[LCR]]+Tableau143[[#This Row],[Points_angle_p]]+Tableau143[[#This Row],[Point_Torg]]</f>
        <v>8</v>
      </c>
      <c r="F92" s="4">
        <f>SUM(Tableau143[[#This Row],[Pts_Fujiwara]],Tableau143[[#This Row],[ HT2]],Tableau143[[#This Row],[LCR]],Tableau143[[#This Row],[Points_angle_p]],Tableau143[[#This Row],[Point_Torg]],Tableau143[[#This Row],[Pts_sténoses]])</f>
        <v>12</v>
      </c>
      <c r="G92" s="1">
        <v>1.33</v>
      </c>
      <c r="H92" s="1">
        <v>0.54</v>
      </c>
      <c r="I92" s="5">
        <f t="shared" si="8"/>
        <v>0.40601503759398494</v>
      </c>
      <c r="J92" s="9">
        <f>CHOOSE(MATCH(Tableau143[[#This Row],[Fujiwara_P]],{0,0.39,0.49,1},1),3,1,0)</f>
        <v>1</v>
      </c>
      <c r="K92" s="10">
        <v>4</v>
      </c>
      <c r="L92" s="10">
        <v>2</v>
      </c>
      <c r="M92" s="1">
        <v>-7.9</v>
      </c>
      <c r="N92" s="10">
        <v>1</v>
      </c>
      <c r="O92" s="1">
        <v>1.46</v>
      </c>
      <c r="P92" s="1">
        <v>1.35</v>
      </c>
      <c r="Q92" s="5">
        <f t="shared" si="6"/>
        <v>0.92465753424657537</v>
      </c>
      <c r="R92" s="10">
        <f>CHOOSE(MATCH(Tableau143[[#This Row],[Ratio_Torg]],{0,0.59,0.79,1.5},1),3,1,0)</f>
        <v>0</v>
      </c>
      <c r="S92" s="18">
        <v>3</v>
      </c>
      <c r="T92" s="24">
        <v>4</v>
      </c>
      <c r="U92" s="7">
        <v>43367</v>
      </c>
      <c r="V92" s="3">
        <f t="shared" si="7"/>
        <v>8.620000000000001</v>
      </c>
      <c r="W92" s="12">
        <v>7</v>
      </c>
      <c r="X92" s="1">
        <v>2</v>
      </c>
      <c r="Y92" s="1">
        <v>0</v>
      </c>
      <c r="Z92" s="1">
        <v>1</v>
      </c>
      <c r="AA92" s="1">
        <v>2</v>
      </c>
      <c r="AB92" s="1">
        <v>2</v>
      </c>
      <c r="AC92" s="1">
        <v>0</v>
      </c>
      <c r="AF92" s="1"/>
    </row>
    <row r="93" spans="1:32" x14ac:dyDescent="0.25">
      <c r="A93" s="3">
        <v>68</v>
      </c>
      <c r="B93" s="3" t="s">
        <v>107</v>
      </c>
      <c r="C93" s="2">
        <v>43797</v>
      </c>
      <c r="D93" s="1" t="s">
        <v>12</v>
      </c>
      <c r="E93" s="4">
        <f>Tableau143[[#This Row],[Pts_Fujiwara]]+Tableau143[[#This Row],[ HT2]]+Tableau143[[#This Row],[LCR]]+Tableau143[[#This Row],[Points_angle_p]]+Tableau143[[#This Row],[Point_Torg]]</f>
        <v>7</v>
      </c>
      <c r="F93" s="4">
        <f>SUM(Tableau143[[#This Row],[Pts_Fujiwara]],Tableau143[[#This Row],[ HT2]],Tableau143[[#This Row],[LCR]],Tableau143[[#This Row],[Points_angle_p]],Tableau143[[#This Row],[Point_Torg]],Tableau143[[#This Row],[Pts_sténoses]])</f>
        <v>8</v>
      </c>
      <c r="G93" s="1">
        <v>1.33</v>
      </c>
      <c r="H93" s="1">
        <v>0.62</v>
      </c>
      <c r="I93" s="5">
        <f t="shared" si="8"/>
        <v>0.46616541353383456</v>
      </c>
      <c r="J93" s="9">
        <f>CHOOSE(MATCH(Tableau143[[#This Row],[Fujiwara_P]],{0,0.39,0.49,1},1),3,1,0)</f>
        <v>1</v>
      </c>
      <c r="K93" s="10">
        <v>2</v>
      </c>
      <c r="L93" s="10">
        <v>4</v>
      </c>
      <c r="M93" s="1">
        <v>8.5</v>
      </c>
      <c r="N93" s="10">
        <f>CHOOSE(MATCH(Tableau143[[#This Row],[Angle_p]],{-50,-14.9,-4.9,50},1),3,1,0)</f>
        <v>0</v>
      </c>
      <c r="O93" s="1">
        <v>1.4</v>
      </c>
      <c r="P93" s="1">
        <v>1.33</v>
      </c>
      <c r="Q93" s="5">
        <f t="shared" si="6"/>
        <v>0.95000000000000007</v>
      </c>
      <c r="R93" s="10">
        <f>CHOOSE(MATCH(Tableau143[[#This Row],[Ratio_Torg]],{0,0.59,0.79,1.5},1),3,1,0)</f>
        <v>0</v>
      </c>
      <c r="S93" s="19">
        <v>2</v>
      </c>
      <c r="T93" s="28">
        <v>1</v>
      </c>
      <c r="U93" s="7">
        <v>44028</v>
      </c>
      <c r="V93" s="3">
        <f t="shared" si="7"/>
        <v>11.290000000000001</v>
      </c>
      <c r="W93" s="12">
        <v>10</v>
      </c>
      <c r="X93" s="1">
        <v>1</v>
      </c>
      <c r="Y93" s="1">
        <v>4</v>
      </c>
      <c r="Z93" s="1">
        <v>1</v>
      </c>
      <c r="AA93" s="1">
        <v>1</v>
      </c>
      <c r="AB93" s="1">
        <v>1</v>
      </c>
      <c r="AC93" s="1">
        <v>2</v>
      </c>
      <c r="AF93" s="1"/>
    </row>
    <row r="94" spans="1:32" x14ac:dyDescent="0.25">
      <c r="A94" s="3">
        <v>74</v>
      </c>
      <c r="B94" s="3" t="s">
        <v>106</v>
      </c>
      <c r="C94" s="2">
        <v>43899</v>
      </c>
      <c r="D94" s="1" t="s">
        <v>17</v>
      </c>
      <c r="E94" s="4">
        <f>Tableau143[[#This Row],[Pts_Fujiwara]]+Tableau143[[#This Row],[ HT2]]+Tableau143[[#This Row],[LCR]]+Tableau143[[#This Row],[Points_angle_p]]+Tableau143[[#This Row],[Point_Torg]]</f>
        <v>8</v>
      </c>
      <c r="F94" s="4">
        <f>SUM(Tableau143[[#This Row],[Pts_Fujiwara]],Tableau143[[#This Row],[ HT2]],Tableau143[[#This Row],[LCR]],Tableau143[[#This Row],[Points_angle_p]],Tableau143[[#This Row],[Point_Torg]],Tableau143[[#This Row],[Pts_sténoses]])</f>
        <v>9</v>
      </c>
      <c r="G94" s="1">
        <v>1.49</v>
      </c>
      <c r="H94" s="1">
        <v>0.38</v>
      </c>
      <c r="I94" s="5">
        <f t="shared" si="8"/>
        <v>0.25503355704697989</v>
      </c>
      <c r="J94" s="9">
        <v>4</v>
      </c>
      <c r="K94" s="10">
        <v>2</v>
      </c>
      <c r="L94" s="10">
        <v>2</v>
      </c>
      <c r="M94" s="1">
        <v>2.7</v>
      </c>
      <c r="N94" s="10">
        <f>CHOOSE(MATCH(Tableau143[[#This Row],[Angle_p]],{-50,-14.9,-4.9,50},1),3,1,0)</f>
        <v>0</v>
      </c>
      <c r="O94" s="1">
        <v>1.55</v>
      </c>
      <c r="P94" s="1">
        <v>1.5</v>
      </c>
      <c r="Q94" s="5">
        <f t="shared" si="6"/>
        <v>0.96774193548387089</v>
      </c>
      <c r="R94" s="10">
        <f>CHOOSE(MATCH(Tableau143[[#This Row],[Ratio_Torg]],{0,0.59,0.79,1.5},1),3,1,0)</f>
        <v>0</v>
      </c>
      <c r="S94" s="19">
        <v>2</v>
      </c>
      <c r="T94" s="28">
        <v>1</v>
      </c>
      <c r="U94" s="7">
        <v>44005</v>
      </c>
      <c r="V94" s="3">
        <f t="shared" si="7"/>
        <v>13.96</v>
      </c>
      <c r="W94" s="12">
        <v>13</v>
      </c>
      <c r="X94" s="1">
        <v>4</v>
      </c>
      <c r="Y94" s="1">
        <v>2</v>
      </c>
      <c r="Z94" s="1">
        <v>2</v>
      </c>
      <c r="AA94" s="1">
        <v>2</v>
      </c>
      <c r="AB94" s="1">
        <v>2</v>
      </c>
      <c r="AC94" s="1">
        <v>1</v>
      </c>
      <c r="AF94" s="1"/>
    </row>
    <row r="95" spans="1:32" x14ac:dyDescent="0.25">
      <c r="A95" s="3">
        <v>59</v>
      </c>
      <c r="B95" s="3" t="s">
        <v>77</v>
      </c>
      <c r="C95" s="2">
        <v>44313</v>
      </c>
      <c r="D95" s="1" t="s">
        <v>17</v>
      </c>
      <c r="E95" s="4">
        <f>Tableau143[[#This Row],[Pts_Fujiwara]]+Tableau143[[#This Row],[ HT2]]+Tableau143[[#This Row],[LCR]]+Tableau143[[#This Row],[Points_angle_p]]+Tableau143[[#This Row],[Point_Torg]]</f>
        <v>11</v>
      </c>
      <c r="F95" s="4">
        <f>SUM(Tableau143[[#This Row],[Pts_Fujiwara]],Tableau143[[#This Row],[ HT2]],Tableau143[[#This Row],[LCR]],Tableau143[[#This Row],[Points_angle_p]],Tableau143[[#This Row],[Point_Torg]],Tableau143[[#This Row],[Pts_sténoses]])</f>
        <v>11</v>
      </c>
      <c r="G95" s="1">
        <v>1.6</v>
      </c>
      <c r="H95" s="1">
        <v>0.42</v>
      </c>
      <c r="I95" s="5">
        <f t="shared" si="8"/>
        <v>0.26249999999999996</v>
      </c>
      <c r="J95" s="9">
        <v>4</v>
      </c>
      <c r="K95" s="10">
        <v>2</v>
      </c>
      <c r="L95" s="10">
        <v>4</v>
      </c>
      <c r="M95" s="1">
        <v>-6</v>
      </c>
      <c r="N95" s="10">
        <v>1</v>
      </c>
      <c r="O95" s="1">
        <v>1.45</v>
      </c>
      <c r="P95" s="1">
        <v>1.42</v>
      </c>
      <c r="Q95" s="5">
        <f t="shared" si="6"/>
        <v>0.97931034482758617</v>
      </c>
      <c r="R95" s="10">
        <f>CHOOSE(MATCH(Tableau143[[#This Row],[Ratio_Torg]],{0,0.59,0.79,1.5},1),3,1,0)</f>
        <v>0</v>
      </c>
      <c r="S95" s="18">
        <v>1</v>
      </c>
      <c r="T95" s="24">
        <v>0</v>
      </c>
      <c r="U95" s="7">
        <v>44343</v>
      </c>
      <c r="V95" s="3">
        <f t="shared" si="7"/>
        <v>14.850000000000001</v>
      </c>
      <c r="W95" s="12">
        <v>14</v>
      </c>
      <c r="AF95" s="1"/>
    </row>
    <row r="96" spans="1:32" x14ac:dyDescent="0.25">
      <c r="A96" s="3">
        <v>54</v>
      </c>
      <c r="B96" s="3" t="s">
        <v>101</v>
      </c>
      <c r="C96" s="2">
        <v>43797</v>
      </c>
      <c r="D96" s="1" t="s">
        <v>17</v>
      </c>
      <c r="E96" s="4">
        <f>Tableau143[[#This Row],[Pts_Fujiwara]]+Tableau143[[#This Row],[ HT2]]+Tableau143[[#This Row],[LCR]]+Tableau143[[#This Row],[Points_angle_p]]+Tableau143[[#This Row],[Point_Torg]]</f>
        <v>7</v>
      </c>
      <c r="F96" s="4">
        <f>SUM(Tableau143[[#This Row],[Pts_Fujiwara]],Tableau143[[#This Row],[ HT2]],Tableau143[[#This Row],[LCR]],Tableau143[[#This Row],[Points_angle_p]],Tableau143[[#This Row],[Point_Torg]],Tableau143[[#This Row],[Pts_sténoses]])</f>
        <v>7</v>
      </c>
      <c r="G96" s="1">
        <v>1.44</v>
      </c>
      <c r="H96" s="1">
        <v>0.51</v>
      </c>
      <c r="I96" s="5">
        <f t="shared" si="8"/>
        <v>0.35416666666666669</v>
      </c>
      <c r="J96" s="9">
        <v>3</v>
      </c>
      <c r="K96" s="10">
        <v>2</v>
      </c>
      <c r="L96" s="10">
        <v>2</v>
      </c>
      <c r="M96" s="1">
        <v>2.2000000000000002</v>
      </c>
      <c r="N96" s="10">
        <f>CHOOSE(MATCH(Tableau143[[#This Row],[Angle_p]],{-50,-14.9,-4.9,50},1),3,1,0)</f>
        <v>0</v>
      </c>
      <c r="O96" s="1">
        <v>1.24</v>
      </c>
      <c r="P96" s="1">
        <v>1.22</v>
      </c>
      <c r="Q96" s="5">
        <f t="shared" si="6"/>
        <v>0.9838709677419355</v>
      </c>
      <c r="R96" s="10">
        <f>CHOOSE(MATCH(Tableau143[[#This Row],[Ratio_Torg]],{0,0.59,0.79,1.5},1),3,1,0)</f>
        <v>0</v>
      </c>
      <c r="S96" s="19">
        <v>1</v>
      </c>
      <c r="T96" s="24">
        <v>0</v>
      </c>
      <c r="U96" s="7">
        <v>44130</v>
      </c>
      <c r="V96" s="3">
        <f t="shared" si="7"/>
        <v>15.74</v>
      </c>
      <c r="W96" s="12">
        <v>15</v>
      </c>
      <c r="X96" s="1">
        <v>3</v>
      </c>
      <c r="Y96" s="1">
        <v>4</v>
      </c>
      <c r="Z96" s="1">
        <v>1</v>
      </c>
      <c r="AA96" s="1">
        <v>2</v>
      </c>
      <c r="AB96" s="1">
        <v>2</v>
      </c>
      <c r="AC96" s="1">
        <v>3</v>
      </c>
      <c r="AF96" s="1"/>
    </row>
    <row r="97" spans="1:32" x14ac:dyDescent="0.25">
      <c r="A97" s="3">
        <v>48</v>
      </c>
      <c r="B97" s="3" t="s">
        <v>100</v>
      </c>
      <c r="C97" s="2">
        <v>44313</v>
      </c>
      <c r="D97" s="1" t="s">
        <v>17</v>
      </c>
      <c r="E97" s="4">
        <f>Tableau143[[#This Row],[Pts_Fujiwara]]+Tableau143[[#This Row],[ HT2]]+Tableau143[[#This Row],[LCR]]+Tableau143[[#This Row],[Points_angle_p]]+Tableau143[[#This Row],[Point_Torg]]</f>
        <v>5</v>
      </c>
      <c r="F97" s="4">
        <f>SUM(Tableau143[[#This Row],[Pts_Fujiwara]],Tableau143[[#This Row],[ HT2]],Tableau143[[#This Row],[LCR]],Tableau143[[#This Row],[Points_angle_p]],Tableau143[[#This Row],[Point_Torg]],Tableau143[[#This Row],[Pts_sténoses]])</f>
        <v>5</v>
      </c>
      <c r="G97" s="1">
        <v>1.82</v>
      </c>
      <c r="H97" s="1">
        <v>0.59</v>
      </c>
      <c r="I97" s="5">
        <f t="shared" si="8"/>
        <v>0.32417582417582413</v>
      </c>
      <c r="J97" s="9">
        <v>3</v>
      </c>
      <c r="K97" s="10">
        <v>0</v>
      </c>
      <c r="L97" s="10">
        <v>2</v>
      </c>
      <c r="M97" s="1">
        <v>1.7</v>
      </c>
      <c r="N97" s="10">
        <f>CHOOSE(MATCH(Tableau143[[#This Row],[Angle_p]],{-50,-14.9,-4.9,50},1),3,1,0)</f>
        <v>0</v>
      </c>
      <c r="O97" s="1">
        <v>1.41</v>
      </c>
      <c r="P97" s="1">
        <v>1.42</v>
      </c>
      <c r="Q97" s="5">
        <f t="shared" si="6"/>
        <v>1.0070921985815602</v>
      </c>
      <c r="R97" s="10">
        <f>CHOOSE(MATCH(Tableau143[[#This Row],[Ratio_Torg]],{0,0.59,0.79,1.5},1),3,1,0)</f>
        <v>0</v>
      </c>
      <c r="S97" s="18">
        <v>1</v>
      </c>
      <c r="T97" s="24">
        <v>0</v>
      </c>
      <c r="U97" s="7">
        <v>44316</v>
      </c>
      <c r="V97" s="3">
        <f t="shared" si="7"/>
        <v>17.52</v>
      </c>
      <c r="W97" s="12">
        <v>17</v>
      </c>
      <c r="X97" s="1">
        <v>4</v>
      </c>
      <c r="Y97" s="1">
        <v>4</v>
      </c>
      <c r="Z97" s="1">
        <v>2</v>
      </c>
      <c r="AA97" s="1">
        <v>2</v>
      </c>
      <c r="AB97" s="1">
        <v>2</v>
      </c>
      <c r="AC97" s="1">
        <v>3</v>
      </c>
      <c r="AF97" s="1"/>
    </row>
    <row r="98" spans="1:32" x14ac:dyDescent="0.25">
      <c r="A98" s="3">
        <v>47</v>
      </c>
      <c r="B98" s="3" t="s">
        <v>94</v>
      </c>
      <c r="C98" s="2">
        <v>43865</v>
      </c>
      <c r="D98" s="1" t="s">
        <v>17</v>
      </c>
      <c r="E98" s="4">
        <f>Tableau143[[#This Row],[Pts_Fujiwara]]+Tableau143[[#This Row],[ HT2]]+Tableau143[[#This Row],[LCR]]+Tableau143[[#This Row],[Points_angle_p]]+Tableau143[[#This Row],[Point_Torg]]</f>
        <v>2</v>
      </c>
      <c r="F98" s="4">
        <f>SUM(Tableau143[[#This Row],[Pts_Fujiwara]],Tableau143[[#This Row],[ HT2]],Tableau143[[#This Row],[LCR]],Tableau143[[#This Row],[Points_angle_p]],Tableau143[[#This Row],[Point_Torg]],Tableau143[[#This Row],[Pts_sténoses]])</f>
        <v>2</v>
      </c>
      <c r="G98" s="1">
        <v>1.46</v>
      </c>
      <c r="H98" s="1">
        <v>0.68</v>
      </c>
      <c r="I98" s="5">
        <f t="shared" si="8"/>
        <v>0.46575342465753428</v>
      </c>
      <c r="J98" s="9">
        <f>CHOOSE(MATCH(Tableau143[[#This Row],[Fujiwara_P]],{0,0.39,0.49,1},1),3,1,0)</f>
        <v>1</v>
      </c>
      <c r="K98" s="10">
        <v>0</v>
      </c>
      <c r="L98" s="10">
        <v>1</v>
      </c>
      <c r="M98" s="1">
        <v>2.8</v>
      </c>
      <c r="N98" s="10">
        <f>CHOOSE(MATCH(Tableau143[[#This Row],[Angle_p]],{-50,-14.9,-4.9,50},1),3,1,0)</f>
        <v>0</v>
      </c>
      <c r="O98" s="1">
        <v>1.38</v>
      </c>
      <c r="P98" s="1">
        <v>1.42</v>
      </c>
      <c r="Q98" s="5">
        <f t="shared" ref="Q98:Q100" si="9">P98/O98</f>
        <v>1.0289855072463769</v>
      </c>
      <c r="R98" s="10">
        <f>CHOOSE(MATCH(Tableau143[[#This Row],[Ratio_Torg]],{0,0.59,0.79,1.5},1),3,1,0)</f>
        <v>0</v>
      </c>
      <c r="S98" s="18">
        <v>1</v>
      </c>
      <c r="T98" s="24">
        <v>0</v>
      </c>
      <c r="U98" s="7">
        <v>43871</v>
      </c>
      <c r="V98" s="3">
        <f t="shared" ref="V98:V100" si="10">2.39+0.89*(W98)</f>
        <v>16.63</v>
      </c>
      <c r="W98" s="12">
        <v>16</v>
      </c>
      <c r="X98" s="1">
        <v>4</v>
      </c>
      <c r="Y98" s="1">
        <v>4</v>
      </c>
      <c r="Z98" s="1">
        <v>1</v>
      </c>
      <c r="AA98" s="1">
        <v>2</v>
      </c>
      <c r="AB98" s="1">
        <v>2</v>
      </c>
      <c r="AC98" s="1">
        <v>3</v>
      </c>
      <c r="AF98" s="1"/>
    </row>
    <row r="99" spans="1:32" x14ac:dyDescent="0.25">
      <c r="A99" s="3">
        <v>56</v>
      </c>
      <c r="B99" s="3" t="s">
        <v>98</v>
      </c>
      <c r="C99" s="2">
        <v>44169</v>
      </c>
      <c r="D99" s="1" t="s">
        <v>9</v>
      </c>
      <c r="E99" s="4">
        <f>Tableau143[[#This Row],[Pts_Fujiwara]]+Tableau143[[#This Row],[ HT2]]+Tableau143[[#This Row],[LCR]]+Tableau143[[#This Row],[Points_angle_p]]+Tableau143[[#This Row],[Point_Torg]]</f>
        <v>0</v>
      </c>
      <c r="F99" s="4">
        <f>SUM(Tableau143[[#This Row],[Pts_Fujiwara]],Tableau143[[#This Row],[ HT2]],Tableau143[[#This Row],[LCR]],Tableau143[[#This Row],[Points_angle_p]],Tableau143[[#This Row],[Point_Torg]],Tableau143[[#This Row],[Pts_sténoses]])</f>
        <v>0</v>
      </c>
      <c r="G99" s="1">
        <v>1.44</v>
      </c>
      <c r="H99" s="1">
        <v>0.72</v>
      </c>
      <c r="I99" s="5">
        <f t="shared" si="8"/>
        <v>0.5</v>
      </c>
      <c r="J99" s="9">
        <f>CHOOSE(MATCH(Tableau143[[#This Row],[Fujiwara_P]],{0,0.39,0.49,1},1),3,1,0)</f>
        <v>0</v>
      </c>
      <c r="K99" s="10">
        <v>0</v>
      </c>
      <c r="L99" s="10">
        <v>0</v>
      </c>
      <c r="M99" s="1">
        <v>4.4000000000000004</v>
      </c>
      <c r="N99" s="10">
        <f>CHOOSE(MATCH(Tableau143[[#This Row],[Angle_p]],{-50,-14.9,-4.9,50},1),3,1,0)</f>
        <v>0</v>
      </c>
      <c r="O99" s="1">
        <v>1.46</v>
      </c>
      <c r="P99" s="1">
        <v>1.73</v>
      </c>
      <c r="Q99" s="5">
        <f t="shared" si="9"/>
        <v>1.1849315068493151</v>
      </c>
      <c r="R99" s="10">
        <f>CHOOSE(MATCH(Tableau143[[#This Row],[Ratio_Torg]],{0,0.59,0.79,1.5},1),3,1,0)</f>
        <v>0</v>
      </c>
      <c r="S99" s="19">
        <v>1</v>
      </c>
      <c r="T99" s="24">
        <v>0</v>
      </c>
      <c r="U99" s="7">
        <v>44168</v>
      </c>
      <c r="V99" s="3">
        <f t="shared" si="10"/>
        <v>17.52</v>
      </c>
      <c r="W99" s="12">
        <v>17</v>
      </c>
      <c r="X99" s="1">
        <v>4</v>
      </c>
      <c r="Y99" s="1">
        <v>4</v>
      </c>
      <c r="Z99" s="1">
        <v>2</v>
      </c>
      <c r="AA99" s="1">
        <v>2</v>
      </c>
      <c r="AB99" s="1">
        <v>2</v>
      </c>
      <c r="AC99" s="1">
        <v>3</v>
      </c>
      <c r="AF99" s="1"/>
    </row>
    <row r="100" spans="1:32" x14ac:dyDescent="0.25">
      <c r="A100" s="3">
        <v>76</v>
      </c>
      <c r="B100" s="3" t="s">
        <v>18</v>
      </c>
      <c r="C100" s="2">
        <v>44130</v>
      </c>
      <c r="D100" s="1" t="s">
        <v>9</v>
      </c>
      <c r="E100" s="4">
        <f>Tableau143[[#This Row],[Pts_Fujiwara]]+Tableau143[[#This Row],[ HT2]]+Tableau143[[#This Row],[LCR]]+Tableau143[[#This Row],[Points_angle_p]]+Tableau143[[#This Row],[Point_Torg]]</f>
        <v>12</v>
      </c>
      <c r="F100" s="4">
        <f>SUM(Tableau143[[#This Row],[Pts_Fujiwara]],Tableau143[[#This Row],[ HT2]],Tableau143[[#This Row],[LCR]],Tableau143[[#This Row],[Points_angle_p]],Tableau143[[#This Row],[Point_Torg]],Tableau143[[#This Row],[Pts_sténoses]])</f>
        <v>12</v>
      </c>
      <c r="G100" s="1">
        <v>1.4</v>
      </c>
      <c r="H100" s="1">
        <v>0.31</v>
      </c>
      <c r="I100" s="5">
        <f t="shared" si="8"/>
        <v>0.22142857142857145</v>
      </c>
      <c r="J100" s="9">
        <v>4</v>
      </c>
      <c r="K100" s="10">
        <v>4</v>
      </c>
      <c r="L100" s="10">
        <v>4</v>
      </c>
      <c r="M100" s="1">
        <v>0</v>
      </c>
      <c r="N100" s="10">
        <f>CHOOSE(MATCH(Tableau143[[#This Row],[Angle_p]],{-50,-14.9,-4.9,50},1),3,1,0)</f>
        <v>0</v>
      </c>
      <c r="O100" s="1">
        <v>1.1599999999999999</v>
      </c>
      <c r="P100" s="1">
        <v>1.4</v>
      </c>
      <c r="Q100" s="5">
        <f t="shared" si="9"/>
        <v>1.2068965517241379</v>
      </c>
      <c r="R100" s="10">
        <f>CHOOSE(MATCH(Tableau143[[#This Row],[Ratio_Torg]],{0,0.59,0.79,1.5},1),3,1,0)</f>
        <v>0</v>
      </c>
      <c r="S100" s="19">
        <v>1</v>
      </c>
      <c r="T100" s="24">
        <v>0</v>
      </c>
      <c r="U100" s="7">
        <v>44070</v>
      </c>
      <c r="V100" s="3">
        <f t="shared" si="10"/>
        <v>9.51</v>
      </c>
      <c r="W100" s="12">
        <v>8</v>
      </c>
      <c r="X100" s="1">
        <v>2</v>
      </c>
      <c r="Y100" s="1">
        <v>1</v>
      </c>
      <c r="Z100" s="1">
        <v>1</v>
      </c>
      <c r="AA100" s="1">
        <v>1</v>
      </c>
      <c r="AB100" s="1">
        <v>1</v>
      </c>
      <c r="AC100" s="1">
        <v>2</v>
      </c>
      <c r="AF100" s="1"/>
    </row>
    <row r="101" spans="1:32" x14ac:dyDescent="0.25">
      <c r="A101" s="30"/>
      <c r="B101" s="30"/>
      <c r="C101" s="26"/>
      <c r="D101" s="25"/>
      <c r="E101" s="31"/>
      <c r="F101" s="31"/>
      <c r="G101" s="25"/>
      <c r="H101" s="25"/>
      <c r="I101" s="33"/>
      <c r="J101" s="34"/>
      <c r="K101" s="35"/>
      <c r="L101" s="35"/>
      <c r="M101" s="25"/>
      <c r="N101" s="36"/>
      <c r="O101" s="25"/>
      <c r="P101" s="25"/>
      <c r="Q101" s="33">
        <f>AVERAGE(V2,V50)</f>
        <v>16.63</v>
      </c>
      <c r="R101" s="35"/>
      <c r="S101" s="37"/>
      <c r="T101" s="37"/>
      <c r="U101" s="38"/>
      <c r="V101" s="30"/>
      <c r="W101" s="39"/>
      <c r="X101" s="25"/>
      <c r="Y101" s="25"/>
      <c r="Z101" s="25"/>
      <c r="AA101" s="25"/>
      <c r="AB101" s="25"/>
      <c r="AC101" s="25"/>
    </row>
    <row r="102" spans="1:32" x14ac:dyDescent="0.25">
      <c r="I102" s="1"/>
      <c r="J102" s="1"/>
      <c r="K102" s="1"/>
      <c r="L102" s="3"/>
      <c r="N102" s="1"/>
      <c r="R102" s="1"/>
      <c r="S102" s="1"/>
      <c r="T102" s="1"/>
      <c r="V102" s="1"/>
      <c r="W102" s="1"/>
      <c r="AF102" s="1"/>
    </row>
    <row r="103" spans="1:32" ht="15" customHeight="1" x14ac:dyDescent="0.25">
      <c r="A103" s="3" t="s">
        <v>131</v>
      </c>
      <c r="B103" s="2" t="s">
        <v>1</v>
      </c>
      <c r="C103" s="16" t="s">
        <v>132</v>
      </c>
      <c r="E103" s="1"/>
      <c r="F103" s="1"/>
      <c r="I103" s="1"/>
      <c r="J103" s="1"/>
      <c r="K103" s="1"/>
      <c r="L103" s="3"/>
      <c r="N103" s="1"/>
      <c r="R103" s="1"/>
      <c r="S103" s="1"/>
      <c r="T103" s="1"/>
      <c r="V103" s="1"/>
      <c r="W103" s="1"/>
      <c r="AF103" s="1"/>
    </row>
    <row r="104" spans="1:32" ht="15" customHeight="1" x14ac:dyDescent="0.25">
      <c r="B104" s="2" t="s">
        <v>162</v>
      </c>
      <c r="C104" s="16" t="s">
        <v>163</v>
      </c>
      <c r="E104" s="1"/>
      <c r="F104" s="1"/>
      <c r="I104" s="1"/>
      <c r="J104" s="1"/>
      <c r="K104" s="1"/>
      <c r="L104" s="3"/>
      <c r="N104" s="1"/>
      <c r="R104" s="1"/>
      <c r="S104" s="1"/>
      <c r="T104" s="1"/>
      <c r="V104" s="1"/>
      <c r="W104" s="1"/>
      <c r="AF104" s="1"/>
    </row>
    <row r="105" spans="1:32" ht="15" customHeight="1" x14ac:dyDescent="0.25">
      <c r="B105" s="2" t="s">
        <v>115</v>
      </c>
      <c r="C105" s="17" t="s">
        <v>133</v>
      </c>
      <c r="E105" s="15"/>
      <c r="F105" s="15"/>
      <c r="I105" s="1"/>
      <c r="J105" s="1"/>
      <c r="K105" s="1"/>
      <c r="L105" s="3"/>
      <c r="N105" s="1"/>
      <c r="R105" s="1"/>
      <c r="S105" s="1"/>
      <c r="T105" s="1"/>
      <c r="V105" s="1"/>
      <c r="W105" s="1"/>
      <c r="AF105" s="1"/>
    </row>
    <row r="106" spans="1:32" ht="15" customHeight="1" x14ac:dyDescent="0.25">
      <c r="B106" s="2" t="s">
        <v>164</v>
      </c>
      <c r="C106" s="17" t="s">
        <v>165</v>
      </c>
      <c r="E106" s="15"/>
      <c r="F106" s="15"/>
      <c r="I106" s="1"/>
      <c r="J106" s="1"/>
      <c r="K106" s="1"/>
      <c r="L106" s="3"/>
      <c r="N106" s="1"/>
      <c r="R106" s="1"/>
      <c r="S106" s="1"/>
      <c r="T106" s="1"/>
      <c r="V106" s="1"/>
      <c r="W106" s="1"/>
      <c r="AF106" s="1"/>
    </row>
    <row r="107" spans="1:32" ht="15" customHeight="1" x14ac:dyDescent="0.25">
      <c r="B107" s="2" t="s">
        <v>114</v>
      </c>
      <c r="C107" s="17" t="s">
        <v>134</v>
      </c>
      <c r="E107" s="15"/>
      <c r="F107" s="15"/>
      <c r="I107" s="1"/>
      <c r="J107" s="1"/>
      <c r="K107" s="1"/>
      <c r="L107" s="3"/>
      <c r="N107" s="1"/>
      <c r="R107" s="1"/>
      <c r="S107" s="1"/>
      <c r="T107" s="1"/>
      <c r="V107" s="1"/>
      <c r="W107" s="1"/>
      <c r="AF107" s="1"/>
    </row>
    <row r="108" spans="1:32" ht="15" customHeight="1" x14ac:dyDescent="0.25">
      <c r="B108" s="2" t="s">
        <v>116</v>
      </c>
      <c r="C108" s="17" t="s">
        <v>135</v>
      </c>
      <c r="E108" s="15"/>
      <c r="F108" s="15"/>
      <c r="I108" s="1"/>
      <c r="J108" s="1"/>
      <c r="K108" s="1"/>
      <c r="L108" s="3"/>
      <c r="N108" s="1"/>
      <c r="R108" s="1"/>
      <c r="S108" s="1"/>
      <c r="T108" s="1"/>
      <c r="V108" s="1"/>
      <c r="W108" s="1"/>
      <c r="AF108" s="1"/>
    </row>
    <row r="109" spans="1:32" ht="15" customHeight="1" x14ac:dyDescent="0.25">
      <c r="B109" s="2" t="s">
        <v>137</v>
      </c>
      <c r="C109" s="17" t="s">
        <v>138</v>
      </c>
      <c r="E109" s="15"/>
      <c r="F109" s="15"/>
      <c r="I109" s="1"/>
      <c r="J109" s="1"/>
      <c r="K109" s="1"/>
      <c r="L109" s="3"/>
      <c r="N109" s="1"/>
      <c r="R109" s="1"/>
      <c r="S109" s="1"/>
      <c r="T109" s="1"/>
      <c r="V109" s="1"/>
      <c r="W109" s="1"/>
      <c r="AF109" s="1"/>
    </row>
    <row r="110" spans="1:32" ht="15" customHeight="1" x14ac:dyDescent="0.25">
      <c r="B110" s="2" t="s">
        <v>139</v>
      </c>
      <c r="C110" s="17" t="s">
        <v>2</v>
      </c>
      <c r="E110" s="15"/>
      <c r="F110" s="15"/>
      <c r="I110" s="1"/>
      <c r="J110" s="1"/>
      <c r="K110" s="1"/>
      <c r="L110" s="3"/>
      <c r="N110" s="1"/>
      <c r="R110" s="1"/>
      <c r="S110" s="1"/>
      <c r="T110" s="1"/>
      <c r="V110" s="1"/>
      <c r="W110" s="1"/>
      <c r="AF110" s="1"/>
    </row>
    <row r="111" spans="1:32" ht="15" customHeight="1" x14ac:dyDescent="0.25">
      <c r="B111" s="2" t="s">
        <v>118</v>
      </c>
      <c r="C111" s="17" t="s">
        <v>3</v>
      </c>
      <c r="E111" s="15"/>
      <c r="F111" s="15"/>
    </row>
    <row r="112" spans="1:32" ht="15" customHeight="1" x14ac:dyDescent="0.25">
      <c r="B112" s="2" t="s">
        <v>140</v>
      </c>
      <c r="C112" s="17" t="s">
        <v>141</v>
      </c>
      <c r="E112" s="15"/>
      <c r="F112" s="15"/>
    </row>
    <row r="113" spans="2:6" ht="15" customHeight="1" x14ac:dyDescent="0.25">
      <c r="B113" s="2" t="s">
        <v>5</v>
      </c>
      <c r="C113" s="17" t="s">
        <v>150</v>
      </c>
      <c r="E113" s="15"/>
      <c r="F113" s="15"/>
    </row>
    <row r="114" spans="2:6" ht="15" customHeight="1" x14ac:dyDescent="0.25">
      <c r="B114" s="2" t="s">
        <v>119</v>
      </c>
      <c r="C114" s="17" t="s">
        <v>142</v>
      </c>
      <c r="E114" s="15"/>
      <c r="F114" s="15"/>
    </row>
    <row r="115" spans="2:6" ht="15" customHeight="1" x14ac:dyDescent="0.25">
      <c r="B115" s="2" t="s">
        <v>120</v>
      </c>
      <c r="C115" s="17" t="s">
        <v>143</v>
      </c>
      <c r="E115" s="15"/>
      <c r="F115" s="15"/>
    </row>
    <row r="116" spans="2:6" ht="15" customHeight="1" x14ac:dyDescent="0.25">
      <c r="B116" s="2" t="s">
        <v>151</v>
      </c>
      <c r="C116" s="17" t="s">
        <v>152</v>
      </c>
      <c r="E116" s="15"/>
      <c r="F116" s="15"/>
    </row>
    <row r="117" spans="2:6" ht="15" customHeight="1" x14ac:dyDescent="0.25">
      <c r="B117" s="2" t="s">
        <v>124</v>
      </c>
      <c r="C117" s="17" t="s">
        <v>153</v>
      </c>
      <c r="E117" s="15"/>
      <c r="F117" s="15"/>
    </row>
    <row r="118" spans="2:6" ht="15" customHeight="1" x14ac:dyDescent="0.25">
      <c r="B118" s="2" t="s">
        <v>125</v>
      </c>
      <c r="C118" s="17" t="s">
        <v>144</v>
      </c>
      <c r="E118" s="15"/>
      <c r="F118" s="15"/>
    </row>
    <row r="119" spans="2:6" ht="15" customHeight="1" x14ac:dyDescent="0.25">
      <c r="B119" s="2" t="s">
        <v>126</v>
      </c>
      <c r="C119" s="17" t="s">
        <v>145</v>
      </c>
      <c r="E119" s="15"/>
      <c r="F119" s="15"/>
    </row>
    <row r="120" spans="2:6" ht="15" customHeight="1" x14ac:dyDescent="0.25">
      <c r="B120" s="2" t="s">
        <v>127</v>
      </c>
      <c r="C120" s="17" t="s">
        <v>146</v>
      </c>
      <c r="E120" s="15"/>
      <c r="F120" s="15"/>
    </row>
    <row r="121" spans="2:6" ht="15" customHeight="1" x14ac:dyDescent="0.25">
      <c r="B121" s="2" t="s">
        <v>128</v>
      </c>
      <c r="C121" s="17" t="s">
        <v>147</v>
      </c>
      <c r="E121" s="15"/>
      <c r="F121" s="15"/>
    </row>
    <row r="122" spans="2:6" ht="15" customHeight="1" x14ac:dyDescent="0.25">
      <c r="B122" s="2" t="s">
        <v>6</v>
      </c>
      <c r="C122" s="17" t="s">
        <v>148</v>
      </c>
      <c r="E122" s="15"/>
      <c r="F122" s="15"/>
    </row>
    <row r="123" spans="2:6" x14ac:dyDescent="0.25">
      <c r="B123" s="2" t="s">
        <v>7</v>
      </c>
      <c r="C123" s="17" t="s">
        <v>149</v>
      </c>
      <c r="E123" s="15"/>
      <c r="F123" s="15"/>
    </row>
    <row r="124" spans="2:6" x14ac:dyDescent="0.25">
      <c r="B124" s="3" t="s">
        <v>154</v>
      </c>
      <c r="C124" s="2" t="s">
        <v>155</v>
      </c>
    </row>
    <row r="125" spans="2:6" x14ac:dyDescent="0.25">
      <c r="B125" s="3" t="s">
        <v>156</v>
      </c>
      <c r="C125" s="2" t="s">
        <v>157</v>
      </c>
    </row>
    <row r="126" spans="2:6" x14ac:dyDescent="0.25">
      <c r="B126" s="3" t="s">
        <v>168</v>
      </c>
      <c r="C126" s="2" t="s">
        <v>169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topLeftCell="C1" workbookViewId="0">
      <selection activeCell="P11" sqref="P11"/>
    </sheetView>
  </sheetViews>
  <sheetFormatPr baseColWidth="10" defaultRowHeight="15.75" x14ac:dyDescent="0.25"/>
  <sheetData>
    <row r="1" spans="1:35" s="1" customFormat="1" x14ac:dyDescent="0.25">
      <c r="A1" s="3">
        <v>76</v>
      </c>
      <c r="B1" s="3" t="s">
        <v>88</v>
      </c>
      <c r="C1" s="2">
        <v>44202</v>
      </c>
      <c r="D1" s="1" t="s">
        <v>14</v>
      </c>
      <c r="E1" s="4" t="e">
        <f>Tableau14[[#This Row],[Pts_Fujiwara]]+Tableau14[[#This Row],[ HT2]]+Tableau14[[#This Row],[LCR]]+Tableau14[[#This Row],[Points_angle_p]]+Tableau14[[#This Row],[Point_Torg]]</f>
        <v>#VALUE!</v>
      </c>
      <c r="F1" s="1">
        <v>0.68</v>
      </c>
      <c r="G1" s="1">
        <v>0.28999999999999998</v>
      </c>
      <c r="H1" s="5">
        <v>0.42647058823529405</v>
      </c>
      <c r="I1" s="3">
        <v>4</v>
      </c>
      <c r="J1" s="1">
        <v>1.27</v>
      </c>
      <c r="K1" s="1">
        <v>0.28999999999999998</v>
      </c>
      <c r="L1" s="5">
        <f t="shared" ref="L1:L15" si="0">K1/J1</f>
        <v>0.22834645669291337</v>
      </c>
      <c r="M1" s="9" t="e">
        <f>CHOOSE(MATCH(Tableau14[[#This Row],[Fujiwara_P]],{0,0.39,0.49,1},1),3,1,0)</f>
        <v>#VALUE!</v>
      </c>
      <c r="N1" s="10">
        <v>4</v>
      </c>
      <c r="O1" s="10">
        <v>4</v>
      </c>
      <c r="P1" s="1">
        <v>16.399999999999999</v>
      </c>
      <c r="Q1" s="10" t="e">
        <f>CHOOSE(MATCH(Tableau14[[#This Row],[Angle_p]],{-50,-14.9,-4.9,50},1),3,1,0)</f>
        <v>#VALUE!</v>
      </c>
      <c r="R1" s="1">
        <v>1.51</v>
      </c>
      <c r="S1" s="1">
        <v>1.49</v>
      </c>
      <c r="T1" s="5">
        <f t="shared" ref="T1:T15" si="1">S1/R1</f>
        <v>0.98675496688741726</v>
      </c>
      <c r="U1" s="10" t="e">
        <f>CHOOSE(MATCH(Tableau14[[#This Row],[Ratio_Torg]],{0,0.59,0.79,1.5},1),3,1,0)</f>
        <v>#VALUE!</v>
      </c>
      <c r="V1" s="18">
        <v>3</v>
      </c>
      <c r="W1" s="7">
        <v>44207</v>
      </c>
      <c r="X1" s="3">
        <f t="shared" ref="X1:X15" si="2">2.39+0.89*(Y1)</f>
        <v>10.4</v>
      </c>
      <c r="Y1" s="12">
        <v>9</v>
      </c>
      <c r="Z1" s="1">
        <v>1</v>
      </c>
      <c r="AA1" s="1">
        <v>1</v>
      </c>
      <c r="AB1" s="1">
        <v>1</v>
      </c>
      <c r="AC1" s="1">
        <v>2</v>
      </c>
      <c r="AD1" s="1">
        <v>1</v>
      </c>
      <c r="AE1" s="1">
        <v>3</v>
      </c>
      <c r="AF1" s="2">
        <v>44228</v>
      </c>
      <c r="AG1" s="18">
        <v>2</v>
      </c>
      <c r="AH1" s="20"/>
      <c r="AI1" s="20">
        <v>2</v>
      </c>
    </row>
    <row r="2" spans="1:35" s="1" customFormat="1" x14ac:dyDescent="0.25">
      <c r="A2" s="3">
        <v>68</v>
      </c>
      <c r="B2" s="3" t="s">
        <v>25</v>
      </c>
      <c r="C2" s="2">
        <v>43315</v>
      </c>
      <c r="D2" s="1" t="s">
        <v>14</v>
      </c>
      <c r="E2" s="4">
        <f>Tableau14[[#This Row],[Pts_Fujiwara]]+Tableau14[[#This Row],[ HT2]]+Tableau14[[#This Row],[LCR]]+Tableau14[[#This Row],[Points_angle_p]]+Tableau14[[#This Row],[Point_Torg]]</f>
        <v>7</v>
      </c>
      <c r="F2" s="1">
        <v>0.66</v>
      </c>
      <c r="G2" s="1">
        <v>0.32</v>
      </c>
      <c r="H2" s="5">
        <v>0.48484848484848486</v>
      </c>
      <c r="I2" s="3">
        <v>4</v>
      </c>
      <c r="J2" s="1">
        <v>1.06</v>
      </c>
      <c r="K2" s="1">
        <v>0.32</v>
      </c>
      <c r="L2" s="5">
        <f t="shared" si="0"/>
        <v>0.30188679245283018</v>
      </c>
      <c r="M2" s="9">
        <f>CHOOSE(MATCH(Tableau14[[#This Row],[Fujiwara_P]],{0,0.39,0.49,1},1),3,1,0)</f>
        <v>3</v>
      </c>
      <c r="N2" s="10">
        <v>2</v>
      </c>
      <c r="O2" s="10">
        <v>2</v>
      </c>
      <c r="P2" s="1">
        <v>16</v>
      </c>
      <c r="Q2" s="10">
        <f>CHOOSE(MATCH(Tableau14[[#This Row],[Angle_p]],{-50,-14.9,-4.9,50},1),3,1,0)</f>
        <v>0</v>
      </c>
      <c r="R2" s="1">
        <v>1.63</v>
      </c>
      <c r="S2" s="1">
        <v>1.24</v>
      </c>
      <c r="T2" s="5">
        <f t="shared" si="1"/>
        <v>0.76073619631901845</v>
      </c>
      <c r="U2" s="10">
        <f>CHOOSE(MATCH(Tableau14[[#This Row],[Ratio_Torg]],{0,0.59,0.79,1.5},1),3,1,0)</f>
        <v>0</v>
      </c>
      <c r="V2" s="19">
        <v>2</v>
      </c>
      <c r="W2" s="7">
        <v>43171</v>
      </c>
      <c r="X2" s="3">
        <f t="shared" si="2"/>
        <v>8.620000000000001</v>
      </c>
      <c r="Y2" s="12">
        <v>7</v>
      </c>
      <c r="AF2" s="2">
        <v>43315</v>
      </c>
      <c r="AG2" s="19">
        <v>2</v>
      </c>
      <c r="AH2" s="21">
        <v>2</v>
      </c>
      <c r="AI2" s="21">
        <v>2</v>
      </c>
    </row>
    <row r="3" spans="1:35" s="1" customFormat="1" x14ac:dyDescent="0.25">
      <c r="A3" s="3">
        <v>70</v>
      </c>
      <c r="B3" s="3" t="s">
        <v>93</v>
      </c>
      <c r="C3" s="2">
        <v>44117</v>
      </c>
      <c r="D3" s="1" t="s">
        <v>9</v>
      </c>
      <c r="E3" s="4">
        <f>Tableau14[[#This Row],[Pts_Fujiwara]]+Tableau14[[#This Row],[ HT2]]+Tableau14[[#This Row],[LCR]]+Tableau14[[#This Row],[Points_angle_p]]+Tableau14[[#This Row],[Point_Torg]]</f>
        <v>12</v>
      </c>
      <c r="F3" s="1">
        <v>0.75</v>
      </c>
      <c r="G3" s="1">
        <v>0.28999999999999998</v>
      </c>
      <c r="H3" s="5">
        <v>0.38666666666666666</v>
      </c>
      <c r="I3" s="3">
        <v>4</v>
      </c>
      <c r="J3" s="1">
        <v>1.54</v>
      </c>
      <c r="K3" s="1">
        <v>0.28999999999999998</v>
      </c>
      <c r="L3" s="5">
        <f t="shared" si="0"/>
        <v>0.18831168831168829</v>
      </c>
      <c r="M3" s="9">
        <f>CHOOSE(MATCH(Tableau14[[#This Row],[Fujiwara_P]],{0,0.39,0.49,1},1),3,1,0)</f>
        <v>3</v>
      </c>
      <c r="N3" s="10">
        <v>4</v>
      </c>
      <c r="O3" s="10">
        <v>4</v>
      </c>
      <c r="P3" s="1">
        <v>12.9</v>
      </c>
      <c r="Q3" s="10">
        <f>CHOOSE(MATCH(Tableau14[[#This Row],[Angle_p]],{-50,-14.9,-4.9,50},1),3,1,0)</f>
        <v>0</v>
      </c>
      <c r="R3" s="1">
        <v>1.65</v>
      </c>
      <c r="S3" s="1">
        <v>1.25</v>
      </c>
      <c r="T3" s="5">
        <f t="shared" si="1"/>
        <v>0.75757575757575757</v>
      </c>
      <c r="U3" s="10">
        <f>CHOOSE(MATCH(Tableau14[[#This Row],[Ratio_Torg]],{0,0.59,0.79,1.5},1),3,1,0)</f>
        <v>1</v>
      </c>
      <c r="V3" s="18">
        <v>3</v>
      </c>
      <c r="W3" s="7">
        <v>44236</v>
      </c>
      <c r="X3" s="3">
        <f t="shared" si="2"/>
        <v>7.73</v>
      </c>
      <c r="Y3" s="12">
        <v>6</v>
      </c>
      <c r="Z3" s="1">
        <v>2</v>
      </c>
      <c r="AA3" s="1">
        <v>1</v>
      </c>
      <c r="AB3" s="1">
        <v>1</v>
      </c>
      <c r="AC3" s="1">
        <v>1</v>
      </c>
      <c r="AD3" s="1">
        <v>1</v>
      </c>
      <c r="AE3" s="1">
        <v>0</v>
      </c>
      <c r="AF3" s="2">
        <v>44242</v>
      </c>
      <c r="AG3" s="19">
        <v>2</v>
      </c>
      <c r="AH3" s="21">
        <v>2</v>
      </c>
      <c r="AI3" s="21">
        <v>2</v>
      </c>
    </row>
    <row r="4" spans="1:35" s="1" customFormat="1" x14ac:dyDescent="0.25">
      <c r="A4" s="3">
        <v>79</v>
      </c>
      <c r="B4" s="3" t="s">
        <v>84</v>
      </c>
      <c r="C4" s="2">
        <v>44236</v>
      </c>
      <c r="D4" s="1" t="s">
        <v>14</v>
      </c>
      <c r="E4" s="4">
        <f>Tableau14[[#This Row],[Pts_Fujiwara]]+Tableau14[[#This Row],[ HT2]]+Tableau14[[#This Row],[LCR]]+Tableau14[[#This Row],[Points_angle_p]]+Tableau14[[#This Row],[Point_Torg]]</f>
        <v>10</v>
      </c>
      <c r="F4" s="1">
        <v>0.79</v>
      </c>
      <c r="G4" s="1">
        <v>0.59</v>
      </c>
      <c r="H4" s="5">
        <v>0.74683544303797456</v>
      </c>
      <c r="I4" s="3">
        <v>2</v>
      </c>
      <c r="J4" s="1">
        <v>1.36</v>
      </c>
      <c r="K4" s="1">
        <v>0.59</v>
      </c>
      <c r="L4" s="5">
        <f t="shared" si="0"/>
        <v>0.43382352941176466</v>
      </c>
      <c r="M4" s="9">
        <f>CHOOSE(MATCH(Tableau14[[#This Row],[Fujiwara_P]],{0,0.39,0.49,1},1),3,1,0)</f>
        <v>3</v>
      </c>
      <c r="N4" s="10">
        <v>4</v>
      </c>
      <c r="O4" s="10">
        <v>4</v>
      </c>
      <c r="P4" s="1">
        <v>12</v>
      </c>
      <c r="Q4" s="10">
        <f>CHOOSE(MATCH(Tableau14[[#This Row],[Angle_p]],{-50,-14.9,-4.9,50},1),3,1,0)</f>
        <v>0</v>
      </c>
      <c r="R4" s="1">
        <v>2.0699999999999998</v>
      </c>
      <c r="S4" s="1">
        <v>1.47</v>
      </c>
      <c r="T4" s="5">
        <f t="shared" si="1"/>
        <v>0.71014492753623193</v>
      </c>
      <c r="U4" s="10">
        <f>CHOOSE(MATCH(Tableau14[[#This Row],[Ratio_Torg]],{0,0.59,0.79,1.5},1),3,1,0)</f>
        <v>1</v>
      </c>
      <c r="V4" s="19">
        <v>1</v>
      </c>
      <c r="W4" s="7">
        <v>44264</v>
      </c>
      <c r="X4" s="3">
        <f t="shared" si="2"/>
        <v>10.4</v>
      </c>
      <c r="Y4" s="12">
        <v>9</v>
      </c>
      <c r="Z4" s="1">
        <v>2</v>
      </c>
      <c r="AA4" s="1">
        <v>1</v>
      </c>
      <c r="AB4" s="1">
        <v>1</v>
      </c>
      <c r="AC4" s="1">
        <v>2</v>
      </c>
      <c r="AD4" s="1">
        <v>2</v>
      </c>
      <c r="AE4" s="1">
        <v>1</v>
      </c>
      <c r="AF4" s="2"/>
      <c r="AG4" s="18"/>
      <c r="AH4" s="20"/>
      <c r="AI4" s="20"/>
    </row>
    <row r="5" spans="1:35" s="1" customFormat="1" x14ac:dyDescent="0.25">
      <c r="A5" s="3">
        <v>68</v>
      </c>
      <c r="B5" s="3" t="s">
        <v>107</v>
      </c>
      <c r="C5" s="2">
        <v>43797</v>
      </c>
      <c r="D5" s="1" t="s">
        <v>12</v>
      </c>
      <c r="E5" s="4">
        <f>Tableau14[[#This Row],[Pts_Fujiwara]]+Tableau14[[#This Row],[ HT2]]+Tableau14[[#This Row],[LCR]]+Tableau14[[#This Row],[Points_angle_p]]+Tableau14[[#This Row],[Point_Torg]]</f>
        <v>11</v>
      </c>
      <c r="F5" s="1">
        <v>0.69</v>
      </c>
      <c r="G5" s="1">
        <v>0.62</v>
      </c>
      <c r="H5" s="5">
        <v>0.89855072463768126</v>
      </c>
      <c r="I5" s="3">
        <v>1</v>
      </c>
      <c r="J5" s="1">
        <v>1.33</v>
      </c>
      <c r="K5" s="1">
        <v>0.62</v>
      </c>
      <c r="L5" s="5">
        <f t="shared" si="0"/>
        <v>0.46616541353383456</v>
      </c>
      <c r="M5" s="9">
        <f>CHOOSE(MATCH(Tableau14[[#This Row],[Fujiwara_P]],{0,0.39,0.49,1},1),3,1,0)</f>
        <v>3</v>
      </c>
      <c r="N5" s="10">
        <v>2</v>
      </c>
      <c r="O5" s="10">
        <v>4</v>
      </c>
      <c r="P5" s="1">
        <v>8.5</v>
      </c>
      <c r="Q5" s="10">
        <f>CHOOSE(MATCH(Tableau14[[#This Row],[Angle_p]],{-50,-14.9,-4.9,50},1),3,1,0)</f>
        <v>0</v>
      </c>
      <c r="R5" s="1">
        <v>1.4</v>
      </c>
      <c r="S5" s="1">
        <v>1.33</v>
      </c>
      <c r="T5" s="5">
        <f t="shared" si="1"/>
        <v>0.95000000000000007</v>
      </c>
      <c r="U5" s="10">
        <f>CHOOSE(MATCH(Tableau14[[#This Row],[Ratio_Torg]],{0,0.59,0.79,1.5},1),3,1,0)</f>
        <v>0</v>
      </c>
      <c r="V5" s="19">
        <v>2</v>
      </c>
      <c r="W5" s="7">
        <v>44028</v>
      </c>
      <c r="X5" s="3">
        <f t="shared" si="2"/>
        <v>11.290000000000001</v>
      </c>
      <c r="Y5" s="12">
        <v>10</v>
      </c>
      <c r="Z5" s="1">
        <v>1</v>
      </c>
      <c r="AA5" s="1">
        <v>4</v>
      </c>
      <c r="AB5" s="1">
        <v>1</v>
      </c>
      <c r="AC5" s="1">
        <v>1</v>
      </c>
      <c r="AD5" s="1">
        <v>1</v>
      </c>
      <c r="AE5" s="1">
        <v>2</v>
      </c>
      <c r="AF5" s="2"/>
      <c r="AG5" s="27"/>
      <c r="AH5" s="27"/>
      <c r="AI5" s="27"/>
    </row>
    <row r="6" spans="1:35" s="1" customFormat="1" x14ac:dyDescent="0.25">
      <c r="A6" s="3">
        <v>52</v>
      </c>
      <c r="B6" s="3" t="s">
        <v>49</v>
      </c>
      <c r="C6" s="2">
        <v>43297</v>
      </c>
      <c r="D6" s="1" t="s">
        <v>17</v>
      </c>
      <c r="E6" s="4">
        <f>Tableau14[[#This Row],[Pts_Fujiwara]]+Tableau14[[#This Row],[ HT2]]+Tableau14[[#This Row],[LCR]]+Tableau14[[#This Row],[Points_angle_p]]+Tableau14[[#This Row],[Point_Torg]]</f>
        <v>11</v>
      </c>
      <c r="F6" s="1">
        <v>0.6</v>
      </c>
      <c r="G6" s="1">
        <v>0.45</v>
      </c>
      <c r="H6" s="5">
        <v>0.75</v>
      </c>
      <c r="I6" s="3">
        <v>2</v>
      </c>
      <c r="J6" s="1">
        <v>1.29</v>
      </c>
      <c r="K6" s="1">
        <v>0.45</v>
      </c>
      <c r="L6" s="5">
        <f t="shared" si="0"/>
        <v>0.34883720930232559</v>
      </c>
      <c r="M6" s="9">
        <f>CHOOSE(MATCH(Tableau14[[#This Row],[Fujiwara_P]],{0,0.39,0.49,1},1),3,1,0)</f>
        <v>3</v>
      </c>
      <c r="N6" s="10">
        <v>2</v>
      </c>
      <c r="O6" s="10">
        <v>4</v>
      </c>
      <c r="P6" s="1">
        <v>5</v>
      </c>
      <c r="Q6" s="10">
        <f>CHOOSE(MATCH(Tableau14[[#This Row],[Angle_p]],{-50,-14.9,-4.9,50},1),3,1,0)</f>
        <v>1</v>
      </c>
      <c r="R6" s="1">
        <v>1.46</v>
      </c>
      <c r="S6" s="1">
        <v>1.07</v>
      </c>
      <c r="T6" s="5">
        <f t="shared" si="1"/>
        <v>0.73287671232876717</v>
      </c>
      <c r="U6" s="10">
        <f>CHOOSE(MATCH(Tableau14[[#This Row],[Ratio_Torg]],{0,0.59,0.79,1.5},1),3,1,0)</f>
        <v>1</v>
      </c>
      <c r="V6" s="19">
        <v>3</v>
      </c>
      <c r="W6" s="7">
        <v>43368</v>
      </c>
      <c r="X6" s="3">
        <f t="shared" si="2"/>
        <v>11.290000000000001</v>
      </c>
      <c r="Y6" s="12">
        <v>10</v>
      </c>
      <c r="AF6" s="2">
        <v>43374</v>
      </c>
      <c r="AG6" s="19">
        <v>1</v>
      </c>
      <c r="AH6" s="21">
        <v>0</v>
      </c>
      <c r="AI6" s="21">
        <v>1</v>
      </c>
    </row>
    <row r="7" spans="1:35" s="1" customFormat="1" x14ac:dyDescent="0.25">
      <c r="A7" s="3">
        <v>68</v>
      </c>
      <c r="B7" s="3" t="s">
        <v>43</v>
      </c>
      <c r="C7" s="2">
        <v>43711</v>
      </c>
      <c r="D7" s="1" t="s">
        <v>17</v>
      </c>
      <c r="E7" s="4">
        <f>Tableau14[[#This Row],[Pts_Fujiwara]]+Tableau14[[#This Row],[ HT2]]+Tableau14[[#This Row],[LCR]]+Tableau14[[#This Row],[Points_angle_p]]+Tableau14[[#This Row],[Point_Torg]]</f>
        <v>11</v>
      </c>
      <c r="F7" s="1">
        <v>0.59</v>
      </c>
      <c r="G7" s="1">
        <v>0.34</v>
      </c>
      <c r="H7" s="5">
        <v>0.57627118644067798</v>
      </c>
      <c r="I7" s="3">
        <v>4</v>
      </c>
      <c r="J7" s="1">
        <v>1.18</v>
      </c>
      <c r="K7" s="1">
        <v>0.34</v>
      </c>
      <c r="L7" s="5">
        <f t="shared" si="0"/>
        <v>0.28813559322033899</v>
      </c>
      <c r="M7" s="9">
        <f>CHOOSE(MATCH(Tableau14[[#This Row],[Fujiwara_P]],{0,0.39,0.49,1},1),3,1,0)</f>
        <v>3</v>
      </c>
      <c r="N7" s="10">
        <v>2</v>
      </c>
      <c r="O7" s="10">
        <v>1</v>
      </c>
      <c r="P7" s="1">
        <v>5</v>
      </c>
      <c r="Q7" s="10">
        <f>CHOOSE(MATCH(Tableau14[[#This Row],[Angle_p]],{-50,-14.9,-4.9,50},1),3,1,0)</f>
        <v>0</v>
      </c>
      <c r="R7" s="1">
        <v>1.8</v>
      </c>
      <c r="S7" s="1">
        <v>0.96</v>
      </c>
      <c r="T7" s="5">
        <f t="shared" si="1"/>
        <v>0.53333333333333333</v>
      </c>
      <c r="U7" s="10">
        <f>CHOOSE(MATCH(Tableau14[[#This Row],[Ratio_Torg]],{0,0.59,0.79,1.5},1),3,1,0)</f>
        <v>0</v>
      </c>
      <c r="V7" s="18">
        <v>4</v>
      </c>
      <c r="W7" s="7">
        <v>43502</v>
      </c>
      <c r="X7" s="3">
        <f t="shared" si="2"/>
        <v>6.84</v>
      </c>
      <c r="Y7" s="12">
        <v>5</v>
      </c>
      <c r="AF7" s="2">
        <v>43560</v>
      </c>
      <c r="AG7" s="19">
        <v>2</v>
      </c>
      <c r="AH7" s="21">
        <v>2</v>
      </c>
      <c r="AI7" s="21">
        <v>0</v>
      </c>
    </row>
    <row r="8" spans="1:35" s="1" customFormat="1" x14ac:dyDescent="0.25">
      <c r="A8" s="3">
        <v>50</v>
      </c>
      <c r="B8" s="3" t="s">
        <v>87</v>
      </c>
      <c r="C8" s="2">
        <v>43588</v>
      </c>
      <c r="D8" s="1" t="s">
        <v>14</v>
      </c>
      <c r="E8" s="4">
        <f>Tableau14[[#This Row],[Pts_Fujiwara]]+Tableau14[[#This Row],[ HT2]]+Tableau14[[#This Row],[LCR]]+Tableau14[[#This Row],[Points_angle_p]]+Tableau14[[#This Row],[Point_Torg]]</f>
        <v>9</v>
      </c>
      <c r="F8" s="1">
        <v>0.77</v>
      </c>
      <c r="G8" s="1">
        <v>0.56999999999999995</v>
      </c>
      <c r="H8" s="5">
        <v>0.74025974025974017</v>
      </c>
      <c r="I8" s="3">
        <v>2</v>
      </c>
      <c r="J8" s="1">
        <v>1.48</v>
      </c>
      <c r="K8" s="1">
        <v>0.56999999999999995</v>
      </c>
      <c r="L8" s="5">
        <f t="shared" si="0"/>
        <v>0.38513513513513509</v>
      </c>
      <c r="M8" s="9">
        <f>CHOOSE(MATCH(Tableau14[[#This Row],[Fujiwara_P]],{0,0.39,0.49,1},1),3,1,0)</f>
        <v>3</v>
      </c>
      <c r="N8" s="10">
        <v>2</v>
      </c>
      <c r="O8" s="10">
        <v>2</v>
      </c>
      <c r="P8" s="1">
        <v>4</v>
      </c>
      <c r="Q8" s="10">
        <f>CHOOSE(MATCH(Tableau14[[#This Row],[Angle_p]],{-50,-14.9,-4.9,50},1),3,1,0)</f>
        <v>0</v>
      </c>
      <c r="R8" s="1">
        <v>1.64</v>
      </c>
      <c r="S8" s="1">
        <v>1.36</v>
      </c>
      <c r="T8" s="5">
        <f t="shared" si="1"/>
        <v>0.8292682926829269</v>
      </c>
      <c r="U8" s="10">
        <f>CHOOSE(MATCH(Tableau14[[#This Row],[Ratio_Torg]],{0,0.59,0.79,1.5},1),3,1,0)</f>
        <v>1</v>
      </c>
      <c r="V8" s="19">
        <v>2</v>
      </c>
      <c r="W8" s="7">
        <v>43804</v>
      </c>
      <c r="X8" s="3">
        <f t="shared" si="2"/>
        <v>10.4</v>
      </c>
      <c r="Y8" s="12">
        <v>9</v>
      </c>
      <c r="Z8" s="1">
        <v>3</v>
      </c>
      <c r="AA8" s="1">
        <v>3</v>
      </c>
      <c r="AB8" s="1">
        <v>1</v>
      </c>
      <c r="AC8" s="1">
        <v>1</v>
      </c>
      <c r="AD8" s="1">
        <v>1</v>
      </c>
      <c r="AE8" s="1">
        <v>0</v>
      </c>
      <c r="AF8" s="2">
        <v>43980</v>
      </c>
      <c r="AG8" s="19">
        <v>2</v>
      </c>
      <c r="AH8" s="21">
        <v>0</v>
      </c>
      <c r="AI8" s="21">
        <v>2</v>
      </c>
    </row>
    <row r="9" spans="1:35" s="1" customFormat="1" x14ac:dyDescent="0.25">
      <c r="A9" s="3">
        <v>51</v>
      </c>
      <c r="B9" s="3" t="s">
        <v>58</v>
      </c>
      <c r="C9" s="2">
        <v>43133</v>
      </c>
      <c r="D9" s="1" t="s">
        <v>17</v>
      </c>
      <c r="E9" s="4">
        <f>Tableau14[[#This Row],[Pts_Fujiwara]]+Tableau14[[#This Row],[ HT2]]+Tableau14[[#This Row],[LCR]]+Tableau14[[#This Row],[Points_angle_p]]+Tableau14[[#This Row],[Point_Torg]]</f>
        <v>7</v>
      </c>
      <c r="F9" s="1">
        <v>0.94</v>
      </c>
      <c r="G9" s="1">
        <v>0.62</v>
      </c>
      <c r="H9" s="5">
        <v>0.65957446808510645</v>
      </c>
      <c r="I9" s="3">
        <v>2</v>
      </c>
      <c r="J9" s="1">
        <v>1.4</v>
      </c>
      <c r="K9" s="1">
        <v>0.62</v>
      </c>
      <c r="L9" s="5">
        <f t="shared" si="0"/>
        <v>0.44285714285714289</v>
      </c>
      <c r="M9" s="9">
        <f>CHOOSE(MATCH(Tableau14[[#This Row],[Fujiwara_P]],{0,0.39,0.49,1},1),3,1,0)</f>
        <v>3</v>
      </c>
      <c r="N9" s="10">
        <v>2</v>
      </c>
      <c r="O9" s="10">
        <v>4</v>
      </c>
      <c r="P9" s="1">
        <v>1.6</v>
      </c>
      <c r="Q9" s="10">
        <f>CHOOSE(MATCH(Tableau14[[#This Row],[Angle_p]],{-50,-14.9,-4.9,50},1),3,1,0)</f>
        <v>0</v>
      </c>
      <c r="R9" s="1">
        <v>1.73</v>
      </c>
      <c r="S9" s="1">
        <v>1.21</v>
      </c>
      <c r="T9" s="5">
        <f t="shared" si="1"/>
        <v>0.69942196531791911</v>
      </c>
      <c r="U9" s="10">
        <f>CHOOSE(MATCH(Tableau14[[#This Row],[Ratio_Torg]],{0,0.59,0.79,1.5},1),3,1,0)</f>
        <v>0</v>
      </c>
      <c r="V9" s="18">
        <v>1</v>
      </c>
      <c r="W9" s="7">
        <v>43137</v>
      </c>
      <c r="X9" s="3">
        <f t="shared" si="2"/>
        <v>9.51</v>
      </c>
      <c r="Y9" s="12">
        <v>8</v>
      </c>
      <c r="Z9" s="1">
        <v>1</v>
      </c>
      <c r="AA9" s="1">
        <v>1</v>
      </c>
      <c r="AB9" s="1">
        <v>1</v>
      </c>
      <c r="AC9" s="1">
        <v>1</v>
      </c>
      <c r="AD9" s="1">
        <v>1</v>
      </c>
      <c r="AE9" s="1">
        <v>3</v>
      </c>
      <c r="AF9" s="2"/>
      <c r="AG9" s="18"/>
      <c r="AH9" s="20"/>
      <c r="AI9" s="20"/>
    </row>
    <row r="10" spans="1:35" s="1" customFormat="1" x14ac:dyDescent="0.25">
      <c r="A10" s="3">
        <v>76</v>
      </c>
      <c r="B10" s="3" t="s">
        <v>18</v>
      </c>
      <c r="C10" s="2">
        <v>44130</v>
      </c>
      <c r="D10" s="1" t="s">
        <v>9</v>
      </c>
      <c r="E10" s="4">
        <f>Tableau14[[#This Row],[Pts_Fujiwara]]+Tableau14[[#This Row],[ HT2]]+Tableau14[[#This Row],[LCR]]+Tableau14[[#This Row],[Points_angle_p]]+Tableau14[[#This Row],[Point_Torg]]</f>
        <v>7</v>
      </c>
      <c r="F10" s="1">
        <v>0.63</v>
      </c>
      <c r="G10" s="1">
        <v>0.31</v>
      </c>
      <c r="H10" s="5">
        <v>0.49206349206349204</v>
      </c>
      <c r="I10" s="3">
        <v>4</v>
      </c>
      <c r="J10" s="1">
        <v>1.4</v>
      </c>
      <c r="K10" s="1">
        <v>0.31</v>
      </c>
      <c r="L10" s="5">
        <f t="shared" si="0"/>
        <v>0.22142857142857145</v>
      </c>
      <c r="M10" s="9">
        <f>CHOOSE(MATCH(Tableau14[[#This Row],[Fujiwara_P]],{0,0.39,0.49,1},1),3,1,0)</f>
        <v>3</v>
      </c>
      <c r="N10" s="10">
        <v>4</v>
      </c>
      <c r="O10" s="10">
        <v>4</v>
      </c>
      <c r="P10" s="1">
        <v>0</v>
      </c>
      <c r="Q10" s="10">
        <f>CHOOSE(MATCH(Tableau14[[#This Row],[Angle_p]],{-50,-14.9,-4.9,50},1),3,1,0)</f>
        <v>0</v>
      </c>
      <c r="R10" s="1">
        <v>1.1599999999999999</v>
      </c>
      <c r="S10" s="1">
        <v>1.4</v>
      </c>
      <c r="T10" s="5">
        <f t="shared" si="1"/>
        <v>1.2068965517241379</v>
      </c>
      <c r="U10" s="10">
        <f>CHOOSE(MATCH(Tableau14[[#This Row],[Ratio_Torg]],{0,0.59,0.79,1.5},1),3,1,0)</f>
        <v>0</v>
      </c>
      <c r="V10" s="19">
        <v>1</v>
      </c>
      <c r="W10" s="7">
        <v>44070</v>
      </c>
      <c r="X10" s="3">
        <f t="shared" si="2"/>
        <v>9.51</v>
      </c>
      <c r="Y10" s="12">
        <v>8</v>
      </c>
      <c r="Z10" s="1">
        <v>2</v>
      </c>
      <c r="AA10" s="1">
        <v>1</v>
      </c>
      <c r="AB10" s="1">
        <v>1</v>
      </c>
      <c r="AC10" s="1">
        <v>1</v>
      </c>
      <c r="AD10" s="1">
        <v>1</v>
      </c>
      <c r="AE10" s="1">
        <v>2</v>
      </c>
      <c r="AF10" s="2"/>
      <c r="AG10" s="18"/>
      <c r="AH10" s="20"/>
      <c r="AI10" s="20"/>
    </row>
    <row r="11" spans="1:35" s="1" customFormat="1" ht="15" customHeight="1" x14ac:dyDescent="0.25">
      <c r="A11" s="3">
        <v>75</v>
      </c>
      <c r="B11" s="3" t="s">
        <v>65</v>
      </c>
      <c r="C11" s="2">
        <v>43263</v>
      </c>
      <c r="D11" s="1" t="s">
        <v>9</v>
      </c>
      <c r="E11" s="4">
        <f>Tableau14[[#This Row],[Pts_Fujiwara]]+Tableau14[[#This Row],[ HT2]]+Tableau14[[#This Row],[LCR]]+Tableau14[[#This Row],[Points_angle_p]]+Tableau14[[#This Row],[Point_Torg]]</f>
        <v>8</v>
      </c>
      <c r="F11" s="1">
        <v>0.67</v>
      </c>
      <c r="G11" s="1">
        <v>0.48</v>
      </c>
      <c r="H11" s="5">
        <v>0.71641791044776115</v>
      </c>
      <c r="I11" s="3">
        <v>2</v>
      </c>
      <c r="J11" s="1">
        <v>1.25</v>
      </c>
      <c r="K11" s="1">
        <v>0.48</v>
      </c>
      <c r="L11" s="5">
        <f t="shared" si="0"/>
        <v>0.38400000000000001</v>
      </c>
      <c r="M11" s="9">
        <f>CHOOSE(MATCH(Tableau14[[#This Row],[Fujiwara_P]],{0,0.39,0.49,1},1),3,1,0)</f>
        <v>3</v>
      </c>
      <c r="N11" s="10">
        <v>2</v>
      </c>
      <c r="O11" s="10">
        <v>4</v>
      </c>
      <c r="P11" s="1">
        <v>-1.7</v>
      </c>
      <c r="Q11" s="10">
        <f>CHOOSE(MATCH(Tableau14[[#This Row],[Angle_p]],{-50,-14.9,-4.9,50},1),3,1,0)</f>
        <v>0</v>
      </c>
      <c r="R11" s="1">
        <v>1.66</v>
      </c>
      <c r="S11" s="1">
        <v>1.1200000000000001</v>
      </c>
      <c r="T11" s="5">
        <f t="shared" si="1"/>
        <v>0.67469879518072295</v>
      </c>
      <c r="U11" s="10">
        <f>CHOOSE(MATCH(Tableau14[[#This Row],[Ratio_Torg]],{0,0.59,0.79,1.5},1),3,1,0)</f>
        <v>1</v>
      </c>
      <c r="V11" s="18">
        <v>3</v>
      </c>
      <c r="W11" s="7">
        <v>43307</v>
      </c>
      <c r="X11" s="3">
        <f t="shared" si="2"/>
        <v>10.4</v>
      </c>
      <c r="Y11" s="12">
        <v>9</v>
      </c>
      <c r="Z11" s="1">
        <v>1</v>
      </c>
      <c r="AA11" s="1">
        <v>1</v>
      </c>
      <c r="AB11" s="1">
        <v>1</v>
      </c>
      <c r="AC11" s="1">
        <v>2</v>
      </c>
      <c r="AD11" s="1">
        <v>2</v>
      </c>
      <c r="AE11" s="1">
        <v>2</v>
      </c>
      <c r="AF11" s="2">
        <v>43283</v>
      </c>
      <c r="AG11" s="19">
        <v>2</v>
      </c>
      <c r="AH11" s="21">
        <v>2</v>
      </c>
      <c r="AI11" s="21">
        <v>2</v>
      </c>
    </row>
    <row r="12" spans="1:35" s="1" customFormat="1" ht="12.95" customHeight="1" x14ac:dyDescent="0.25">
      <c r="A12" s="3">
        <v>71</v>
      </c>
      <c r="B12" s="3" t="s">
        <v>108</v>
      </c>
      <c r="C12" s="2">
        <v>43906</v>
      </c>
      <c r="D12" s="1" t="s">
        <v>17</v>
      </c>
      <c r="E12" s="4">
        <f>Tableau14[[#This Row],[Pts_Fujiwara]]+Tableau14[[#This Row],[ HT2]]+Tableau14[[#This Row],[LCR]]+Tableau14[[#This Row],[Points_angle_p]]+Tableau14[[#This Row],[Point_Torg]]</f>
        <v>10</v>
      </c>
      <c r="F12" s="1">
        <v>0.68</v>
      </c>
      <c r="G12" s="1">
        <v>0.44</v>
      </c>
      <c r="H12" s="5">
        <v>0.64705882352941169</v>
      </c>
      <c r="I12" s="3">
        <v>2</v>
      </c>
      <c r="J12" s="1">
        <v>1.5</v>
      </c>
      <c r="K12" s="1">
        <v>0.44</v>
      </c>
      <c r="L12" s="5">
        <f t="shared" si="0"/>
        <v>0.29333333333333333</v>
      </c>
      <c r="M12" s="9">
        <f>CHOOSE(MATCH(Tableau14[[#This Row],[Fujiwara_P]],{0,0.39,0.49,1},1),3,1,0)</f>
        <v>3</v>
      </c>
      <c r="N12" s="10">
        <v>2</v>
      </c>
      <c r="O12" s="10">
        <v>4</v>
      </c>
      <c r="P12" s="1">
        <v>-4.0999999999999996</v>
      </c>
      <c r="Q12" s="10">
        <f>CHOOSE(MATCH(Tableau14[[#This Row],[Angle_p]],{-50,-14.9,-4.9,50},1),3,1,0)</f>
        <v>1</v>
      </c>
      <c r="R12" s="1">
        <v>1.7</v>
      </c>
      <c r="S12" s="1">
        <v>1.4</v>
      </c>
      <c r="T12" s="5">
        <f t="shared" si="1"/>
        <v>0.82352941176470584</v>
      </c>
      <c r="U12" s="10">
        <f>CHOOSE(MATCH(Tableau14[[#This Row],[Ratio_Torg]],{0,0.59,0.79,1.5},1),3,1,0)</f>
        <v>0</v>
      </c>
      <c r="V12" s="19">
        <v>3</v>
      </c>
      <c r="W12" s="7">
        <v>43970</v>
      </c>
      <c r="X12" s="3">
        <f t="shared" si="2"/>
        <v>9.51</v>
      </c>
      <c r="Y12" s="12">
        <v>8</v>
      </c>
      <c r="Z12" s="1">
        <v>0</v>
      </c>
      <c r="AA12" s="1">
        <v>3</v>
      </c>
      <c r="AB12" s="1">
        <v>2</v>
      </c>
      <c r="AC12" s="1">
        <v>1</v>
      </c>
      <c r="AD12" s="1">
        <v>2</v>
      </c>
      <c r="AE12" s="1">
        <v>0</v>
      </c>
      <c r="AF12" s="2"/>
      <c r="AG12" s="19"/>
      <c r="AH12" s="21"/>
      <c r="AI12" s="21"/>
    </row>
    <row r="13" spans="1:35" s="1" customFormat="1" ht="14.1" customHeight="1" x14ac:dyDescent="0.25">
      <c r="A13" s="3">
        <v>75</v>
      </c>
      <c r="B13" s="3" t="s">
        <v>28</v>
      </c>
      <c r="C13" s="2">
        <v>43581</v>
      </c>
      <c r="D13" s="1" t="s">
        <v>12</v>
      </c>
      <c r="E13" s="4">
        <f>Tableau14[[#This Row],[Pts_Fujiwara]]+Tableau14[[#This Row],[ HT2]]+Tableau14[[#This Row],[LCR]]+Tableau14[[#This Row],[Points_angle_p]]+Tableau14[[#This Row],[Point_Torg]]</f>
        <v>6</v>
      </c>
      <c r="F13" s="1">
        <v>0.75</v>
      </c>
      <c r="G13" s="1">
        <v>0.61</v>
      </c>
      <c r="H13" s="5">
        <v>0.81333333333333335</v>
      </c>
      <c r="I13" s="3">
        <v>1</v>
      </c>
      <c r="J13" s="1">
        <v>1.56</v>
      </c>
      <c r="K13" s="1">
        <v>0.61</v>
      </c>
      <c r="L13" s="5">
        <f t="shared" si="0"/>
        <v>0.39102564102564102</v>
      </c>
      <c r="M13" s="9">
        <f>CHOOSE(MATCH(Tableau14[[#This Row],[Fujiwara_P]],{0,0.39,0.49,1},1),3,1,0)</f>
        <v>3</v>
      </c>
      <c r="N13" s="10">
        <v>0</v>
      </c>
      <c r="O13" s="10">
        <v>1</v>
      </c>
      <c r="P13" s="1">
        <v>-5</v>
      </c>
      <c r="Q13" s="10">
        <f>CHOOSE(MATCH(Tableau14[[#This Row],[Angle_p]],{-50,-14.9,-4.9,50},1),3,1,0)</f>
        <v>0</v>
      </c>
      <c r="R13" s="1">
        <v>1.62</v>
      </c>
      <c r="S13" s="1">
        <v>1.28</v>
      </c>
      <c r="T13" s="5">
        <f t="shared" si="1"/>
        <v>0.79012345679012341</v>
      </c>
      <c r="U13" s="10">
        <f>CHOOSE(MATCH(Tableau14[[#This Row],[Ratio_Torg]],{0,0.59,0.79,1.5},1),3,1,0)</f>
        <v>0</v>
      </c>
      <c r="V13" s="18">
        <v>2</v>
      </c>
      <c r="W13" s="7">
        <v>43766</v>
      </c>
      <c r="X13" s="3">
        <f t="shared" si="2"/>
        <v>11.290000000000001</v>
      </c>
      <c r="Y13" s="12">
        <v>10</v>
      </c>
      <c r="AF13" s="2">
        <v>43581</v>
      </c>
      <c r="AG13" s="18">
        <v>0</v>
      </c>
      <c r="AH13" s="20">
        <v>0</v>
      </c>
      <c r="AI13" s="20">
        <v>0</v>
      </c>
    </row>
    <row r="14" spans="1:35" s="1" customFormat="1" x14ac:dyDescent="0.25">
      <c r="A14" s="3">
        <v>29</v>
      </c>
      <c r="B14" s="3" t="s">
        <v>72</v>
      </c>
      <c r="C14" s="2">
        <v>43283</v>
      </c>
      <c r="D14" s="1" t="s">
        <v>14</v>
      </c>
      <c r="E14" s="4">
        <f>Tableau14[[#This Row],[Pts_Fujiwara]]+Tableau14[[#This Row],[ HT2]]+Tableau14[[#This Row],[LCR]]+Tableau14[[#This Row],[Points_angle_p]]+Tableau14[[#This Row],[Point_Torg]]</f>
        <v>14</v>
      </c>
      <c r="F14" s="1">
        <v>0.53</v>
      </c>
      <c r="G14" s="1">
        <v>0.54</v>
      </c>
      <c r="H14" s="5">
        <v>1.0188679245283019</v>
      </c>
      <c r="I14" s="3">
        <v>0</v>
      </c>
      <c r="J14" s="1">
        <v>1.33</v>
      </c>
      <c r="K14" s="1">
        <v>0.54</v>
      </c>
      <c r="L14" s="5">
        <f t="shared" si="0"/>
        <v>0.40601503759398494</v>
      </c>
      <c r="M14" s="9">
        <f>CHOOSE(MATCH(Tableau14[[#This Row],[Fujiwara_P]],{0,0.39,0.49,1},1),3,1,0)</f>
        <v>3</v>
      </c>
      <c r="N14" s="10">
        <v>4</v>
      </c>
      <c r="O14" s="10">
        <v>2</v>
      </c>
      <c r="P14" s="1">
        <v>-7.9</v>
      </c>
      <c r="Q14" s="10">
        <f>CHOOSE(MATCH(Tableau14[[#This Row],[Angle_p]],{-50,-14.9,-4.9,50},1),3,1,0)</f>
        <v>0</v>
      </c>
      <c r="R14" s="1">
        <v>1.46</v>
      </c>
      <c r="S14" s="1">
        <v>1.35</v>
      </c>
      <c r="T14" s="5">
        <f t="shared" si="1"/>
        <v>0.92465753424657537</v>
      </c>
      <c r="U14" s="10">
        <f>CHOOSE(MATCH(Tableau14[[#This Row],[Ratio_Torg]],{0,0.59,0.79,1.5},1),3,1,0)</f>
        <v>3</v>
      </c>
      <c r="V14" s="18">
        <v>3</v>
      </c>
      <c r="W14" s="7">
        <v>43367</v>
      </c>
      <c r="X14" s="3">
        <f t="shared" si="2"/>
        <v>8.620000000000001</v>
      </c>
      <c r="Y14" s="12">
        <v>7</v>
      </c>
      <c r="Z14" s="1">
        <v>2</v>
      </c>
      <c r="AA14" s="1">
        <v>0</v>
      </c>
      <c r="AB14" s="1">
        <v>1</v>
      </c>
      <c r="AC14" s="1">
        <v>2</v>
      </c>
      <c r="AD14" s="1">
        <v>2</v>
      </c>
      <c r="AE14" s="1">
        <v>0</v>
      </c>
      <c r="AF14" s="2"/>
      <c r="AG14" s="18"/>
      <c r="AH14" s="20"/>
      <c r="AI14" s="20"/>
    </row>
    <row r="15" spans="1:35" s="1" customFormat="1" x14ac:dyDescent="0.25">
      <c r="A15" s="3">
        <v>62</v>
      </c>
      <c r="B15" s="3" t="s">
        <v>68</v>
      </c>
      <c r="C15" s="2">
        <v>42865</v>
      </c>
      <c r="D15" s="1" t="s">
        <v>9</v>
      </c>
      <c r="E15" s="4">
        <f>Tableau14[[#This Row],[Pts_Fujiwara]]+Tableau14[[#This Row],[ HT2]]+Tableau14[[#This Row],[LCR]]+Tableau14[[#This Row],[Points_angle_p]]+Tableau14[[#This Row],[Point_Torg]]</f>
        <v>9</v>
      </c>
      <c r="F15" s="1">
        <v>0.71</v>
      </c>
      <c r="G15" s="1">
        <v>0.52</v>
      </c>
      <c r="H15" s="5">
        <v>0.73239436619718312</v>
      </c>
      <c r="I15" s="3">
        <v>2</v>
      </c>
      <c r="J15" s="1">
        <v>1.85</v>
      </c>
      <c r="K15" s="1">
        <v>0.52</v>
      </c>
      <c r="L15" s="5">
        <f t="shared" si="0"/>
        <v>0.2810810810810811</v>
      </c>
      <c r="M15" s="9">
        <f>CHOOSE(MATCH(Tableau14[[#This Row],[Fujiwara_P]],{0,0.39,0.49,1},1),3,1,0)</f>
        <v>3</v>
      </c>
      <c r="N15" s="10">
        <v>2</v>
      </c>
      <c r="O15" s="10">
        <v>2</v>
      </c>
      <c r="P15" s="1">
        <v>-10.3</v>
      </c>
      <c r="Q15" s="10">
        <f>CHOOSE(MATCH(Tableau14[[#This Row],[Angle_p]],{-50,-14.9,-4.9,50},1),3,1,0)</f>
        <v>1</v>
      </c>
      <c r="R15" s="1">
        <v>1.8</v>
      </c>
      <c r="S15" s="1">
        <v>1.22</v>
      </c>
      <c r="T15" s="5">
        <f t="shared" si="1"/>
        <v>0.6777777777777777</v>
      </c>
      <c r="U15" s="10">
        <f>CHOOSE(MATCH(Tableau14[[#This Row],[Ratio_Torg]],{0,0.59,0.79,1.5},1),3,1,0)</f>
        <v>1</v>
      </c>
      <c r="V15" s="19">
        <v>3</v>
      </c>
      <c r="W15" s="7">
        <v>43244</v>
      </c>
      <c r="X15" s="3">
        <f t="shared" si="2"/>
        <v>10.4</v>
      </c>
      <c r="Y15" s="12">
        <v>9</v>
      </c>
      <c r="Z15" s="1">
        <v>2</v>
      </c>
      <c r="AA15" s="1">
        <v>2</v>
      </c>
      <c r="AB15" s="1">
        <v>1</v>
      </c>
      <c r="AC15" s="1">
        <v>1</v>
      </c>
      <c r="AD15" s="1">
        <v>1</v>
      </c>
      <c r="AE15" s="1">
        <v>2</v>
      </c>
      <c r="AF15" s="2">
        <v>42919</v>
      </c>
      <c r="AG15" s="18">
        <v>0</v>
      </c>
      <c r="AH15" s="20">
        <v>0</v>
      </c>
      <c r="AI15" s="20">
        <v>0</v>
      </c>
    </row>
  </sheetData>
  <sortState ref="A1:AI17">
    <sortCondition descending="1" ref="P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2"/>
  <sheetViews>
    <sheetView topLeftCell="G1" workbookViewId="0">
      <selection activeCell="P22" sqref="P22"/>
    </sheetView>
  </sheetViews>
  <sheetFormatPr baseColWidth="10" defaultRowHeight="15.75" x14ac:dyDescent="0.25"/>
  <sheetData>
    <row r="1" spans="1:35" s="1" customFormat="1" x14ac:dyDescent="0.25">
      <c r="A1" s="3">
        <v>73</v>
      </c>
      <c r="B1" s="3" t="s">
        <v>96</v>
      </c>
      <c r="C1" s="2">
        <v>44011</v>
      </c>
      <c r="D1" s="1" t="s">
        <v>17</v>
      </c>
      <c r="E1" s="4" t="e">
        <f>Tableau14[[#This Row],[Pts_Fujiwara]]+Tableau14[[#This Row],[ HT2]]+Tableau14[[#This Row],[LCR]]+Tableau14[[#This Row],[Points_angle_p]]+Tableau14[[#This Row],[Point_Torg]]</f>
        <v>#VALUE!</v>
      </c>
      <c r="F1" s="1">
        <v>0.71</v>
      </c>
      <c r="G1" s="1">
        <v>0.51</v>
      </c>
      <c r="H1" s="5">
        <v>0.71830985915492962</v>
      </c>
      <c r="I1" s="3">
        <v>2</v>
      </c>
      <c r="J1" s="1">
        <v>1.54</v>
      </c>
      <c r="K1" s="1">
        <v>0.51</v>
      </c>
      <c r="L1" s="5">
        <f t="shared" ref="L1:L11" si="0">K1/J1</f>
        <v>0.33116883116883117</v>
      </c>
      <c r="M1" s="9" t="e">
        <f>CHOOSE(MATCH(Tableau14[[#This Row],[Fujiwara_P]],{0,0.39,0.49,1},1),3,1,0)</f>
        <v>#VALUE!</v>
      </c>
      <c r="N1" s="10">
        <v>4</v>
      </c>
      <c r="O1" s="10">
        <v>4</v>
      </c>
      <c r="P1" s="1">
        <v>0</v>
      </c>
      <c r="Q1" s="10" t="e">
        <f>CHOOSE(MATCH(Tableau14[[#This Row],[Angle_p]],{-50,-14.9,-4.9,50},1),3,1,0)</f>
        <v>#VALUE!</v>
      </c>
      <c r="R1" s="1">
        <v>1.29</v>
      </c>
      <c r="S1" s="1">
        <v>1.45</v>
      </c>
      <c r="T1" s="5">
        <f t="shared" ref="T1:T22" si="1">S1/R1</f>
        <v>1.124031007751938</v>
      </c>
      <c r="U1" s="10" t="e">
        <f>CHOOSE(MATCH(Tableau14[[#This Row],[Ratio_Torg]],{0,0.59,0.79,1.5},1),3,1,0)</f>
        <v>#VALUE!</v>
      </c>
      <c r="V1" s="19">
        <v>2</v>
      </c>
      <c r="W1" s="7">
        <v>44125</v>
      </c>
      <c r="X1" s="3">
        <f t="shared" ref="X1:X22" si="2">2.39+0.89*(Y1)</f>
        <v>13.96</v>
      </c>
      <c r="Y1" s="12">
        <v>13</v>
      </c>
      <c r="Z1" s="1">
        <v>3</v>
      </c>
      <c r="AA1" s="1">
        <v>3</v>
      </c>
      <c r="AB1" s="1">
        <v>1</v>
      </c>
      <c r="AC1" s="1">
        <v>2</v>
      </c>
      <c r="AD1" s="1">
        <v>2</v>
      </c>
      <c r="AE1" s="1">
        <v>2</v>
      </c>
      <c r="AF1" s="2">
        <v>42087</v>
      </c>
      <c r="AG1" s="18">
        <v>2</v>
      </c>
      <c r="AH1" s="20">
        <v>2</v>
      </c>
      <c r="AI1" s="20">
        <v>0</v>
      </c>
    </row>
    <row r="2" spans="1:35" s="1" customFormat="1" x14ac:dyDescent="0.25">
      <c r="A2" s="3">
        <v>56</v>
      </c>
      <c r="B2" s="3" t="s">
        <v>110</v>
      </c>
      <c r="C2" s="2">
        <v>43801</v>
      </c>
      <c r="D2" s="1" t="s">
        <v>17</v>
      </c>
      <c r="E2" s="4">
        <f>Tableau14[[#This Row],[Pts_Fujiwara]]+Tableau14[[#This Row],[ HT2]]+Tableau14[[#This Row],[LCR]]+Tableau14[[#This Row],[Points_angle_p]]+Tableau14[[#This Row],[Point_Torg]]</f>
        <v>7</v>
      </c>
      <c r="F2" s="1">
        <v>0.73</v>
      </c>
      <c r="G2" s="1">
        <v>0.63</v>
      </c>
      <c r="H2" s="5">
        <v>0.86301369863013699</v>
      </c>
      <c r="I2" s="3">
        <v>1</v>
      </c>
      <c r="J2" s="1">
        <v>1.38</v>
      </c>
      <c r="K2" s="1">
        <v>0.63</v>
      </c>
      <c r="L2" s="5">
        <f t="shared" si="0"/>
        <v>0.45652173913043481</v>
      </c>
      <c r="M2" s="9">
        <f>CHOOSE(MATCH(Tableau14[[#This Row],[Fujiwara_P]],{0,0.39,0.49,1},1),3,1,0)</f>
        <v>3</v>
      </c>
      <c r="N2" s="10">
        <v>4</v>
      </c>
      <c r="O2" s="10">
        <v>4</v>
      </c>
      <c r="P2" s="1">
        <v>14.5</v>
      </c>
      <c r="Q2" s="10">
        <f>CHOOSE(MATCH(Tableau14[[#This Row],[Angle_p]],{-50,-14.9,-4.9,50},1),3,1,0)</f>
        <v>0</v>
      </c>
      <c r="R2" s="1">
        <v>1.58</v>
      </c>
      <c r="S2" s="1">
        <v>1.55</v>
      </c>
      <c r="T2" s="5">
        <f t="shared" si="1"/>
        <v>0.98101265822784811</v>
      </c>
      <c r="U2" s="10">
        <f>CHOOSE(MATCH(Tableau14[[#This Row],[Ratio_Torg]],{0,0.59,0.79,1.5},1),3,1,0)</f>
        <v>0</v>
      </c>
      <c r="V2" s="18">
        <v>1</v>
      </c>
      <c r="W2" s="7">
        <v>43901</v>
      </c>
      <c r="X2" s="3">
        <f t="shared" si="2"/>
        <v>13.96</v>
      </c>
      <c r="Y2" s="12">
        <v>13</v>
      </c>
      <c r="Z2" s="1">
        <v>4</v>
      </c>
      <c r="AA2" s="1">
        <v>1</v>
      </c>
      <c r="AB2" s="1">
        <v>2</v>
      </c>
      <c r="AC2" s="1">
        <v>1</v>
      </c>
      <c r="AD2" s="1">
        <v>2</v>
      </c>
      <c r="AE2" s="1">
        <v>3</v>
      </c>
      <c r="AF2" s="2">
        <v>43878</v>
      </c>
      <c r="AG2" s="19">
        <v>2</v>
      </c>
      <c r="AH2" s="21">
        <v>2</v>
      </c>
      <c r="AI2" s="21">
        <v>2</v>
      </c>
    </row>
    <row r="3" spans="1:35" s="1" customFormat="1" x14ac:dyDescent="0.25">
      <c r="A3" s="3">
        <v>46</v>
      </c>
      <c r="B3" s="3" t="s">
        <v>21</v>
      </c>
      <c r="C3" s="2">
        <v>42431</v>
      </c>
      <c r="D3" s="1" t="s">
        <v>12</v>
      </c>
      <c r="E3" s="4">
        <f>Tableau14[[#This Row],[Pts_Fujiwara]]+Tableau14[[#This Row],[ HT2]]+Tableau14[[#This Row],[LCR]]+Tableau14[[#This Row],[Points_angle_p]]+Tableau14[[#This Row],[Point_Torg]]</f>
        <v>12</v>
      </c>
      <c r="F3" s="1">
        <v>0.64</v>
      </c>
      <c r="G3" s="1">
        <v>0.57999999999999996</v>
      </c>
      <c r="H3" s="5">
        <v>0.90624999999999989</v>
      </c>
      <c r="I3" s="3">
        <v>1</v>
      </c>
      <c r="J3" s="1">
        <v>1.0900000000000001</v>
      </c>
      <c r="K3" s="1">
        <v>0.57999999999999996</v>
      </c>
      <c r="L3" s="5">
        <f t="shared" si="0"/>
        <v>0.53211009174311918</v>
      </c>
      <c r="M3" s="9">
        <f>CHOOSE(MATCH(Tableau14[[#This Row],[Fujiwara_P]],{0,0.39,0.49,1},1),3,1,0)</f>
        <v>3</v>
      </c>
      <c r="N3" s="10">
        <v>4</v>
      </c>
      <c r="O3" s="10">
        <v>1</v>
      </c>
      <c r="P3" s="1">
        <v>13</v>
      </c>
      <c r="Q3" s="10">
        <f>CHOOSE(MATCH(Tableau14[[#This Row],[Angle_p]],{-50,-14.9,-4.9,50},1),3,1,0)</f>
        <v>0</v>
      </c>
      <c r="R3" s="1">
        <v>2.1</v>
      </c>
      <c r="S3" s="1">
        <v>1.46</v>
      </c>
      <c r="T3" s="5">
        <f t="shared" si="1"/>
        <v>0.69523809523809521</v>
      </c>
      <c r="U3" s="10">
        <f>CHOOSE(MATCH(Tableau14[[#This Row],[Ratio_Torg]],{0,0.59,0.79,1.5},1),3,1,0)</f>
        <v>1</v>
      </c>
      <c r="V3" s="18">
        <v>1</v>
      </c>
      <c r="W3" s="7">
        <v>42591</v>
      </c>
      <c r="X3" s="3">
        <f t="shared" si="2"/>
        <v>13.96</v>
      </c>
      <c r="Y3" s="12">
        <v>13</v>
      </c>
      <c r="AF3" s="2">
        <v>42657</v>
      </c>
      <c r="AG3" s="19">
        <v>3</v>
      </c>
      <c r="AH3" s="21">
        <v>0</v>
      </c>
      <c r="AI3" s="21">
        <v>3</v>
      </c>
    </row>
    <row r="4" spans="1:35" s="1" customFormat="1" x14ac:dyDescent="0.25">
      <c r="A4" s="3">
        <v>59</v>
      </c>
      <c r="B4" s="3" t="s">
        <v>50</v>
      </c>
      <c r="C4" s="2">
        <v>43194</v>
      </c>
      <c r="D4" s="1" t="s">
        <v>17</v>
      </c>
      <c r="E4" s="4">
        <f>Tableau14[[#This Row],[Pts_Fujiwara]]+Tableau14[[#This Row],[ HT2]]+Tableau14[[#This Row],[LCR]]+Tableau14[[#This Row],[Points_angle_p]]+Tableau14[[#This Row],[Point_Torg]]</f>
        <v>10</v>
      </c>
      <c r="F4" s="1">
        <v>0.66</v>
      </c>
      <c r="G4" s="1">
        <v>0.45</v>
      </c>
      <c r="H4" s="5">
        <v>0.68181818181818177</v>
      </c>
      <c r="I4" s="3">
        <v>2</v>
      </c>
      <c r="J4" s="1">
        <v>1.6</v>
      </c>
      <c r="K4" s="1">
        <v>0.45</v>
      </c>
      <c r="L4" s="5">
        <f t="shared" si="0"/>
        <v>0.28125</v>
      </c>
      <c r="M4" s="9">
        <f>CHOOSE(MATCH(Tableau14[[#This Row],[Fujiwara_P]],{0,0.39,0.49,1},1),3,1,0)</f>
        <v>3</v>
      </c>
      <c r="N4" s="10">
        <v>2</v>
      </c>
      <c r="O4" s="10">
        <v>4</v>
      </c>
      <c r="P4" s="1">
        <v>13</v>
      </c>
      <c r="Q4" s="10">
        <f>CHOOSE(MATCH(Tableau14[[#This Row],[Angle_p]],{-50,-14.9,-4.9,50},1),3,1,0)</f>
        <v>0</v>
      </c>
      <c r="R4" s="1">
        <v>1.73</v>
      </c>
      <c r="S4" s="1">
        <v>1</v>
      </c>
      <c r="T4" s="5">
        <f t="shared" si="1"/>
        <v>0.5780346820809249</v>
      </c>
      <c r="U4" s="10">
        <f>CHOOSE(MATCH(Tableau14[[#This Row],[Ratio_Torg]],{0,0.59,0.79,1.5},1),3,1,0)</f>
        <v>1</v>
      </c>
      <c r="V4" s="18">
        <v>2</v>
      </c>
      <c r="W4" s="7">
        <v>43416</v>
      </c>
      <c r="X4" s="3">
        <f t="shared" si="2"/>
        <v>13.96</v>
      </c>
      <c r="Y4" s="12">
        <v>13</v>
      </c>
      <c r="AF4" s="2">
        <v>43248</v>
      </c>
      <c r="AG4" s="18">
        <v>3</v>
      </c>
      <c r="AH4" s="20">
        <v>1</v>
      </c>
      <c r="AI4" s="20">
        <v>3</v>
      </c>
    </row>
    <row r="5" spans="1:35" s="1" customFormat="1" x14ac:dyDescent="0.25">
      <c r="A5" s="3">
        <v>60</v>
      </c>
      <c r="B5" s="3" t="s">
        <v>69</v>
      </c>
      <c r="C5" s="2">
        <v>42985</v>
      </c>
      <c r="D5" s="1" t="s">
        <v>12</v>
      </c>
      <c r="E5" s="4">
        <f>Tableau14[[#This Row],[Pts_Fujiwara]]+Tableau14[[#This Row],[ HT2]]+Tableau14[[#This Row],[LCR]]+Tableau14[[#This Row],[Points_angle_p]]+Tableau14[[#This Row],[Point_Torg]]</f>
        <v>11</v>
      </c>
      <c r="F5" s="1">
        <v>0.77</v>
      </c>
      <c r="G5" s="1">
        <v>0.27</v>
      </c>
      <c r="H5" s="5">
        <v>0.35064935064935066</v>
      </c>
      <c r="I5" s="3">
        <v>4</v>
      </c>
      <c r="J5" s="1">
        <v>1.51</v>
      </c>
      <c r="K5" s="1">
        <v>0.27</v>
      </c>
      <c r="L5" s="5">
        <f t="shared" si="0"/>
        <v>0.17880794701986755</v>
      </c>
      <c r="M5" s="9">
        <f>CHOOSE(MATCH(Tableau14[[#This Row],[Fujiwara_P]],{0,0.39,0.49,1},1),3,1,0)</f>
        <v>3</v>
      </c>
      <c r="N5" s="10">
        <v>0</v>
      </c>
      <c r="O5" s="10">
        <v>4</v>
      </c>
      <c r="P5" s="1">
        <v>11.4</v>
      </c>
      <c r="Q5" s="10">
        <f>CHOOSE(MATCH(Tableau14[[#This Row],[Angle_p]],{-50,-14.9,-4.9,50},1),3,1,0)</f>
        <v>0</v>
      </c>
      <c r="R5" s="1">
        <v>1.35</v>
      </c>
      <c r="S5" s="1">
        <v>1.1599999999999999</v>
      </c>
      <c r="T5" s="5">
        <f t="shared" si="1"/>
        <v>0.85925925925925917</v>
      </c>
      <c r="U5" s="10">
        <f>CHOOSE(MATCH(Tableau14[[#This Row],[Ratio_Torg]],{0,0.59,0.79,1.5},1),3,1,0)</f>
        <v>0</v>
      </c>
      <c r="V5" s="18">
        <v>2</v>
      </c>
      <c r="W5" s="7">
        <v>43151</v>
      </c>
      <c r="X5" s="3">
        <f t="shared" si="2"/>
        <v>13.96</v>
      </c>
      <c r="Y5" s="12">
        <v>13</v>
      </c>
      <c r="Z5" s="1">
        <v>3</v>
      </c>
      <c r="AA5" s="1">
        <v>3</v>
      </c>
      <c r="AB5" s="1">
        <v>2</v>
      </c>
      <c r="AC5" s="1">
        <v>2</v>
      </c>
      <c r="AD5" s="1">
        <v>2</v>
      </c>
      <c r="AE5" s="1">
        <v>1</v>
      </c>
      <c r="AF5" s="2">
        <v>43013</v>
      </c>
      <c r="AG5" s="19">
        <v>1</v>
      </c>
      <c r="AH5" s="21">
        <v>1</v>
      </c>
      <c r="AI5" s="21">
        <v>0</v>
      </c>
    </row>
    <row r="6" spans="1:35" s="1" customFormat="1" x14ac:dyDescent="0.25">
      <c r="A6" s="3">
        <v>67</v>
      </c>
      <c r="B6" s="3" t="s">
        <v>71</v>
      </c>
      <c r="C6" s="2">
        <v>43322</v>
      </c>
      <c r="D6" s="1" t="s">
        <v>9</v>
      </c>
      <c r="E6" s="4">
        <f>Tableau14[[#This Row],[Pts_Fujiwara]]+Tableau14[[#This Row],[ HT2]]+Tableau14[[#This Row],[LCR]]+Tableau14[[#This Row],[Points_angle_p]]+Tableau14[[#This Row],[Point_Torg]]</f>
        <v>11</v>
      </c>
      <c r="F6" s="1">
        <v>0.81</v>
      </c>
      <c r="G6" s="1">
        <v>0.65</v>
      </c>
      <c r="H6" s="5">
        <v>0.80246913580246915</v>
      </c>
      <c r="I6" s="3">
        <v>1</v>
      </c>
      <c r="J6" s="1">
        <v>1.53</v>
      </c>
      <c r="K6" s="1">
        <v>0.65</v>
      </c>
      <c r="L6" s="5">
        <f t="shared" si="0"/>
        <v>0.42483660130718953</v>
      </c>
      <c r="M6" s="9">
        <f>CHOOSE(MATCH(Tableau14[[#This Row],[Fujiwara_P]],{0,0.39,0.49,1},1),3,1,0)</f>
        <v>3</v>
      </c>
      <c r="N6" s="10">
        <v>2</v>
      </c>
      <c r="O6" s="10">
        <v>4</v>
      </c>
      <c r="P6" s="1">
        <v>11</v>
      </c>
      <c r="Q6" s="10">
        <f>CHOOSE(MATCH(Tableau14[[#This Row],[Angle_p]],{-50,-14.9,-4.9,50},1),3,1,0)</f>
        <v>1</v>
      </c>
      <c r="R6" s="1">
        <v>1.77</v>
      </c>
      <c r="S6" s="1">
        <v>1.3</v>
      </c>
      <c r="T6" s="5">
        <f t="shared" si="1"/>
        <v>0.7344632768361582</v>
      </c>
      <c r="U6" s="10">
        <f>CHOOSE(MATCH(Tableau14[[#This Row],[Ratio_Torg]],{0,0.59,0.79,1.5},1),3,1,0)</f>
        <v>1</v>
      </c>
      <c r="V6" s="18">
        <v>1</v>
      </c>
      <c r="W6" s="7">
        <v>43340</v>
      </c>
      <c r="X6" s="3">
        <f t="shared" si="2"/>
        <v>13.96</v>
      </c>
      <c r="Y6" s="12">
        <v>13</v>
      </c>
      <c r="Z6" s="1">
        <v>4</v>
      </c>
      <c r="AA6" s="1">
        <v>3</v>
      </c>
      <c r="AB6" s="1">
        <v>1</v>
      </c>
      <c r="AC6" s="1">
        <v>1</v>
      </c>
      <c r="AD6" s="1">
        <v>1</v>
      </c>
      <c r="AE6" s="1">
        <v>3</v>
      </c>
      <c r="AF6" s="2"/>
      <c r="AG6" s="19"/>
      <c r="AH6" s="21"/>
      <c r="AI6" s="21"/>
    </row>
    <row r="7" spans="1:35" s="1" customFormat="1" x14ac:dyDescent="0.25">
      <c r="A7" s="3">
        <v>71</v>
      </c>
      <c r="B7" s="3" t="s">
        <v>97</v>
      </c>
      <c r="C7" s="2">
        <v>43696</v>
      </c>
      <c r="D7" s="1" t="s">
        <v>17</v>
      </c>
      <c r="E7" s="4">
        <f>Tableau14[[#This Row],[Pts_Fujiwara]]+Tableau14[[#This Row],[ HT2]]+Tableau14[[#This Row],[LCR]]+Tableau14[[#This Row],[Points_angle_p]]+Tableau14[[#This Row],[Point_Torg]]</f>
        <v>11</v>
      </c>
      <c r="F7" s="1">
        <v>0.73</v>
      </c>
      <c r="G7" s="1">
        <v>0.31</v>
      </c>
      <c r="H7" s="5">
        <v>0.42465753424657537</v>
      </c>
      <c r="I7" s="3">
        <v>4</v>
      </c>
      <c r="J7" s="1">
        <v>1.44</v>
      </c>
      <c r="K7" s="1">
        <v>0.31</v>
      </c>
      <c r="L7" s="5">
        <f t="shared" si="0"/>
        <v>0.21527777777777779</v>
      </c>
      <c r="M7" s="9">
        <f>CHOOSE(MATCH(Tableau14[[#This Row],[Fujiwara_P]],{0,0.39,0.49,1},1),3,1,0)</f>
        <v>3</v>
      </c>
      <c r="N7" s="10">
        <v>2</v>
      </c>
      <c r="O7" s="10">
        <v>4</v>
      </c>
      <c r="P7" s="1">
        <v>10</v>
      </c>
      <c r="Q7" s="10">
        <f>CHOOSE(MATCH(Tableau14[[#This Row],[Angle_p]],{-50,-14.9,-4.9,50},1),3,1,0)</f>
        <v>0</v>
      </c>
      <c r="R7" s="1">
        <v>1.66</v>
      </c>
      <c r="S7" s="1">
        <v>1.31</v>
      </c>
      <c r="T7" s="5">
        <f t="shared" si="1"/>
        <v>0.78915662650602414</v>
      </c>
      <c r="U7" s="10">
        <f>CHOOSE(MATCH(Tableau14[[#This Row],[Ratio_Torg]],{0,0.59,0.79,1.5},1),3,1,0)</f>
        <v>0</v>
      </c>
      <c r="V7" s="19">
        <v>3</v>
      </c>
      <c r="W7" s="7">
        <v>43480</v>
      </c>
      <c r="X7" s="3">
        <f t="shared" si="2"/>
        <v>13.96</v>
      </c>
      <c r="Y7" s="12">
        <v>13</v>
      </c>
      <c r="Z7" s="1">
        <v>3</v>
      </c>
      <c r="AA7" s="1">
        <v>3</v>
      </c>
      <c r="AB7" s="1">
        <v>1</v>
      </c>
      <c r="AC7" s="1">
        <v>2</v>
      </c>
      <c r="AD7" s="1">
        <v>2</v>
      </c>
      <c r="AE7" s="1">
        <v>2</v>
      </c>
      <c r="AF7" s="2">
        <v>43437</v>
      </c>
      <c r="AG7" s="19">
        <v>2</v>
      </c>
      <c r="AH7" s="21">
        <v>2</v>
      </c>
      <c r="AI7" s="21">
        <v>2</v>
      </c>
    </row>
    <row r="8" spans="1:35" s="1" customFormat="1" x14ac:dyDescent="0.25">
      <c r="A8" s="3">
        <v>72</v>
      </c>
      <c r="B8" s="3" t="s">
        <v>11</v>
      </c>
      <c r="C8" s="2">
        <v>43356</v>
      </c>
      <c r="D8" s="1" t="s">
        <v>12</v>
      </c>
      <c r="E8" s="4">
        <f>Tableau14[[#This Row],[Pts_Fujiwara]]+Tableau14[[#This Row],[ HT2]]+Tableau14[[#This Row],[LCR]]+Tableau14[[#This Row],[Points_angle_p]]+Tableau14[[#This Row],[Point_Torg]]</f>
        <v>9</v>
      </c>
      <c r="F8" s="1">
        <v>0.7</v>
      </c>
      <c r="G8" s="1">
        <v>0.43</v>
      </c>
      <c r="H8" s="5">
        <v>0.61428571428571432</v>
      </c>
      <c r="I8" s="3">
        <v>2</v>
      </c>
      <c r="J8" s="1">
        <v>1.47</v>
      </c>
      <c r="K8" s="1">
        <v>0.43</v>
      </c>
      <c r="L8" s="5">
        <f t="shared" si="0"/>
        <v>0.29251700680272108</v>
      </c>
      <c r="M8" s="9">
        <f>CHOOSE(MATCH(Tableau14[[#This Row],[Fujiwara_P]],{0,0.39,0.49,1},1),3,1,0)</f>
        <v>3</v>
      </c>
      <c r="N8" s="10">
        <v>4</v>
      </c>
      <c r="O8" s="10">
        <v>1</v>
      </c>
      <c r="P8" s="1">
        <v>8</v>
      </c>
      <c r="Q8" s="10">
        <f>CHOOSE(MATCH(Tableau14[[#This Row],[Angle_p]],{-50,-14.9,-4.9,50},1),3,1,0)</f>
        <v>0</v>
      </c>
      <c r="R8" s="1">
        <v>1.39</v>
      </c>
      <c r="S8" s="1">
        <v>1.25</v>
      </c>
      <c r="T8" s="5">
        <f t="shared" si="1"/>
        <v>0.89928057553956842</v>
      </c>
      <c r="U8" s="10">
        <f>CHOOSE(MATCH(Tableau14[[#This Row],[Ratio_Torg]],{0,0.59,0.79,1.5},1),3,1,0)</f>
        <v>1</v>
      </c>
      <c r="V8" s="18">
        <v>1</v>
      </c>
      <c r="W8" s="7">
        <v>43698</v>
      </c>
      <c r="X8" s="3">
        <f t="shared" si="2"/>
        <v>13.96</v>
      </c>
      <c r="Y8" s="12">
        <v>13</v>
      </c>
      <c r="AF8" s="2">
        <v>43374</v>
      </c>
      <c r="AG8" s="18">
        <v>2</v>
      </c>
      <c r="AH8" s="20">
        <v>1</v>
      </c>
      <c r="AI8" s="20">
        <v>2</v>
      </c>
    </row>
    <row r="9" spans="1:35" s="1" customFormat="1" x14ac:dyDescent="0.25">
      <c r="A9" s="3">
        <v>53</v>
      </c>
      <c r="B9" s="3" t="s">
        <v>99</v>
      </c>
      <c r="C9" s="2">
        <v>44020</v>
      </c>
      <c r="D9" s="1" t="s">
        <v>9</v>
      </c>
      <c r="E9" s="4">
        <f>Tableau14[[#This Row],[Pts_Fujiwara]]+Tableau14[[#This Row],[ HT2]]+Tableau14[[#This Row],[LCR]]+Tableau14[[#This Row],[Points_angle_p]]+Tableau14[[#This Row],[Point_Torg]]</f>
        <v>7</v>
      </c>
      <c r="F9" s="1">
        <v>0.5</v>
      </c>
      <c r="G9" s="1">
        <v>0.47</v>
      </c>
      <c r="H9" s="5">
        <v>0.94</v>
      </c>
      <c r="I9" s="3">
        <v>1</v>
      </c>
      <c r="J9" s="1">
        <v>1.27</v>
      </c>
      <c r="K9" s="1">
        <v>0.47</v>
      </c>
      <c r="L9" s="5">
        <f t="shared" si="0"/>
        <v>0.37007874015748027</v>
      </c>
      <c r="M9" s="9">
        <f>CHOOSE(MATCH(Tableau14[[#This Row],[Fujiwara_P]],{0,0.39,0.49,1},1),3,1,0)</f>
        <v>3</v>
      </c>
      <c r="N9" s="10">
        <v>2</v>
      </c>
      <c r="O9" s="10">
        <v>4</v>
      </c>
      <c r="P9" s="1">
        <v>4.5999999999999996</v>
      </c>
      <c r="Q9" s="10">
        <f>CHOOSE(MATCH(Tableau14[[#This Row],[Angle_p]],{-50,-14.9,-4.9,50},1),3,1,0)</f>
        <v>0</v>
      </c>
      <c r="R9" s="1">
        <v>1.86</v>
      </c>
      <c r="S9" s="1">
        <v>1.29</v>
      </c>
      <c r="T9" s="5">
        <f t="shared" si="1"/>
        <v>0.69354838709677413</v>
      </c>
      <c r="U9" s="10">
        <f>CHOOSE(MATCH(Tableau14[[#This Row],[Ratio_Torg]],{0,0.59,0.79,1.5},1),3,1,0)</f>
        <v>0</v>
      </c>
      <c r="V9" s="19">
        <v>1</v>
      </c>
      <c r="W9" s="7">
        <v>43847</v>
      </c>
      <c r="X9" s="3">
        <f t="shared" si="2"/>
        <v>13.07</v>
      </c>
      <c r="Y9" s="12">
        <v>12</v>
      </c>
      <c r="Z9" s="1">
        <v>3</v>
      </c>
      <c r="AA9" s="1">
        <v>3</v>
      </c>
      <c r="AB9" s="1">
        <v>1</v>
      </c>
      <c r="AC9" s="1">
        <v>1</v>
      </c>
      <c r="AD9" s="1">
        <v>1</v>
      </c>
      <c r="AE9" s="1">
        <v>3</v>
      </c>
      <c r="AF9" s="2">
        <v>43705</v>
      </c>
      <c r="AG9" s="19">
        <v>0</v>
      </c>
      <c r="AH9" s="21">
        <v>0</v>
      </c>
      <c r="AI9" s="21"/>
    </row>
    <row r="10" spans="1:35" s="1" customFormat="1" x14ac:dyDescent="0.25">
      <c r="A10" s="3">
        <v>84</v>
      </c>
      <c r="B10" s="3" t="s">
        <v>31</v>
      </c>
      <c r="C10" s="2">
        <v>43627</v>
      </c>
      <c r="D10" s="1" t="s">
        <v>14</v>
      </c>
      <c r="E10" s="4">
        <f>Tableau14[[#This Row],[Pts_Fujiwara]]+Tableau14[[#This Row],[ HT2]]+Tableau14[[#This Row],[LCR]]+Tableau14[[#This Row],[Points_angle_p]]+Tableau14[[#This Row],[Point_Torg]]</f>
        <v>7</v>
      </c>
      <c r="F10" s="1">
        <v>0.56000000000000005</v>
      </c>
      <c r="G10" s="1">
        <v>0.4</v>
      </c>
      <c r="H10" s="5">
        <v>0.7142857142857143</v>
      </c>
      <c r="I10" s="3">
        <v>2</v>
      </c>
      <c r="J10" s="1">
        <v>1.45</v>
      </c>
      <c r="K10" s="1">
        <v>0.42</v>
      </c>
      <c r="L10" s="5">
        <f t="shared" si="0"/>
        <v>0.28965517241379313</v>
      </c>
      <c r="M10" s="9">
        <f>CHOOSE(MATCH(Tableau14[[#This Row],[Fujiwara_P]],{0,0.39,0.49,1},1),3,1,0)</f>
        <v>3</v>
      </c>
      <c r="N10" s="10">
        <v>4</v>
      </c>
      <c r="O10" s="10">
        <v>4</v>
      </c>
      <c r="P10" s="1">
        <v>3.2</v>
      </c>
      <c r="Q10" s="10">
        <f>CHOOSE(MATCH(Tableau14[[#This Row],[Angle_p]],{-50,-14.9,-4.9,50},1),3,1,0)</f>
        <v>0</v>
      </c>
      <c r="R10" s="1">
        <v>1.57</v>
      </c>
      <c r="S10" s="1">
        <v>1.02</v>
      </c>
      <c r="T10" s="5">
        <f t="shared" si="1"/>
        <v>0.64968152866242035</v>
      </c>
      <c r="U10" s="10">
        <f>CHOOSE(MATCH(Tableau14[[#This Row],[Ratio_Torg]],{0,0.59,0.79,1.5},1),3,1,0)</f>
        <v>0</v>
      </c>
      <c r="V10" s="19">
        <v>4</v>
      </c>
      <c r="W10" s="7">
        <v>43633</v>
      </c>
      <c r="X10" s="3">
        <f t="shared" si="2"/>
        <v>13.07</v>
      </c>
      <c r="Y10" s="12">
        <v>12</v>
      </c>
      <c r="AF10" s="2">
        <v>43742</v>
      </c>
      <c r="AG10" s="19">
        <v>3</v>
      </c>
      <c r="AH10" s="21">
        <v>2</v>
      </c>
      <c r="AI10" s="21">
        <v>3</v>
      </c>
    </row>
    <row r="11" spans="1:35" s="1" customFormat="1" x14ac:dyDescent="0.25">
      <c r="A11" s="3">
        <v>74</v>
      </c>
      <c r="B11" s="3" t="s">
        <v>106</v>
      </c>
      <c r="C11" s="2">
        <v>43899</v>
      </c>
      <c r="D11" s="1" t="s">
        <v>17</v>
      </c>
      <c r="E11" s="4">
        <f>Tableau14[[#This Row],[Pts_Fujiwara]]+Tableau14[[#This Row],[ HT2]]+Tableau14[[#This Row],[LCR]]+Tableau14[[#This Row],[Points_angle_p]]+Tableau14[[#This Row],[Point_Torg]]</f>
        <v>8</v>
      </c>
      <c r="F11" s="1">
        <v>0.67</v>
      </c>
      <c r="G11" s="1">
        <v>0.38</v>
      </c>
      <c r="H11" s="5">
        <v>0.56716417910447758</v>
      </c>
      <c r="I11" s="3">
        <v>4</v>
      </c>
      <c r="J11" s="1">
        <v>1.49</v>
      </c>
      <c r="K11" s="1">
        <v>0.38</v>
      </c>
      <c r="L11" s="5">
        <f t="shared" si="0"/>
        <v>0.25503355704697989</v>
      </c>
      <c r="M11" s="9">
        <f>CHOOSE(MATCH(Tableau14[[#This Row],[Fujiwara_P]],{0,0.39,0.49,1},1),3,1,0)</f>
        <v>3</v>
      </c>
      <c r="N11" s="10">
        <v>2</v>
      </c>
      <c r="O11" s="10">
        <v>2</v>
      </c>
      <c r="P11" s="1">
        <v>2.7</v>
      </c>
      <c r="Q11" s="10">
        <f>CHOOSE(MATCH(Tableau14[[#This Row],[Angle_p]],{-50,-14.9,-4.9,50},1),3,1,0)</f>
        <v>0</v>
      </c>
      <c r="R11" s="1">
        <v>1.55</v>
      </c>
      <c r="S11" s="1">
        <v>1.5</v>
      </c>
      <c r="T11" s="5">
        <f t="shared" si="1"/>
        <v>0.96774193548387089</v>
      </c>
      <c r="U11" s="10">
        <f>CHOOSE(MATCH(Tableau14[[#This Row],[Ratio_Torg]],{0,0.59,0.79,1.5},1),3,1,0)</f>
        <v>1</v>
      </c>
      <c r="V11" s="19">
        <v>2</v>
      </c>
      <c r="W11" s="7">
        <v>44005</v>
      </c>
      <c r="X11" s="3">
        <f t="shared" si="2"/>
        <v>13.96</v>
      </c>
      <c r="Y11" s="12">
        <v>13</v>
      </c>
      <c r="Z11" s="1">
        <v>4</v>
      </c>
      <c r="AA11" s="1">
        <v>2</v>
      </c>
      <c r="AB11" s="1">
        <v>2</v>
      </c>
      <c r="AC11" s="1">
        <v>2</v>
      </c>
      <c r="AD11" s="1">
        <v>2</v>
      </c>
      <c r="AE11" s="1">
        <v>1</v>
      </c>
      <c r="AF11" s="2"/>
      <c r="AG11" s="27"/>
      <c r="AH11" s="27"/>
      <c r="AI11" s="27"/>
    </row>
    <row r="12" spans="1:35" s="1" customFormat="1" x14ac:dyDescent="0.25">
      <c r="A12" s="3">
        <v>75</v>
      </c>
      <c r="B12" s="3" t="s">
        <v>47</v>
      </c>
      <c r="C12" s="2">
        <v>43783</v>
      </c>
      <c r="D12" s="1" t="s">
        <v>9</v>
      </c>
      <c r="E12" s="4">
        <f>Tableau14[[#This Row],[Pts_Fujiwara]]+Tableau14[[#This Row],[ HT2]]+Tableau14[[#This Row],[LCR]]+Tableau14[[#This Row],[Points_angle_p]]+Tableau14[[#This Row],[Point_Torg]]</f>
        <v>10</v>
      </c>
      <c r="F12" s="1">
        <v>0.76</v>
      </c>
      <c r="G12" s="1">
        <v>0.28999999999999998</v>
      </c>
      <c r="H12" s="5">
        <v>0.38157894736842102</v>
      </c>
      <c r="I12" s="3">
        <v>4</v>
      </c>
      <c r="J12" s="1">
        <v>1.34</v>
      </c>
      <c r="K12" s="1">
        <v>0.28999999999999998</v>
      </c>
      <c r="L12" s="5">
        <v>0.28999999999999998</v>
      </c>
      <c r="M12" s="9">
        <f>CHOOSE(MATCH(Tableau14[[#This Row],[Fujiwara_P]],{0,0.39,0.49,1},1),3,1,0)</f>
        <v>3</v>
      </c>
      <c r="N12" s="10">
        <v>4</v>
      </c>
      <c r="O12" s="10">
        <v>4</v>
      </c>
      <c r="P12" s="1">
        <v>1.2</v>
      </c>
      <c r="Q12" s="10">
        <f>CHOOSE(MATCH(Tableau14[[#This Row],[Angle_p]],{-50,-14.9,-4.9,50},1),3,1,0)</f>
        <v>1</v>
      </c>
      <c r="R12" s="1">
        <v>1.85</v>
      </c>
      <c r="S12" s="1">
        <v>0.89</v>
      </c>
      <c r="T12" s="5">
        <f t="shared" si="1"/>
        <v>0.48108108108108105</v>
      </c>
      <c r="U12" s="10">
        <f>CHOOSE(MATCH(Tableau14[[#This Row],[Ratio_Torg]],{0,0.59,0.79,1.5},1),3,1,0)</f>
        <v>0</v>
      </c>
      <c r="V12" s="19">
        <v>3</v>
      </c>
      <c r="W12" s="7">
        <v>43811</v>
      </c>
      <c r="X12" s="3">
        <f t="shared" si="2"/>
        <v>13.07</v>
      </c>
      <c r="Y12" s="12">
        <v>12</v>
      </c>
      <c r="Z12" s="1">
        <v>3</v>
      </c>
      <c r="AA12" s="1">
        <v>3</v>
      </c>
      <c r="AB12" s="1">
        <v>1</v>
      </c>
      <c r="AC12" s="1">
        <v>2</v>
      </c>
      <c r="AD12" s="1">
        <v>2</v>
      </c>
      <c r="AE12" s="1">
        <v>1</v>
      </c>
      <c r="AF12" s="2">
        <v>43826</v>
      </c>
      <c r="AG12" s="19">
        <v>2</v>
      </c>
      <c r="AH12" s="21">
        <v>2</v>
      </c>
      <c r="AI12" s="21">
        <v>2</v>
      </c>
    </row>
    <row r="13" spans="1:35" s="1" customFormat="1" x14ac:dyDescent="0.25">
      <c r="A13" s="3">
        <v>55</v>
      </c>
      <c r="B13" s="3" t="s">
        <v>59</v>
      </c>
      <c r="C13" s="2">
        <v>43152</v>
      </c>
      <c r="D13" s="1" t="s">
        <v>9</v>
      </c>
      <c r="E13" s="4">
        <f>Tableau14[[#This Row],[Pts_Fujiwara]]+Tableau14[[#This Row],[ HT2]]+Tableau14[[#This Row],[LCR]]+Tableau14[[#This Row],[Points_angle_p]]+Tableau14[[#This Row],[Point_Torg]]</f>
        <v>6</v>
      </c>
      <c r="F13" s="1">
        <v>0.73</v>
      </c>
      <c r="G13" s="1">
        <v>0.45</v>
      </c>
      <c r="H13" s="5">
        <v>0.61643835616438358</v>
      </c>
      <c r="I13" s="3">
        <v>2</v>
      </c>
      <c r="J13" s="1">
        <v>1.48</v>
      </c>
      <c r="K13" s="1">
        <v>0.45</v>
      </c>
      <c r="L13" s="5">
        <f t="shared" ref="L13:L22" si="3">K13/J13</f>
        <v>0.30405405405405406</v>
      </c>
      <c r="M13" s="9">
        <f>CHOOSE(MATCH(Tableau14[[#This Row],[Fujiwara_P]],{0,0.39,0.49,1},1),3,1,0)</f>
        <v>3</v>
      </c>
      <c r="N13" s="10">
        <v>4</v>
      </c>
      <c r="O13" s="10">
        <v>4</v>
      </c>
      <c r="P13" s="1">
        <v>1</v>
      </c>
      <c r="Q13" s="10">
        <f>CHOOSE(MATCH(Tableau14[[#This Row],[Angle_p]],{-50,-14.9,-4.9,50},1),3,1,0)</f>
        <v>0</v>
      </c>
      <c r="R13" s="1">
        <v>1.62</v>
      </c>
      <c r="S13" s="1">
        <v>1.25</v>
      </c>
      <c r="T13" s="5">
        <f t="shared" si="1"/>
        <v>0.77160493827160492</v>
      </c>
      <c r="U13" s="10">
        <f>CHOOSE(MATCH(Tableau14[[#This Row],[Ratio_Torg]],{0,0.59,0.79,1.5},1),3,1,0)</f>
        <v>0</v>
      </c>
      <c r="V13" s="18">
        <v>2</v>
      </c>
      <c r="W13" s="7">
        <v>43179</v>
      </c>
      <c r="X13" s="3">
        <f t="shared" si="2"/>
        <v>12.180000000000001</v>
      </c>
      <c r="Y13" s="12">
        <v>11</v>
      </c>
      <c r="Z13" s="1">
        <v>4</v>
      </c>
      <c r="AA13" s="1">
        <v>1</v>
      </c>
      <c r="AB13" s="1">
        <v>2</v>
      </c>
      <c r="AC13" s="1">
        <v>1</v>
      </c>
      <c r="AD13" s="1">
        <v>1</v>
      </c>
      <c r="AE13" s="1">
        <v>2</v>
      </c>
      <c r="AF13" s="2"/>
      <c r="AG13" s="19"/>
      <c r="AH13" s="21"/>
      <c r="AI13" s="21"/>
    </row>
    <row r="14" spans="1:35" s="1" customFormat="1" x14ac:dyDescent="0.25">
      <c r="A14" s="3">
        <v>58</v>
      </c>
      <c r="B14" s="3" t="s">
        <v>51</v>
      </c>
      <c r="C14" s="2">
        <v>43167</v>
      </c>
      <c r="D14" s="1" t="s">
        <v>12</v>
      </c>
      <c r="E14" s="4">
        <f>Tableau14[[#This Row],[Pts_Fujiwara]]+Tableau14[[#This Row],[ HT2]]+Tableau14[[#This Row],[LCR]]+Tableau14[[#This Row],[Points_angle_p]]+Tableau14[[#This Row],[Point_Torg]]</f>
        <v>14</v>
      </c>
      <c r="F14" s="1">
        <v>0.66</v>
      </c>
      <c r="G14" s="1">
        <v>0.61</v>
      </c>
      <c r="H14" s="5">
        <v>0.9242424242424242</v>
      </c>
      <c r="I14" s="3">
        <v>1</v>
      </c>
      <c r="J14" s="1">
        <v>1.23</v>
      </c>
      <c r="K14" s="1">
        <v>0.61</v>
      </c>
      <c r="L14" s="5">
        <f t="shared" si="3"/>
        <v>0.49593495934959347</v>
      </c>
      <c r="M14" s="9">
        <f>CHOOSE(MATCH(Tableau14[[#This Row],[Fujiwara_P]],{0,0.39,0.49,1},1),3,1,0)</f>
        <v>3</v>
      </c>
      <c r="N14" s="10">
        <v>4</v>
      </c>
      <c r="O14" s="10">
        <v>2</v>
      </c>
      <c r="P14" s="1">
        <v>0.7</v>
      </c>
      <c r="Q14" s="10">
        <f>CHOOSE(MATCH(Tableau14[[#This Row],[Angle_p]],{-50,-14.9,-4.9,50},1),3,1,0)</f>
        <v>0</v>
      </c>
      <c r="R14" s="1">
        <v>1.87</v>
      </c>
      <c r="S14" s="1">
        <v>1.76</v>
      </c>
      <c r="T14" s="5">
        <f t="shared" si="1"/>
        <v>0.94117647058823528</v>
      </c>
      <c r="U14" s="10">
        <f>CHOOSE(MATCH(Tableau14[[#This Row],[Ratio_Torg]],{0,0.59,0.79,1.5},1),3,1,0)</f>
        <v>3</v>
      </c>
      <c r="V14" s="19">
        <v>3</v>
      </c>
      <c r="W14" s="7">
        <v>43402</v>
      </c>
      <c r="X14" s="3">
        <f t="shared" si="2"/>
        <v>13.96</v>
      </c>
      <c r="Y14" s="12">
        <v>13</v>
      </c>
      <c r="AF14" s="2">
        <v>43209</v>
      </c>
      <c r="AG14" s="19">
        <v>0</v>
      </c>
      <c r="AH14" s="21">
        <v>0</v>
      </c>
      <c r="AI14" s="21">
        <v>0</v>
      </c>
    </row>
    <row r="15" spans="1:35" s="1" customFormat="1" x14ac:dyDescent="0.25">
      <c r="A15" s="3">
        <v>64</v>
      </c>
      <c r="B15" s="3" t="s">
        <v>85</v>
      </c>
      <c r="C15" s="2">
        <v>44193</v>
      </c>
      <c r="D15" s="1" t="s">
        <v>9</v>
      </c>
      <c r="E15" s="4">
        <f>Tableau14[[#This Row],[Pts_Fujiwara]]+Tableau14[[#This Row],[ HT2]]+Tableau14[[#This Row],[LCR]]+Tableau14[[#This Row],[Points_angle_p]]+Tableau14[[#This Row],[Point_Torg]]</f>
        <v>9</v>
      </c>
      <c r="F15" s="1">
        <v>0.49</v>
      </c>
      <c r="G15" s="1">
        <v>0.44</v>
      </c>
      <c r="H15" s="5">
        <v>0.89795918367346939</v>
      </c>
      <c r="I15" s="3">
        <v>1</v>
      </c>
      <c r="J15" s="1">
        <v>1.18</v>
      </c>
      <c r="K15" s="1">
        <v>0.44</v>
      </c>
      <c r="L15" s="5">
        <f t="shared" si="3"/>
        <v>0.3728813559322034</v>
      </c>
      <c r="M15" s="9">
        <f>CHOOSE(MATCH(Tableau14[[#This Row],[Fujiwara_P]],{0,0.39,0.49,1},1),3,1,0)</f>
        <v>3</v>
      </c>
      <c r="N15" s="10">
        <v>2</v>
      </c>
      <c r="O15" s="10">
        <v>4</v>
      </c>
      <c r="P15" s="1">
        <v>0.5</v>
      </c>
      <c r="Q15" s="10">
        <f>CHOOSE(MATCH(Tableau14[[#This Row],[Angle_p]],{-50,-14.9,-4.9,50},1),3,1,0)</f>
        <v>1</v>
      </c>
      <c r="R15" s="1">
        <v>1.87</v>
      </c>
      <c r="S15" s="1">
        <v>1.1299999999999999</v>
      </c>
      <c r="T15" s="5">
        <f t="shared" si="1"/>
        <v>0.60427807486631002</v>
      </c>
      <c r="U15" s="10">
        <f>CHOOSE(MATCH(Tableau14[[#This Row],[Ratio_Torg]],{0,0.59,0.79,1.5},1),3,1,0)</f>
        <v>1</v>
      </c>
      <c r="V15" s="18">
        <v>4</v>
      </c>
      <c r="W15" s="7">
        <v>44236</v>
      </c>
      <c r="X15" s="3">
        <f t="shared" si="2"/>
        <v>13.96</v>
      </c>
      <c r="Y15" s="12">
        <v>13</v>
      </c>
      <c r="Z15" s="1">
        <v>3</v>
      </c>
      <c r="AA15" s="1">
        <v>3</v>
      </c>
      <c r="AB15" s="1">
        <v>1</v>
      </c>
      <c r="AC15" s="1">
        <v>2</v>
      </c>
      <c r="AD15" s="1">
        <v>2</v>
      </c>
      <c r="AE15" s="1">
        <v>2</v>
      </c>
      <c r="AF15" s="2">
        <v>44284</v>
      </c>
      <c r="AG15" s="19">
        <v>2</v>
      </c>
      <c r="AH15" s="21">
        <v>2</v>
      </c>
      <c r="AI15" s="21">
        <v>2</v>
      </c>
    </row>
    <row r="16" spans="1:35" s="1" customFormat="1" x14ac:dyDescent="0.25">
      <c r="A16" s="3">
        <v>76</v>
      </c>
      <c r="B16" s="3" t="s">
        <v>109</v>
      </c>
      <c r="C16" s="2">
        <v>43844</v>
      </c>
      <c r="D16" s="1" t="s">
        <v>17</v>
      </c>
      <c r="E16" s="4">
        <f>Tableau14[[#This Row],[Pts_Fujiwara]]+Tableau14[[#This Row],[ HT2]]+Tableau14[[#This Row],[LCR]]+Tableau14[[#This Row],[Points_angle_p]]+Tableau14[[#This Row],[Point_Torg]]</f>
        <v>12</v>
      </c>
      <c r="F16" s="1">
        <v>0.67</v>
      </c>
      <c r="G16" s="1">
        <v>0.4</v>
      </c>
      <c r="H16" s="5">
        <v>0.59701492537313428</v>
      </c>
      <c r="I16" s="3">
        <v>2</v>
      </c>
      <c r="J16" s="1">
        <v>1.38</v>
      </c>
      <c r="K16" s="1">
        <v>0.4</v>
      </c>
      <c r="L16" s="5">
        <f t="shared" si="3"/>
        <v>0.28985507246376818</v>
      </c>
      <c r="M16" s="9">
        <f>CHOOSE(MATCH(Tableau14[[#This Row],[Fujiwara_P]],{0,0.39,0.49,1},1),3,1,0)</f>
        <v>3</v>
      </c>
      <c r="N16" s="10">
        <v>0</v>
      </c>
      <c r="O16" s="10">
        <v>4</v>
      </c>
      <c r="P16" s="1">
        <v>0.4</v>
      </c>
      <c r="Q16" s="10">
        <f>CHOOSE(MATCH(Tableau14[[#This Row],[Angle_p]],{-50,-14.9,-4.9,50},1),3,1,0)</f>
        <v>0</v>
      </c>
      <c r="R16" s="1">
        <v>1.34</v>
      </c>
      <c r="S16" s="1">
        <v>1.37</v>
      </c>
      <c r="T16" s="5">
        <f t="shared" si="1"/>
        <v>1.0223880597014925</v>
      </c>
      <c r="U16" s="10">
        <f>CHOOSE(MATCH(Tableau14[[#This Row],[Ratio_Torg]],{0,0.59,0.79,1.5},1),3,1,0)</f>
        <v>3</v>
      </c>
      <c r="V16" s="19">
        <v>2</v>
      </c>
      <c r="W16" s="7">
        <v>43978</v>
      </c>
      <c r="X16" s="3">
        <f t="shared" si="2"/>
        <v>13.07</v>
      </c>
      <c r="Y16" s="12">
        <v>12</v>
      </c>
      <c r="Z16" s="1">
        <v>4</v>
      </c>
      <c r="AA16" s="1">
        <v>1</v>
      </c>
      <c r="AB16" s="1">
        <v>2</v>
      </c>
      <c r="AC16" s="1">
        <v>1</v>
      </c>
      <c r="AD16" s="1">
        <v>2</v>
      </c>
      <c r="AE16" s="1">
        <v>2</v>
      </c>
      <c r="AF16" s="2">
        <v>43978</v>
      </c>
      <c r="AG16" s="22">
        <v>2</v>
      </c>
      <c r="AH16" s="23">
        <v>2</v>
      </c>
      <c r="AI16" s="23">
        <v>2</v>
      </c>
    </row>
    <row r="17" spans="1:35" s="1" customFormat="1" x14ac:dyDescent="0.25">
      <c r="A17" s="3">
        <v>79</v>
      </c>
      <c r="B17" s="3" t="s">
        <v>55</v>
      </c>
      <c r="C17" s="2">
        <v>43665</v>
      </c>
      <c r="D17" s="1" t="s">
        <v>17</v>
      </c>
      <c r="E17" s="4">
        <f>Tableau14[[#This Row],[Pts_Fujiwara]]+Tableau14[[#This Row],[ HT2]]+Tableau14[[#This Row],[LCR]]+Tableau14[[#This Row],[Points_angle_p]]+Tableau14[[#This Row],[Point_Torg]]</f>
        <v>9</v>
      </c>
      <c r="F17" s="1">
        <v>0.72</v>
      </c>
      <c r="G17" s="1">
        <v>0.4</v>
      </c>
      <c r="H17" s="5">
        <v>0.55555555555555558</v>
      </c>
      <c r="I17" s="3">
        <v>4</v>
      </c>
      <c r="J17" s="1">
        <v>1.3</v>
      </c>
      <c r="K17" s="1">
        <v>0.4</v>
      </c>
      <c r="L17" s="5">
        <f t="shared" si="3"/>
        <v>0.30769230769230771</v>
      </c>
      <c r="M17" s="9">
        <f>CHOOSE(MATCH(Tableau14[[#This Row],[Fujiwara_P]],{0,0.39,0.49,1},1),3,1,0)</f>
        <v>3</v>
      </c>
      <c r="N17" s="10">
        <v>0</v>
      </c>
      <c r="O17" s="10">
        <v>4</v>
      </c>
      <c r="P17" s="1">
        <v>-3.1</v>
      </c>
      <c r="Q17" s="10">
        <f>CHOOSE(MATCH(Tableau14[[#This Row],[Angle_p]],{-50,-14.9,-4.9,50},1),3,1,0)</f>
        <v>0</v>
      </c>
      <c r="R17" s="1">
        <v>1.75</v>
      </c>
      <c r="S17" s="1">
        <v>1.28</v>
      </c>
      <c r="T17" s="5">
        <f t="shared" si="1"/>
        <v>0.73142857142857143</v>
      </c>
      <c r="U17" s="10">
        <f>CHOOSE(MATCH(Tableau14[[#This Row],[Ratio_Torg]],{0,0.59,0.79,1.5},1),3,1,0)</f>
        <v>3</v>
      </c>
      <c r="V17" s="18">
        <v>2</v>
      </c>
      <c r="W17" s="7">
        <v>43683</v>
      </c>
      <c r="X17" s="3">
        <f t="shared" si="2"/>
        <v>13.96</v>
      </c>
      <c r="Y17" s="12">
        <v>13</v>
      </c>
      <c r="Z17" s="1">
        <v>2</v>
      </c>
      <c r="AA17" s="1">
        <v>3</v>
      </c>
      <c r="AB17" s="1">
        <v>2</v>
      </c>
      <c r="AC17" s="1">
        <v>1</v>
      </c>
      <c r="AD17" s="1">
        <v>2</v>
      </c>
      <c r="AE17" s="1">
        <v>3</v>
      </c>
      <c r="AF17" s="2">
        <v>43678</v>
      </c>
      <c r="AG17" s="19">
        <v>2</v>
      </c>
      <c r="AH17" s="21">
        <v>2</v>
      </c>
      <c r="AI17" s="21">
        <v>0</v>
      </c>
    </row>
    <row r="18" spans="1:35" s="1" customFormat="1" x14ac:dyDescent="0.25">
      <c r="A18" s="3">
        <v>51</v>
      </c>
      <c r="B18" s="3" t="s">
        <v>62</v>
      </c>
      <c r="C18" s="2">
        <v>43062</v>
      </c>
      <c r="D18" s="1" t="s">
        <v>12</v>
      </c>
      <c r="E18" s="4">
        <f>Tableau14[[#This Row],[Pts_Fujiwara]]+Tableau14[[#This Row],[ HT2]]+Tableau14[[#This Row],[LCR]]+Tableau14[[#This Row],[Points_angle_p]]+Tableau14[[#This Row],[Point_Torg]]</f>
        <v>12</v>
      </c>
      <c r="F18" s="1">
        <v>0.78</v>
      </c>
      <c r="G18" s="1">
        <v>0.4</v>
      </c>
      <c r="H18" s="5">
        <v>0.51282051282051289</v>
      </c>
      <c r="I18" s="3">
        <v>4</v>
      </c>
      <c r="J18" s="1">
        <v>1.44</v>
      </c>
      <c r="K18" s="1">
        <v>0.4</v>
      </c>
      <c r="L18" s="5">
        <f t="shared" si="3"/>
        <v>0.27777777777777779</v>
      </c>
      <c r="M18" s="9">
        <f>CHOOSE(MATCH(Tableau14[[#This Row],[Fujiwara_P]],{0,0.39,0.49,1},1),3,1,0)</f>
        <v>3</v>
      </c>
      <c r="N18" s="10">
        <v>4</v>
      </c>
      <c r="O18" s="10">
        <v>4</v>
      </c>
      <c r="P18" s="1">
        <v>-4</v>
      </c>
      <c r="Q18" s="10">
        <f>CHOOSE(MATCH(Tableau14[[#This Row],[Angle_p]],{-50,-14.9,-4.9,50},1),3,1,0)</f>
        <v>0</v>
      </c>
      <c r="R18" s="1">
        <v>1.69</v>
      </c>
      <c r="S18" s="1">
        <v>0.93</v>
      </c>
      <c r="T18" s="5">
        <f t="shared" si="1"/>
        <v>0.55029585798816572</v>
      </c>
      <c r="U18" s="10">
        <f>CHOOSE(MATCH(Tableau14[[#This Row],[Ratio_Torg]],{0,0.59,0.79,1.5},1),3,1,0)</f>
        <v>1</v>
      </c>
      <c r="V18" s="18">
        <v>3</v>
      </c>
      <c r="W18" s="7">
        <v>43147</v>
      </c>
      <c r="X18" s="3">
        <f t="shared" si="2"/>
        <v>13.07</v>
      </c>
      <c r="Y18" s="12">
        <v>12</v>
      </c>
      <c r="Z18" s="1">
        <v>3</v>
      </c>
      <c r="AA18" s="1">
        <v>2</v>
      </c>
      <c r="AB18" s="1">
        <v>1</v>
      </c>
      <c r="AC18" s="1">
        <v>1</v>
      </c>
      <c r="AD18" s="1">
        <v>2</v>
      </c>
      <c r="AE18" s="1">
        <v>3</v>
      </c>
      <c r="AF18" s="2">
        <v>43104</v>
      </c>
      <c r="AG18" s="18">
        <v>2</v>
      </c>
      <c r="AH18" s="20"/>
      <c r="AI18" s="20">
        <v>2</v>
      </c>
    </row>
    <row r="19" spans="1:35" s="1" customFormat="1" x14ac:dyDescent="0.25">
      <c r="A19" s="3">
        <v>70</v>
      </c>
      <c r="B19" s="3" t="s">
        <v>75</v>
      </c>
      <c r="C19" s="2">
        <v>44218</v>
      </c>
      <c r="D19" s="1" t="s">
        <v>9</v>
      </c>
      <c r="E19" s="4">
        <f>Tableau14[[#This Row],[Pts_Fujiwara]]+Tableau14[[#This Row],[ HT2]]+Tableau14[[#This Row],[LCR]]+Tableau14[[#This Row],[Points_angle_p]]+Tableau14[[#This Row],[Point_Torg]]</f>
        <v>7</v>
      </c>
      <c r="F19" s="1">
        <v>0.68</v>
      </c>
      <c r="G19" s="1">
        <v>0.5</v>
      </c>
      <c r="H19" s="5">
        <v>0.73529411764705876</v>
      </c>
      <c r="I19" s="3">
        <v>2</v>
      </c>
      <c r="J19" s="1">
        <v>1.5</v>
      </c>
      <c r="K19" s="1">
        <v>0.5</v>
      </c>
      <c r="L19" s="5">
        <f t="shared" si="3"/>
        <v>0.33333333333333331</v>
      </c>
      <c r="M19" s="9">
        <f>CHOOSE(MATCH(Tableau14[[#This Row],[Fujiwara_P]],{0,0.39,0.49,1},1),3,1,0)</f>
        <v>3</v>
      </c>
      <c r="N19" s="10">
        <v>0</v>
      </c>
      <c r="O19" s="10">
        <v>1</v>
      </c>
      <c r="P19" s="1">
        <v>-10</v>
      </c>
      <c r="Q19" s="10">
        <f>CHOOSE(MATCH(Tableau14[[#This Row],[Angle_p]],{-50,-14.9,-4.9,50},1),3,1,0)</f>
        <v>0</v>
      </c>
      <c r="R19" s="1">
        <v>1.5</v>
      </c>
      <c r="S19" s="1">
        <v>1.21</v>
      </c>
      <c r="T19" s="5">
        <f t="shared" si="1"/>
        <v>0.80666666666666664</v>
      </c>
      <c r="U19" s="10">
        <f>CHOOSE(MATCH(Tableau14[[#This Row],[Ratio_Torg]],{0,0.59,0.79,1.5},1),3,1,0)</f>
        <v>0</v>
      </c>
      <c r="V19" s="18">
        <v>3</v>
      </c>
      <c r="W19" s="7">
        <v>44133</v>
      </c>
      <c r="X19" s="3">
        <f t="shared" si="2"/>
        <v>13.07</v>
      </c>
      <c r="Y19" s="12">
        <v>12</v>
      </c>
      <c r="Z19" s="1">
        <v>3</v>
      </c>
      <c r="AA19" s="1">
        <v>2</v>
      </c>
      <c r="AB19" s="1">
        <v>2</v>
      </c>
      <c r="AC19" s="1">
        <v>2</v>
      </c>
      <c r="AD19" s="1">
        <v>2</v>
      </c>
      <c r="AE19" s="1">
        <v>1</v>
      </c>
      <c r="AF19" s="2">
        <v>44218</v>
      </c>
      <c r="AG19" s="19">
        <v>0</v>
      </c>
      <c r="AH19" s="21">
        <v>0</v>
      </c>
      <c r="AI19" s="21">
        <v>0</v>
      </c>
    </row>
    <row r="20" spans="1:35" s="1" customFormat="1" x14ac:dyDescent="0.25">
      <c r="A20" s="3">
        <v>61</v>
      </c>
      <c r="B20" s="3" t="s">
        <v>52</v>
      </c>
      <c r="C20" s="2">
        <v>43370</v>
      </c>
      <c r="D20" s="1" t="s">
        <v>17</v>
      </c>
      <c r="E20" s="4">
        <f>Tableau14[[#This Row],[Pts_Fujiwara]]+Tableau14[[#This Row],[ HT2]]+Tableau14[[#This Row],[LCR]]+Tableau14[[#This Row],[Points_angle_p]]+Tableau14[[#This Row],[Point_Torg]]</f>
        <v>14</v>
      </c>
      <c r="F20" s="1">
        <v>0.66</v>
      </c>
      <c r="G20" s="1">
        <v>0.42</v>
      </c>
      <c r="H20" s="5">
        <v>0.63636363636363635</v>
      </c>
      <c r="I20" s="3">
        <v>2</v>
      </c>
      <c r="J20" s="1">
        <v>1.42</v>
      </c>
      <c r="K20" s="1">
        <v>0.42</v>
      </c>
      <c r="L20" s="5">
        <f t="shared" si="3"/>
        <v>0.29577464788732394</v>
      </c>
      <c r="M20" s="9">
        <f>CHOOSE(MATCH(Tableau14[[#This Row],[Fujiwara_P]],{0,0.39,0.49,1},1),3,1,0)</f>
        <v>3</v>
      </c>
      <c r="N20" s="10">
        <v>0</v>
      </c>
      <c r="O20" s="10">
        <v>1</v>
      </c>
      <c r="P20" s="1">
        <v>-11</v>
      </c>
      <c r="Q20" s="10">
        <f>CHOOSE(MATCH(Tableau14[[#This Row],[Angle_p]],{-50,-14.9,-4.9,50},1),3,1,0)</f>
        <v>0</v>
      </c>
      <c r="R20" s="1">
        <v>1.33</v>
      </c>
      <c r="S20" s="1">
        <v>0.85</v>
      </c>
      <c r="T20" s="5">
        <f t="shared" si="1"/>
        <v>0.63909774436090216</v>
      </c>
      <c r="U20" s="10">
        <f>CHOOSE(MATCH(Tableau14[[#This Row],[Ratio_Torg]],{0,0.59,0.79,1.5},1),3,1,0)</f>
        <v>3</v>
      </c>
      <c r="V20" s="19">
        <v>1</v>
      </c>
      <c r="W20" s="7">
        <v>43417</v>
      </c>
      <c r="X20" s="3">
        <f t="shared" si="2"/>
        <v>12.180000000000001</v>
      </c>
      <c r="Y20" s="12">
        <v>11</v>
      </c>
      <c r="AF20" s="2">
        <v>43475</v>
      </c>
      <c r="AG20" s="18">
        <v>0</v>
      </c>
      <c r="AH20" s="20">
        <v>0</v>
      </c>
      <c r="AI20" s="20">
        <v>0</v>
      </c>
    </row>
    <row r="21" spans="1:35" s="1" customFormat="1" x14ac:dyDescent="0.25">
      <c r="A21" s="3">
        <v>78</v>
      </c>
      <c r="B21" s="3" t="s">
        <v>10</v>
      </c>
      <c r="C21" s="2">
        <v>43997</v>
      </c>
      <c r="D21" s="1" t="s">
        <v>9</v>
      </c>
      <c r="E21" s="4">
        <f>Tableau14[[#This Row],[Pts_Fujiwara]]+Tableau14[[#This Row],[ HT2]]+Tableau14[[#This Row],[LCR]]+Tableau14[[#This Row],[Points_angle_p]]+Tableau14[[#This Row],[Point_Torg]]</f>
        <v>8</v>
      </c>
      <c r="F21" s="1">
        <v>0.85</v>
      </c>
      <c r="G21" s="1">
        <v>0.62</v>
      </c>
      <c r="H21" s="5">
        <v>0.72941176470588232</v>
      </c>
      <c r="I21" s="3">
        <v>2</v>
      </c>
      <c r="J21" s="1">
        <v>1.36</v>
      </c>
      <c r="K21" s="1">
        <v>0.62</v>
      </c>
      <c r="L21" s="5">
        <f t="shared" si="3"/>
        <v>0.45588235294117646</v>
      </c>
      <c r="M21" s="9">
        <f>CHOOSE(MATCH(Tableau14[[#This Row],[Fujiwara_P]],{0,0.39,0.49,1},1),3,1,0)</f>
        <v>3</v>
      </c>
      <c r="N21" s="10">
        <v>4</v>
      </c>
      <c r="O21" s="10">
        <v>1</v>
      </c>
      <c r="P21" s="1">
        <v>-15</v>
      </c>
      <c r="Q21" s="10">
        <f>CHOOSE(MATCH(Tableau14[[#This Row],[Angle_p]],{-50,-14.9,-4.9,50},1),3,1,0)</f>
        <v>0</v>
      </c>
      <c r="R21" s="1">
        <v>1.69</v>
      </c>
      <c r="S21" s="1">
        <v>1.4</v>
      </c>
      <c r="T21" s="5">
        <f t="shared" si="1"/>
        <v>0.82840236686390534</v>
      </c>
      <c r="U21" s="10">
        <f>CHOOSE(MATCH(Tableau14[[#This Row],[Ratio_Torg]],{0,0.59,0.79,1.5},1),3,1,0)</f>
        <v>0</v>
      </c>
      <c r="V21" s="18">
        <v>1</v>
      </c>
      <c r="W21" s="7">
        <v>44028</v>
      </c>
      <c r="X21" s="3">
        <f t="shared" si="2"/>
        <v>13.96</v>
      </c>
      <c r="Y21" s="12">
        <v>13</v>
      </c>
      <c r="Z21" s="1">
        <v>3</v>
      </c>
      <c r="AA21" s="1">
        <v>3</v>
      </c>
      <c r="AB21" s="1">
        <v>1</v>
      </c>
      <c r="AC21" s="1">
        <v>2</v>
      </c>
      <c r="AD21" s="1">
        <v>2</v>
      </c>
      <c r="AE21" s="1">
        <v>2</v>
      </c>
      <c r="AF21" s="2">
        <v>43648</v>
      </c>
      <c r="AG21" s="19">
        <v>2</v>
      </c>
      <c r="AH21" s="21">
        <v>1</v>
      </c>
      <c r="AI21" s="21">
        <v>2</v>
      </c>
    </row>
    <row r="22" spans="1:35" s="1" customFormat="1" x14ac:dyDescent="0.25">
      <c r="A22" s="3">
        <v>68</v>
      </c>
      <c r="B22" s="3" t="s">
        <v>95</v>
      </c>
      <c r="C22" s="2">
        <v>44056</v>
      </c>
      <c r="D22" s="1" t="s">
        <v>14</v>
      </c>
      <c r="E22" s="4">
        <f>Tableau14[[#This Row],[Pts_Fujiwara]]+Tableau14[[#This Row],[ HT2]]+Tableau14[[#This Row],[LCR]]+Tableau14[[#This Row],[Points_angle_p]]+Tableau14[[#This Row],[Point_Torg]]</f>
        <v>9</v>
      </c>
      <c r="F22" s="1">
        <v>0.59</v>
      </c>
      <c r="G22" s="1">
        <v>0.53</v>
      </c>
      <c r="H22" s="5">
        <v>0.89830508474576276</v>
      </c>
      <c r="I22" s="3">
        <v>1</v>
      </c>
      <c r="J22" s="1">
        <v>1.32</v>
      </c>
      <c r="K22" s="1">
        <v>0.53</v>
      </c>
      <c r="L22" s="5">
        <f t="shared" si="3"/>
        <v>0.40151515151515149</v>
      </c>
      <c r="M22" s="9">
        <f>CHOOSE(MATCH(Tableau14[[#This Row],[Fujiwara_P]],{0,0.39,0.49,1},1),3,1,0)</f>
        <v>3</v>
      </c>
      <c r="N22" s="10">
        <v>4</v>
      </c>
      <c r="O22" s="10">
        <v>1</v>
      </c>
      <c r="P22" s="1">
        <v>-15.9</v>
      </c>
      <c r="Q22" s="10">
        <f>CHOOSE(MATCH(Tableau14[[#This Row],[Angle_p]],{-50,-14.9,-4.9,50},1),3,1,0)</f>
        <v>0</v>
      </c>
      <c r="R22" s="1">
        <v>1.72</v>
      </c>
      <c r="S22" s="1">
        <v>1.59</v>
      </c>
      <c r="T22" s="5">
        <f t="shared" si="1"/>
        <v>0.92441860465116288</v>
      </c>
      <c r="U22" s="10">
        <f>CHOOSE(MATCH(Tableau14[[#This Row],[Ratio_Torg]],{0,0.59,0.79,1.5},1),3,1,0)</f>
        <v>0</v>
      </c>
      <c r="V22" s="19">
        <v>1</v>
      </c>
      <c r="W22" s="7">
        <v>44056</v>
      </c>
      <c r="X22" s="3">
        <f t="shared" si="2"/>
        <v>13.96</v>
      </c>
      <c r="Y22" s="12">
        <v>13</v>
      </c>
      <c r="Z22" s="1">
        <v>4</v>
      </c>
      <c r="AA22" s="1">
        <v>1</v>
      </c>
      <c r="AB22" s="1">
        <v>2</v>
      </c>
      <c r="AC22" s="1">
        <v>1</v>
      </c>
      <c r="AD22" s="1">
        <v>2</v>
      </c>
      <c r="AE22" s="1">
        <v>3</v>
      </c>
      <c r="AF22" s="2">
        <v>44119</v>
      </c>
      <c r="AG22" s="19">
        <v>2</v>
      </c>
      <c r="AH22" s="21">
        <v>2</v>
      </c>
      <c r="AI22" s="21">
        <v>2</v>
      </c>
    </row>
  </sheetData>
  <sortState ref="A2:AI24">
    <sortCondition descending="1" ref="P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62"/>
  <sheetViews>
    <sheetView topLeftCell="F27" workbookViewId="0">
      <selection activeCell="P47" sqref="P47:P62"/>
    </sheetView>
  </sheetViews>
  <sheetFormatPr baseColWidth="10" defaultRowHeight="15.75" x14ac:dyDescent="0.25"/>
  <sheetData>
    <row r="1" spans="1:35" s="1" customFormat="1" x14ac:dyDescent="0.25">
      <c r="A1" s="3">
        <v>50</v>
      </c>
      <c r="B1" s="3" t="s">
        <v>66</v>
      </c>
      <c r="C1" s="2">
        <v>42794</v>
      </c>
      <c r="D1" s="1" t="s">
        <v>9</v>
      </c>
      <c r="E1" s="4" t="e">
        <f>Tableau14[[#This Row],[Pts_Fujiwara]]+Tableau14[[#This Row],[ HT2]]+Tableau14[[#This Row],[LCR]]+Tableau14[[#This Row],[Points_angle_p]]+Tableau14[[#This Row],[Point_Torg]]</f>
        <v>#VALUE!</v>
      </c>
      <c r="F1" s="1">
        <v>0.69</v>
      </c>
      <c r="G1" s="1">
        <v>0.55000000000000004</v>
      </c>
      <c r="H1" s="5">
        <v>0.79710144927536242</v>
      </c>
      <c r="I1" s="3">
        <v>1</v>
      </c>
      <c r="J1" s="1">
        <v>1.32</v>
      </c>
      <c r="K1" s="1">
        <v>0.55000000000000004</v>
      </c>
      <c r="L1" s="5">
        <f t="shared" ref="L1:L32" si="0">K1/J1</f>
        <v>0.41666666666666669</v>
      </c>
      <c r="M1" s="9" t="e">
        <f>CHOOSE(MATCH(Tableau14[[#This Row],[Fujiwara_P]],{0,0.39,0.49,1},1),3,1,0)</f>
        <v>#VALUE!</v>
      </c>
      <c r="N1" s="10">
        <v>0</v>
      </c>
      <c r="O1" s="10">
        <v>2</v>
      </c>
      <c r="P1" s="1">
        <v>16.399999999999999</v>
      </c>
      <c r="Q1" s="10" t="e">
        <f>CHOOSE(MATCH(Tableau14[[#This Row],[Angle_p]],{-50,-14.9,-4.9,50},1),3,1,0)</f>
        <v>#VALUE!</v>
      </c>
      <c r="R1" s="1">
        <v>1.76</v>
      </c>
      <c r="S1" s="1">
        <v>1.21</v>
      </c>
      <c r="T1" s="5">
        <f t="shared" ref="T1:T32" si="1">S1/R1</f>
        <v>0.6875</v>
      </c>
      <c r="U1" s="10" t="e">
        <f>CHOOSE(MATCH(Tableau14[[#This Row],[Ratio_Torg]],{0,0.59,0.79,1.5},1),3,1,0)</f>
        <v>#VALUE!</v>
      </c>
      <c r="V1" s="19">
        <v>1</v>
      </c>
      <c r="W1" s="7">
        <v>43210</v>
      </c>
      <c r="X1" s="3">
        <f t="shared" ref="X1:X32" si="2">2.39+0.89*(Y1)</f>
        <v>15.74</v>
      </c>
      <c r="Y1" s="12">
        <v>15</v>
      </c>
      <c r="Z1" s="1">
        <v>4</v>
      </c>
      <c r="AA1" s="1">
        <v>4</v>
      </c>
      <c r="AB1" s="1">
        <v>1</v>
      </c>
      <c r="AC1" s="1">
        <v>1</v>
      </c>
      <c r="AD1" s="1">
        <v>2</v>
      </c>
      <c r="AE1" s="1">
        <v>3</v>
      </c>
      <c r="AF1" s="2">
        <v>42976</v>
      </c>
      <c r="AG1" s="18">
        <v>2</v>
      </c>
      <c r="AH1" s="20">
        <v>2</v>
      </c>
      <c r="AI1" s="20">
        <v>0</v>
      </c>
    </row>
    <row r="2" spans="1:35" s="1" customFormat="1" x14ac:dyDescent="0.25">
      <c r="A2" s="3">
        <v>75</v>
      </c>
      <c r="B2" s="3" t="s">
        <v>74</v>
      </c>
      <c r="C2" s="2">
        <v>44012</v>
      </c>
      <c r="D2" s="1" t="s">
        <v>12</v>
      </c>
      <c r="E2" s="4">
        <f>Tableau14[[#This Row],[Pts_Fujiwara]]+Tableau14[[#This Row],[ HT2]]+Tableau14[[#This Row],[LCR]]+Tableau14[[#This Row],[Points_angle_p]]+Tableau14[[#This Row],[Point_Torg]]</f>
        <v>7</v>
      </c>
      <c r="F2" s="1">
        <v>0.63</v>
      </c>
      <c r="G2" s="1">
        <v>0.4</v>
      </c>
      <c r="H2" s="5">
        <v>0.634920634920635</v>
      </c>
      <c r="I2" s="3">
        <v>2</v>
      </c>
      <c r="J2" s="1">
        <v>0.95</v>
      </c>
      <c r="K2" s="1">
        <v>0.4</v>
      </c>
      <c r="L2" s="5">
        <f t="shared" si="0"/>
        <v>0.4210526315789474</v>
      </c>
      <c r="M2" s="9">
        <f>CHOOSE(MATCH(Tableau14[[#This Row],[Fujiwara_P]],{0,0.39,0.49,1},1),3,1,0)</f>
        <v>3</v>
      </c>
      <c r="N2" s="10">
        <v>2</v>
      </c>
      <c r="O2" s="10">
        <v>2</v>
      </c>
      <c r="P2" s="1">
        <v>14.4</v>
      </c>
      <c r="Q2" s="10">
        <f>CHOOSE(MATCH(Tableau14[[#This Row],[Angle_p]],{-50,-14.9,-4.9,50},1),3,1,0)</f>
        <v>0</v>
      </c>
      <c r="R2" s="1">
        <v>1.46</v>
      </c>
      <c r="S2" s="1">
        <v>1.21</v>
      </c>
      <c r="T2" s="5">
        <f t="shared" si="1"/>
        <v>0.82876712328767121</v>
      </c>
      <c r="U2" s="10">
        <f>CHOOSE(MATCH(Tableau14[[#This Row],[Ratio_Torg]],{0,0.59,0.79,1.5},1),3,1,0)</f>
        <v>0</v>
      </c>
      <c r="V2" s="19">
        <v>1</v>
      </c>
      <c r="W2" s="7">
        <v>44169</v>
      </c>
      <c r="X2" s="3">
        <f t="shared" si="2"/>
        <v>14.850000000000001</v>
      </c>
      <c r="Y2" s="12">
        <v>14</v>
      </c>
      <c r="Z2" s="1">
        <v>4</v>
      </c>
      <c r="AA2" s="1">
        <v>4</v>
      </c>
      <c r="AB2" s="1">
        <v>2</v>
      </c>
      <c r="AC2" s="1">
        <v>2</v>
      </c>
      <c r="AD2" s="1">
        <v>2</v>
      </c>
      <c r="AE2" s="1">
        <v>3</v>
      </c>
      <c r="AF2" s="2">
        <v>44224</v>
      </c>
      <c r="AG2" s="18">
        <v>2</v>
      </c>
      <c r="AH2" s="20">
        <v>2</v>
      </c>
      <c r="AI2" s="20">
        <v>0</v>
      </c>
    </row>
    <row r="3" spans="1:35" s="1" customFormat="1" x14ac:dyDescent="0.25">
      <c r="A3" s="3">
        <v>61</v>
      </c>
      <c r="B3" s="3" t="s">
        <v>78</v>
      </c>
      <c r="C3" s="2">
        <v>44176</v>
      </c>
      <c r="D3" s="1" t="s">
        <v>17</v>
      </c>
      <c r="E3" s="4">
        <f>Tableau14[[#This Row],[Pts_Fujiwara]]+Tableau14[[#This Row],[ HT2]]+Tableau14[[#This Row],[LCR]]+Tableau14[[#This Row],[Points_angle_p]]+Tableau14[[#This Row],[Point_Torg]]</f>
        <v>12</v>
      </c>
      <c r="F3" s="1">
        <v>0.66</v>
      </c>
      <c r="G3" s="1">
        <v>0.51</v>
      </c>
      <c r="H3" s="5">
        <v>0.77272727272727271</v>
      </c>
      <c r="I3" s="3">
        <v>2</v>
      </c>
      <c r="J3" s="1">
        <v>1.1599999999999999</v>
      </c>
      <c r="K3" s="1">
        <v>0.51</v>
      </c>
      <c r="L3" s="5">
        <f t="shared" si="0"/>
        <v>0.43965517241379315</v>
      </c>
      <c r="M3" s="9">
        <f>CHOOSE(MATCH(Tableau14[[#This Row],[Fujiwara_P]],{0,0.39,0.49,1},1),3,1,0)</f>
        <v>3</v>
      </c>
      <c r="N3" s="10">
        <v>0</v>
      </c>
      <c r="O3" s="10">
        <v>1</v>
      </c>
      <c r="P3" s="1">
        <v>13</v>
      </c>
      <c r="Q3" s="10">
        <f>CHOOSE(MATCH(Tableau14[[#This Row],[Angle_p]],{-50,-14.9,-4.9,50},1),3,1,0)</f>
        <v>0</v>
      </c>
      <c r="R3" s="1">
        <v>1.58</v>
      </c>
      <c r="S3" s="1">
        <v>1.44</v>
      </c>
      <c r="T3" s="5">
        <f t="shared" si="1"/>
        <v>0.91139240506329111</v>
      </c>
      <c r="U3" s="10">
        <f>CHOOSE(MATCH(Tableau14[[#This Row],[Ratio_Torg]],{0,0.59,0.79,1.5},1),3,1,0)</f>
        <v>1</v>
      </c>
      <c r="V3" s="18">
        <v>1</v>
      </c>
      <c r="W3" s="7">
        <v>44210</v>
      </c>
      <c r="X3" s="3">
        <f t="shared" si="2"/>
        <v>17.52</v>
      </c>
      <c r="Y3" s="12">
        <v>17</v>
      </c>
      <c r="AF3" s="2"/>
      <c r="AG3" s="18"/>
      <c r="AH3" s="20"/>
      <c r="AI3" s="20"/>
    </row>
    <row r="4" spans="1:35" s="1" customFormat="1" x14ac:dyDescent="0.25">
      <c r="A4" s="3">
        <v>52</v>
      </c>
      <c r="B4" s="3" t="s">
        <v>83</v>
      </c>
      <c r="C4" s="2">
        <v>44273</v>
      </c>
      <c r="D4" s="1" t="s">
        <v>12</v>
      </c>
      <c r="E4" s="4">
        <f>Tableau14[[#This Row],[Pts_Fujiwara]]+Tableau14[[#This Row],[ HT2]]+Tableau14[[#This Row],[LCR]]+Tableau14[[#This Row],[Points_angle_p]]+Tableau14[[#This Row],[Point_Torg]]</f>
        <v>10</v>
      </c>
      <c r="F4" s="1">
        <v>0.74</v>
      </c>
      <c r="G4" s="1">
        <v>0.53</v>
      </c>
      <c r="H4" s="5">
        <v>0.71621621621621623</v>
      </c>
      <c r="I4" s="3">
        <v>2</v>
      </c>
      <c r="J4" s="1">
        <v>1.1200000000000001</v>
      </c>
      <c r="K4" s="1">
        <v>0.53</v>
      </c>
      <c r="L4" s="5">
        <f t="shared" si="0"/>
        <v>0.4732142857142857</v>
      </c>
      <c r="M4" s="9">
        <f>CHOOSE(MATCH(Tableau14[[#This Row],[Fujiwara_P]],{0,0.39,0.49,1},1),3,1,0)</f>
        <v>3</v>
      </c>
      <c r="N4" s="10">
        <v>2</v>
      </c>
      <c r="O4" s="10">
        <v>1</v>
      </c>
      <c r="P4" s="1">
        <v>12.7</v>
      </c>
      <c r="Q4" s="10">
        <f>CHOOSE(MATCH(Tableau14[[#This Row],[Angle_p]],{-50,-14.9,-4.9,50},1),3,1,0)</f>
        <v>0</v>
      </c>
      <c r="R4" s="1">
        <v>1.58</v>
      </c>
      <c r="S4" s="1">
        <v>1.28</v>
      </c>
      <c r="T4" s="5">
        <f t="shared" si="1"/>
        <v>0.810126582278481</v>
      </c>
      <c r="U4" s="10">
        <f>CHOOSE(MATCH(Tableau14[[#This Row],[Ratio_Torg]],{0,0.59,0.79,1.5},1),3,1,0)</f>
        <v>1</v>
      </c>
      <c r="V4" s="19">
        <v>1</v>
      </c>
      <c r="W4" s="7">
        <v>44278</v>
      </c>
      <c r="X4" s="3">
        <f t="shared" si="2"/>
        <v>16.63</v>
      </c>
      <c r="Y4" s="12">
        <v>16</v>
      </c>
      <c r="Z4" s="1">
        <v>4</v>
      </c>
      <c r="AA4" s="1">
        <v>3</v>
      </c>
      <c r="AB4" s="1">
        <v>2</v>
      </c>
      <c r="AC4" s="1">
        <v>2</v>
      </c>
      <c r="AD4" s="1">
        <v>2</v>
      </c>
      <c r="AE4" s="1">
        <v>3</v>
      </c>
      <c r="AF4" s="2"/>
      <c r="AG4" s="19"/>
      <c r="AH4" s="21"/>
      <c r="AI4" s="21"/>
    </row>
    <row r="5" spans="1:35" s="1" customFormat="1" x14ac:dyDescent="0.25">
      <c r="A5" s="3">
        <v>61</v>
      </c>
      <c r="B5" s="3" t="s">
        <v>19</v>
      </c>
      <c r="C5" s="2">
        <v>43852</v>
      </c>
      <c r="D5" s="1" t="s">
        <v>17</v>
      </c>
      <c r="E5" s="4">
        <f>Tableau14[[#This Row],[Pts_Fujiwara]]+Tableau14[[#This Row],[ HT2]]+Tableau14[[#This Row],[LCR]]+Tableau14[[#This Row],[Points_angle_p]]+Tableau14[[#This Row],[Point_Torg]]</f>
        <v>11</v>
      </c>
      <c r="F5" s="1">
        <v>0.8</v>
      </c>
      <c r="G5" s="1">
        <v>0.61</v>
      </c>
      <c r="H5" s="5">
        <v>0.76249999999999996</v>
      </c>
      <c r="I5" s="3">
        <v>2</v>
      </c>
      <c r="J5" s="1">
        <v>1.4</v>
      </c>
      <c r="K5" s="1">
        <v>0.61</v>
      </c>
      <c r="L5" s="5">
        <f t="shared" si="0"/>
        <v>0.43571428571428572</v>
      </c>
      <c r="M5" s="9">
        <f>CHOOSE(MATCH(Tableau14[[#This Row],[Fujiwara_P]],{0,0.39,0.49,1},1),3,1,0)</f>
        <v>3</v>
      </c>
      <c r="N5" s="10">
        <v>0</v>
      </c>
      <c r="O5" s="10">
        <v>4</v>
      </c>
      <c r="P5" s="1">
        <v>10.8</v>
      </c>
      <c r="Q5" s="10">
        <f>CHOOSE(MATCH(Tableau14[[#This Row],[Angle_p]],{-50,-14.9,-4.9,50},1),3,1,0)</f>
        <v>0</v>
      </c>
      <c r="R5" s="1">
        <v>1.42</v>
      </c>
      <c r="S5" s="1">
        <v>1.42</v>
      </c>
      <c r="T5" s="5">
        <f t="shared" si="1"/>
        <v>1</v>
      </c>
      <c r="U5" s="10">
        <f>CHOOSE(MATCH(Tableau14[[#This Row],[Ratio_Torg]],{0,0.59,0.79,1.5},1),3,1,0)</f>
        <v>0</v>
      </c>
      <c r="V5" s="18">
        <v>1</v>
      </c>
      <c r="W5" s="7">
        <v>44070</v>
      </c>
      <c r="X5" s="3">
        <f t="shared" si="2"/>
        <v>15.74</v>
      </c>
      <c r="Y5" s="12">
        <v>15</v>
      </c>
      <c r="Z5" s="1">
        <v>4</v>
      </c>
      <c r="AA5" s="1">
        <v>3</v>
      </c>
      <c r="AB5" s="1">
        <v>1</v>
      </c>
      <c r="AC5" s="1">
        <v>2</v>
      </c>
      <c r="AD5" s="1">
        <v>2</v>
      </c>
      <c r="AE5" s="1">
        <v>3</v>
      </c>
      <c r="AF5" s="2">
        <v>43902</v>
      </c>
      <c r="AG5" s="19">
        <v>0</v>
      </c>
      <c r="AH5" s="21">
        <v>0</v>
      </c>
      <c r="AI5" s="21">
        <v>0</v>
      </c>
    </row>
    <row r="6" spans="1:35" s="1" customFormat="1" x14ac:dyDescent="0.25">
      <c r="A6" s="3">
        <v>71</v>
      </c>
      <c r="B6" s="3" t="s">
        <v>27</v>
      </c>
      <c r="C6" s="2">
        <v>43497</v>
      </c>
      <c r="D6" s="1" t="s">
        <v>14</v>
      </c>
      <c r="E6" s="4">
        <f>Tableau14[[#This Row],[Pts_Fujiwara]]+Tableau14[[#This Row],[ HT2]]+Tableau14[[#This Row],[LCR]]+Tableau14[[#This Row],[Points_angle_p]]+Tableau14[[#This Row],[Point_Torg]]</f>
        <v>11</v>
      </c>
      <c r="F6" s="1">
        <v>0.79</v>
      </c>
      <c r="G6" s="1">
        <v>0.63</v>
      </c>
      <c r="H6" s="5">
        <v>0.79746835443037967</v>
      </c>
      <c r="I6" s="3">
        <v>1</v>
      </c>
      <c r="J6" s="1">
        <v>1.28</v>
      </c>
      <c r="K6" s="1">
        <v>0.63</v>
      </c>
      <c r="L6" s="5">
        <f t="shared" si="0"/>
        <v>0.4921875</v>
      </c>
      <c r="M6" s="9">
        <f>CHOOSE(MATCH(Tableau14[[#This Row],[Fujiwara_P]],{0,0.39,0.49,1},1),3,1,0)</f>
        <v>3</v>
      </c>
      <c r="N6" s="10">
        <v>0</v>
      </c>
      <c r="O6" s="10">
        <v>1</v>
      </c>
      <c r="P6" s="1">
        <v>10</v>
      </c>
      <c r="Q6" s="10">
        <f>CHOOSE(MATCH(Tableau14[[#This Row],[Angle_p]],{-50,-14.9,-4.9,50},1),3,1,0)</f>
        <v>1</v>
      </c>
      <c r="R6" s="1">
        <v>1.52</v>
      </c>
      <c r="S6" s="1">
        <v>1.28</v>
      </c>
      <c r="T6" s="5">
        <f t="shared" si="1"/>
        <v>0.84210526315789469</v>
      </c>
      <c r="U6" s="10">
        <f>CHOOSE(MATCH(Tableau14[[#This Row],[Ratio_Torg]],{0,0.59,0.79,1.5},1),3,1,0)</f>
        <v>1</v>
      </c>
      <c r="V6" s="19">
        <v>1</v>
      </c>
      <c r="W6" s="7">
        <v>43549</v>
      </c>
      <c r="X6" s="3">
        <f t="shared" si="2"/>
        <v>16.63</v>
      </c>
      <c r="Y6" s="12">
        <v>16</v>
      </c>
      <c r="AF6" s="2">
        <v>43497</v>
      </c>
      <c r="AG6" s="19">
        <v>0</v>
      </c>
      <c r="AH6" s="21">
        <v>0</v>
      </c>
      <c r="AI6" s="21">
        <v>0</v>
      </c>
    </row>
    <row r="7" spans="1:35" s="1" customFormat="1" x14ac:dyDescent="0.25">
      <c r="A7" s="3">
        <v>71</v>
      </c>
      <c r="B7" s="3" t="s">
        <v>46</v>
      </c>
      <c r="C7" s="2">
        <v>43649</v>
      </c>
      <c r="D7" s="1" t="s">
        <v>17</v>
      </c>
      <c r="E7" s="4">
        <f>Tableau14[[#This Row],[Pts_Fujiwara]]+Tableau14[[#This Row],[ HT2]]+Tableau14[[#This Row],[LCR]]+Tableau14[[#This Row],[Points_angle_p]]+Tableau14[[#This Row],[Point_Torg]]</f>
        <v>11</v>
      </c>
      <c r="F7" s="1">
        <v>0.69</v>
      </c>
      <c r="G7" s="1">
        <v>0.53</v>
      </c>
      <c r="H7" s="5">
        <v>0.76811594202898559</v>
      </c>
      <c r="I7" s="3">
        <v>2</v>
      </c>
      <c r="J7" s="1">
        <v>1.55</v>
      </c>
      <c r="K7" s="1">
        <v>0.53</v>
      </c>
      <c r="L7" s="5">
        <f t="shared" si="0"/>
        <v>0.34193548387096773</v>
      </c>
      <c r="M7" s="9">
        <f>CHOOSE(MATCH(Tableau14[[#This Row],[Fujiwara_P]],{0,0.39,0.49,1},1),3,1,0)</f>
        <v>3</v>
      </c>
      <c r="N7" s="10">
        <v>0</v>
      </c>
      <c r="O7" s="10">
        <v>1</v>
      </c>
      <c r="P7" s="1">
        <v>10</v>
      </c>
      <c r="Q7" s="10">
        <f>CHOOSE(MATCH(Tableau14[[#This Row],[Angle_p]],{-50,-14.9,-4.9,50},1),3,1,0)</f>
        <v>0</v>
      </c>
      <c r="R7" s="1">
        <v>1.57</v>
      </c>
      <c r="S7" s="1">
        <v>1.22</v>
      </c>
      <c r="T7" s="5">
        <f t="shared" si="1"/>
        <v>0.77707006369426745</v>
      </c>
      <c r="U7" s="10">
        <f>CHOOSE(MATCH(Tableau14[[#This Row],[Ratio_Torg]],{0,0.59,0.79,1.5},1),3,1,0)</f>
        <v>0</v>
      </c>
      <c r="V7" s="19">
        <v>2</v>
      </c>
      <c r="W7" s="7">
        <v>43734</v>
      </c>
      <c r="X7" s="3">
        <f t="shared" si="2"/>
        <v>17.52</v>
      </c>
      <c r="Y7" s="12">
        <v>17</v>
      </c>
      <c r="Z7" s="1">
        <v>4</v>
      </c>
      <c r="AA7" s="1">
        <v>4</v>
      </c>
      <c r="AB7" s="1">
        <v>2</v>
      </c>
      <c r="AC7" s="1">
        <v>2</v>
      </c>
      <c r="AD7" s="1">
        <v>2</v>
      </c>
      <c r="AE7" s="1">
        <v>3</v>
      </c>
      <c r="AF7" s="2">
        <v>43777</v>
      </c>
      <c r="AG7" s="18">
        <v>0</v>
      </c>
      <c r="AH7" s="20">
        <v>0</v>
      </c>
      <c r="AI7" s="20">
        <v>0</v>
      </c>
    </row>
    <row r="8" spans="1:35" s="1" customFormat="1" x14ac:dyDescent="0.25">
      <c r="A8" s="3">
        <v>73</v>
      </c>
      <c r="B8" s="3" t="s">
        <v>103</v>
      </c>
      <c r="C8" s="2">
        <v>44110</v>
      </c>
      <c r="D8" s="1" t="s">
        <v>17</v>
      </c>
      <c r="E8" s="4">
        <f>Tableau14[[#This Row],[Pts_Fujiwara]]+Tableau14[[#This Row],[ HT2]]+Tableau14[[#This Row],[LCR]]+Tableau14[[#This Row],[Points_angle_p]]+Tableau14[[#This Row],[Point_Torg]]</f>
        <v>9</v>
      </c>
      <c r="F8" s="1">
        <v>0.81</v>
      </c>
      <c r="G8" s="1">
        <v>0.62</v>
      </c>
      <c r="H8" s="5">
        <v>0.76543209876543206</v>
      </c>
      <c r="I8" s="3">
        <v>2</v>
      </c>
      <c r="J8" s="1">
        <v>1.5</v>
      </c>
      <c r="K8" s="1">
        <v>0.62</v>
      </c>
      <c r="L8" s="5">
        <f t="shared" si="0"/>
        <v>0.41333333333333333</v>
      </c>
      <c r="M8" s="9">
        <f>CHOOSE(MATCH(Tableau14[[#This Row],[Fujiwara_P]],{0,0.39,0.49,1},1),3,1,0)</f>
        <v>3</v>
      </c>
      <c r="N8" s="10">
        <v>0</v>
      </c>
      <c r="O8" s="10">
        <v>2</v>
      </c>
      <c r="P8" s="1">
        <v>9.5</v>
      </c>
      <c r="Q8" s="10">
        <f>CHOOSE(MATCH(Tableau14[[#This Row],[Angle_p]],{-50,-14.9,-4.9,50},1),3,1,0)</f>
        <v>0</v>
      </c>
      <c r="R8" s="1">
        <v>1.48</v>
      </c>
      <c r="S8" s="1">
        <v>1.2</v>
      </c>
      <c r="T8" s="5">
        <f t="shared" si="1"/>
        <v>0.81081081081081074</v>
      </c>
      <c r="U8" s="10">
        <f>CHOOSE(MATCH(Tableau14[[#This Row],[Ratio_Torg]],{0,0.59,0.79,1.5},1),3,1,0)</f>
        <v>1</v>
      </c>
      <c r="V8" s="18">
        <v>1</v>
      </c>
      <c r="W8" s="7">
        <v>44095</v>
      </c>
      <c r="X8" s="3">
        <f t="shared" si="2"/>
        <v>16.63</v>
      </c>
      <c r="Y8" s="12">
        <v>16</v>
      </c>
      <c r="Z8" s="1">
        <v>3</v>
      </c>
      <c r="AA8" s="1">
        <v>4</v>
      </c>
      <c r="AB8" s="1">
        <v>2</v>
      </c>
      <c r="AC8" s="1">
        <v>2</v>
      </c>
      <c r="AD8" s="1">
        <v>2</v>
      </c>
      <c r="AE8" s="1">
        <v>3</v>
      </c>
      <c r="AF8" s="2"/>
      <c r="AG8" s="27"/>
      <c r="AH8" s="27"/>
      <c r="AI8" s="27"/>
    </row>
    <row r="9" spans="1:35" s="1" customFormat="1" x14ac:dyDescent="0.25">
      <c r="A9" s="3">
        <v>70</v>
      </c>
      <c r="B9" s="3" t="s">
        <v>64</v>
      </c>
      <c r="C9" s="2">
        <v>43157</v>
      </c>
      <c r="D9" s="1" t="s">
        <v>17</v>
      </c>
      <c r="E9" s="4">
        <f>Tableau14[[#This Row],[Pts_Fujiwara]]+Tableau14[[#This Row],[ HT2]]+Tableau14[[#This Row],[LCR]]+Tableau14[[#This Row],[Points_angle_p]]+Tableau14[[#This Row],[Point_Torg]]</f>
        <v>7</v>
      </c>
      <c r="F9" s="1">
        <v>0.69</v>
      </c>
      <c r="G9" s="1">
        <v>0.45</v>
      </c>
      <c r="H9" s="5">
        <v>0.65217391304347838</v>
      </c>
      <c r="I9" s="3">
        <v>2</v>
      </c>
      <c r="J9" s="1">
        <v>1.33</v>
      </c>
      <c r="K9" s="1">
        <v>0.45</v>
      </c>
      <c r="L9" s="5">
        <f t="shared" si="0"/>
        <v>0.33834586466165412</v>
      </c>
      <c r="M9" s="9">
        <f>CHOOSE(MATCH(Tableau14[[#This Row],[Fujiwara_P]],{0,0.39,0.49,1},1),3,1,0)</f>
        <v>3</v>
      </c>
      <c r="N9" s="10">
        <v>2</v>
      </c>
      <c r="O9" s="10">
        <v>1</v>
      </c>
      <c r="P9" s="1">
        <v>8.9</v>
      </c>
      <c r="Q9" s="10">
        <f>CHOOSE(MATCH(Tableau14[[#This Row],[Angle_p]],{-50,-14.9,-4.9,50},1),3,1,0)</f>
        <v>0</v>
      </c>
      <c r="R9" s="1">
        <v>1.52</v>
      </c>
      <c r="S9" s="1">
        <v>1.17</v>
      </c>
      <c r="T9" s="5">
        <f t="shared" si="1"/>
        <v>0.76973684210526305</v>
      </c>
      <c r="U9" s="10">
        <f>CHOOSE(MATCH(Tableau14[[#This Row],[Ratio_Torg]],{0,0.59,0.79,1.5},1),3,1,0)</f>
        <v>0</v>
      </c>
      <c r="V9" s="18">
        <v>2</v>
      </c>
      <c r="W9" s="7">
        <v>43087</v>
      </c>
      <c r="X9" s="3">
        <f t="shared" si="2"/>
        <v>15.74</v>
      </c>
      <c r="Y9" s="12">
        <v>15</v>
      </c>
      <c r="Z9" s="1">
        <v>3</v>
      </c>
      <c r="AA9" s="1">
        <v>4</v>
      </c>
      <c r="AB9" s="1">
        <v>1</v>
      </c>
      <c r="AC9" s="1">
        <v>2</v>
      </c>
      <c r="AD9" s="1">
        <v>2</v>
      </c>
      <c r="AE9" s="1">
        <v>3</v>
      </c>
      <c r="AF9" s="2"/>
      <c r="AG9" s="18"/>
      <c r="AH9" s="20"/>
      <c r="AI9" s="20"/>
    </row>
    <row r="10" spans="1:35" s="1" customFormat="1" x14ac:dyDescent="0.25">
      <c r="A10" s="3">
        <v>50</v>
      </c>
      <c r="B10" s="3" t="s">
        <v>60</v>
      </c>
      <c r="C10" s="2">
        <v>43181</v>
      </c>
      <c r="D10" s="1" t="s">
        <v>12</v>
      </c>
      <c r="E10" s="4">
        <f>Tableau14[[#This Row],[Pts_Fujiwara]]+Tableau14[[#This Row],[ HT2]]+Tableau14[[#This Row],[LCR]]+Tableau14[[#This Row],[Points_angle_p]]+Tableau14[[#This Row],[Point_Torg]]</f>
        <v>7</v>
      </c>
      <c r="F10" s="1">
        <v>0.7</v>
      </c>
      <c r="G10" s="1">
        <v>0.66</v>
      </c>
      <c r="H10" s="5">
        <v>0.94285714285714295</v>
      </c>
      <c r="I10" s="3">
        <v>1</v>
      </c>
      <c r="J10" s="1">
        <v>1.2</v>
      </c>
      <c r="K10" s="1">
        <v>0.66</v>
      </c>
      <c r="L10" s="5">
        <f t="shared" si="0"/>
        <v>0.55000000000000004</v>
      </c>
      <c r="M10" s="9">
        <f>CHOOSE(MATCH(Tableau14[[#This Row],[Fujiwara_P]],{0,0.39,0.49,1},1),3,1,0)</f>
        <v>3</v>
      </c>
      <c r="N10" s="10">
        <v>0</v>
      </c>
      <c r="O10" s="10">
        <v>1</v>
      </c>
      <c r="P10" s="1">
        <v>8</v>
      </c>
      <c r="Q10" s="10">
        <f>CHOOSE(MATCH(Tableau14[[#This Row],[Angle_p]],{-50,-14.9,-4.9,50},1),3,1,0)</f>
        <v>0</v>
      </c>
      <c r="R10" s="1">
        <v>1.5</v>
      </c>
      <c r="S10" s="1">
        <v>1.1100000000000001</v>
      </c>
      <c r="T10" s="5">
        <f t="shared" si="1"/>
        <v>0.7400000000000001</v>
      </c>
      <c r="U10" s="10">
        <f>CHOOSE(MATCH(Tableau14[[#This Row],[Ratio_Torg]],{0,0.59,0.79,1.5},1),3,1,0)</f>
        <v>0</v>
      </c>
      <c r="V10" s="19">
        <v>1</v>
      </c>
      <c r="W10" s="7">
        <v>43207</v>
      </c>
      <c r="X10" s="3">
        <f t="shared" si="2"/>
        <v>16.63</v>
      </c>
      <c r="Y10" s="12">
        <v>16</v>
      </c>
      <c r="Z10" s="1">
        <v>4</v>
      </c>
      <c r="AA10" s="1">
        <v>4</v>
      </c>
      <c r="AB10" s="1">
        <v>1</v>
      </c>
      <c r="AC10" s="1">
        <v>2</v>
      </c>
      <c r="AD10" s="1">
        <v>2</v>
      </c>
      <c r="AE10" s="1">
        <v>3</v>
      </c>
      <c r="AF10" s="2"/>
      <c r="AG10" s="18"/>
      <c r="AH10" s="20"/>
      <c r="AI10" s="20"/>
    </row>
    <row r="11" spans="1:35" s="1" customFormat="1" x14ac:dyDescent="0.25">
      <c r="A11" s="3">
        <v>63</v>
      </c>
      <c r="B11" s="3" t="s">
        <v>24</v>
      </c>
      <c r="C11" s="2">
        <v>42528</v>
      </c>
      <c r="D11" s="1" t="s">
        <v>17</v>
      </c>
      <c r="E11" s="4">
        <f>Tableau14[[#This Row],[Pts_Fujiwara]]+Tableau14[[#This Row],[ HT2]]+Tableau14[[#This Row],[LCR]]+Tableau14[[#This Row],[Points_angle_p]]+Tableau14[[#This Row],[Point_Torg]]</f>
        <v>8</v>
      </c>
      <c r="F11" s="1">
        <v>0.63</v>
      </c>
      <c r="G11" s="1">
        <v>0.38</v>
      </c>
      <c r="H11" s="5">
        <v>0.60317460317460314</v>
      </c>
      <c r="I11" s="3">
        <v>2</v>
      </c>
      <c r="J11" s="1">
        <v>1.5</v>
      </c>
      <c r="K11" s="1">
        <v>0.38</v>
      </c>
      <c r="L11" s="5">
        <f t="shared" si="0"/>
        <v>0.25333333333333335</v>
      </c>
      <c r="M11" s="9">
        <f>CHOOSE(MATCH(Tableau14[[#This Row],[Fujiwara_P]],{0,0.39,0.49,1},1),3,1,0)</f>
        <v>3</v>
      </c>
      <c r="N11" s="10">
        <v>2</v>
      </c>
      <c r="O11" s="10">
        <v>2</v>
      </c>
      <c r="P11" s="1">
        <v>7</v>
      </c>
      <c r="Q11" s="10">
        <f>CHOOSE(MATCH(Tableau14[[#This Row],[Angle_p]],{-50,-14.9,-4.9,50},1),3,1,0)</f>
        <v>0</v>
      </c>
      <c r="R11" s="1">
        <v>1.6</v>
      </c>
      <c r="S11" s="1">
        <v>1.4</v>
      </c>
      <c r="T11" s="5">
        <f t="shared" si="1"/>
        <v>0.87499999999999989</v>
      </c>
      <c r="U11" s="10">
        <f>CHOOSE(MATCH(Tableau14[[#This Row],[Ratio_Torg]],{0,0.59,0.79,1.5},1),3,1,0)</f>
        <v>1</v>
      </c>
      <c r="V11" s="18">
        <v>2</v>
      </c>
      <c r="W11" s="7">
        <v>42804</v>
      </c>
      <c r="X11" s="3">
        <f t="shared" si="2"/>
        <v>15.74</v>
      </c>
      <c r="Y11" s="12">
        <v>15</v>
      </c>
      <c r="AF11" s="2">
        <v>42804</v>
      </c>
      <c r="AG11" s="18">
        <v>0</v>
      </c>
      <c r="AH11" s="20">
        <v>0</v>
      </c>
      <c r="AI11" s="20">
        <v>0</v>
      </c>
    </row>
    <row r="12" spans="1:35" s="1" customFormat="1" x14ac:dyDescent="0.25">
      <c r="A12" s="3">
        <v>51</v>
      </c>
      <c r="B12" s="3" t="s">
        <v>86</v>
      </c>
      <c r="C12" s="2">
        <v>44016</v>
      </c>
      <c r="D12" s="1" t="s">
        <v>17</v>
      </c>
      <c r="E12" s="4">
        <f>Tableau14[[#This Row],[Pts_Fujiwara]]+Tableau14[[#This Row],[ HT2]]+Tableau14[[#This Row],[LCR]]+Tableau14[[#This Row],[Points_angle_p]]+Tableau14[[#This Row],[Point_Torg]]</f>
        <v>10</v>
      </c>
      <c r="F12" s="1">
        <v>0.57999999999999996</v>
      </c>
      <c r="G12" s="1">
        <v>0.37</v>
      </c>
      <c r="H12" s="5">
        <v>0.63793103448275867</v>
      </c>
      <c r="I12" s="3">
        <v>2</v>
      </c>
      <c r="J12" s="1">
        <v>1.1000000000000001</v>
      </c>
      <c r="K12" s="1">
        <v>0.37</v>
      </c>
      <c r="L12" s="5">
        <f t="shared" si="0"/>
        <v>0.33636363636363631</v>
      </c>
      <c r="M12" s="9">
        <f>CHOOSE(MATCH(Tableau14[[#This Row],[Fujiwara_P]],{0,0.39,0.49,1},1),3,1,0)</f>
        <v>3</v>
      </c>
      <c r="N12" s="10">
        <v>4</v>
      </c>
      <c r="O12" s="10">
        <v>2</v>
      </c>
      <c r="P12" s="1">
        <v>7</v>
      </c>
      <c r="Q12" s="10">
        <f>CHOOSE(MATCH(Tableau14[[#This Row],[Angle_p]],{-50,-14.9,-4.9,50},1),3,1,0)</f>
        <v>1</v>
      </c>
      <c r="R12" s="1">
        <v>1.63</v>
      </c>
      <c r="S12" s="1">
        <v>1.29</v>
      </c>
      <c r="T12" s="5">
        <f t="shared" si="1"/>
        <v>0.79141104294478537</v>
      </c>
      <c r="U12" s="10">
        <f>CHOOSE(MATCH(Tableau14[[#This Row],[Ratio_Torg]],{0,0.59,0.79,1.5},1),3,1,0)</f>
        <v>0</v>
      </c>
      <c r="V12" s="19">
        <v>2</v>
      </c>
      <c r="W12" s="7">
        <v>44041</v>
      </c>
      <c r="X12" s="3">
        <f t="shared" si="2"/>
        <v>14.850000000000001</v>
      </c>
      <c r="Y12" s="12">
        <v>14</v>
      </c>
      <c r="Z12" s="1">
        <v>3</v>
      </c>
      <c r="AA12" s="1">
        <v>3</v>
      </c>
      <c r="AB12" s="1">
        <v>1</v>
      </c>
      <c r="AC12" s="1">
        <v>2</v>
      </c>
      <c r="AD12" s="1">
        <v>2</v>
      </c>
      <c r="AE12" s="1">
        <v>3</v>
      </c>
      <c r="AF12" s="2"/>
      <c r="AG12" s="18"/>
      <c r="AH12" s="20"/>
      <c r="AI12" s="20"/>
    </row>
    <row r="13" spans="1:35" s="1" customFormat="1" x14ac:dyDescent="0.25">
      <c r="A13" s="3">
        <v>72</v>
      </c>
      <c r="B13" s="3" t="s">
        <v>92</v>
      </c>
      <c r="C13" s="2">
        <v>44169</v>
      </c>
      <c r="D13" s="1" t="s">
        <v>12</v>
      </c>
      <c r="E13" s="4">
        <f>Tableau14[[#This Row],[Pts_Fujiwara]]+Tableau14[[#This Row],[ HT2]]+Tableau14[[#This Row],[LCR]]+Tableau14[[#This Row],[Points_angle_p]]+Tableau14[[#This Row],[Point_Torg]]</f>
        <v>6</v>
      </c>
      <c r="F13" s="1">
        <v>0.88</v>
      </c>
      <c r="G13" s="1">
        <v>0.52</v>
      </c>
      <c r="H13" s="5">
        <v>0.59090909090909094</v>
      </c>
      <c r="I13" s="3">
        <v>2</v>
      </c>
      <c r="J13" s="1">
        <v>1.57</v>
      </c>
      <c r="K13" s="1">
        <v>0.52</v>
      </c>
      <c r="L13" s="5">
        <f t="shared" si="0"/>
        <v>0.33121019108280253</v>
      </c>
      <c r="M13" s="9">
        <f>CHOOSE(MATCH(Tableau14[[#This Row],[Fujiwara_P]],{0,0.39,0.49,1},1),3,1,0)</f>
        <v>3</v>
      </c>
      <c r="N13" s="10">
        <v>2</v>
      </c>
      <c r="O13" s="10">
        <v>4</v>
      </c>
      <c r="P13" s="1">
        <v>6.1</v>
      </c>
      <c r="Q13" s="10">
        <f>CHOOSE(MATCH(Tableau14[[#This Row],[Angle_p]],{-50,-14.9,-4.9,50},1),3,1,0)</f>
        <v>0</v>
      </c>
      <c r="R13" s="1">
        <v>1.44</v>
      </c>
      <c r="S13" s="1">
        <v>1.47</v>
      </c>
      <c r="T13" s="5">
        <f t="shared" si="1"/>
        <v>1.0208333333333333</v>
      </c>
      <c r="U13" s="10">
        <f>CHOOSE(MATCH(Tableau14[[#This Row],[Ratio_Torg]],{0,0.59,0.79,1.5},1),3,1,0)</f>
        <v>0</v>
      </c>
      <c r="V13" s="19">
        <v>1</v>
      </c>
      <c r="W13" s="7">
        <v>44204</v>
      </c>
      <c r="X13" s="3">
        <f t="shared" si="2"/>
        <v>15.74</v>
      </c>
      <c r="Y13" s="12">
        <v>15</v>
      </c>
      <c r="Z13" s="1">
        <v>4</v>
      </c>
      <c r="AA13" s="1">
        <v>4</v>
      </c>
      <c r="AB13" s="1">
        <v>1</v>
      </c>
      <c r="AC13" s="1">
        <v>2</v>
      </c>
      <c r="AD13" s="1">
        <v>2</v>
      </c>
      <c r="AE13" s="1">
        <v>2</v>
      </c>
      <c r="AF13" s="2">
        <v>44204</v>
      </c>
      <c r="AG13" s="18">
        <v>0</v>
      </c>
      <c r="AH13" s="20">
        <v>0</v>
      </c>
      <c r="AI13" s="20">
        <v>0</v>
      </c>
    </row>
    <row r="14" spans="1:35" s="1" customFormat="1" x14ac:dyDescent="0.25">
      <c r="A14" s="3">
        <v>59</v>
      </c>
      <c r="B14" s="3" t="s">
        <v>32</v>
      </c>
      <c r="C14" s="2">
        <v>43426</v>
      </c>
      <c r="D14" s="1" t="s">
        <v>17</v>
      </c>
      <c r="E14" s="4">
        <f>Tableau14[[#This Row],[Pts_Fujiwara]]+Tableau14[[#This Row],[ HT2]]+Tableau14[[#This Row],[LCR]]+Tableau14[[#This Row],[Points_angle_p]]+Tableau14[[#This Row],[Point_Torg]]</f>
        <v>14</v>
      </c>
      <c r="F14" s="1">
        <v>0.8</v>
      </c>
      <c r="G14" s="1">
        <v>0.38</v>
      </c>
      <c r="H14" s="5">
        <v>0.47499999999999998</v>
      </c>
      <c r="I14" s="3">
        <v>4</v>
      </c>
      <c r="J14" s="1">
        <v>1.51</v>
      </c>
      <c r="K14" s="1">
        <v>0.38</v>
      </c>
      <c r="L14" s="5">
        <f t="shared" si="0"/>
        <v>0.25165562913907286</v>
      </c>
      <c r="M14" s="9">
        <f>CHOOSE(MATCH(Tableau14[[#This Row],[Fujiwara_P]],{0,0.39,0.49,1},1),3,1,0)</f>
        <v>3</v>
      </c>
      <c r="N14" s="10">
        <v>4</v>
      </c>
      <c r="O14" s="10">
        <v>1</v>
      </c>
      <c r="P14" s="1">
        <v>6</v>
      </c>
      <c r="Q14" s="10">
        <f>CHOOSE(MATCH(Tableau14[[#This Row],[Angle_p]],{-50,-14.9,-4.9,50},1),3,1,0)</f>
        <v>0</v>
      </c>
      <c r="R14" s="1">
        <v>1.73</v>
      </c>
      <c r="S14" s="1">
        <v>1.06</v>
      </c>
      <c r="T14" s="5">
        <f t="shared" si="1"/>
        <v>0.61271676300578037</v>
      </c>
      <c r="U14" s="10">
        <f>CHOOSE(MATCH(Tableau14[[#This Row],[Ratio_Torg]],{0,0.59,0.79,1.5},1),3,1,0)</f>
        <v>3</v>
      </c>
      <c r="V14" s="19">
        <v>2</v>
      </c>
      <c r="W14" s="7">
        <v>43651</v>
      </c>
      <c r="X14" s="3">
        <f t="shared" si="2"/>
        <v>15.74</v>
      </c>
      <c r="Y14" s="12">
        <v>15</v>
      </c>
      <c r="AF14" s="2">
        <v>43672</v>
      </c>
      <c r="AG14" s="18">
        <v>2</v>
      </c>
      <c r="AH14" s="20">
        <v>2</v>
      </c>
      <c r="AI14" s="20">
        <v>2</v>
      </c>
    </row>
    <row r="15" spans="1:35" s="1" customFormat="1" x14ac:dyDescent="0.25">
      <c r="A15" s="3">
        <v>67</v>
      </c>
      <c r="B15" s="3" t="s">
        <v>15</v>
      </c>
      <c r="C15" s="2">
        <v>43537</v>
      </c>
      <c r="D15" s="1" t="s">
        <v>9</v>
      </c>
      <c r="E15" s="4">
        <f>Tableau14[[#This Row],[Pts_Fujiwara]]+Tableau14[[#This Row],[ HT2]]+Tableau14[[#This Row],[LCR]]+Tableau14[[#This Row],[Points_angle_p]]+Tableau14[[#This Row],[Point_Torg]]</f>
        <v>9</v>
      </c>
      <c r="F15" s="1">
        <v>0.56999999999999995</v>
      </c>
      <c r="G15" s="1">
        <v>0.48</v>
      </c>
      <c r="H15" s="5">
        <v>0.8421052631578948</v>
      </c>
      <c r="I15" s="3">
        <v>1</v>
      </c>
      <c r="J15" s="1">
        <v>1.27</v>
      </c>
      <c r="K15" s="1">
        <v>0.48</v>
      </c>
      <c r="L15" s="5">
        <f t="shared" si="0"/>
        <v>0.37795275590551181</v>
      </c>
      <c r="M15" s="9">
        <f>CHOOSE(MATCH(Tableau14[[#This Row],[Fujiwara_P]],{0,0.39,0.49,1},1),3,1,0)</f>
        <v>3</v>
      </c>
      <c r="N15" s="10">
        <v>0</v>
      </c>
      <c r="O15" s="10">
        <v>2</v>
      </c>
      <c r="P15" s="1">
        <v>5</v>
      </c>
      <c r="Q15" s="10">
        <f>CHOOSE(MATCH(Tableau14[[#This Row],[Angle_p]],{-50,-14.9,-4.9,50},1),3,1,0)</f>
        <v>1</v>
      </c>
      <c r="R15" s="1">
        <v>1.35</v>
      </c>
      <c r="S15" s="1">
        <v>1.1200000000000001</v>
      </c>
      <c r="T15" s="5">
        <f t="shared" si="1"/>
        <v>0.82962962962962961</v>
      </c>
      <c r="U15" s="10">
        <f>CHOOSE(MATCH(Tableau14[[#This Row],[Ratio_Torg]],{0,0.59,0.79,1.5},1),3,1,0)</f>
        <v>1</v>
      </c>
      <c r="V15" s="18">
        <v>1</v>
      </c>
      <c r="W15" s="7">
        <v>43670</v>
      </c>
      <c r="X15" s="3">
        <f t="shared" si="2"/>
        <v>16.63</v>
      </c>
      <c r="Y15" s="12">
        <v>16</v>
      </c>
      <c r="AF15" s="2">
        <v>43700</v>
      </c>
      <c r="AG15" s="18">
        <v>2</v>
      </c>
      <c r="AH15" s="20">
        <v>1</v>
      </c>
      <c r="AI15" s="20">
        <v>2</v>
      </c>
    </row>
    <row r="16" spans="1:35" s="1" customFormat="1" x14ac:dyDescent="0.25">
      <c r="A16" s="3">
        <v>43</v>
      </c>
      <c r="B16" s="3" t="s">
        <v>56</v>
      </c>
      <c r="C16" s="2">
        <v>42985</v>
      </c>
      <c r="D16" s="1" t="s">
        <v>17</v>
      </c>
      <c r="E16" s="4">
        <f>Tableau14[[#This Row],[Pts_Fujiwara]]+Tableau14[[#This Row],[ HT2]]+Tableau14[[#This Row],[LCR]]+Tableau14[[#This Row],[Points_angle_p]]+Tableau14[[#This Row],[Point_Torg]]</f>
        <v>12</v>
      </c>
      <c r="F16" s="1">
        <v>0.7</v>
      </c>
      <c r="G16" s="1">
        <v>0.65</v>
      </c>
      <c r="H16" s="5">
        <v>1</v>
      </c>
      <c r="I16" s="3">
        <v>0</v>
      </c>
      <c r="J16" s="1">
        <v>1.43</v>
      </c>
      <c r="K16" s="1">
        <v>0.65</v>
      </c>
      <c r="L16" s="5">
        <f t="shared" si="0"/>
        <v>0.45454545454545459</v>
      </c>
      <c r="M16" s="9">
        <f>CHOOSE(MATCH(Tableau14[[#This Row],[Fujiwara_P]],{0,0.39,0.49,1},1),3,1,0)</f>
        <v>3</v>
      </c>
      <c r="N16" s="10">
        <v>0</v>
      </c>
      <c r="O16" s="10">
        <v>1</v>
      </c>
      <c r="P16" s="1">
        <v>5</v>
      </c>
      <c r="Q16" s="10">
        <f>CHOOSE(MATCH(Tableau14[[#This Row],[Angle_p]],{-50,-14.9,-4.9,50},1),3,1,0)</f>
        <v>0</v>
      </c>
      <c r="R16" s="1">
        <v>1.67</v>
      </c>
      <c r="S16" s="1">
        <v>1.1599999999999999</v>
      </c>
      <c r="T16" s="5">
        <f t="shared" si="1"/>
        <v>0.69461077844311381</v>
      </c>
      <c r="U16" s="10">
        <f>CHOOSE(MATCH(Tableau14[[#This Row],[Ratio_Torg]],{0,0.59,0.79,1.5},1),3,1,0)</f>
        <v>3</v>
      </c>
      <c r="V16" s="18">
        <v>1</v>
      </c>
      <c r="W16" s="7">
        <v>42909</v>
      </c>
      <c r="X16" s="3">
        <f t="shared" si="2"/>
        <v>16.63</v>
      </c>
      <c r="Y16" s="12">
        <v>16</v>
      </c>
      <c r="Z16" s="1">
        <v>4</v>
      </c>
      <c r="AA16" s="1">
        <v>4</v>
      </c>
      <c r="AB16" s="1">
        <v>1</v>
      </c>
      <c r="AC16" s="1">
        <v>2</v>
      </c>
      <c r="AD16" s="1">
        <v>2</v>
      </c>
      <c r="AE16" s="1">
        <v>3</v>
      </c>
      <c r="AF16" s="2"/>
      <c r="AG16" s="18"/>
      <c r="AH16" s="20"/>
      <c r="AI16" s="20"/>
    </row>
    <row r="17" spans="1:35" s="1" customFormat="1" x14ac:dyDescent="0.25">
      <c r="A17" s="3">
        <v>56</v>
      </c>
      <c r="B17" s="3" t="s">
        <v>98</v>
      </c>
      <c r="C17" s="2">
        <v>44169</v>
      </c>
      <c r="D17" s="1" t="s">
        <v>9</v>
      </c>
      <c r="E17" s="4">
        <f>Tableau14[[#This Row],[Pts_Fujiwara]]+Tableau14[[#This Row],[ HT2]]+Tableau14[[#This Row],[LCR]]+Tableau14[[#This Row],[Points_angle_p]]+Tableau14[[#This Row],[Point_Torg]]</f>
        <v>9</v>
      </c>
      <c r="F17" s="1">
        <v>0.84</v>
      </c>
      <c r="G17" s="1">
        <v>0.72</v>
      </c>
      <c r="H17" s="5">
        <v>0.8571428571428571</v>
      </c>
      <c r="I17" s="3">
        <v>1</v>
      </c>
      <c r="J17" s="1">
        <v>1.44</v>
      </c>
      <c r="K17" s="1">
        <v>0.72</v>
      </c>
      <c r="L17" s="5">
        <f t="shared" si="0"/>
        <v>0.5</v>
      </c>
      <c r="M17" s="9">
        <f>CHOOSE(MATCH(Tableau14[[#This Row],[Fujiwara_P]],{0,0.39,0.49,1},1),3,1,0)</f>
        <v>3</v>
      </c>
      <c r="N17" s="10">
        <v>0</v>
      </c>
      <c r="O17" s="10">
        <v>0</v>
      </c>
      <c r="P17" s="1">
        <v>4.4000000000000004</v>
      </c>
      <c r="Q17" s="10">
        <f>CHOOSE(MATCH(Tableau14[[#This Row],[Angle_p]],{-50,-14.9,-4.9,50},1),3,1,0)</f>
        <v>0</v>
      </c>
      <c r="R17" s="1">
        <v>1.46</v>
      </c>
      <c r="S17" s="1">
        <v>1.73</v>
      </c>
      <c r="T17" s="5">
        <f t="shared" si="1"/>
        <v>1.1849315068493151</v>
      </c>
      <c r="U17" s="10">
        <f>CHOOSE(MATCH(Tableau14[[#This Row],[Ratio_Torg]],{0,0.59,0.79,1.5},1),3,1,0)</f>
        <v>3</v>
      </c>
      <c r="V17" s="19">
        <v>1</v>
      </c>
      <c r="W17" s="7">
        <v>44168</v>
      </c>
      <c r="X17" s="3">
        <f t="shared" si="2"/>
        <v>17.52</v>
      </c>
      <c r="Y17" s="12">
        <v>17</v>
      </c>
      <c r="Z17" s="1">
        <v>4</v>
      </c>
      <c r="AA17" s="1">
        <v>4</v>
      </c>
      <c r="AB17" s="1">
        <v>2</v>
      </c>
      <c r="AC17" s="1">
        <v>2</v>
      </c>
      <c r="AD17" s="1">
        <v>2</v>
      </c>
      <c r="AE17" s="1">
        <v>3</v>
      </c>
      <c r="AF17" s="2"/>
      <c r="AG17" s="18"/>
      <c r="AH17" s="20"/>
      <c r="AI17" s="20"/>
    </row>
    <row r="18" spans="1:35" s="1" customFormat="1" x14ac:dyDescent="0.25">
      <c r="A18" s="3">
        <v>62</v>
      </c>
      <c r="B18" s="3" t="s">
        <v>22</v>
      </c>
      <c r="C18" s="2">
        <v>42507</v>
      </c>
      <c r="D18" s="1" t="s">
        <v>9</v>
      </c>
      <c r="E18" s="4">
        <f>Tableau14[[#This Row],[Pts_Fujiwara]]+Tableau14[[#This Row],[ HT2]]+Tableau14[[#This Row],[LCR]]+Tableau14[[#This Row],[Points_angle_p]]+Tableau14[[#This Row],[Point_Torg]]</f>
        <v>12</v>
      </c>
      <c r="F18" s="1">
        <v>0.74</v>
      </c>
      <c r="G18" s="1">
        <v>0.6</v>
      </c>
      <c r="H18" s="5">
        <v>0.81081081081081074</v>
      </c>
      <c r="I18" s="3">
        <v>1</v>
      </c>
      <c r="J18" s="1">
        <v>1.6</v>
      </c>
      <c r="K18" s="1">
        <v>0.6</v>
      </c>
      <c r="L18" s="5">
        <f t="shared" si="0"/>
        <v>0.37499999999999994</v>
      </c>
      <c r="M18" s="9">
        <f>CHOOSE(MATCH(Tableau14[[#This Row],[Fujiwara_P]],{0,0.39,0.49,1},1),3,1,0)</f>
        <v>3</v>
      </c>
      <c r="N18" s="10">
        <v>2</v>
      </c>
      <c r="O18" s="10">
        <v>1</v>
      </c>
      <c r="P18" s="1">
        <v>4.17</v>
      </c>
      <c r="Q18" s="10">
        <f>CHOOSE(MATCH(Tableau14[[#This Row],[Angle_p]],{-50,-14.9,-4.9,50},1),3,1,0)</f>
        <v>0</v>
      </c>
      <c r="R18" s="1">
        <v>1.65</v>
      </c>
      <c r="S18" s="1">
        <v>1.08</v>
      </c>
      <c r="T18" s="5">
        <f t="shared" si="1"/>
        <v>0.65454545454545465</v>
      </c>
      <c r="U18" s="10">
        <f>CHOOSE(MATCH(Tableau14[[#This Row],[Ratio_Torg]],{0,0.59,0.79,1.5},1),3,1,0)</f>
        <v>1</v>
      </c>
      <c r="V18" s="19">
        <v>1</v>
      </c>
      <c r="W18" s="7">
        <v>42591</v>
      </c>
      <c r="X18" s="3">
        <f t="shared" si="2"/>
        <v>14.850000000000001</v>
      </c>
      <c r="Y18" s="12">
        <v>14</v>
      </c>
      <c r="Z18" s="1">
        <v>4</v>
      </c>
      <c r="AA18" s="1">
        <v>3</v>
      </c>
      <c r="AB18" s="1">
        <v>1</v>
      </c>
      <c r="AC18" s="1">
        <v>1</v>
      </c>
      <c r="AD18" s="1">
        <v>2</v>
      </c>
      <c r="AE18" s="1">
        <v>3</v>
      </c>
      <c r="AF18" s="2">
        <v>42664</v>
      </c>
      <c r="AG18" s="18">
        <v>2</v>
      </c>
      <c r="AH18" s="20">
        <v>0</v>
      </c>
      <c r="AI18" s="20">
        <v>2</v>
      </c>
    </row>
    <row r="19" spans="1:35" s="1" customFormat="1" x14ac:dyDescent="0.25">
      <c r="A19" s="3">
        <v>72</v>
      </c>
      <c r="B19" s="3" t="s">
        <v>41</v>
      </c>
      <c r="C19" s="2">
        <v>43379</v>
      </c>
      <c r="D19" s="1" t="s">
        <v>9</v>
      </c>
      <c r="E19" s="4">
        <f>Tableau14[[#This Row],[Pts_Fujiwara]]+Tableau14[[#This Row],[ HT2]]+Tableau14[[#This Row],[LCR]]+Tableau14[[#This Row],[Points_angle_p]]+Tableau14[[#This Row],[Point_Torg]]</f>
        <v>7</v>
      </c>
      <c r="F19" s="1">
        <v>0.62</v>
      </c>
      <c r="G19" s="1">
        <v>0.56000000000000005</v>
      </c>
      <c r="H19" s="5">
        <v>0.90322580645161299</v>
      </c>
      <c r="I19" s="3">
        <v>1</v>
      </c>
      <c r="J19" s="1">
        <v>1.1200000000000001</v>
      </c>
      <c r="K19" s="1">
        <v>0.56000000000000005</v>
      </c>
      <c r="L19" s="5">
        <f t="shared" si="0"/>
        <v>0.5</v>
      </c>
      <c r="M19" s="9">
        <f>CHOOSE(MATCH(Tableau14[[#This Row],[Fujiwara_P]],{0,0.39,0.49,1},1),3,1,0)</f>
        <v>3</v>
      </c>
      <c r="N19" s="10">
        <v>2</v>
      </c>
      <c r="O19" s="10">
        <v>1</v>
      </c>
      <c r="P19" s="1">
        <v>4</v>
      </c>
      <c r="Q19" s="10">
        <f>CHOOSE(MATCH(Tableau14[[#This Row],[Angle_p]],{-50,-14.9,-4.9,50},1),3,1,0)</f>
        <v>0</v>
      </c>
      <c r="R19" s="1">
        <v>1.42</v>
      </c>
      <c r="S19" s="1">
        <v>1.18</v>
      </c>
      <c r="T19" s="5">
        <f t="shared" si="1"/>
        <v>0.83098591549295775</v>
      </c>
      <c r="U19" s="10">
        <f>CHOOSE(MATCH(Tableau14[[#This Row],[Ratio_Torg]],{0,0.59,0.79,1.5},1),3,1,0)</f>
        <v>0</v>
      </c>
      <c r="V19" s="19">
        <v>1</v>
      </c>
      <c r="W19" s="7">
        <v>43684</v>
      </c>
      <c r="X19" s="3">
        <f t="shared" si="2"/>
        <v>17.52</v>
      </c>
      <c r="Y19" s="12">
        <v>17</v>
      </c>
      <c r="Z19" s="1">
        <v>4</v>
      </c>
      <c r="AA19" s="1">
        <v>4</v>
      </c>
      <c r="AB19" s="1">
        <v>2</v>
      </c>
      <c r="AC19" s="1">
        <v>2</v>
      </c>
      <c r="AD19" s="1">
        <v>2</v>
      </c>
      <c r="AE19" s="1">
        <v>3</v>
      </c>
      <c r="AF19" s="2">
        <v>43556</v>
      </c>
      <c r="AG19" s="19">
        <v>2</v>
      </c>
      <c r="AH19" s="21">
        <v>0</v>
      </c>
      <c r="AI19" s="21">
        <v>2</v>
      </c>
    </row>
    <row r="20" spans="1:35" s="1" customFormat="1" x14ac:dyDescent="0.25">
      <c r="A20" s="3">
        <v>60</v>
      </c>
      <c r="B20" s="3" t="s">
        <v>79</v>
      </c>
      <c r="C20" s="2">
        <v>44076</v>
      </c>
      <c r="D20" s="1" t="s">
        <v>14</v>
      </c>
      <c r="E20" s="4">
        <f>Tableau14[[#This Row],[Pts_Fujiwara]]+Tableau14[[#This Row],[ HT2]]+Tableau14[[#This Row],[LCR]]+Tableau14[[#This Row],[Points_angle_p]]+Tableau14[[#This Row],[Point_Torg]]</f>
        <v>14</v>
      </c>
      <c r="F20" s="1">
        <v>0.7</v>
      </c>
      <c r="G20" s="1">
        <v>0.52</v>
      </c>
      <c r="H20" s="5">
        <v>0.74285714285714288</v>
      </c>
      <c r="I20" s="3">
        <v>2</v>
      </c>
      <c r="J20" s="1">
        <v>1.31</v>
      </c>
      <c r="K20" s="1">
        <v>0.52</v>
      </c>
      <c r="L20" s="5">
        <f t="shared" si="0"/>
        <v>0.39694656488549618</v>
      </c>
      <c r="M20" s="9">
        <f>CHOOSE(MATCH(Tableau14[[#This Row],[Fujiwara_P]],{0,0.39,0.49,1},1),3,1,0)</f>
        <v>3</v>
      </c>
      <c r="N20" s="10">
        <v>2</v>
      </c>
      <c r="O20" s="10">
        <v>2</v>
      </c>
      <c r="P20" s="1">
        <v>4</v>
      </c>
      <c r="Q20" s="10">
        <f>CHOOSE(MATCH(Tableau14[[#This Row],[Angle_p]],{-50,-14.9,-4.9,50},1),3,1,0)</f>
        <v>0</v>
      </c>
      <c r="R20" s="1">
        <v>1.8</v>
      </c>
      <c r="S20" s="1">
        <v>1.23</v>
      </c>
      <c r="T20" s="5">
        <f t="shared" si="1"/>
        <v>0.68333333333333335</v>
      </c>
      <c r="U20" s="10">
        <f>CHOOSE(MATCH(Tableau14[[#This Row],[Ratio_Torg]],{0,0.59,0.79,1.5},1),3,1,0)</f>
        <v>3</v>
      </c>
      <c r="V20" s="19">
        <v>1</v>
      </c>
      <c r="W20" s="7">
        <v>44349</v>
      </c>
      <c r="X20" s="3">
        <f t="shared" si="2"/>
        <v>15.74</v>
      </c>
      <c r="Y20" s="12">
        <v>15</v>
      </c>
      <c r="AF20" s="2"/>
      <c r="AG20" s="19"/>
      <c r="AH20" s="21"/>
      <c r="AI20" s="21"/>
    </row>
    <row r="21" spans="1:35" s="1" customFormat="1" x14ac:dyDescent="0.25">
      <c r="A21" s="3">
        <v>57</v>
      </c>
      <c r="B21" s="3" t="s">
        <v>90</v>
      </c>
      <c r="C21" s="2">
        <v>44168</v>
      </c>
      <c r="D21" s="1" t="s">
        <v>17</v>
      </c>
      <c r="E21" s="4">
        <f>Tableau14[[#This Row],[Pts_Fujiwara]]+Tableau14[[#This Row],[ HT2]]+Tableau14[[#This Row],[LCR]]+Tableau14[[#This Row],[Points_angle_p]]+Tableau14[[#This Row],[Point_Torg]]</f>
        <v>8</v>
      </c>
      <c r="F21" s="1">
        <v>0.77</v>
      </c>
      <c r="G21" s="1">
        <v>0.6</v>
      </c>
      <c r="H21" s="5">
        <v>0.77922077922077915</v>
      </c>
      <c r="I21" s="3">
        <v>2</v>
      </c>
      <c r="J21" s="1">
        <v>1.38</v>
      </c>
      <c r="K21" s="1">
        <v>0.6</v>
      </c>
      <c r="L21" s="5">
        <f t="shared" si="0"/>
        <v>0.43478260869565222</v>
      </c>
      <c r="M21" s="9">
        <f>CHOOSE(MATCH(Tableau14[[#This Row],[Fujiwara_P]],{0,0.39,0.49,1},1),3,1,0)</f>
        <v>3</v>
      </c>
      <c r="N21" s="10">
        <v>0</v>
      </c>
      <c r="O21" s="10">
        <v>1</v>
      </c>
      <c r="P21" s="1">
        <v>3.9</v>
      </c>
      <c r="Q21" s="10">
        <f>CHOOSE(MATCH(Tableau14[[#This Row],[Angle_p]],{-50,-14.9,-4.9,50},1),3,1,0)</f>
        <v>0</v>
      </c>
      <c r="R21" s="1">
        <v>1.35</v>
      </c>
      <c r="S21" s="1">
        <v>1.47</v>
      </c>
      <c r="T21" s="5">
        <f t="shared" si="1"/>
        <v>1.0888888888888888</v>
      </c>
      <c r="U21" s="10">
        <f>CHOOSE(MATCH(Tableau14[[#This Row],[Ratio_Torg]],{0,0.59,0.79,1.5},1),3,1,0)</f>
        <v>0</v>
      </c>
      <c r="V21" s="18">
        <v>1</v>
      </c>
      <c r="W21" s="7">
        <v>44172</v>
      </c>
      <c r="X21" s="3">
        <f t="shared" si="2"/>
        <v>17.52</v>
      </c>
      <c r="Y21" s="12">
        <v>17</v>
      </c>
      <c r="Z21" s="1">
        <v>4</v>
      </c>
      <c r="AA21" s="1">
        <v>4</v>
      </c>
      <c r="AB21" s="1">
        <v>2</v>
      </c>
      <c r="AC21" s="1">
        <v>2</v>
      </c>
      <c r="AD21" s="1">
        <v>2</v>
      </c>
      <c r="AE21" s="1">
        <v>3</v>
      </c>
      <c r="AF21" s="2">
        <v>43769</v>
      </c>
      <c r="AG21" s="18">
        <v>0</v>
      </c>
      <c r="AH21" s="20">
        <v>0</v>
      </c>
      <c r="AI21" s="20">
        <v>0</v>
      </c>
    </row>
    <row r="22" spans="1:35" s="1" customFormat="1" x14ac:dyDescent="0.25">
      <c r="A22" s="3">
        <v>65</v>
      </c>
      <c r="B22" s="3" t="s">
        <v>104</v>
      </c>
      <c r="C22" s="2">
        <v>43894</v>
      </c>
      <c r="D22" s="1" t="s">
        <v>17</v>
      </c>
      <c r="E22" s="4">
        <f>Tableau14[[#This Row],[Pts_Fujiwara]]+Tableau14[[#This Row],[ HT2]]+Tableau14[[#This Row],[LCR]]+Tableau14[[#This Row],[Points_angle_p]]+Tableau14[[#This Row],[Point_Torg]]</f>
        <v>9</v>
      </c>
      <c r="F22" s="1">
        <v>0.74</v>
      </c>
      <c r="G22" s="1">
        <v>0.52</v>
      </c>
      <c r="H22" s="5">
        <v>0.70270270270270274</v>
      </c>
      <c r="I22" s="3">
        <v>2</v>
      </c>
      <c r="J22" s="1">
        <v>1.34</v>
      </c>
      <c r="K22" s="1">
        <v>0.52</v>
      </c>
      <c r="L22" s="5">
        <f t="shared" si="0"/>
        <v>0.38805970149253732</v>
      </c>
      <c r="M22" s="9">
        <f>CHOOSE(MATCH(Tableau14[[#This Row],[Fujiwara_P]],{0,0.39,0.49,1},1),3,1,0)</f>
        <v>3</v>
      </c>
      <c r="N22" s="10">
        <v>2</v>
      </c>
      <c r="O22" s="10">
        <v>2</v>
      </c>
      <c r="P22" s="1">
        <v>3.7</v>
      </c>
      <c r="Q22" s="10">
        <f>CHOOSE(MATCH(Tableau14[[#This Row],[Angle_p]],{-50,-14.9,-4.9,50},1),3,1,0)</f>
        <v>0</v>
      </c>
      <c r="R22" s="1">
        <v>2.0099999999999998</v>
      </c>
      <c r="S22" s="1">
        <v>1.25</v>
      </c>
      <c r="T22" s="5">
        <f t="shared" si="1"/>
        <v>0.62189054726368165</v>
      </c>
      <c r="U22" s="10">
        <f>CHOOSE(MATCH(Tableau14[[#This Row],[Ratio_Torg]],{0,0.59,0.79,1.5},1),3,1,0)</f>
        <v>0</v>
      </c>
      <c r="V22" s="19">
        <v>2</v>
      </c>
      <c r="W22" s="7">
        <v>44005</v>
      </c>
      <c r="X22" s="3">
        <f t="shared" si="2"/>
        <v>15.74</v>
      </c>
      <c r="Y22" s="12">
        <v>15</v>
      </c>
      <c r="Z22" s="1">
        <v>4</v>
      </c>
      <c r="AA22" s="1">
        <v>3</v>
      </c>
      <c r="AB22" s="1">
        <v>2</v>
      </c>
      <c r="AC22" s="1">
        <v>2</v>
      </c>
      <c r="AD22" s="1">
        <v>2</v>
      </c>
      <c r="AE22" s="1">
        <v>2</v>
      </c>
      <c r="AF22" s="2"/>
      <c r="AG22" s="27"/>
      <c r="AH22" s="27"/>
      <c r="AI22" s="27"/>
    </row>
    <row r="23" spans="1:35" s="1" customFormat="1" x14ac:dyDescent="0.25">
      <c r="A23" s="3">
        <v>73</v>
      </c>
      <c r="B23" s="3" t="s">
        <v>8</v>
      </c>
      <c r="C23" s="2">
        <v>43854</v>
      </c>
      <c r="D23" s="1" t="s">
        <v>9</v>
      </c>
      <c r="E23" s="4">
        <f>Tableau14[[#This Row],[Pts_Fujiwara]]+Tableau14[[#This Row],[ HT2]]+Tableau14[[#This Row],[LCR]]+Tableau14[[#This Row],[Points_angle_p]]+Tableau14[[#This Row],[Point_Torg]]</f>
        <v>6</v>
      </c>
      <c r="F23" s="1">
        <v>0.82</v>
      </c>
      <c r="G23" s="1">
        <v>0.42</v>
      </c>
      <c r="H23" s="5">
        <v>0.51219512195121952</v>
      </c>
      <c r="I23" s="3">
        <v>4</v>
      </c>
      <c r="J23" s="1">
        <v>1.62</v>
      </c>
      <c r="K23" s="1">
        <v>0.42</v>
      </c>
      <c r="L23" s="5">
        <f t="shared" si="0"/>
        <v>0.25925925925925924</v>
      </c>
      <c r="M23" s="9">
        <f>CHOOSE(MATCH(Tableau14[[#This Row],[Fujiwara_P]],{0,0.39,0.49,1},1),3,1,0)</f>
        <v>3</v>
      </c>
      <c r="N23" s="10">
        <v>0</v>
      </c>
      <c r="O23" s="10">
        <v>4</v>
      </c>
      <c r="P23" s="1">
        <v>3</v>
      </c>
      <c r="Q23" s="10">
        <f>CHOOSE(MATCH(Tableau14[[#This Row],[Angle_p]],{-50,-14.9,-4.9,50},1),3,1,0)</f>
        <v>1</v>
      </c>
      <c r="R23" s="1">
        <v>1.54</v>
      </c>
      <c r="S23" s="1">
        <v>1.1000000000000001</v>
      </c>
      <c r="T23" s="5">
        <f t="shared" si="1"/>
        <v>0.7142857142857143</v>
      </c>
      <c r="U23" s="10">
        <f>CHOOSE(MATCH(Tableau14[[#This Row],[Ratio_Torg]],{0,0.59,0.79,1.5},1),3,1,0)</f>
        <v>1</v>
      </c>
      <c r="V23" s="18">
        <v>2</v>
      </c>
      <c r="W23" s="7">
        <v>43880</v>
      </c>
      <c r="X23" s="3">
        <f t="shared" si="2"/>
        <v>15.74</v>
      </c>
      <c r="Y23" s="12">
        <v>15</v>
      </c>
      <c r="Z23" s="1">
        <v>4</v>
      </c>
      <c r="AA23" s="1">
        <v>3</v>
      </c>
      <c r="AB23" s="1">
        <v>1</v>
      </c>
      <c r="AC23" s="1">
        <v>2</v>
      </c>
      <c r="AD23" s="1">
        <v>2</v>
      </c>
      <c r="AE23" s="1">
        <v>3</v>
      </c>
      <c r="AF23" s="2">
        <v>43931</v>
      </c>
      <c r="AG23" s="18">
        <v>2</v>
      </c>
      <c r="AH23" s="20">
        <v>2</v>
      </c>
      <c r="AI23" s="20">
        <v>0</v>
      </c>
    </row>
    <row r="24" spans="1:35" s="1" customFormat="1" x14ac:dyDescent="0.25">
      <c r="A24" s="3">
        <v>47</v>
      </c>
      <c r="B24" s="3" t="s">
        <v>94</v>
      </c>
      <c r="C24" s="2">
        <v>43865</v>
      </c>
      <c r="D24" s="1" t="s">
        <v>17</v>
      </c>
      <c r="E24" s="4">
        <f>Tableau14[[#This Row],[Pts_Fujiwara]]+Tableau14[[#This Row],[ HT2]]+Tableau14[[#This Row],[LCR]]+Tableau14[[#This Row],[Points_angle_p]]+Tableau14[[#This Row],[Point_Torg]]</f>
        <v>4</v>
      </c>
      <c r="F24" s="1">
        <v>0.98</v>
      </c>
      <c r="G24" s="1">
        <v>0.68</v>
      </c>
      <c r="H24" s="5">
        <v>0.69387755102040827</v>
      </c>
      <c r="I24" s="3">
        <v>2</v>
      </c>
      <c r="J24" s="1">
        <v>1.46</v>
      </c>
      <c r="K24" s="1">
        <v>0.68</v>
      </c>
      <c r="L24" s="5">
        <f t="shared" si="0"/>
        <v>0.46575342465753428</v>
      </c>
      <c r="M24" s="9">
        <f>CHOOSE(MATCH(Tableau14[[#This Row],[Fujiwara_P]],{0,0.39,0.49,1},1),3,1,0)</f>
        <v>3</v>
      </c>
      <c r="N24" s="10">
        <v>0</v>
      </c>
      <c r="O24" s="10">
        <v>1</v>
      </c>
      <c r="P24" s="1">
        <v>2.8</v>
      </c>
      <c r="Q24" s="10">
        <f>CHOOSE(MATCH(Tableau14[[#This Row],[Angle_p]],{-50,-14.9,-4.9,50},1),3,1,0)</f>
        <v>0</v>
      </c>
      <c r="R24" s="1">
        <v>1.38</v>
      </c>
      <c r="S24" s="1">
        <v>1.42</v>
      </c>
      <c r="T24" s="5">
        <f t="shared" si="1"/>
        <v>1.0289855072463769</v>
      </c>
      <c r="U24" s="10">
        <f>CHOOSE(MATCH(Tableau14[[#This Row],[Ratio_Torg]],{0,0.59,0.79,1.5},1),3,1,0)</f>
        <v>0</v>
      </c>
      <c r="V24" s="18">
        <v>1</v>
      </c>
      <c r="W24" s="7">
        <v>43871</v>
      </c>
      <c r="X24" s="3">
        <f t="shared" si="2"/>
        <v>16.63</v>
      </c>
      <c r="Y24" s="12">
        <v>16</v>
      </c>
      <c r="Z24" s="1">
        <v>4</v>
      </c>
      <c r="AA24" s="1">
        <v>4</v>
      </c>
      <c r="AB24" s="1">
        <v>1</v>
      </c>
      <c r="AC24" s="1">
        <v>2</v>
      </c>
      <c r="AD24" s="1">
        <v>2</v>
      </c>
      <c r="AE24" s="1">
        <v>3</v>
      </c>
      <c r="AF24" s="2"/>
      <c r="AG24" s="18"/>
      <c r="AH24" s="20"/>
      <c r="AI24" s="20"/>
    </row>
    <row r="25" spans="1:35" s="1" customFormat="1" x14ac:dyDescent="0.25">
      <c r="A25" s="3">
        <v>74</v>
      </c>
      <c r="B25" s="3" t="s">
        <v>82</v>
      </c>
      <c r="C25" s="2">
        <v>44040</v>
      </c>
      <c r="D25" s="1" t="s">
        <v>17</v>
      </c>
      <c r="E25" s="4">
        <f>Tableau14[[#This Row],[Pts_Fujiwara]]+Tableau14[[#This Row],[ HT2]]+Tableau14[[#This Row],[LCR]]+Tableau14[[#This Row],[Points_angle_p]]+Tableau14[[#This Row],[Point_Torg]]</f>
        <v>8</v>
      </c>
      <c r="F25" s="1">
        <v>0.8</v>
      </c>
      <c r="G25" s="1">
        <v>0.6</v>
      </c>
      <c r="H25" s="5">
        <v>0.74999999999999989</v>
      </c>
      <c r="I25" s="3">
        <v>2</v>
      </c>
      <c r="J25" s="1">
        <v>1.33</v>
      </c>
      <c r="K25" s="1">
        <v>0.6</v>
      </c>
      <c r="L25" s="5">
        <f t="shared" si="0"/>
        <v>0.45112781954887216</v>
      </c>
      <c r="M25" s="9">
        <f>CHOOSE(MATCH(Tableau14[[#This Row],[Fujiwara_P]],{0,0.39,0.49,1},1),3,1,0)</f>
        <v>3</v>
      </c>
      <c r="N25" s="10">
        <v>0</v>
      </c>
      <c r="O25" s="10">
        <v>2</v>
      </c>
      <c r="P25" s="1">
        <v>2.7</v>
      </c>
      <c r="Q25" s="10">
        <f>CHOOSE(MATCH(Tableau14[[#This Row],[Angle_p]],{-50,-14.9,-4.9,50},1),3,1,0)</f>
        <v>0</v>
      </c>
      <c r="R25" s="1">
        <v>1.8</v>
      </c>
      <c r="S25" s="1">
        <v>1.5</v>
      </c>
      <c r="T25" s="5">
        <f t="shared" si="1"/>
        <v>0.83333333333333326</v>
      </c>
      <c r="U25" s="10">
        <f>CHOOSE(MATCH(Tableau14[[#This Row],[Ratio_Torg]],{0,0.59,0.79,1.5},1),3,1,0)</f>
        <v>1</v>
      </c>
      <c r="V25" s="18">
        <v>1</v>
      </c>
      <c r="W25" s="7">
        <v>44277</v>
      </c>
      <c r="X25" s="3">
        <f t="shared" si="2"/>
        <v>15.74</v>
      </c>
      <c r="Y25" s="12">
        <v>15</v>
      </c>
      <c r="Z25" s="1">
        <v>3</v>
      </c>
      <c r="AA25" s="1">
        <v>4</v>
      </c>
      <c r="AB25" s="1">
        <v>2</v>
      </c>
      <c r="AC25" s="1">
        <v>2</v>
      </c>
      <c r="AD25" s="1">
        <v>2</v>
      </c>
      <c r="AE25" s="1">
        <v>2</v>
      </c>
      <c r="AF25" s="2">
        <v>44309</v>
      </c>
      <c r="AG25" s="18">
        <v>0</v>
      </c>
      <c r="AH25" s="20">
        <v>0</v>
      </c>
      <c r="AI25" s="20">
        <v>0</v>
      </c>
    </row>
    <row r="26" spans="1:35" s="1" customFormat="1" x14ac:dyDescent="0.25">
      <c r="A26" s="3">
        <v>54</v>
      </c>
      <c r="B26" s="3" t="s">
        <v>101</v>
      </c>
      <c r="C26" s="2">
        <v>43797</v>
      </c>
      <c r="D26" s="1" t="s">
        <v>17</v>
      </c>
      <c r="E26" s="4">
        <f>Tableau14[[#This Row],[Pts_Fujiwara]]+Tableau14[[#This Row],[ HT2]]+Tableau14[[#This Row],[LCR]]+Tableau14[[#This Row],[Points_angle_p]]+Tableau14[[#This Row],[Point_Torg]]</f>
        <v>7</v>
      </c>
      <c r="F26" s="1">
        <v>0.77</v>
      </c>
      <c r="G26" s="1">
        <v>0.51</v>
      </c>
      <c r="H26" s="5">
        <v>0.66233766233766234</v>
      </c>
      <c r="I26" s="3">
        <v>2</v>
      </c>
      <c r="J26" s="1">
        <v>1.44</v>
      </c>
      <c r="K26" s="1">
        <v>0.51</v>
      </c>
      <c r="L26" s="5">
        <f t="shared" si="0"/>
        <v>0.35416666666666669</v>
      </c>
      <c r="M26" s="9">
        <f>CHOOSE(MATCH(Tableau14[[#This Row],[Fujiwara_P]],{0,0.39,0.49,1},1),3,1,0)</f>
        <v>3</v>
      </c>
      <c r="N26" s="10">
        <v>2</v>
      </c>
      <c r="O26" s="10">
        <v>2</v>
      </c>
      <c r="P26" s="1">
        <v>2.2000000000000002</v>
      </c>
      <c r="Q26" s="10">
        <f>CHOOSE(MATCH(Tableau14[[#This Row],[Angle_p]],{-50,-14.9,-4.9,50},1),3,1,0)</f>
        <v>0</v>
      </c>
      <c r="R26" s="1">
        <v>1.24</v>
      </c>
      <c r="S26" s="1">
        <v>1.22</v>
      </c>
      <c r="T26" s="5">
        <f t="shared" si="1"/>
        <v>0.9838709677419355</v>
      </c>
      <c r="U26" s="10">
        <f>CHOOSE(MATCH(Tableau14[[#This Row],[Ratio_Torg]],{0,0.59,0.79,1.5},1),3,1,0)</f>
        <v>0</v>
      </c>
      <c r="V26" s="19">
        <v>1</v>
      </c>
      <c r="W26" s="7">
        <v>44130</v>
      </c>
      <c r="X26" s="3">
        <f t="shared" si="2"/>
        <v>15.74</v>
      </c>
      <c r="Y26" s="12">
        <v>15</v>
      </c>
      <c r="Z26" s="1">
        <v>3</v>
      </c>
      <c r="AA26" s="1">
        <v>4</v>
      </c>
      <c r="AB26" s="1">
        <v>1</v>
      </c>
      <c r="AC26" s="1">
        <v>2</v>
      </c>
      <c r="AD26" s="1">
        <v>2</v>
      </c>
      <c r="AE26" s="1">
        <v>3</v>
      </c>
      <c r="AF26" s="2"/>
      <c r="AG26" s="27"/>
      <c r="AH26" s="27"/>
      <c r="AI26" s="27"/>
    </row>
    <row r="27" spans="1:35" s="1" customFormat="1" x14ac:dyDescent="0.25">
      <c r="A27" s="3">
        <v>80</v>
      </c>
      <c r="B27" s="3" t="s">
        <v>91</v>
      </c>
      <c r="C27" s="2">
        <v>44011</v>
      </c>
      <c r="D27" s="1" t="s">
        <v>12</v>
      </c>
      <c r="E27" s="4">
        <f>Tableau14[[#This Row],[Pts_Fujiwara]]+Tableau14[[#This Row],[ HT2]]+Tableau14[[#This Row],[LCR]]+Tableau14[[#This Row],[Points_angle_p]]+Tableau14[[#This Row],[Point_Torg]]</f>
        <v>12</v>
      </c>
      <c r="F27" s="1">
        <v>0.79</v>
      </c>
      <c r="G27" s="1">
        <v>0.71</v>
      </c>
      <c r="H27" s="5">
        <v>0.89873417721518978</v>
      </c>
      <c r="I27" s="3">
        <v>1</v>
      </c>
      <c r="J27" s="1">
        <v>1.52</v>
      </c>
      <c r="K27" s="1">
        <v>0.71</v>
      </c>
      <c r="L27" s="5">
        <f t="shared" si="0"/>
        <v>0.46710526315789469</v>
      </c>
      <c r="M27" s="9">
        <f>CHOOSE(MATCH(Tableau14[[#This Row],[Fujiwara_P]],{0,0.39,0.49,1},1),3,1,0)</f>
        <v>3</v>
      </c>
      <c r="N27" s="10">
        <v>0</v>
      </c>
      <c r="O27" s="10">
        <v>1</v>
      </c>
      <c r="P27" s="1">
        <v>2.1</v>
      </c>
      <c r="Q27" s="10">
        <f>CHOOSE(MATCH(Tableau14[[#This Row],[Angle_p]],{-50,-14.9,-4.9,50},1),3,1,0)</f>
        <v>0</v>
      </c>
      <c r="R27" s="1">
        <v>1.58</v>
      </c>
      <c r="S27" s="1">
        <v>1.53</v>
      </c>
      <c r="T27" s="5">
        <f t="shared" si="1"/>
        <v>0.96835443037974678</v>
      </c>
      <c r="U27" s="10">
        <f>CHOOSE(MATCH(Tableau14[[#This Row],[Ratio_Torg]],{0,0.59,0.79,1.5},1),3,1,0)</f>
        <v>1</v>
      </c>
      <c r="V27" s="18">
        <v>1</v>
      </c>
      <c r="W27" s="7">
        <v>44091</v>
      </c>
      <c r="X27" s="3">
        <f t="shared" si="2"/>
        <v>15.74</v>
      </c>
      <c r="Y27" s="12">
        <v>15</v>
      </c>
      <c r="Z27" s="1">
        <v>4</v>
      </c>
      <c r="AA27" s="1">
        <v>3</v>
      </c>
      <c r="AB27" s="1">
        <v>2</v>
      </c>
      <c r="AC27" s="1">
        <v>1</v>
      </c>
      <c r="AD27" s="1">
        <v>2</v>
      </c>
      <c r="AE27" s="1">
        <v>3</v>
      </c>
      <c r="AF27" s="2">
        <v>43709</v>
      </c>
      <c r="AG27" s="19">
        <v>2</v>
      </c>
      <c r="AH27" s="21">
        <v>2</v>
      </c>
      <c r="AI27" s="21">
        <v>1</v>
      </c>
    </row>
    <row r="28" spans="1:35" s="1" customFormat="1" x14ac:dyDescent="0.25">
      <c r="A28" s="3">
        <v>66</v>
      </c>
      <c r="B28" s="3" t="s">
        <v>63</v>
      </c>
      <c r="C28" s="2">
        <v>43271</v>
      </c>
      <c r="D28" s="1" t="s">
        <v>9</v>
      </c>
      <c r="E28" s="4">
        <f>Tableau14[[#This Row],[Pts_Fujiwara]]+Tableau14[[#This Row],[ HT2]]+Tableau14[[#This Row],[LCR]]+Tableau14[[#This Row],[Points_angle_p]]+Tableau14[[#This Row],[Point_Torg]]</f>
        <v>8</v>
      </c>
      <c r="F28" s="1">
        <v>0.68</v>
      </c>
      <c r="G28" s="1">
        <v>0.56000000000000005</v>
      </c>
      <c r="H28" s="5">
        <v>0.82352941176470595</v>
      </c>
      <c r="I28" s="3">
        <v>1</v>
      </c>
      <c r="J28" s="1">
        <v>1.4</v>
      </c>
      <c r="K28" s="1">
        <v>0.56000000000000005</v>
      </c>
      <c r="L28" s="5">
        <f t="shared" si="0"/>
        <v>0.40000000000000008</v>
      </c>
      <c r="M28" s="9">
        <f>CHOOSE(MATCH(Tableau14[[#This Row],[Fujiwara_P]],{0,0.39,0.49,1},1),3,1,0)</f>
        <v>3</v>
      </c>
      <c r="N28" s="10">
        <v>0</v>
      </c>
      <c r="O28" s="10">
        <v>1</v>
      </c>
      <c r="P28" s="1">
        <v>2</v>
      </c>
      <c r="Q28" s="10">
        <f>CHOOSE(MATCH(Tableau14[[#This Row],[Angle_p]],{-50,-14.9,-4.9,50},1),3,1,0)</f>
        <v>0</v>
      </c>
      <c r="R28" s="1">
        <v>1.48</v>
      </c>
      <c r="S28" s="1">
        <v>1.23</v>
      </c>
      <c r="T28" s="5">
        <f t="shared" si="1"/>
        <v>0.83108108108108103</v>
      </c>
      <c r="U28" s="10">
        <f>CHOOSE(MATCH(Tableau14[[#This Row],[Ratio_Torg]],{0,0.59,0.79,1.5},1),3,1,0)</f>
        <v>1</v>
      </c>
      <c r="V28" s="19">
        <v>1</v>
      </c>
      <c r="W28" s="7">
        <v>43160</v>
      </c>
      <c r="X28" s="3">
        <f t="shared" si="2"/>
        <v>17.52</v>
      </c>
      <c r="Y28" s="12">
        <v>17</v>
      </c>
      <c r="Z28" s="1">
        <v>4</v>
      </c>
      <c r="AA28" s="1">
        <v>4</v>
      </c>
      <c r="AB28" s="1">
        <v>2</v>
      </c>
      <c r="AC28" s="1">
        <v>2</v>
      </c>
      <c r="AD28" s="1">
        <v>2</v>
      </c>
      <c r="AE28" s="1">
        <v>3</v>
      </c>
      <c r="AF28" s="2"/>
      <c r="AG28" s="19"/>
      <c r="AH28" s="21"/>
      <c r="AI28" s="21"/>
    </row>
    <row r="29" spans="1:35" s="1" customFormat="1" x14ac:dyDescent="0.25">
      <c r="A29" s="3">
        <v>72</v>
      </c>
      <c r="B29" s="3" t="s">
        <v>30</v>
      </c>
      <c r="C29" s="2">
        <v>43637</v>
      </c>
      <c r="D29" s="1" t="s">
        <v>9</v>
      </c>
      <c r="E29" s="4">
        <f>Tableau14[[#This Row],[Pts_Fujiwara]]+Tableau14[[#This Row],[ HT2]]+Tableau14[[#This Row],[LCR]]+Tableau14[[#This Row],[Points_angle_p]]+Tableau14[[#This Row],[Point_Torg]]</f>
        <v>9</v>
      </c>
      <c r="F29" s="1">
        <v>0.68</v>
      </c>
      <c r="G29" s="1">
        <v>0.49</v>
      </c>
      <c r="H29" s="5">
        <v>0.72058823529411753</v>
      </c>
      <c r="I29" s="3">
        <v>2</v>
      </c>
      <c r="J29" s="1">
        <v>1.3</v>
      </c>
      <c r="K29" s="1">
        <v>0.49</v>
      </c>
      <c r="L29" s="5">
        <f t="shared" si="0"/>
        <v>0.37692307692307692</v>
      </c>
      <c r="M29" s="9">
        <f>CHOOSE(MATCH(Tableau14[[#This Row],[Fujiwara_P]],{0,0.39,0.49,1},1),3,1,0)</f>
        <v>3</v>
      </c>
      <c r="N29" s="10">
        <v>0</v>
      </c>
      <c r="O29" s="10">
        <v>1</v>
      </c>
      <c r="P29" s="1">
        <v>2</v>
      </c>
      <c r="Q29" s="10">
        <f>CHOOSE(MATCH(Tableau14[[#This Row],[Angle_p]],{-50,-14.9,-4.9,50},1),3,1,0)</f>
        <v>0</v>
      </c>
      <c r="R29" s="1">
        <v>1.86</v>
      </c>
      <c r="S29" s="1">
        <v>1.29</v>
      </c>
      <c r="T29" s="5">
        <f t="shared" si="1"/>
        <v>0.69354838709677413</v>
      </c>
      <c r="U29" s="10">
        <f>CHOOSE(MATCH(Tableau14[[#This Row],[Ratio_Torg]],{0,0.59,0.79,1.5},1),3,1,0)</f>
        <v>1</v>
      </c>
      <c r="V29" s="19">
        <v>1</v>
      </c>
      <c r="W29" s="7">
        <v>43559</v>
      </c>
      <c r="X29" s="3">
        <f t="shared" si="2"/>
        <v>14.850000000000001</v>
      </c>
      <c r="Y29" s="12">
        <v>14</v>
      </c>
      <c r="AF29" s="2">
        <v>43402</v>
      </c>
      <c r="AG29" s="18">
        <v>3</v>
      </c>
      <c r="AH29" s="20">
        <v>1</v>
      </c>
      <c r="AI29" s="20">
        <v>3</v>
      </c>
    </row>
    <row r="30" spans="1:35" s="1" customFormat="1" x14ac:dyDescent="0.25">
      <c r="A30" s="3">
        <v>48</v>
      </c>
      <c r="B30" s="3" t="s">
        <v>100</v>
      </c>
      <c r="C30" s="2">
        <v>44313</v>
      </c>
      <c r="D30" s="1" t="s">
        <v>17</v>
      </c>
      <c r="E30" s="4">
        <f>Tableau14[[#This Row],[Pts_Fujiwara]]+Tableau14[[#This Row],[ HT2]]+Tableau14[[#This Row],[LCR]]+Tableau14[[#This Row],[Points_angle_p]]+Tableau14[[#This Row],[Point_Torg]]</f>
        <v>9</v>
      </c>
      <c r="F30" s="1">
        <v>0.74</v>
      </c>
      <c r="G30" s="1">
        <v>0.59</v>
      </c>
      <c r="H30" s="5">
        <v>0.79729729729729726</v>
      </c>
      <c r="I30" s="3">
        <v>1</v>
      </c>
      <c r="J30" s="1">
        <v>1.82</v>
      </c>
      <c r="K30" s="1">
        <v>0.59</v>
      </c>
      <c r="L30" s="5">
        <f t="shared" si="0"/>
        <v>0.32417582417582413</v>
      </c>
      <c r="M30" s="9">
        <f>CHOOSE(MATCH(Tableau14[[#This Row],[Fujiwara_P]],{0,0.39,0.49,1},1),3,1,0)</f>
        <v>3</v>
      </c>
      <c r="N30" s="10">
        <v>0</v>
      </c>
      <c r="O30" s="10">
        <v>2</v>
      </c>
      <c r="P30" s="1">
        <v>1.7</v>
      </c>
      <c r="Q30" s="10">
        <f>CHOOSE(MATCH(Tableau14[[#This Row],[Angle_p]],{-50,-14.9,-4.9,50},1),3,1,0)</f>
        <v>1</v>
      </c>
      <c r="R30" s="1">
        <v>1.41</v>
      </c>
      <c r="S30" s="1">
        <v>1.42</v>
      </c>
      <c r="T30" s="5">
        <f t="shared" si="1"/>
        <v>1.0070921985815602</v>
      </c>
      <c r="U30" s="10">
        <f>CHOOSE(MATCH(Tableau14[[#This Row],[Ratio_Torg]],{0,0.59,0.79,1.5},1),3,1,0)</f>
        <v>0</v>
      </c>
      <c r="V30" s="18">
        <v>1</v>
      </c>
      <c r="W30" s="7">
        <v>44316</v>
      </c>
      <c r="X30" s="3">
        <f t="shared" si="2"/>
        <v>17.52</v>
      </c>
      <c r="Y30" s="12">
        <v>17</v>
      </c>
      <c r="Z30" s="1">
        <v>4</v>
      </c>
      <c r="AA30" s="1">
        <v>4</v>
      </c>
      <c r="AB30" s="1">
        <v>2</v>
      </c>
      <c r="AC30" s="1">
        <v>2</v>
      </c>
      <c r="AD30" s="1">
        <v>2</v>
      </c>
      <c r="AE30" s="1">
        <v>3</v>
      </c>
      <c r="AF30" s="2"/>
      <c r="AG30" s="18"/>
      <c r="AH30" s="20"/>
      <c r="AI30" s="20"/>
    </row>
    <row r="31" spans="1:35" s="1" customFormat="1" x14ac:dyDescent="0.25">
      <c r="A31" s="3">
        <v>58</v>
      </c>
      <c r="B31" s="3" t="s">
        <v>37</v>
      </c>
      <c r="C31" s="2">
        <v>44050</v>
      </c>
      <c r="D31" s="1" t="s">
        <v>17</v>
      </c>
      <c r="E31" s="4">
        <f>Tableau14[[#This Row],[Pts_Fujiwara]]+Tableau14[[#This Row],[ HT2]]+Tableau14[[#This Row],[LCR]]+Tableau14[[#This Row],[Points_angle_p]]+Tableau14[[#This Row],[Point_Torg]]</f>
        <v>5</v>
      </c>
      <c r="F31" s="1">
        <v>0.69</v>
      </c>
      <c r="G31" s="1">
        <v>0.53</v>
      </c>
      <c r="H31" s="5">
        <v>0.76811594202898559</v>
      </c>
      <c r="I31" s="3">
        <v>2</v>
      </c>
      <c r="J31" s="1">
        <v>1.47</v>
      </c>
      <c r="K31" s="1">
        <v>0.53</v>
      </c>
      <c r="L31" s="5">
        <f t="shared" si="0"/>
        <v>0.36054421768707484</v>
      </c>
      <c r="M31" s="9">
        <f>CHOOSE(MATCH(Tableau14[[#This Row],[Fujiwara_P]],{0,0.39,0.49,1},1),3,1,0)</f>
        <v>3</v>
      </c>
      <c r="N31" s="10">
        <v>0</v>
      </c>
      <c r="O31" s="10">
        <v>1</v>
      </c>
      <c r="P31" s="1">
        <v>1</v>
      </c>
      <c r="Q31" s="10">
        <f>CHOOSE(MATCH(Tableau14[[#This Row],[Angle_p]],{-50,-14.9,-4.9,50},1),3,1,0)</f>
        <v>0</v>
      </c>
      <c r="R31" s="1">
        <v>1.4</v>
      </c>
      <c r="S31" s="1">
        <v>1.23</v>
      </c>
      <c r="T31" s="5">
        <f t="shared" si="1"/>
        <v>0.87857142857142867</v>
      </c>
      <c r="U31" s="10">
        <f>CHOOSE(MATCH(Tableau14[[#This Row],[Ratio_Torg]],{0,0.59,0.79,1.5},1),3,1,0)</f>
        <v>0</v>
      </c>
      <c r="V31" s="19">
        <v>1</v>
      </c>
      <c r="W31" s="7">
        <v>43795</v>
      </c>
      <c r="X31" s="3">
        <f t="shared" si="2"/>
        <v>17.52</v>
      </c>
      <c r="Y31" s="12">
        <v>17</v>
      </c>
      <c r="Z31" s="1">
        <v>4</v>
      </c>
      <c r="AA31" s="1">
        <v>4</v>
      </c>
      <c r="AB31" s="1">
        <v>2</v>
      </c>
      <c r="AC31" s="1">
        <v>2</v>
      </c>
      <c r="AD31" s="1">
        <v>2</v>
      </c>
      <c r="AE31" s="1">
        <v>3</v>
      </c>
      <c r="AF31" s="2">
        <v>44050</v>
      </c>
      <c r="AG31" s="19">
        <v>0</v>
      </c>
      <c r="AH31" s="21">
        <v>0</v>
      </c>
      <c r="AI31" s="21">
        <v>0</v>
      </c>
    </row>
    <row r="32" spans="1:35" s="1" customFormat="1" x14ac:dyDescent="0.25">
      <c r="A32" s="3">
        <v>55</v>
      </c>
      <c r="B32" s="3" t="s">
        <v>20</v>
      </c>
      <c r="C32" s="2">
        <v>42504</v>
      </c>
      <c r="D32" s="1" t="s">
        <v>17</v>
      </c>
      <c r="E32" s="4">
        <f>Tableau14[[#This Row],[Pts_Fujiwara]]+Tableau14[[#This Row],[ HT2]]+Tableau14[[#This Row],[LCR]]+Tableau14[[#This Row],[Points_angle_p]]+Tableau14[[#This Row],[Point_Torg]]</f>
        <v>5</v>
      </c>
      <c r="F32" s="1">
        <v>0.66</v>
      </c>
      <c r="G32" s="1">
        <v>0.62</v>
      </c>
      <c r="H32" s="5">
        <v>0.93939393939393934</v>
      </c>
      <c r="I32" s="3">
        <v>1</v>
      </c>
      <c r="J32" s="1">
        <v>1.41</v>
      </c>
      <c r="K32" s="1">
        <v>0.62</v>
      </c>
      <c r="L32" s="5">
        <f t="shared" si="0"/>
        <v>0.43971631205673761</v>
      </c>
      <c r="M32" s="9">
        <f>CHOOSE(MATCH(Tableau14[[#This Row],[Fujiwara_P]],{0,0.39,0.49,1},1),3,1,0)</f>
        <v>3</v>
      </c>
      <c r="N32" s="10">
        <v>0</v>
      </c>
      <c r="O32" s="10">
        <v>1</v>
      </c>
      <c r="P32" s="1">
        <v>1</v>
      </c>
      <c r="Q32" s="10">
        <f>CHOOSE(MATCH(Tableau14[[#This Row],[Angle_p]],{-50,-14.9,-4.9,50},1),3,1,0)</f>
        <v>1</v>
      </c>
      <c r="R32" s="1">
        <v>1.64</v>
      </c>
      <c r="S32" s="1">
        <v>1.3</v>
      </c>
      <c r="T32" s="5">
        <f t="shared" si="1"/>
        <v>0.79268292682926833</v>
      </c>
      <c r="U32" s="10">
        <f>CHOOSE(MATCH(Tableau14[[#This Row],[Ratio_Torg]],{0,0.59,0.79,1.5},1),3,1,0)</f>
        <v>1</v>
      </c>
      <c r="V32" s="18">
        <v>1</v>
      </c>
      <c r="W32" s="7">
        <v>42473</v>
      </c>
      <c r="X32" s="3">
        <f t="shared" si="2"/>
        <v>17.52</v>
      </c>
      <c r="Y32" s="12">
        <v>17</v>
      </c>
      <c r="Z32" s="1">
        <v>4</v>
      </c>
      <c r="AA32" s="1">
        <v>4</v>
      </c>
      <c r="AB32" s="1">
        <v>2</v>
      </c>
      <c r="AC32" s="1">
        <v>2</v>
      </c>
      <c r="AD32" s="1">
        <v>2</v>
      </c>
      <c r="AE32" s="1">
        <v>3</v>
      </c>
      <c r="AF32" s="2">
        <v>42461</v>
      </c>
      <c r="AG32" s="18">
        <v>0</v>
      </c>
      <c r="AH32" s="20">
        <v>0</v>
      </c>
      <c r="AI32" s="20">
        <v>0</v>
      </c>
    </row>
    <row r="33" spans="1:35" s="1" customFormat="1" x14ac:dyDescent="0.25">
      <c r="A33" s="3">
        <v>57</v>
      </c>
      <c r="B33" s="3" t="s">
        <v>40</v>
      </c>
      <c r="C33" s="2">
        <v>44120</v>
      </c>
      <c r="D33" s="1" t="s">
        <v>17</v>
      </c>
      <c r="E33" s="4">
        <f>Tableau14[[#This Row],[Pts_Fujiwara]]+Tableau14[[#This Row],[ HT2]]+Tableau14[[#This Row],[LCR]]+Tableau14[[#This Row],[Points_angle_p]]+Tableau14[[#This Row],[Point_Torg]]</f>
        <v>6</v>
      </c>
      <c r="F33" s="1">
        <v>0.56999999999999995</v>
      </c>
      <c r="G33" s="1">
        <v>0.45</v>
      </c>
      <c r="H33" s="5">
        <v>0.78947368421052644</v>
      </c>
      <c r="I33" s="3">
        <v>2</v>
      </c>
      <c r="J33" s="1">
        <v>1.35</v>
      </c>
      <c r="K33" s="1">
        <v>0.45</v>
      </c>
      <c r="L33" s="5">
        <f t="shared" ref="L33:L62" si="3">K33/J33</f>
        <v>0.33333333333333331</v>
      </c>
      <c r="M33" s="9">
        <f>CHOOSE(MATCH(Tableau14[[#This Row],[Fujiwara_P]],{0,0.39,0.49,1},1),3,1,0)</f>
        <v>3</v>
      </c>
      <c r="N33" s="10">
        <v>0</v>
      </c>
      <c r="O33" s="10">
        <v>0</v>
      </c>
      <c r="P33" s="1">
        <v>1</v>
      </c>
      <c r="Q33" s="10">
        <f>CHOOSE(MATCH(Tableau14[[#This Row],[Angle_p]],{-50,-14.9,-4.9,50},1),3,1,0)</f>
        <v>1</v>
      </c>
      <c r="R33" s="1">
        <v>1.44</v>
      </c>
      <c r="S33" s="1">
        <v>0.87</v>
      </c>
      <c r="T33" s="5">
        <f t="shared" ref="T33:T62" si="4">S33/R33</f>
        <v>0.60416666666666674</v>
      </c>
      <c r="U33" s="10">
        <f>CHOOSE(MATCH(Tableau14[[#This Row],[Ratio_Torg]],{0,0.59,0.79,1.5},1),3,1,0)</f>
        <v>1</v>
      </c>
      <c r="V33" s="18">
        <v>1</v>
      </c>
      <c r="W33" s="7">
        <v>44120</v>
      </c>
      <c r="X33" s="3">
        <f t="shared" ref="X33:X62" si="5">2.39+0.89*(Y33)</f>
        <v>17.52</v>
      </c>
      <c r="Y33" s="12">
        <v>17</v>
      </c>
      <c r="Z33" s="1">
        <v>4</v>
      </c>
      <c r="AA33" s="1">
        <v>4</v>
      </c>
      <c r="AB33" s="1">
        <v>2</v>
      </c>
      <c r="AC33" s="1">
        <v>2</v>
      </c>
      <c r="AD33" s="1">
        <v>2</v>
      </c>
      <c r="AE33" s="1">
        <v>3</v>
      </c>
      <c r="AF33" s="2">
        <v>44120</v>
      </c>
      <c r="AG33" s="18">
        <v>0</v>
      </c>
      <c r="AH33" s="20">
        <v>0</v>
      </c>
      <c r="AI33" s="20">
        <v>0</v>
      </c>
    </row>
    <row r="34" spans="1:35" s="1" customFormat="1" x14ac:dyDescent="0.25">
      <c r="A34" s="3">
        <v>51</v>
      </c>
      <c r="B34" s="3" t="s">
        <v>44</v>
      </c>
      <c r="C34" s="2">
        <v>43574</v>
      </c>
      <c r="D34" s="1" t="s">
        <v>9</v>
      </c>
      <c r="E34" s="4">
        <f>Tableau14[[#This Row],[Pts_Fujiwara]]+Tableau14[[#This Row],[ HT2]]+Tableau14[[#This Row],[LCR]]+Tableau14[[#This Row],[Points_angle_p]]+Tableau14[[#This Row],[Point_Torg]]</f>
        <v>11</v>
      </c>
      <c r="F34" s="1">
        <v>0.69</v>
      </c>
      <c r="G34" s="1">
        <v>0.64</v>
      </c>
      <c r="H34" s="5">
        <v>0.92753623188405809</v>
      </c>
      <c r="I34" s="3">
        <v>1</v>
      </c>
      <c r="J34" s="1">
        <v>1.27</v>
      </c>
      <c r="K34" s="1">
        <v>0.64</v>
      </c>
      <c r="L34" s="5">
        <f t="shared" si="3"/>
        <v>0.50393700787401574</v>
      </c>
      <c r="M34" s="9">
        <f>CHOOSE(MATCH(Tableau14[[#This Row],[Fujiwara_P]],{0,0.39,0.49,1},1),3,1,0)</f>
        <v>3</v>
      </c>
      <c r="N34" s="10">
        <v>0</v>
      </c>
      <c r="O34" s="10">
        <v>1</v>
      </c>
      <c r="P34" s="1">
        <v>0.5</v>
      </c>
      <c r="Q34" s="10">
        <f>CHOOSE(MATCH(Tableau14[[#This Row],[Angle_p]],{-50,-14.9,-4.9,50},1),3,1,0)</f>
        <v>0</v>
      </c>
      <c r="R34" s="1">
        <v>1.37</v>
      </c>
      <c r="S34" s="1">
        <v>1.17</v>
      </c>
      <c r="T34" s="5">
        <f t="shared" si="4"/>
        <v>0.85401459854014583</v>
      </c>
      <c r="U34" s="10">
        <f>CHOOSE(MATCH(Tableau14[[#This Row],[Ratio_Torg]],{0,0.59,0.79,1.5},1),3,1,0)</f>
        <v>0</v>
      </c>
      <c r="V34" s="18">
        <v>1</v>
      </c>
      <c r="W34" s="7">
        <v>43719</v>
      </c>
      <c r="X34" s="3">
        <f t="shared" si="5"/>
        <v>17.52</v>
      </c>
      <c r="Y34" s="12">
        <v>17</v>
      </c>
      <c r="Z34" s="1">
        <v>4</v>
      </c>
      <c r="AA34" s="1">
        <v>4</v>
      </c>
      <c r="AB34" s="1">
        <v>2</v>
      </c>
      <c r="AC34" s="1">
        <v>2</v>
      </c>
      <c r="AD34" s="1">
        <v>2</v>
      </c>
      <c r="AE34" s="1">
        <v>3</v>
      </c>
      <c r="AF34" s="2">
        <v>43698</v>
      </c>
      <c r="AG34" s="18">
        <v>0</v>
      </c>
      <c r="AH34" s="20">
        <v>0</v>
      </c>
      <c r="AI34" s="20"/>
    </row>
    <row r="35" spans="1:35" s="1" customFormat="1" x14ac:dyDescent="0.25">
      <c r="A35" s="3">
        <v>62</v>
      </c>
      <c r="B35" s="3" t="s">
        <v>89</v>
      </c>
      <c r="C35" s="2">
        <v>43657</v>
      </c>
      <c r="D35" s="1" t="s">
        <v>14</v>
      </c>
      <c r="E35" s="4">
        <f>Tableau14[[#This Row],[Pts_Fujiwara]]+Tableau14[[#This Row],[ HT2]]+Tableau14[[#This Row],[LCR]]+Tableau14[[#This Row],[Points_angle_p]]+Tableau14[[#This Row],[Point_Torg]]</f>
        <v>9</v>
      </c>
      <c r="F35" s="1">
        <v>0.74</v>
      </c>
      <c r="G35" s="1">
        <v>0.56999999999999995</v>
      </c>
      <c r="H35" s="5">
        <v>0.77027027027027017</v>
      </c>
      <c r="I35" s="3">
        <v>2</v>
      </c>
      <c r="J35" s="1">
        <v>1.57</v>
      </c>
      <c r="K35" s="1">
        <v>0.56999999999999995</v>
      </c>
      <c r="L35" s="5">
        <f t="shared" si="3"/>
        <v>0.36305732484076431</v>
      </c>
      <c r="M35" s="9">
        <f>CHOOSE(MATCH(Tableau14[[#This Row],[Fujiwara_P]],{0,0.39,0.49,1},1),3,1,0)</f>
        <v>3</v>
      </c>
      <c r="N35" s="10">
        <v>0</v>
      </c>
      <c r="O35" s="10">
        <v>1</v>
      </c>
      <c r="P35" s="1">
        <v>0.2</v>
      </c>
      <c r="Q35" s="10">
        <f>CHOOSE(MATCH(Tableau14[[#This Row],[Angle_p]],{-50,-14.9,-4.9,50},1),3,1,0)</f>
        <v>0</v>
      </c>
      <c r="R35" s="1">
        <v>1.73</v>
      </c>
      <c r="S35" s="1">
        <v>1.35</v>
      </c>
      <c r="T35" s="5">
        <f t="shared" si="4"/>
        <v>0.78034682080924866</v>
      </c>
      <c r="U35" s="10">
        <f>CHOOSE(MATCH(Tableau14[[#This Row],[Ratio_Torg]],{0,0.59,0.79,1.5},1),3,1,0)</f>
        <v>0</v>
      </c>
      <c r="V35" s="18">
        <v>3</v>
      </c>
      <c r="W35" s="7">
        <v>44124</v>
      </c>
      <c r="X35" s="3">
        <f t="shared" si="5"/>
        <v>15.74</v>
      </c>
      <c r="Y35" s="12">
        <v>15</v>
      </c>
      <c r="Z35" s="1">
        <v>3</v>
      </c>
      <c r="AA35" s="1">
        <v>4</v>
      </c>
      <c r="AB35" s="1">
        <v>1</v>
      </c>
      <c r="AC35" s="1">
        <v>2</v>
      </c>
      <c r="AD35" s="1">
        <v>2</v>
      </c>
      <c r="AE35" s="1">
        <v>3</v>
      </c>
      <c r="AF35" s="2">
        <v>44215</v>
      </c>
      <c r="AG35" s="19">
        <v>1</v>
      </c>
      <c r="AH35" s="21">
        <v>1</v>
      </c>
      <c r="AI35" s="21"/>
    </row>
    <row r="36" spans="1:35" s="1" customFormat="1" x14ac:dyDescent="0.25">
      <c r="A36" s="3">
        <v>78</v>
      </c>
      <c r="B36" s="3" t="s">
        <v>33</v>
      </c>
      <c r="C36" s="2">
        <v>43714</v>
      </c>
      <c r="D36" s="1" t="s">
        <v>14</v>
      </c>
      <c r="E36" s="4">
        <f>Tableau14[[#This Row],[Pts_Fujiwara]]+Tableau14[[#This Row],[ HT2]]+Tableau14[[#This Row],[LCR]]+Tableau14[[#This Row],[Points_angle_p]]+Tableau14[[#This Row],[Point_Torg]]</f>
        <v>5</v>
      </c>
      <c r="F36" s="1">
        <v>0.82</v>
      </c>
      <c r="G36" s="1">
        <v>0.67</v>
      </c>
      <c r="H36" s="5">
        <v>0.81707317073170738</v>
      </c>
      <c r="I36" s="3">
        <v>1</v>
      </c>
      <c r="J36" s="1">
        <v>1.33</v>
      </c>
      <c r="K36" s="1">
        <v>0.67</v>
      </c>
      <c r="L36" s="5">
        <f t="shared" si="3"/>
        <v>0.50375939849624063</v>
      </c>
      <c r="M36" s="9">
        <f>CHOOSE(MATCH(Tableau14[[#This Row],[Fujiwara_P]],{0,0.39,0.49,1},1),3,1,0)</f>
        <v>3</v>
      </c>
      <c r="N36" s="10">
        <v>0</v>
      </c>
      <c r="O36" s="10">
        <v>0</v>
      </c>
      <c r="P36" s="1">
        <v>0</v>
      </c>
      <c r="Q36" s="10">
        <f>CHOOSE(MATCH(Tableau14[[#This Row],[Angle_p]],{-50,-14.9,-4.9,50},1),3,1,0)</f>
        <v>1</v>
      </c>
      <c r="R36" s="1">
        <v>1.53</v>
      </c>
      <c r="S36" s="1">
        <v>1.4</v>
      </c>
      <c r="T36" s="5">
        <f t="shared" si="4"/>
        <v>0.91503267973856206</v>
      </c>
      <c r="U36" s="10">
        <f>CHOOSE(MATCH(Tableau14[[#This Row],[Ratio_Torg]],{0,0.59,0.79,1.5},1),3,1,0)</f>
        <v>0</v>
      </c>
      <c r="V36" s="18">
        <v>1</v>
      </c>
      <c r="W36" s="7">
        <v>43300</v>
      </c>
      <c r="X36" s="3">
        <f t="shared" si="5"/>
        <v>17.52</v>
      </c>
      <c r="Y36" s="12">
        <v>17</v>
      </c>
      <c r="Z36" s="1">
        <v>4</v>
      </c>
      <c r="AA36" s="1">
        <v>4</v>
      </c>
      <c r="AB36" s="1">
        <v>2</v>
      </c>
      <c r="AC36" s="1">
        <v>2</v>
      </c>
      <c r="AD36" s="1">
        <v>2</v>
      </c>
      <c r="AE36" s="1">
        <v>3</v>
      </c>
      <c r="AF36" s="2">
        <v>43714</v>
      </c>
      <c r="AG36" s="19">
        <v>0</v>
      </c>
      <c r="AH36" s="21">
        <v>0</v>
      </c>
      <c r="AI36" s="21">
        <v>0</v>
      </c>
    </row>
    <row r="37" spans="1:35" s="1" customFormat="1" x14ac:dyDescent="0.25">
      <c r="A37" s="3">
        <v>44</v>
      </c>
      <c r="B37" s="3" t="s">
        <v>13</v>
      </c>
      <c r="C37" s="2">
        <v>43650</v>
      </c>
      <c r="D37" s="1" t="s">
        <v>14</v>
      </c>
      <c r="E37" s="4">
        <f>Tableau14[[#This Row],[Pts_Fujiwara]]+Tableau14[[#This Row],[ HT2]]+Tableau14[[#This Row],[LCR]]+Tableau14[[#This Row],[Points_angle_p]]+Tableau14[[#This Row],[Point_Torg]]</f>
        <v>6</v>
      </c>
      <c r="F37" s="1">
        <v>0.81</v>
      </c>
      <c r="G37" s="1">
        <v>0.54</v>
      </c>
      <c r="H37" s="5">
        <v>0.66666666666666663</v>
      </c>
      <c r="I37" s="3">
        <v>2</v>
      </c>
      <c r="J37" s="1">
        <v>1.78</v>
      </c>
      <c r="K37" s="1">
        <v>0.54</v>
      </c>
      <c r="L37" s="5">
        <f t="shared" si="3"/>
        <v>0.30337078651685395</v>
      </c>
      <c r="M37" s="9">
        <f>CHOOSE(MATCH(Tableau14[[#This Row],[Fujiwara_P]],{0,0.39,0.49,1},1),3,1,0)</f>
        <v>3</v>
      </c>
      <c r="N37" s="10">
        <v>2</v>
      </c>
      <c r="O37" s="10">
        <v>2</v>
      </c>
      <c r="P37" s="1">
        <v>0</v>
      </c>
      <c r="Q37" s="10">
        <f>CHOOSE(MATCH(Tableau14[[#This Row],[Angle_p]],{-50,-14.9,-4.9,50},1),3,1,0)</f>
        <v>1</v>
      </c>
      <c r="R37" s="1">
        <v>1.45</v>
      </c>
      <c r="S37" s="1">
        <v>1.24</v>
      </c>
      <c r="T37" s="5">
        <f t="shared" si="4"/>
        <v>0.85517241379310349</v>
      </c>
      <c r="U37" s="10">
        <f>CHOOSE(MATCH(Tableau14[[#This Row],[Ratio_Torg]],{0,0.59,0.79,1.5},1),3,1,0)</f>
        <v>1</v>
      </c>
      <c r="V37" s="19">
        <v>1</v>
      </c>
      <c r="W37" s="7">
        <v>43791</v>
      </c>
      <c r="X37" s="3">
        <f t="shared" si="5"/>
        <v>14.850000000000001</v>
      </c>
      <c r="Y37" s="12">
        <v>14</v>
      </c>
      <c r="AF37" s="2"/>
      <c r="AG37" s="19"/>
      <c r="AH37" s="21"/>
      <c r="AI37" s="21"/>
    </row>
    <row r="38" spans="1:35" s="1" customFormat="1" x14ac:dyDescent="0.25">
      <c r="A38" s="3">
        <v>69</v>
      </c>
      <c r="B38" s="3" t="s">
        <v>35</v>
      </c>
      <c r="C38" s="2">
        <v>43966</v>
      </c>
      <c r="D38" s="1" t="s">
        <v>17</v>
      </c>
      <c r="E38" s="4">
        <f>Tableau14[[#This Row],[Pts_Fujiwara]]+Tableau14[[#This Row],[ HT2]]+Tableau14[[#This Row],[LCR]]+Tableau14[[#This Row],[Points_angle_p]]+Tableau14[[#This Row],[Point_Torg]]</f>
        <v>4</v>
      </c>
      <c r="F38" s="1">
        <v>0.68</v>
      </c>
      <c r="G38" s="1">
        <v>0.55000000000000004</v>
      </c>
      <c r="H38" s="5">
        <v>0.80882352941176472</v>
      </c>
      <c r="I38" s="3">
        <v>1</v>
      </c>
      <c r="J38" s="1">
        <v>1.53</v>
      </c>
      <c r="K38" s="1">
        <v>0.55000000000000004</v>
      </c>
      <c r="L38" s="5">
        <f t="shared" si="3"/>
        <v>0.35947712418300654</v>
      </c>
      <c r="M38" s="9">
        <f>CHOOSE(MATCH(Tableau14[[#This Row],[Fujiwara_P]],{0,0.39,0.49,1},1),3,1,0)</f>
        <v>3</v>
      </c>
      <c r="N38" s="10">
        <v>0</v>
      </c>
      <c r="O38" s="10">
        <v>1</v>
      </c>
      <c r="P38" s="1">
        <v>0</v>
      </c>
      <c r="Q38" s="10">
        <f>CHOOSE(MATCH(Tableau14[[#This Row],[Angle_p]],{-50,-14.9,-4.9,50},1),3,1,0)</f>
        <v>0</v>
      </c>
      <c r="R38" s="1">
        <v>1.61</v>
      </c>
      <c r="S38" s="1">
        <v>1.31</v>
      </c>
      <c r="T38" s="5">
        <f t="shared" si="4"/>
        <v>0.81366459627329191</v>
      </c>
      <c r="U38" s="10">
        <f>CHOOSE(MATCH(Tableau14[[#This Row],[Ratio_Torg]],{0,0.59,0.79,1.5},1),3,1,0)</f>
        <v>1</v>
      </c>
      <c r="V38" s="18">
        <v>1</v>
      </c>
      <c r="W38" s="7">
        <v>43978</v>
      </c>
      <c r="X38" s="3">
        <f t="shared" si="5"/>
        <v>16.63</v>
      </c>
      <c r="Y38" s="12">
        <v>16</v>
      </c>
      <c r="AF38" s="2">
        <v>43994</v>
      </c>
      <c r="AG38" s="19">
        <v>2</v>
      </c>
      <c r="AH38" s="21">
        <v>1</v>
      </c>
      <c r="AI38" s="21">
        <v>0</v>
      </c>
    </row>
    <row r="39" spans="1:35" s="1" customFormat="1" x14ac:dyDescent="0.25">
      <c r="A39" s="3">
        <v>71</v>
      </c>
      <c r="B39" s="3" t="s">
        <v>53</v>
      </c>
      <c r="C39" s="2">
        <v>43329</v>
      </c>
      <c r="D39" s="1" t="s">
        <v>14</v>
      </c>
      <c r="E39" s="4">
        <f>Tableau14[[#This Row],[Pts_Fujiwara]]+Tableau14[[#This Row],[ HT2]]+Tableau14[[#This Row],[LCR]]+Tableau14[[#This Row],[Points_angle_p]]+Tableau14[[#This Row],[Point_Torg]]</f>
        <v>4</v>
      </c>
      <c r="F39" s="1">
        <v>0.71</v>
      </c>
      <c r="G39" s="1">
        <v>0.56000000000000005</v>
      </c>
      <c r="H39" s="5">
        <v>0.78873239436619724</v>
      </c>
      <c r="I39" s="3">
        <v>2</v>
      </c>
      <c r="J39" s="1">
        <v>1.25</v>
      </c>
      <c r="K39" s="1">
        <v>0.56000000000000005</v>
      </c>
      <c r="L39" s="5">
        <f t="shared" si="3"/>
        <v>0.44800000000000006</v>
      </c>
      <c r="M39" s="9">
        <f>CHOOSE(MATCH(Tableau14[[#This Row],[Fujiwara_P]],{0,0.39,0.49,1},1),3,1,0)</f>
        <v>3</v>
      </c>
      <c r="N39" s="10">
        <v>4</v>
      </c>
      <c r="O39" s="10">
        <v>2</v>
      </c>
      <c r="P39" s="1">
        <v>0</v>
      </c>
      <c r="Q39" s="10">
        <f>CHOOSE(MATCH(Tableau14[[#This Row],[Angle_p]],{-50,-14.9,-4.9,50},1),3,1,0)</f>
        <v>0</v>
      </c>
      <c r="R39" s="1">
        <v>1.48</v>
      </c>
      <c r="S39" s="1">
        <v>1.2</v>
      </c>
      <c r="T39" s="5">
        <f t="shared" si="4"/>
        <v>0.81081081081081074</v>
      </c>
      <c r="U39" s="10">
        <f>CHOOSE(MATCH(Tableau14[[#This Row],[Ratio_Torg]],{0,0.59,0.79,1.5},1),3,1,0)</f>
        <v>0</v>
      </c>
      <c r="V39" s="18">
        <v>2</v>
      </c>
      <c r="W39" s="7">
        <v>43272</v>
      </c>
      <c r="X39" s="3">
        <f t="shared" si="5"/>
        <v>14.850000000000001</v>
      </c>
      <c r="Y39" s="12">
        <v>14</v>
      </c>
      <c r="AF39" s="2">
        <v>43329</v>
      </c>
      <c r="AG39" s="19">
        <v>3</v>
      </c>
      <c r="AH39" s="21"/>
      <c r="AI39" s="21">
        <v>3</v>
      </c>
    </row>
    <row r="40" spans="1:35" s="1" customFormat="1" x14ac:dyDescent="0.25">
      <c r="A40" s="3">
        <v>55</v>
      </c>
      <c r="B40" s="3" t="s">
        <v>16</v>
      </c>
      <c r="C40" s="2">
        <v>43829</v>
      </c>
      <c r="D40" s="1" t="s">
        <v>17</v>
      </c>
      <c r="E40" s="4">
        <f>Tableau14[[#This Row],[Pts_Fujiwara]]+Tableau14[[#This Row],[ HT2]]+Tableau14[[#This Row],[LCR]]+Tableau14[[#This Row],[Points_angle_p]]+Tableau14[[#This Row],[Point_Torg]]</f>
        <v>9</v>
      </c>
      <c r="F40" s="1">
        <v>0.71</v>
      </c>
      <c r="G40" s="1">
        <v>0.51</v>
      </c>
      <c r="H40" s="5">
        <v>0.71830985915492962</v>
      </c>
      <c r="I40" s="3">
        <v>2</v>
      </c>
      <c r="J40" s="1">
        <v>1.26</v>
      </c>
      <c r="K40" s="1">
        <v>0.51</v>
      </c>
      <c r="L40" s="5">
        <f t="shared" si="3"/>
        <v>0.40476190476190477</v>
      </c>
      <c r="M40" s="9">
        <f>CHOOSE(MATCH(Tableau14[[#This Row],[Fujiwara_P]],{0,0.39,0.49,1},1),3,1,0)</f>
        <v>3</v>
      </c>
      <c r="N40" s="10">
        <v>0</v>
      </c>
      <c r="O40" s="10">
        <v>1</v>
      </c>
      <c r="P40" s="1">
        <v>0</v>
      </c>
      <c r="Q40" s="10">
        <f>CHOOSE(MATCH(Tableau14[[#This Row],[Angle_p]],{-50,-14.9,-4.9,50},1),3,1,0)</f>
        <v>0</v>
      </c>
      <c r="R40" s="1">
        <v>1.53</v>
      </c>
      <c r="S40" s="1">
        <v>1.1399999999999999</v>
      </c>
      <c r="T40" s="5">
        <f t="shared" si="4"/>
        <v>0.74509803921568618</v>
      </c>
      <c r="U40" s="10">
        <f>CHOOSE(MATCH(Tableau14[[#This Row],[Ratio_Torg]],{0,0.59,0.79,1.5},1),3,1,0)</f>
        <v>0</v>
      </c>
      <c r="V40" s="19">
        <v>1</v>
      </c>
      <c r="W40" s="7">
        <v>44095</v>
      </c>
      <c r="X40" s="3">
        <f t="shared" si="5"/>
        <v>16.63</v>
      </c>
      <c r="Y40" s="12">
        <v>16</v>
      </c>
      <c r="AF40" s="2">
        <v>43970</v>
      </c>
      <c r="AG40" s="19">
        <v>0</v>
      </c>
      <c r="AH40" s="21">
        <v>0</v>
      </c>
      <c r="AI40" s="21"/>
    </row>
    <row r="41" spans="1:35" s="1" customFormat="1" x14ac:dyDescent="0.25">
      <c r="A41" s="3">
        <v>80</v>
      </c>
      <c r="B41" s="3" t="s">
        <v>81</v>
      </c>
      <c r="C41" s="2">
        <v>43815</v>
      </c>
      <c r="D41" s="1" t="s">
        <v>14</v>
      </c>
      <c r="E41" s="4">
        <f>Tableau14[[#This Row],[Pts_Fujiwara]]+Tableau14[[#This Row],[ HT2]]+Tableau14[[#This Row],[LCR]]+Tableau14[[#This Row],[Points_angle_p]]+Tableau14[[#This Row],[Point_Torg]]</f>
        <v>7</v>
      </c>
      <c r="F41" s="1">
        <v>0.66</v>
      </c>
      <c r="G41" s="1">
        <v>0.56000000000000005</v>
      </c>
      <c r="H41" s="5">
        <v>0.84848484848484851</v>
      </c>
      <c r="I41" s="3">
        <v>1</v>
      </c>
      <c r="J41" s="1">
        <v>1.27</v>
      </c>
      <c r="K41" s="1">
        <v>0.56000000000000005</v>
      </c>
      <c r="L41" s="5">
        <f t="shared" si="3"/>
        <v>0.44094488188976383</v>
      </c>
      <c r="M41" s="9">
        <f>CHOOSE(MATCH(Tableau14[[#This Row],[Fujiwara_P]],{0,0.39,0.49,1},1),3,1,0)</f>
        <v>3</v>
      </c>
      <c r="N41" s="10">
        <v>2</v>
      </c>
      <c r="O41" s="10">
        <v>2</v>
      </c>
      <c r="P41" s="1">
        <v>0</v>
      </c>
      <c r="Q41" s="10">
        <f>CHOOSE(MATCH(Tableau14[[#This Row],[Angle_p]],{-50,-14.9,-4.9,50},1),3,1,0)</f>
        <v>0</v>
      </c>
      <c r="R41" s="1">
        <v>1.86</v>
      </c>
      <c r="S41" s="1">
        <v>1.37</v>
      </c>
      <c r="T41" s="5">
        <f t="shared" si="4"/>
        <v>0.73655913978494625</v>
      </c>
      <c r="U41" s="10">
        <f>CHOOSE(MATCH(Tableau14[[#This Row],[Ratio_Torg]],{0,0.59,0.79,1.5},1),3,1,0)</f>
        <v>1</v>
      </c>
      <c r="V41" s="19">
        <v>2</v>
      </c>
      <c r="W41" s="7">
        <v>43858</v>
      </c>
      <c r="X41" s="3">
        <f t="shared" si="5"/>
        <v>15.74</v>
      </c>
      <c r="Y41" s="12">
        <v>15</v>
      </c>
      <c r="Z41" s="1">
        <v>4</v>
      </c>
      <c r="AA41" s="1">
        <v>3</v>
      </c>
      <c r="AB41" s="1">
        <v>1</v>
      </c>
      <c r="AC41" s="1">
        <v>2</v>
      </c>
      <c r="AD41" s="1">
        <v>2</v>
      </c>
      <c r="AE41" s="1">
        <v>3</v>
      </c>
      <c r="AF41" s="2"/>
      <c r="AG41" s="19"/>
      <c r="AH41" s="21"/>
      <c r="AI41" s="21"/>
    </row>
    <row r="42" spans="1:35" s="1" customFormat="1" x14ac:dyDescent="0.25">
      <c r="A42" s="3">
        <v>77</v>
      </c>
      <c r="B42" s="3" t="s">
        <v>42</v>
      </c>
      <c r="C42" s="2">
        <v>43437</v>
      </c>
      <c r="D42" s="1" t="s">
        <v>14</v>
      </c>
      <c r="E42" s="4">
        <f>Tableau14[[#This Row],[Pts_Fujiwara]]+Tableau14[[#This Row],[ HT2]]+Tableau14[[#This Row],[LCR]]+Tableau14[[#This Row],[Points_angle_p]]+Tableau14[[#This Row],[Point_Torg]]</f>
        <v>5</v>
      </c>
      <c r="F42" s="1">
        <v>0.68</v>
      </c>
      <c r="G42" s="1">
        <v>0.38</v>
      </c>
      <c r="H42" s="5">
        <v>0.55882352941176472</v>
      </c>
      <c r="I42" s="3">
        <v>4</v>
      </c>
      <c r="J42" s="1">
        <v>1.2</v>
      </c>
      <c r="K42" s="1">
        <v>0.38</v>
      </c>
      <c r="L42" s="5">
        <f t="shared" si="3"/>
        <v>0.31666666666666671</v>
      </c>
      <c r="M42" s="9">
        <f>CHOOSE(MATCH(Tableau14[[#This Row],[Fujiwara_P]],{0,0.39,0.49,1},1),3,1,0)</f>
        <v>3</v>
      </c>
      <c r="N42" s="10">
        <v>4</v>
      </c>
      <c r="O42" s="10">
        <v>1</v>
      </c>
      <c r="P42" s="1">
        <v>0</v>
      </c>
      <c r="Q42" s="10">
        <f>CHOOSE(MATCH(Tableau14[[#This Row],[Angle_p]],{-50,-14.9,-4.9,50},1),3,1,0)</f>
        <v>0</v>
      </c>
      <c r="R42" s="1">
        <v>1.75</v>
      </c>
      <c r="S42" s="1">
        <v>1.06</v>
      </c>
      <c r="T42" s="5">
        <f t="shared" si="4"/>
        <v>0.60571428571428576</v>
      </c>
      <c r="U42" s="10">
        <f>CHOOSE(MATCH(Tableau14[[#This Row],[Ratio_Torg]],{0,0.59,0.79,1.5},1),3,1,0)</f>
        <v>1</v>
      </c>
      <c r="V42" s="19">
        <v>1</v>
      </c>
      <c r="W42" s="7">
        <v>43517</v>
      </c>
      <c r="X42" s="3">
        <f t="shared" si="5"/>
        <v>15.74</v>
      </c>
      <c r="Y42" s="12">
        <v>15</v>
      </c>
      <c r="AF42" s="2">
        <v>43710</v>
      </c>
      <c r="AG42" s="18">
        <v>2</v>
      </c>
      <c r="AH42" s="20">
        <v>2</v>
      </c>
      <c r="AI42" s="20">
        <v>2</v>
      </c>
    </row>
    <row r="43" spans="1:35" s="1" customFormat="1" x14ac:dyDescent="0.25">
      <c r="A43" s="3">
        <v>52</v>
      </c>
      <c r="B43" s="3" t="s">
        <v>105</v>
      </c>
      <c r="C43" s="2">
        <v>43165</v>
      </c>
      <c r="D43" s="1" t="s">
        <v>14</v>
      </c>
      <c r="E43" s="4">
        <f>Tableau14[[#This Row],[Pts_Fujiwara]]+Tableau14[[#This Row],[ HT2]]+Tableau14[[#This Row],[LCR]]+Tableau14[[#This Row],[Points_angle_p]]+Tableau14[[#This Row],[Point_Torg]]</f>
        <v>10</v>
      </c>
      <c r="F43" s="1">
        <v>0.57999999999999996</v>
      </c>
      <c r="G43" s="1">
        <v>0.4</v>
      </c>
      <c r="H43" s="5">
        <v>0.68965517241379315</v>
      </c>
      <c r="I43" s="3">
        <v>2</v>
      </c>
      <c r="J43" s="1">
        <v>1.45</v>
      </c>
      <c r="K43" s="1">
        <v>0.4</v>
      </c>
      <c r="L43" s="5">
        <f t="shared" si="3"/>
        <v>0.27586206896551724</v>
      </c>
      <c r="M43" s="9">
        <f>CHOOSE(MATCH(Tableau14[[#This Row],[Fujiwara_P]],{0,0.39,0.49,1},1),3,1,0)</f>
        <v>3</v>
      </c>
      <c r="N43" s="10">
        <v>2</v>
      </c>
      <c r="O43" s="10">
        <v>1</v>
      </c>
      <c r="P43" s="1">
        <v>-1</v>
      </c>
      <c r="Q43" s="10">
        <f>CHOOSE(MATCH(Tableau14[[#This Row],[Angle_p]],{-50,-14.9,-4.9,50},1),3,1,0)</f>
        <v>0</v>
      </c>
      <c r="R43" s="1">
        <v>1.74</v>
      </c>
      <c r="S43" s="1">
        <v>1.41</v>
      </c>
      <c r="T43" s="5">
        <f t="shared" si="4"/>
        <v>0.81034482758620685</v>
      </c>
      <c r="U43" s="10">
        <f>CHOOSE(MATCH(Tableau14[[#This Row],[Ratio_Torg]],{0,0.59,0.79,1.5},1),3,1,0)</f>
        <v>1</v>
      </c>
      <c r="V43" s="18">
        <v>2</v>
      </c>
      <c r="W43" s="7">
        <v>43423</v>
      </c>
      <c r="X43" s="3">
        <f t="shared" si="5"/>
        <v>15.74</v>
      </c>
      <c r="Y43" s="12">
        <v>15</v>
      </c>
      <c r="Z43" s="1">
        <v>4</v>
      </c>
      <c r="AA43" s="1">
        <v>3</v>
      </c>
      <c r="AB43" s="1">
        <v>2</v>
      </c>
      <c r="AC43" s="1">
        <v>1</v>
      </c>
      <c r="AD43" s="1">
        <v>2</v>
      </c>
      <c r="AE43" s="1">
        <v>3</v>
      </c>
      <c r="AF43" s="2">
        <v>43482</v>
      </c>
      <c r="AG43" s="22">
        <v>2</v>
      </c>
      <c r="AH43" s="23">
        <v>2</v>
      </c>
      <c r="AI43" s="23">
        <v>1</v>
      </c>
    </row>
    <row r="44" spans="1:35" s="1" customFormat="1" x14ac:dyDescent="0.25">
      <c r="A44" s="3">
        <v>76</v>
      </c>
      <c r="B44" s="3" t="s">
        <v>36</v>
      </c>
      <c r="C44" s="2">
        <v>44036</v>
      </c>
      <c r="D44" s="1" t="s">
        <v>17</v>
      </c>
      <c r="E44" s="4">
        <f>Tableau14[[#This Row],[Pts_Fujiwara]]+Tableau14[[#This Row],[ HT2]]+Tableau14[[#This Row],[LCR]]+Tableau14[[#This Row],[Points_angle_p]]+Tableau14[[#This Row],[Point_Torg]]</f>
        <v>7</v>
      </c>
      <c r="F44" s="1">
        <v>0.6</v>
      </c>
      <c r="G44" s="1">
        <v>0.48</v>
      </c>
      <c r="H44" s="5">
        <v>0.8</v>
      </c>
      <c r="I44" s="3">
        <v>1</v>
      </c>
      <c r="J44" s="1">
        <v>1.6</v>
      </c>
      <c r="K44" s="1">
        <v>0.48</v>
      </c>
      <c r="L44" s="5">
        <f t="shared" si="3"/>
        <v>0.3</v>
      </c>
      <c r="M44" s="9">
        <f>CHOOSE(MATCH(Tableau14[[#This Row],[Fujiwara_P]],{0,0.39,0.49,1},1),3,1,0)</f>
        <v>3</v>
      </c>
      <c r="N44" s="10">
        <v>0</v>
      </c>
      <c r="O44" s="10">
        <v>1</v>
      </c>
      <c r="P44" s="1">
        <v>-1</v>
      </c>
      <c r="Q44" s="10">
        <f>CHOOSE(MATCH(Tableau14[[#This Row],[Angle_p]],{-50,-14.9,-4.9,50},1),3,1,0)</f>
        <v>0</v>
      </c>
      <c r="R44" s="1">
        <v>1.27</v>
      </c>
      <c r="S44" s="1">
        <v>1.02</v>
      </c>
      <c r="T44" s="5">
        <f t="shared" si="4"/>
        <v>0.80314960629921262</v>
      </c>
      <c r="U44" s="10">
        <f>CHOOSE(MATCH(Tableau14[[#This Row],[Ratio_Torg]],{0,0.59,0.79,1.5},1),3,1,0)</f>
        <v>0</v>
      </c>
      <c r="V44" s="19">
        <v>3</v>
      </c>
      <c r="W44" s="7">
        <v>43748</v>
      </c>
      <c r="X44" s="3">
        <f t="shared" si="5"/>
        <v>17.52</v>
      </c>
      <c r="Y44" s="12">
        <v>17</v>
      </c>
      <c r="Z44" s="1">
        <v>4</v>
      </c>
      <c r="AA44" s="1">
        <v>4</v>
      </c>
      <c r="AB44" s="1">
        <v>2</v>
      </c>
      <c r="AC44" s="1">
        <v>2</v>
      </c>
      <c r="AD44" s="1">
        <v>2</v>
      </c>
      <c r="AE44" s="1">
        <v>3</v>
      </c>
      <c r="AF44" s="2">
        <v>44036</v>
      </c>
      <c r="AG44" s="18">
        <v>0</v>
      </c>
      <c r="AH44" s="20">
        <v>0</v>
      </c>
      <c r="AI44" s="20">
        <v>0</v>
      </c>
    </row>
    <row r="45" spans="1:35" s="1" customFormat="1" x14ac:dyDescent="0.25">
      <c r="A45" s="3">
        <v>28</v>
      </c>
      <c r="B45" s="3" t="s">
        <v>73</v>
      </c>
      <c r="C45" s="2">
        <v>43146</v>
      </c>
      <c r="D45" s="1" t="s">
        <v>12</v>
      </c>
      <c r="E45" s="4">
        <f>Tableau14[[#This Row],[Pts_Fujiwara]]+Tableau14[[#This Row],[ HT2]]+Tableau14[[#This Row],[LCR]]+Tableau14[[#This Row],[Points_angle_p]]+Tableau14[[#This Row],[Point_Torg]]</f>
        <v>5</v>
      </c>
      <c r="F45" s="1">
        <v>0.76</v>
      </c>
      <c r="G45" s="1">
        <v>0.55000000000000004</v>
      </c>
      <c r="H45" s="5">
        <v>0.72368421052631582</v>
      </c>
      <c r="I45" s="3">
        <v>2</v>
      </c>
      <c r="J45" s="1">
        <v>1.64</v>
      </c>
      <c r="K45" s="1">
        <v>0.55000000000000004</v>
      </c>
      <c r="L45" s="5">
        <f t="shared" si="3"/>
        <v>0.33536585365853661</v>
      </c>
      <c r="M45" s="9">
        <f>CHOOSE(MATCH(Tableau14[[#This Row],[Fujiwara_P]],{0,0.39,0.49,1},1),3,1,0)</f>
        <v>3</v>
      </c>
      <c r="N45" s="10">
        <v>0</v>
      </c>
      <c r="O45" s="10">
        <v>1</v>
      </c>
      <c r="P45" s="1">
        <v>-2.8</v>
      </c>
      <c r="Q45" s="10">
        <f>CHOOSE(MATCH(Tableau14[[#This Row],[Angle_p]],{-50,-14.9,-4.9,50},1),3,1,0)</f>
        <v>1</v>
      </c>
      <c r="R45" s="1">
        <v>1.52</v>
      </c>
      <c r="S45" s="1">
        <v>1.31</v>
      </c>
      <c r="T45" s="5">
        <f t="shared" si="4"/>
        <v>0.86184210526315796</v>
      </c>
      <c r="U45" s="10">
        <f>CHOOSE(MATCH(Tableau14[[#This Row],[Ratio_Torg]],{0,0.59,0.79,1.5},1),3,1,0)</f>
        <v>0</v>
      </c>
      <c r="V45" s="18">
        <v>1</v>
      </c>
      <c r="W45" s="7">
        <v>43292</v>
      </c>
      <c r="X45" s="3">
        <f t="shared" si="5"/>
        <v>17.52</v>
      </c>
      <c r="Y45" s="12">
        <v>17</v>
      </c>
      <c r="Z45" s="1">
        <v>4</v>
      </c>
      <c r="AA45" s="1">
        <v>4</v>
      </c>
      <c r="AB45" s="1">
        <v>2</v>
      </c>
      <c r="AC45" s="1">
        <v>2</v>
      </c>
      <c r="AD45" s="1">
        <v>2</v>
      </c>
      <c r="AE45" s="1">
        <v>3</v>
      </c>
      <c r="AF45" s="2"/>
      <c r="AG45" s="41" t="e">
        <f>STDEVPA(#REF!,#REF!)</f>
        <v>#REF!</v>
      </c>
      <c r="AH45" s="42" t="e">
        <f>AVERAGE(#REF!,#REF!)</f>
        <v>#REF!</v>
      </c>
      <c r="AI45" s="21"/>
    </row>
    <row r="46" spans="1:35" s="1" customFormat="1" x14ac:dyDescent="0.25">
      <c r="A46" s="3">
        <v>57</v>
      </c>
      <c r="B46" s="3" t="s">
        <v>61</v>
      </c>
      <c r="C46" s="2">
        <v>43117</v>
      </c>
      <c r="D46" s="1" t="s">
        <v>17</v>
      </c>
      <c r="E46" s="4">
        <f>Tableau14[[#This Row],[Pts_Fujiwara]]+Tableau14[[#This Row],[ HT2]]+Tableau14[[#This Row],[LCR]]+Tableau14[[#This Row],[Points_angle_p]]+Tableau14[[#This Row],[Point_Torg]]</f>
        <v>10</v>
      </c>
      <c r="F46" s="1">
        <v>0.62</v>
      </c>
      <c r="G46" s="1">
        <v>0.56999999999999995</v>
      </c>
      <c r="H46" s="5">
        <v>0.91935483870967738</v>
      </c>
      <c r="I46" s="3">
        <v>1</v>
      </c>
      <c r="J46" s="1">
        <v>1.32</v>
      </c>
      <c r="K46" s="1">
        <v>0.56999999999999995</v>
      </c>
      <c r="L46" s="5">
        <f t="shared" si="3"/>
        <v>0.43181818181818177</v>
      </c>
      <c r="M46" s="9">
        <f>CHOOSE(MATCH(Tableau14[[#This Row],[Fujiwara_P]],{0,0.39,0.49,1},1),3,1,0)</f>
        <v>3</v>
      </c>
      <c r="N46" s="10">
        <v>0</v>
      </c>
      <c r="O46" s="10">
        <v>1</v>
      </c>
      <c r="P46" s="1">
        <v>-3.3</v>
      </c>
      <c r="Q46" s="10">
        <f>CHOOSE(MATCH(Tableau14[[#This Row],[Angle_p]],{-50,-14.9,-4.9,50},1),3,1,0)</f>
        <v>1</v>
      </c>
      <c r="R46" s="1">
        <v>1.68</v>
      </c>
      <c r="S46" s="1">
        <v>1.06</v>
      </c>
      <c r="T46" s="5">
        <f t="shared" si="4"/>
        <v>0.63095238095238104</v>
      </c>
      <c r="U46" s="10">
        <f>CHOOSE(MATCH(Tableau14[[#This Row],[Ratio_Torg]],{0,0.59,0.79,1.5},1),3,1,0)</f>
        <v>3</v>
      </c>
      <c r="V46" s="18">
        <v>1</v>
      </c>
      <c r="W46" s="7">
        <v>43193</v>
      </c>
      <c r="X46" s="3">
        <f t="shared" si="5"/>
        <v>16.63</v>
      </c>
      <c r="Y46" s="12">
        <v>16</v>
      </c>
      <c r="Z46" s="1">
        <v>4</v>
      </c>
      <c r="AA46" s="1">
        <v>4</v>
      </c>
      <c r="AB46" s="1">
        <v>1</v>
      </c>
      <c r="AC46" s="1">
        <v>2</v>
      </c>
      <c r="AD46" s="1">
        <v>2</v>
      </c>
      <c r="AE46" s="1">
        <v>3</v>
      </c>
      <c r="AF46" s="2"/>
      <c r="AG46" s="41" t="e">
        <f>STDEVPA(#REF!,#REF!)</f>
        <v>#REF!</v>
      </c>
      <c r="AH46" s="42" t="e">
        <f>AVERAGE(#REF!,#REF!)</f>
        <v>#REF!</v>
      </c>
      <c r="AI46" s="21"/>
    </row>
    <row r="47" spans="1:35" s="1" customFormat="1" x14ac:dyDescent="0.25">
      <c r="A47" s="3">
        <v>59</v>
      </c>
      <c r="B47" s="3" t="s">
        <v>48</v>
      </c>
      <c r="C47" s="2">
        <v>43290</v>
      </c>
      <c r="D47" s="1" t="s">
        <v>9</v>
      </c>
      <c r="E47" s="4">
        <f>Tableau14[[#This Row],[Pts_Fujiwara]]+Tableau14[[#This Row],[ HT2]]+Tableau14[[#This Row],[LCR]]+Tableau14[[#This Row],[Points_angle_p]]+Tableau14[[#This Row],[Point_Torg]]</f>
        <v>4</v>
      </c>
      <c r="F47" s="1">
        <v>0.6</v>
      </c>
      <c r="G47" s="1">
        <v>0.43</v>
      </c>
      <c r="H47" s="5">
        <v>0.71666666666666667</v>
      </c>
      <c r="I47" s="3">
        <v>2</v>
      </c>
      <c r="J47" s="1">
        <v>1.1599999999999999</v>
      </c>
      <c r="K47" s="1">
        <v>0.43</v>
      </c>
      <c r="L47" s="5">
        <f t="shared" si="3"/>
        <v>0.37068965517241381</v>
      </c>
      <c r="M47" s="9">
        <f>CHOOSE(MATCH(Tableau14[[#This Row],[Fujiwara_P]],{0,0.39,0.49,1},1),3,1,0)</f>
        <v>3</v>
      </c>
      <c r="N47" s="10">
        <v>4</v>
      </c>
      <c r="O47" s="10">
        <v>2</v>
      </c>
      <c r="P47" s="1">
        <v>-4</v>
      </c>
      <c r="Q47" s="10">
        <f>CHOOSE(MATCH(Tableau14[[#This Row],[Angle_p]],{-50,-14.9,-4.9,50},1),3,1,0)</f>
        <v>0</v>
      </c>
      <c r="R47" s="1">
        <v>1.82</v>
      </c>
      <c r="S47" s="1">
        <v>1.08</v>
      </c>
      <c r="T47" s="5">
        <f t="shared" si="4"/>
        <v>0.59340659340659341</v>
      </c>
      <c r="U47" s="10">
        <f>CHOOSE(MATCH(Tableau14[[#This Row],[Ratio_Torg]],{0,0.59,0.79,1.5},1),3,1,0)</f>
        <v>0</v>
      </c>
      <c r="V47" s="19">
        <v>2</v>
      </c>
      <c r="W47" s="7">
        <v>43396</v>
      </c>
      <c r="X47" s="3">
        <f t="shared" si="5"/>
        <v>14.850000000000001</v>
      </c>
      <c r="Y47" s="12">
        <v>14</v>
      </c>
      <c r="AF47" s="2">
        <v>43374</v>
      </c>
      <c r="AG47" s="18">
        <v>2</v>
      </c>
      <c r="AH47" s="20">
        <v>2</v>
      </c>
      <c r="AI47" s="20"/>
    </row>
    <row r="48" spans="1:35" s="1" customFormat="1" x14ac:dyDescent="0.25">
      <c r="A48" s="3">
        <v>66</v>
      </c>
      <c r="B48" s="3" t="s">
        <v>102</v>
      </c>
      <c r="C48" s="2">
        <v>43797</v>
      </c>
      <c r="D48" s="1" t="s">
        <v>9</v>
      </c>
      <c r="E48" s="4">
        <f>Tableau14[[#This Row],[Pts_Fujiwara]]+Tableau14[[#This Row],[ HT2]]+Tableau14[[#This Row],[LCR]]+Tableau14[[#This Row],[Points_angle_p]]+Tableau14[[#This Row],[Point_Torg]]</f>
        <v>4</v>
      </c>
      <c r="F48" s="1">
        <v>0.62</v>
      </c>
      <c r="G48" s="1">
        <v>0.49</v>
      </c>
      <c r="H48" s="5">
        <v>0.79032258064516125</v>
      </c>
      <c r="I48" s="3">
        <v>1</v>
      </c>
      <c r="J48" s="1">
        <v>1.2</v>
      </c>
      <c r="K48" s="1">
        <v>0.49</v>
      </c>
      <c r="L48" s="5">
        <f t="shared" si="3"/>
        <v>0.40833333333333333</v>
      </c>
      <c r="M48" s="9">
        <f>CHOOSE(MATCH(Tableau14[[#This Row],[Fujiwara_P]],{0,0.39,0.49,1},1),3,1,0)</f>
        <v>3</v>
      </c>
      <c r="N48" s="10">
        <v>2</v>
      </c>
      <c r="O48" s="10">
        <v>4</v>
      </c>
      <c r="P48" s="1">
        <v>-4</v>
      </c>
      <c r="Q48" s="10">
        <f>CHOOSE(MATCH(Tableau14[[#This Row],[Angle_p]],{-50,-14.9,-4.9,50},1),3,1,0)</f>
        <v>0</v>
      </c>
      <c r="R48" s="1">
        <v>1.84</v>
      </c>
      <c r="S48" s="1">
        <v>1.07</v>
      </c>
      <c r="T48" s="5">
        <f t="shared" si="4"/>
        <v>0.58152173913043481</v>
      </c>
      <c r="U48" s="10">
        <f>CHOOSE(MATCH(Tableau14[[#This Row],[Ratio_Torg]],{0,0.59,0.79,1.5},1),3,1,0)</f>
        <v>0</v>
      </c>
      <c r="V48" s="19">
        <v>2</v>
      </c>
      <c r="W48" s="7">
        <v>43836</v>
      </c>
      <c r="X48" s="3">
        <f t="shared" si="5"/>
        <v>15.74</v>
      </c>
      <c r="Y48" s="12">
        <v>15</v>
      </c>
      <c r="Z48" s="1">
        <v>3</v>
      </c>
      <c r="AA48" s="1">
        <v>4</v>
      </c>
      <c r="AB48" s="1">
        <v>1</v>
      </c>
      <c r="AC48" s="1">
        <v>2</v>
      </c>
      <c r="AD48" s="1">
        <v>2</v>
      </c>
      <c r="AE48" s="1">
        <v>3</v>
      </c>
      <c r="AF48" s="2">
        <v>44074</v>
      </c>
      <c r="AG48" s="19">
        <v>2</v>
      </c>
      <c r="AH48" s="21">
        <v>1</v>
      </c>
      <c r="AI48" s="21">
        <v>2</v>
      </c>
    </row>
    <row r="49" spans="1:35" s="1" customFormat="1" x14ac:dyDescent="0.25">
      <c r="A49" s="3">
        <v>58</v>
      </c>
      <c r="B49" s="3" t="s">
        <v>76</v>
      </c>
      <c r="C49" s="2">
        <v>42664</v>
      </c>
      <c r="D49" s="1" t="s">
        <v>14</v>
      </c>
      <c r="E49" s="4">
        <f>Tableau14[[#This Row],[Pts_Fujiwara]]+Tableau14[[#This Row],[ HT2]]+Tableau14[[#This Row],[LCR]]+Tableau14[[#This Row],[Points_angle_p]]+Tableau14[[#This Row],[Point_Torg]]</f>
        <v>5</v>
      </c>
      <c r="F49" s="1">
        <v>0.77</v>
      </c>
      <c r="G49" s="1">
        <v>0.4</v>
      </c>
      <c r="H49" s="5">
        <v>0.51948051948051954</v>
      </c>
      <c r="I49" s="3">
        <v>4</v>
      </c>
      <c r="J49" s="1">
        <v>1.77</v>
      </c>
      <c r="K49" s="1">
        <v>0.4</v>
      </c>
      <c r="L49" s="5">
        <f t="shared" si="3"/>
        <v>0.22598870056497175</v>
      </c>
      <c r="M49" s="9">
        <f>CHOOSE(MATCH(Tableau14[[#This Row],[Fujiwara_P]],{0,0.39,0.49,1},1),3,1,0)</f>
        <v>3</v>
      </c>
      <c r="N49" s="10">
        <v>2</v>
      </c>
      <c r="O49" s="10">
        <v>4</v>
      </c>
      <c r="P49" s="1">
        <v>-5</v>
      </c>
      <c r="Q49" s="10">
        <f>CHOOSE(MATCH(Tableau14[[#This Row],[Angle_p]],{-50,-14.9,-4.9,50},1),3,1,0)</f>
        <v>0</v>
      </c>
      <c r="R49" s="1">
        <v>1.63</v>
      </c>
      <c r="S49" s="1">
        <v>1.1000000000000001</v>
      </c>
      <c r="T49" s="5">
        <f t="shared" si="4"/>
        <v>0.67484662576687127</v>
      </c>
      <c r="U49" s="10">
        <f>CHOOSE(MATCH(Tableau14[[#This Row],[Ratio_Torg]],{0,0.59,0.79,1.5},1),3,1,0)</f>
        <v>1</v>
      </c>
      <c r="V49" s="18">
        <v>2</v>
      </c>
      <c r="W49" s="7">
        <v>42684</v>
      </c>
      <c r="X49" s="3">
        <f t="shared" si="5"/>
        <v>14.850000000000001</v>
      </c>
      <c r="Y49" s="12">
        <v>14</v>
      </c>
      <c r="Z49" s="8">
        <v>3</v>
      </c>
      <c r="AA49" s="1">
        <v>4</v>
      </c>
      <c r="AB49" s="1">
        <v>1</v>
      </c>
      <c r="AC49" s="1">
        <v>2</v>
      </c>
      <c r="AD49" s="1">
        <v>2</v>
      </c>
      <c r="AE49" s="1">
        <v>2</v>
      </c>
      <c r="AF49" s="2"/>
      <c r="AG49" s="18"/>
      <c r="AH49" s="20"/>
      <c r="AI49" s="20"/>
    </row>
    <row r="50" spans="1:35" s="1" customFormat="1" x14ac:dyDescent="0.25">
      <c r="A50" s="3">
        <v>54</v>
      </c>
      <c r="B50" s="3" t="s">
        <v>70</v>
      </c>
      <c r="C50" s="2">
        <v>43336</v>
      </c>
      <c r="D50" s="1" t="s">
        <v>17</v>
      </c>
      <c r="E50" s="4">
        <f>Tableau14[[#This Row],[Pts_Fujiwara]]+Tableau14[[#This Row],[ HT2]]+Tableau14[[#This Row],[LCR]]+Tableau14[[#This Row],[Points_angle_p]]+Tableau14[[#This Row],[Point_Torg]]</f>
        <v>10</v>
      </c>
      <c r="F50" s="1">
        <v>0.78</v>
      </c>
      <c r="G50" s="1">
        <v>0.7</v>
      </c>
      <c r="H50" s="5">
        <v>0.89743589743589736</v>
      </c>
      <c r="I50" s="3">
        <v>1</v>
      </c>
      <c r="J50" s="1">
        <v>1.38</v>
      </c>
      <c r="K50" s="1">
        <v>0.7</v>
      </c>
      <c r="L50" s="5">
        <f t="shared" si="3"/>
        <v>0.50724637681159424</v>
      </c>
      <c r="M50" s="9">
        <f>CHOOSE(MATCH(Tableau14[[#This Row],[Fujiwara_P]],{0,0.39,0.49,1},1),3,1,0)</f>
        <v>3</v>
      </c>
      <c r="N50" s="10">
        <v>0</v>
      </c>
      <c r="O50" s="10">
        <v>0</v>
      </c>
      <c r="P50" s="1">
        <v>-5.5</v>
      </c>
      <c r="Q50" s="10">
        <f>CHOOSE(MATCH(Tableau14[[#This Row],[Angle_p]],{-50,-14.9,-4.9,50},1),3,1,0)</f>
        <v>0</v>
      </c>
      <c r="R50" s="1">
        <v>1.72</v>
      </c>
      <c r="S50" s="1">
        <v>1.55</v>
      </c>
      <c r="T50" s="5">
        <f t="shared" si="4"/>
        <v>0.90116279069767447</v>
      </c>
      <c r="U50" s="10">
        <f>CHOOSE(MATCH(Tableau14[[#This Row],[Ratio_Torg]],{0,0.59,0.79,1.5},1),3,1,0)</f>
        <v>1</v>
      </c>
      <c r="V50" s="18">
        <v>1</v>
      </c>
      <c r="W50" s="7">
        <v>43291</v>
      </c>
      <c r="X50" s="3">
        <f t="shared" si="5"/>
        <v>17.52</v>
      </c>
      <c r="Y50" s="12">
        <v>17</v>
      </c>
      <c r="Z50" s="1">
        <v>4</v>
      </c>
      <c r="AA50" s="1">
        <v>4</v>
      </c>
      <c r="AB50" s="1">
        <v>2</v>
      </c>
      <c r="AC50" s="1">
        <v>2</v>
      </c>
      <c r="AD50" s="1">
        <v>2</v>
      </c>
      <c r="AE50" s="1">
        <v>3</v>
      </c>
      <c r="AF50" s="2"/>
      <c r="AG50" s="43" t="e">
        <f>STDEVPA(#REF!,#REF!)</f>
        <v>#REF!</v>
      </c>
      <c r="AH50" s="44" t="e">
        <f>AVERAGE(#REF!,#REF!)</f>
        <v>#REF!</v>
      </c>
      <c r="AI50" s="20"/>
    </row>
    <row r="51" spans="1:35" s="1" customFormat="1" x14ac:dyDescent="0.25">
      <c r="A51" s="3">
        <v>68</v>
      </c>
      <c r="B51" s="3" t="s">
        <v>80</v>
      </c>
      <c r="C51" s="2">
        <v>44235</v>
      </c>
      <c r="D51" s="1" t="s">
        <v>9</v>
      </c>
      <c r="E51" s="4">
        <f>Tableau14[[#This Row],[Pts_Fujiwara]]+Tableau14[[#This Row],[ HT2]]+Tableau14[[#This Row],[LCR]]+Tableau14[[#This Row],[Points_angle_p]]+Tableau14[[#This Row],[Point_Torg]]</f>
        <v>10</v>
      </c>
      <c r="F51" s="1">
        <v>0.57999999999999996</v>
      </c>
      <c r="G51" s="1">
        <v>0.42</v>
      </c>
      <c r="H51" s="5">
        <v>0.72413793103448276</v>
      </c>
      <c r="I51" s="3">
        <v>2</v>
      </c>
      <c r="J51" s="1">
        <v>1.3</v>
      </c>
      <c r="K51" s="1">
        <v>0.42</v>
      </c>
      <c r="L51" s="5">
        <f t="shared" si="3"/>
        <v>0.32307692307692304</v>
      </c>
      <c r="M51" s="9">
        <f>CHOOSE(MATCH(Tableau14[[#This Row],[Fujiwara_P]],{0,0.39,0.49,1},1),3,1,0)</f>
        <v>3</v>
      </c>
      <c r="N51" s="10">
        <v>4</v>
      </c>
      <c r="O51" s="10">
        <v>1</v>
      </c>
      <c r="P51" s="1">
        <v>-5.5</v>
      </c>
      <c r="Q51" s="10">
        <f>CHOOSE(MATCH(Tableau14[[#This Row],[Angle_p]],{-50,-14.9,-4.9,50},1),3,1,0)</f>
        <v>0</v>
      </c>
      <c r="R51" s="1">
        <v>1.59</v>
      </c>
      <c r="S51" s="1">
        <v>1.3</v>
      </c>
      <c r="T51" s="5">
        <f t="shared" si="4"/>
        <v>0.8176100628930818</v>
      </c>
      <c r="U51" s="10">
        <f>CHOOSE(MATCH(Tableau14[[#This Row],[Ratio_Torg]],{0,0.59,0.79,1.5},1),3,1,0)</f>
        <v>1</v>
      </c>
      <c r="V51" s="19">
        <v>3</v>
      </c>
      <c r="W51" s="7">
        <v>44243</v>
      </c>
      <c r="X51" s="3">
        <f t="shared" si="5"/>
        <v>14.850000000000001</v>
      </c>
      <c r="Y51" s="12">
        <v>14</v>
      </c>
      <c r="Z51" s="1">
        <v>3</v>
      </c>
      <c r="AA51" s="1">
        <v>3</v>
      </c>
      <c r="AB51" s="1">
        <v>1</v>
      </c>
      <c r="AC51" s="1">
        <v>2</v>
      </c>
      <c r="AD51" s="1">
        <v>2</v>
      </c>
      <c r="AE51" s="1">
        <v>3</v>
      </c>
      <c r="AF51" s="2">
        <v>44334</v>
      </c>
      <c r="AG51" s="18">
        <v>3</v>
      </c>
      <c r="AH51" s="20">
        <v>3</v>
      </c>
      <c r="AI51" s="20">
        <v>2</v>
      </c>
    </row>
    <row r="52" spans="1:35" s="1" customFormat="1" x14ac:dyDescent="0.25">
      <c r="A52" s="3">
        <v>59</v>
      </c>
      <c r="B52" s="3" t="s">
        <v>77</v>
      </c>
      <c r="C52" s="2">
        <v>44313</v>
      </c>
      <c r="D52" s="1" t="s">
        <v>17</v>
      </c>
      <c r="E52" s="4">
        <f>Tableau14[[#This Row],[Pts_Fujiwara]]+Tableau14[[#This Row],[ HT2]]+Tableau14[[#This Row],[LCR]]+Tableau14[[#This Row],[Points_angle_p]]+Tableau14[[#This Row],[Point_Torg]]</f>
        <v>10</v>
      </c>
      <c r="F52" s="1">
        <v>0.78</v>
      </c>
      <c r="G52" s="1">
        <v>0.42</v>
      </c>
      <c r="H52" s="5">
        <v>0.53846153846153844</v>
      </c>
      <c r="I52" s="3">
        <v>4</v>
      </c>
      <c r="J52" s="1">
        <v>1.6</v>
      </c>
      <c r="K52" s="1">
        <v>0.42</v>
      </c>
      <c r="L52" s="5">
        <f t="shared" si="3"/>
        <v>0.26249999999999996</v>
      </c>
      <c r="M52" s="9">
        <f>CHOOSE(MATCH(Tableau14[[#This Row],[Fujiwara_P]],{0,0.39,0.49,1},1),3,1,0)</f>
        <v>3</v>
      </c>
      <c r="N52" s="10">
        <v>2</v>
      </c>
      <c r="O52" s="10">
        <v>4</v>
      </c>
      <c r="P52" s="1">
        <v>-6</v>
      </c>
      <c r="Q52" s="10">
        <f>CHOOSE(MATCH(Tableau14[[#This Row],[Angle_p]],{-50,-14.9,-4.9,50},1),3,1,0)</f>
        <v>0</v>
      </c>
      <c r="R52" s="1">
        <v>1.45</v>
      </c>
      <c r="S52" s="1">
        <v>1.42</v>
      </c>
      <c r="T52" s="5">
        <f t="shared" si="4"/>
        <v>0.97931034482758617</v>
      </c>
      <c r="U52" s="10">
        <f>CHOOSE(MATCH(Tableau14[[#This Row],[Ratio_Torg]],{0,0.59,0.79,1.5},1),3,1,0)</f>
        <v>1</v>
      </c>
      <c r="V52" s="18">
        <v>1</v>
      </c>
      <c r="W52" s="7">
        <v>44343</v>
      </c>
      <c r="X52" s="3">
        <f t="shared" si="5"/>
        <v>14.850000000000001</v>
      </c>
      <c r="Y52" s="12">
        <v>14</v>
      </c>
      <c r="AF52" s="2"/>
      <c r="AG52" s="41" t="e">
        <f>STDEVPA(#REF!,#REF!)</f>
        <v>#REF!</v>
      </c>
      <c r="AH52" s="42" t="e">
        <f>AVERAGE(#REF!,#REF!)</f>
        <v>#REF!</v>
      </c>
      <c r="AI52" s="21"/>
    </row>
    <row r="53" spans="1:35" s="1" customFormat="1" x14ac:dyDescent="0.25">
      <c r="A53" s="3">
        <v>43</v>
      </c>
      <c r="B53" s="3" t="s">
        <v>26</v>
      </c>
      <c r="C53" s="2">
        <v>43483</v>
      </c>
      <c r="D53" s="1" t="s">
        <v>17</v>
      </c>
      <c r="E53" s="4">
        <f>Tableau14[[#This Row],[Pts_Fujiwara]]+Tableau14[[#This Row],[ HT2]]+Tableau14[[#This Row],[LCR]]+Tableau14[[#This Row],[Points_angle_p]]+Tableau14[[#This Row],[Point_Torg]]</f>
        <v>7</v>
      </c>
      <c r="F53" s="1">
        <v>0.79</v>
      </c>
      <c r="G53" s="1">
        <v>0.54</v>
      </c>
      <c r="H53" s="5">
        <v>0.68354430379746833</v>
      </c>
      <c r="I53" s="3">
        <v>2</v>
      </c>
      <c r="J53" s="1">
        <v>1.51</v>
      </c>
      <c r="K53" s="1">
        <v>0.54</v>
      </c>
      <c r="L53" s="5">
        <f t="shared" si="3"/>
        <v>0.35761589403973509</v>
      </c>
      <c r="M53" s="9">
        <f>CHOOSE(MATCH(Tableau14[[#This Row],[Fujiwara_P]],{0,0.39,0.49,1},1),3,1,0)</f>
        <v>3</v>
      </c>
      <c r="N53" s="10">
        <v>0</v>
      </c>
      <c r="O53" s="10">
        <v>1</v>
      </c>
      <c r="P53" s="1">
        <v>-6</v>
      </c>
      <c r="Q53" s="10">
        <f>CHOOSE(MATCH(Tableau14[[#This Row],[Angle_p]],{-50,-14.9,-4.9,50},1),3,1,0)</f>
        <v>0</v>
      </c>
      <c r="R53" s="1">
        <v>1.29</v>
      </c>
      <c r="S53" s="1">
        <v>1.21</v>
      </c>
      <c r="T53" s="5">
        <f t="shared" si="4"/>
        <v>0.93798449612403101</v>
      </c>
      <c r="U53" s="10">
        <f>CHOOSE(MATCH(Tableau14[[#This Row],[Ratio_Torg]],{0,0.59,0.79,1.5},1),3,1,0)</f>
        <v>1</v>
      </c>
      <c r="V53" s="19">
        <v>2</v>
      </c>
      <c r="W53" s="7">
        <v>43500</v>
      </c>
      <c r="X53" s="3">
        <f t="shared" si="5"/>
        <v>17.52</v>
      </c>
      <c r="Y53" s="12">
        <v>17</v>
      </c>
      <c r="Z53" s="1">
        <v>4</v>
      </c>
      <c r="AA53" s="1">
        <v>4</v>
      </c>
      <c r="AB53" s="1">
        <v>2</v>
      </c>
      <c r="AC53" s="1">
        <v>2</v>
      </c>
      <c r="AD53" s="1">
        <v>2</v>
      </c>
      <c r="AE53" s="1">
        <v>3</v>
      </c>
      <c r="AF53" s="2">
        <v>43483</v>
      </c>
      <c r="AG53" s="28">
        <v>0</v>
      </c>
      <c r="AH53" s="29">
        <v>0</v>
      </c>
      <c r="AI53" s="29">
        <v>0</v>
      </c>
    </row>
    <row r="54" spans="1:35" s="1" customFormat="1" x14ac:dyDescent="0.25">
      <c r="A54" s="3">
        <v>50</v>
      </c>
      <c r="B54" s="3" t="s">
        <v>45</v>
      </c>
      <c r="C54" s="2">
        <v>43349</v>
      </c>
      <c r="D54" s="1" t="s">
        <v>14</v>
      </c>
      <c r="E54" s="4">
        <f>Tableau14[[#This Row],[Pts_Fujiwara]]+Tableau14[[#This Row],[ HT2]]+Tableau14[[#This Row],[LCR]]+Tableau14[[#This Row],[Points_angle_p]]+Tableau14[[#This Row],[Point_Torg]]</f>
        <v>5</v>
      </c>
      <c r="F54" s="1">
        <v>0.54</v>
      </c>
      <c r="G54" s="1">
        <v>0.49</v>
      </c>
      <c r="H54" s="5">
        <v>0.90740740740740733</v>
      </c>
      <c r="I54" s="3">
        <v>1</v>
      </c>
      <c r="J54" s="1">
        <v>1.5</v>
      </c>
      <c r="K54" s="1">
        <v>0.49</v>
      </c>
      <c r="L54" s="5">
        <f t="shared" si="3"/>
        <v>0.32666666666666666</v>
      </c>
      <c r="M54" s="9">
        <f>CHOOSE(MATCH(Tableau14[[#This Row],[Fujiwara_P]],{0,0.39,0.49,1},1),3,1,0)</f>
        <v>3</v>
      </c>
      <c r="N54" s="10">
        <v>0</v>
      </c>
      <c r="O54" s="10">
        <v>0</v>
      </c>
      <c r="P54" s="1">
        <v>-6</v>
      </c>
      <c r="Q54" s="10">
        <f>CHOOSE(MATCH(Tableau14[[#This Row],[Angle_p]],{-50,-14.9,-4.9,50},1),3,1,0)</f>
        <v>0</v>
      </c>
      <c r="R54" s="1">
        <v>1.39</v>
      </c>
      <c r="S54" s="1">
        <v>1.04</v>
      </c>
      <c r="T54" s="5">
        <f t="shared" si="4"/>
        <v>0.74820143884892099</v>
      </c>
      <c r="U54" s="10">
        <f>CHOOSE(MATCH(Tableau14[[#This Row],[Ratio_Torg]],{0,0.59,0.79,1.5},1),3,1,0)</f>
        <v>1</v>
      </c>
      <c r="V54" s="19">
        <v>2</v>
      </c>
      <c r="W54" s="7">
        <v>43467</v>
      </c>
      <c r="X54" s="3">
        <f t="shared" si="5"/>
        <v>17.52</v>
      </c>
      <c r="Y54" s="12">
        <v>17</v>
      </c>
      <c r="Z54" s="1">
        <v>4</v>
      </c>
      <c r="AA54" s="1">
        <v>4</v>
      </c>
      <c r="AB54" s="1">
        <v>2</v>
      </c>
      <c r="AC54" s="1">
        <v>2</v>
      </c>
      <c r="AD54" s="1">
        <v>2</v>
      </c>
      <c r="AE54" s="1">
        <v>3</v>
      </c>
      <c r="AF54" s="2">
        <v>43567</v>
      </c>
      <c r="AG54" s="19">
        <v>0</v>
      </c>
      <c r="AH54" s="21">
        <v>0</v>
      </c>
      <c r="AI54" s="21">
        <v>0</v>
      </c>
    </row>
    <row r="55" spans="1:35" s="1" customFormat="1" x14ac:dyDescent="0.25">
      <c r="A55" s="3">
        <v>71</v>
      </c>
      <c r="B55" s="3" t="s">
        <v>39</v>
      </c>
      <c r="C55" s="2">
        <v>44062</v>
      </c>
      <c r="D55" s="1" t="s">
        <v>17</v>
      </c>
      <c r="E55" s="4">
        <f>Tableau14[[#This Row],[Pts_Fujiwara]]+Tableau14[[#This Row],[ HT2]]+Tableau14[[#This Row],[LCR]]+Tableau14[[#This Row],[Points_angle_p]]+Tableau14[[#This Row],[Point_Torg]]</f>
        <v>5</v>
      </c>
      <c r="F55" s="1">
        <v>0.66</v>
      </c>
      <c r="G55" s="1">
        <v>0.42</v>
      </c>
      <c r="H55" s="5">
        <v>0.63636363636363635</v>
      </c>
      <c r="I55" s="3">
        <v>2</v>
      </c>
      <c r="J55" s="1">
        <v>1.28</v>
      </c>
      <c r="K55" s="1">
        <v>0.42</v>
      </c>
      <c r="L55" s="5">
        <f t="shared" si="3"/>
        <v>0.328125</v>
      </c>
      <c r="M55" s="9">
        <f>CHOOSE(MATCH(Tableau14[[#This Row],[Fujiwara_P]],{0,0.39,0.49,1},1),3,1,0)</f>
        <v>3</v>
      </c>
      <c r="N55" s="10">
        <v>0</v>
      </c>
      <c r="O55" s="10">
        <v>1</v>
      </c>
      <c r="P55" s="1">
        <v>-6</v>
      </c>
      <c r="Q55" s="10">
        <f>CHOOSE(MATCH(Tableau14[[#This Row],[Angle_p]],{-50,-14.9,-4.9,50},1),3,1,0)</f>
        <v>0</v>
      </c>
      <c r="R55" s="1">
        <v>1.55</v>
      </c>
      <c r="S55" s="1">
        <v>1.01</v>
      </c>
      <c r="T55" s="5">
        <f t="shared" si="4"/>
        <v>0.65161290322580645</v>
      </c>
      <c r="U55" s="10">
        <f>CHOOSE(MATCH(Tableau14[[#This Row],[Ratio_Torg]],{0,0.59,0.79,1.5},1),3,1,0)</f>
        <v>0</v>
      </c>
      <c r="V55" s="18">
        <v>3</v>
      </c>
      <c r="W55" s="7">
        <v>44088</v>
      </c>
      <c r="X55" s="3">
        <f t="shared" si="5"/>
        <v>17.52</v>
      </c>
      <c r="Y55" s="12">
        <v>17</v>
      </c>
      <c r="Z55" s="1">
        <v>4</v>
      </c>
      <c r="AA55" s="1">
        <v>4</v>
      </c>
      <c r="AB55" s="1">
        <v>2</v>
      </c>
      <c r="AC55" s="1">
        <v>2</v>
      </c>
      <c r="AD55" s="1">
        <v>2</v>
      </c>
      <c r="AE55" s="1">
        <v>3</v>
      </c>
      <c r="AF55" s="2">
        <v>44099</v>
      </c>
      <c r="AG55" s="24">
        <v>0</v>
      </c>
      <c r="AH55" s="25">
        <v>0</v>
      </c>
      <c r="AI55" s="25">
        <v>0</v>
      </c>
    </row>
    <row r="56" spans="1:35" s="1" customFormat="1" x14ac:dyDescent="0.25">
      <c r="A56" s="3">
        <v>56</v>
      </c>
      <c r="B56" s="3" t="s">
        <v>34</v>
      </c>
      <c r="C56" s="2">
        <v>43657</v>
      </c>
      <c r="D56" s="1" t="s">
        <v>9</v>
      </c>
      <c r="E56" s="4">
        <f>Tableau14[[#This Row],[Pts_Fujiwara]]+Tableau14[[#This Row],[ HT2]]+Tableau14[[#This Row],[LCR]]+Tableau14[[#This Row],[Points_angle_p]]+Tableau14[[#This Row],[Point_Torg]]</f>
        <v>10</v>
      </c>
      <c r="F56" s="1">
        <v>0.77</v>
      </c>
      <c r="G56" s="1">
        <v>0.66</v>
      </c>
      <c r="H56" s="5">
        <v>0.85714285714285721</v>
      </c>
      <c r="I56" s="3">
        <v>1</v>
      </c>
      <c r="J56" s="1">
        <v>1.4</v>
      </c>
      <c r="K56" s="1">
        <v>0.66</v>
      </c>
      <c r="L56" s="5">
        <f t="shared" si="3"/>
        <v>0.47142857142857147</v>
      </c>
      <c r="M56" s="9">
        <f>CHOOSE(MATCH(Tableau14[[#This Row],[Fujiwara_P]],{0,0.39,0.49,1},1),3,1,0)</f>
        <v>3</v>
      </c>
      <c r="N56" s="10">
        <v>0</v>
      </c>
      <c r="O56" s="10">
        <v>1</v>
      </c>
      <c r="P56" s="1">
        <v>-7</v>
      </c>
      <c r="Q56" s="10">
        <f>CHOOSE(MATCH(Tableau14[[#This Row],[Angle_p]],{-50,-14.9,-4.9,50},1),3,1,0)</f>
        <v>0</v>
      </c>
      <c r="R56" s="1">
        <v>1.54</v>
      </c>
      <c r="S56" s="1">
        <v>1.1299999999999999</v>
      </c>
      <c r="T56" s="5">
        <f t="shared" si="4"/>
        <v>0.73376623376623373</v>
      </c>
      <c r="U56" s="10">
        <f>CHOOSE(MATCH(Tableau14[[#This Row],[Ratio_Torg]],{0,0.59,0.79,1.5},1),3,1,0)</f>
        <v>1</v>
      </c>
      <c r="V56" s="19">
        <v>1</v>
      </c>
      <c r="W56" s="7">
        <v>43699</v>
      </c>
      <c r="X56" s="3">
        <f t="shared" si="5"/>
        <v>16.63</v>
      </c>
      <c r="Y56" s="12">
        <v>16</v>
      </c>
      <c r="AF56" s="2">
        <v>43756</v>
      </c>
      <c r="AG56" s="28">
        <v>0</v>
      </c>
      <c r="AH56" s="29">
        <v>0</v>
      </c>
      <c r="AI56" s="29">
        <v>0</v>
      </c>
    </row>
    <row r="57" spans="1:35" s="1" customFormat="1" x14ac:dyDescent="0.25">
      <c r="A57" s="3">
        <v>53</v>
      </c>
      <c r="B57" s="3" t="s">
        <v>57</v>
      </c>
      <c r="C57" s="2">
        <v>43090</v>
      </c>
      <c r="D57" s="1" t="s">
        <v>9</v>
      </c>
      <c r="E57" s="4">
        <f>Tableau14[[#This Row],[Pts_Fujiwara]]+Tableau14[[#This Row],[ HT2]]+Tableau14[[#This Row],[LCR]]+Tableau14[[#This Row],[Points_angle_p]]+Tableau14[[#This Row],[Point_Torg]]</f>
        <v>7</v>
      </c>
      <c r="F57" s="1">
        <v>0.7</v>
      </c>
      <c r="G57" s="1">
        <v>0.55000000000000004</v>
      </c>
      <c r="H57" s="5">
        <v>0.78571428571428581</v>
      </c>
      <c r="I57" s="3">
        <v>2</v>
      </c>
      <c r="J57" s="1">
        <v>1.35</v>
      </c>
      <c r="K57" s="1">
        <v>0.55000000000000004</v>
      </c>
      <c r="L57" s="5">
        <f t="shared" si="3"/>
        <v>0.40740740740740744</v>
      </c>
      <c r="M57" s="9">
        <f>CHOOSE(MATCH(Tableau14[[#This Row],[Fujiwara_P]],{0,0.39,0.49,1},1),3,1,0)</f>
        <v>3</v>
      </c>
      <c r="N57" s="10">
        <v>0</v>
      </c>
      <c r="O57" s="10">
        <v>0</v>
      </c>
      <c r="P57" s="1">
        <v>-8</v>
      </c>
      <c r="Q57" s="10">
        <f>CHOOSE(MATCH(Tableau14[[#This Row],[Angle_p]],{-50,-14.9,-4.9,50},1),3,1,0)</f>
        <v>0</v>
      </c>
      <c r="R57" s="1">
        <v>1.58</v>
      </c>
      <c r="S57" s="1">
        <v>1.1100000000000001</v>
      </c>
      <c r="T57" s="5">
        <f t="shared" si="4"/>
        <v>0.70253164556962033</v>
      </c>
      <c r="U57" s="10">
        <f>CHOOSE(MATCH(Tableau14[[#This Row],[Ratio_Torg]],{0,0.59,0.79,1.5},1),3,1,0)</f>
        <v>0</v>
      </c>
      <c r="V57" s="18">
        <v>1</v>
      </c>
      <c r="W57" s="7">
        <v>43130</v>
      </c>
      <c r="X57" s="3">
        <f t="shared" si="5"/>
        <v>17.52</v>
      </c>
      <c r="Y57" s="12">
        <v>17</v>
      </c>
      <c r="Z57" s="1">
        <v>4</v>
      </c>
      <c r="AA57" s="1">
        <v>4</v>
      </c>
      <c r="AB57" s="1">
        <v>2</v>
      </c>
      <c r="AC57" s="1">
        <v>2</v>
      </c>
      <c r="AD57" s="1">
        <v>2</v>
      </c>
      <c r="AE57" s="1">
        <v>3</v>
      </c>
      <c r="AF57" s="2"/>
      <c r="AG57" s="19"/>
      <c r="AH57" s="21"/>
      <c r="AI57" s="21"/>
    </row>
    <row r="58" spans="1:35" s="1" customFormat="1" x14ac:dyDescent="0.25">
      <c r="A58" s="3">
        <v>70</v>
      </c>
      <c r="B58" s="3" t="s">
        <v>29</v>
      </c>
      <c r="C58" s="2">
        <v>43782</v>
      </c>
      <c r="D58" s="1" t="s">
        <v>9</v>
      </c>
      <c r="E58" s="4">
        <f>Tableau14[[#This Row],[Pts_Fujiwara]]+Tableau14[[#This Row],[ HT2]]+Tableau14[[#This Row],[LCR]]+Tableau14[[#This Row],[Points_angle_p]]+Tableau14[[#This Row],[Point_Torg]]</f>
        <v>8</v>
      </c>
      <c r="F58" s="1">
        <v>0.68</v>
      </c>
      <c r="G58" s="1">
        <v>0.44</v>
      </c>
      <c r="H58" s="5">
        <v>0.64705882352941169</v>
      </c>
      <c r="I58" s="3">
        <v>2</v>
      </c>
      <c r="J58" s="1">
        <v>1.32</v>
      </c>
      <c r="K58" s="1">
        <v>0.44</v>
      </c>
      <c r="L58" s="5">
        <f t="shared" si="3"/>
        <v>0.33333333333333331</v>
      </c>
      <c r="M58" s="9">
        <f>CHOOSE(MATCH(Tableau14[[#This Row],[Fujiwara_P]],{0,0.39,0.49,1},1),3,1,0)</f>
        <v>3</v>
      </c>
      <c r="N58" s="10">
        <v>0</v>
      </c>
      <c r="O58" s="10">
        <v>1</v>
      </c>
      <c r="P58" s="1">
        <v>-8</v>
      </c>
      <c r="Q58" s="10">
        <f>CHOOSE(MATCH(Tableau14[[#This Row],[Angle_p]],{-50,-14.9,-4.9,50},1),3,1,0)</f>
        <v>0</v>
      </c>
      <c r="R58" s="1">
        <v>2.5299999999999998</v>
      </c>
      <c r="S58" s="1">
        <v>1.57</v>
      </c>
      <c r="T58" s="5">
        <f t="shared" si="4"/>
        <v>0.62055335968379455</v>
      </c>
      <c r="U58" s="10">
        <f>CHOOSE(MATCH(Tableau14[[#This Row],[Ratio_Torg]],{0,0.59,0.79,1.5},1),3,1,0)</f>
        <v>1</v>
      </c>
      <c r="V58" s="18">
        <v>2</v>
      </c>
      <c r="W58" s="7">
        <v>43544</v>
      </c>
      <c r="X58" s="3">
        <f t="shared" si="5"/>
        <v>15.74</v>
      </c>
      <c r="Y58" s="12">
        <v>15</v>
      </c>
      <c r="AF58" s="2">
        <v>43588</v>
      </c>
      <c r="AG58" s="24">
        <v>0</v>
      </c>
      <c r="AH58" s="25">
        <v>0</v>
      </c>
      <c r="AI58" s="25">
        <v>0</v>
      </c>
    </row>
    <row r="59" spans="1:35" s="1" customFormat="1" x14ac:dyDescent="0.25">
      <c r="A59" s="3">
        <v>45</v>
      </c>
      <c r="B59" s="3" t="s">
        <v>54</v>
      </c>
      <c r="C59" s="2">
        <v>43424</v>
      </c>
      <c r="D59" s="1" t="s">
        <v>17</v>
      </c>
      <c r="E59" s="4">
        <f>Tableau14[[#This Row],[Pts_Fujiwara]]+Tableau14[[#This Row],[ HT2]]+Tableau14[[#This Row],[LCR]]+Tableau14[[#This Row],[Points_angle_p]]+Tableau14[[#This Row],[Point_Torg]]</f>
        <v>3</v>
      </c>
      <c r="F59" s="1">
        <v>0.78</v>
      </c>
      <c r="G59" s="1">
        <v>0.46</v>
      </c>
      <c r="H59" s="5">
        <v>0.58974358974358976</v>
      </c>
      <c r="I59" s="3">
        <v>4</v>
      </c>
      <c r="J59" s="1">
        <v>1.28</v>
      </c>
      <c r="K59" s="1">
        <v>0.46</v>
      </c>
      <c r="L59" s="5">
        <f t="shared" si="3"/>
        <v>0.359375</v>
      </c>
      <c r="M59" s="9">
        <f>CHOOSE(MATCH(Tableau14[[#This Row],[Fujiwara_P]],{0,0.39,0.49,1},1),3,1,0)</f>
        <v>1</v>
      </c>
      <c r="N59" s="10">
        <v>2</v>
      </c>
      <c r="O59" s="10">
        <v>1</v>
      </c>
      <c r="P59" s="1">
        <v>-9</v>
      </c>
      <c r="Q59" s="10">
        <f>CHOOSE(MATCH(Tableau14[[#This Row],[Angle_p]],{-50,-14.9,-4.9,50},1),3,1,0)</f>
        <v>1</v>
      </c>
      <c r="R59" s="1">
        <v>1.8</v>
      </c>
      <c r="S59" s="1">
        <v>0.96</v>
      </c>
      <c r="T59" s="5">
        <f t="shared" si="4"/>
        <v>0.53333333333333333</v>
      </c>
      <c r="U59" s="10">
        <f>CHOOSE(MATCH(Tableau14[[#This Row],[Ratio_Torg]],{0,0.59,0.79,1.5},1),3,1,0)</f>
        <v>0</v>
      </c>
      <c r="V59" s="19">
        <v>1</v>
      </c>
      <c r="W59" s="7">
        <v>43601</v>
      </c>
      <c r="X59" s="3">
        <f t="shared" si="5"/>
        <v>16.63</v>
      </c>
      <c r="Y59" s="12">
        <v>16</v>
      </c>
      <c r="AF59" s="2">
        <v>43552</v>
      </c>
      <c r="AG59" s="28">
        <v>1</v>
      </c>
      <c r="AH59" s="29"/>
      <c r="AI59" s="29">
        <v>1</v>
      </c>
    </row>
    <row r="60" spans="1:35" s="1" customFormat="1" x14ac:dyDescent="0.25">
      <c r="A60" s="3">
        <v>66</v>
      </c>
      <c r="B60" s="3" t="s">
        <v>38</v>
      </c>
      <c r="C60" s="2">
        <v>43771</v>
      </c>
      <c r="D60" s="1" t="s">
        <v>17</v>
      </c>
      <c r="E60" s="4">
        <f>Tableau14[[#This Row],[Pts_Fujiwara]]+Tableau14[[#This Row],[ HT2]]+Tableau14[[#This Row],[LCR]]+Tableau14[[#This Row],[Points_angle_p]]+Tableau14[[#This Row],[Point_Torg]]</f>
        <v>6</v>
      </c>
      <c r="F60" s="1">
        <v>0.65</v>
      </c>
      <c r="G60" s="1">
        <v>0.6</v>
      </c>
      <c r="H60" s="5">
        <v>0.92307692307692302</v>
      </c>
      <c r="I60" s="3">
        <v>1</v>
      </c>
      <c r="J60" s="1">
        <v>1.36</v>
      </c>
      <c r="K60" s="1">
        <v>0.6</v>
      </c>
      <c r="L60" s="5">
        <f t="shared" si="3"/>
        <v>0.44117647058823523</v>
      </c>
      <c r="M60" s="9">
        <f>CHOOSE(MATCH(Tableau14[[#This Row],[Fujiwara_P]],{0,0.39,0.49,1},1),3,1,0)</f>
        <v>1</v>
      </c>
      <c r="N60" s="10">
        <v>0</v>
      </c>
      <c r="O60" s="10">
        <v>1</v>
      </c>
      <c r="P60" s="1">
        <v>-11</v>
      </c>
      <c r="Q60" s="10">
        <f>CHOOSE(MATCH(Tableau14[[#This Row],[Angle_p]],{-50,-14.9,-4.9,50},1),3,1,0)</f>
        <v>0</v>
      </c>
      <c r="R60" s="1">
        <v>1.36</v>
      </c>
      <c r="S60" s="1">
        <v>1.26</v>
      </c>
      <c r="T60" s="5">
        <f t="shared" si="4"/>
        <v>0.92647058823529405</v>
      </c>
      <c r="U60" s="10">
        <f>CHOOSE(MATCH(Tableau14[[#This Row],[Ratio_Torg]],{0,0.59,0.79,1.5},1),3,1,0)</f>
        <v>1</v>
      </c>
      <c r="V60" s="18">
        <v>1</v>
      </c>
      <c r="W60" s="7">
        <v>44092</v>
      </c>
      <c r="X60" s="3">
        <f t="shared" si="5"/>
        <v>17.52</v>
      </c>
      <c r="Y60" s="12">
        <v>17</v>
      </c>
      <c r="Z60" s="1">
        <v>4</v>
      </c>
      <c r="AA60" s="1">
        <v>4</v>
      </c>
      <c r="AB60" s="1">
        <v>2</v>
      </c>
      <c r="AC60" s="1">
        <v>2</v>
      </c>
      <c r="AD60" s="1">
        <v>2</v>
      </c>
      <c r="AE60" s="1">
        <v>3</v>
      </c>
      <c r="AF60" s="2">
        <v>44092</v>
      </c>
      <c r="AG60" s="18">
        <v>0</v>
      </c>
      <c r="AH60" s="20">
        <v>0</v>
      </c>
      <c r="AI60" s="20">
        <v>0</v>
      </c>
    </row>
    <row r="61" spans="1:35" s="1" customFormat="1" x14ac:dyDescent="0.25">
      <c r="A61" s="3">
        <v>64</v>
      </c>
      <c r="B61" s="3" t="s">
        <v>67</v>
      </c>
      <c r="C61" s="2">
        <v>43013</v>
      </c>
      <c r="D61" s="1" t="s">
        <v>14</v>
      </c>
      <c r="E61" s="4">
        <f>Tableau14[[#This Row],[Pts_Fujiwara]]+Tableau14[[#This Row],[ HT2]]+Tableau14[[#This Row],[LCR]]+Tableau14[[#This Row],[Points_angle_p]]+Tableau14[[#This Row],[Point_Torg]]</f>
        <v>2</v>
      </c>
      <c r="F61" s="1">
        <v>0.8</v>
      </c>
      <c r="G61" s="1">
        <v>0.57999999999999996</v>
      </c>
      <c r="H61" s="5">
        <v>0.72499999999999987</v>
      </c>
      <c r="I61" s="3">
        <v>2</v>
      </c>
      <c r="J61" s="1">
        <v>1.37</v>
      </c>
      <c r="K61" s="1">
        <v>0.57999999999999996</v>
      </c>
      <c r="L61" s="5">
        <f t="shared" si="3"/>
        <v>0.42335766423357657</v>
      </c>
      <c r="M61" s="9">
        <f>CHOOSE(MATCH(Tableau14[[#This Row],[Fujiwara_P]],{0,0.39,0.49,1},1),3,1,0)</f>
        <v>1</v>
      </c>
      <c r="N61" s="10">
        <v>2</v>
      </c>
      <c r="O61" s="10">
        <v>1</v>
      </c>
      <c r="P61" s="1">
        <v>-12</v>
      </c>
      <c r="Q61" s="10">
        <f>CHOOSE(MATCH(Tableau14[[#This Row],[Angle_p]],{-50,-14.9,-4.9,50},1),3,1,0)</f>
        <v>0</v>
      </c>
      <c r="R61" s="1">
        <v>1.53</v>
      </c>
      <c r="S61" s="1">
        <v>1.43</v>
      </c>
      <c r="T61" s="5">
        <f t="shared" si="4"/>
        <v>0.93464052287581689</v>
      </c>
      <c r="U61" s="10">
        <f>CHOOSE(MATCH(Tableau14[[#This Row],[Ratio_Torg]],{0,0.59,0.79,1.5},1),3,1,0)</f>
        <v>0</v>
      </c>
      <c r="V61" s="19">
        <v>1</v>
      </c>
      <c r="W61" s="7">
        <v>43076</v>
      </c>
      <c r="X61" s="3">
        <f t="shared" si="5"/>
        <v>15.74</v>
      </c>
      <c r="Y61" s="12">
        <v>15</v>
      </c>
      <c r="Z61" s="1">
        <v>4</v>
      </c>
      <c r="AA61" s="1">
        <v>3</v>
      </c>
      <c r="AB61" s="1">
        <v>2</v>
      </c>
      <c r="AC61" s="1">
        <v>1</v>
      </c>
      <c r="AD61" s="1">
        <v>2</v>
      </c>
      <c r="AE61" s="1">
        <v>3</v>
      </c>
      <c r="AF61" s="2">
        <v>42636</v>
      </c>
      <c r="AG61" s="19">
        <v>0</v>
      </c>
      <c r="AH61" s="21">
        <v>0</v>
      </c>
      <c r="AI61" s="21">
        <v>0</v>
      </c>
    </row>
    <row r="62" spans="1:35" s="1" customFormat="1" x14ac:dyDescent="0.25">
      <c r="A62" s="3">
        <v>75</v>
      </c>
      <c r="B62" s="3" t="s">
        <v>23</v>
      </c>
      <c r="C62" s="2">
        <v>43200</v>
      </c>
      <c r="D62" s="1" t="s">
        <v>17</v>
      </c>
      <c r="E62" s="4">
        <f>Tableau14[[#This Row],[Pts_Fujiwara]]+Tableau14[[#This Row],[ HT2]]+Tableau14[[#This Row],[LCR]]+Tableau14[[#This Row],[Points_angle_p]]+Tableau14[[#This Row],[Point_Torg]]</f>
        <v>9</v>
      </c>
      <c r="F62" s="1">
        <v>0.66</v>
      </c>
      <c r="G62" s="1">
        <v>0.6</v>
      </c>
      <c r="H62" s="5">
        <v>0.90909090909090906</v>
      </c>
      <c r="I62" s="3">
        <v>1</v>
      </c>
      <c r="J62" s="1">
        <v>1.33</v>
      </c>
      <c r="K62" s="1">
        <v>0.6</v>
      </c>
      <c r="L62" s="5">
        <f t="shared" si="3"/>
        <v>0.45112781954887216</v>
      </c>
      <c r="M62" s="9">
        <f>CHOOSE(MATCH(Tableau14[[#This Row],[Fujiwara_P]],{0,0.39,0.49,1},1),3,1,0)</f>
        <v>1</v>
      </c>
      <c r="N62" s="10">
        <v>0</v>
      </c>
      <c r="O62" s="10">
        <v>1</v>
      </c>
      <c r="P62" s="1">
        <v>-13</v>
      </c>
      <c r="Q62" s="10">
        <f>CHOOSE(MATCH(Tableau14[[#This Row],[Angle_p]],{-50,-14.9,-4.9,50},1),3,1,0)</f>
        <v>3</v>
      </c>
      <c r="R62" s="1">
        <v>1.56</v>
      </c>
      <c r="S62" s="1">
        <v>1.24</v>
      </c>
      <c r="T62" s="5">
        <f t="shared" si="4"/>
        <v>0.79487179487179482</v>
      </c>
      <c r="U62" s="10">
        <f>CHOOSE(MATCH(Tableau14[[#This Row],[Ratio_Torg]],{0,0.59,0.79,1.5},1),3,1,0)</f>
        <v>0</v>
      </c>
      <c r="V62" s="18">
        <v>1</v>
      </c>
      <c r="W62" s="7">
        <v>43290</v>
      </c>
      <c r="X62" s="3">
        <f t="shared" si="5"/>
        <v>15.74</v>
      </c>
      <c r="Y62" s="12">
        <v>15</v>
      </c>
      <c r="Z62" s="1">
        <v>4</v>
      </c>
      <c r="AA62" s="1">
        <v>4</v>
      </c>
      <c r="AB62" s="1">
        <v>1</v>
      </c>
      <c r="AC62" s="1">
        <v>2</v>
      </c>
      <c r="AD62" s="1">
        <v>2</v>
      </c>
      <c r="AE62" s="1">
        <v>3</v>
      </c>
      <c r="AF62" s="2">
        <v>42797</v>
      </c>
      <c r="AG62" s="19">
        <v>0</v>
      </c>
      <c r="AH62" s="21">
        <v>0</v>
      </c>
      <c r="AI62" s="21">
        <v>0</v>
      </c>
    </row>
  </sheetData>
  <sortState ref="A1:AI66">
    <sortCondition descending="1" ref="P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Feuil1</vt:lpstr>
      <vt:lpstr>Feuil5</vt:lpstr>
      <vt:lpstr>Feuil4</vt:lpstr>
      <vt:lpstr>Feuil3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MORGADO, Alexis</cp:lastModifiedBy>
  <dcterms:created xsi:type="dcterms:W3CDTF">2021-06-14T23:28:20Z</dcterms:created>
  <dcterms:modified xsi:type="dcterms:W3CDTF">2024-03-28T17:25:12Z</dcterms:modified>
</cp:coreProperties>
</file>