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5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6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7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8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9.xml" ContentType="application/vnd.openxmlformats-officedocument.drawing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10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checkCompatibility="1"/>
  <mc:AlternateContent xmlns:mc="http://schemas.openxmlformats.org/markup-compatibility/2006">
    <mc:Choice Requires="x15">
      <x15ac:absPath xmlns:x15ac="http://schemas.microsoft.com/office/spreadsheetml/2010/11/ac" url="G:\Mi unidad\ITA\MAESTRÍA UNAL\SEMESTRE 2018 II\SEMINARIO DE INVESTIGACIÓN II\TESIS\ARCHIVOS R\Plant Foods for Human\"/>
    </mc:Choice>
  </mc:AlternateContent>
  <xr:revisionPtr revIDLastSave="0" documentId="8_{5E194FFB-9F84-461D-AB85-68FB339F0E8F}" xr6:coauthVersionLast="47" xr6:coauthVersionMax="47" xr10:uidLastSave="{00000000-0000-0000-0000-000000000000}"/>
  <bookViews>
    <workbookView xWindow="-120" yWindow="-120" windowWidth="20730" windowHeight="11040" firstSheet="8" activeTab="12" xr2:uid="{00000000-000D-0000-FFFF-FFFF00000000}"/>
  </bookViews>
  <sheets>
    <sheet name="ESCALDADO A TEM AMB " sheetId="6" r:id="rId1"/>
    <sheet name="ESCALDADO A 70 °C " sheetId="11" r:id="rId2"/>
    <sheet name="ESCALDADO A 75 °C " sheetId="7" r:id="rId3"/>
    <sheet name="ESCALDADO A 80 °C  " sheetId="8" r:id="rId4"/>
    <sheet name="ESCALDADO A 85 °C   " sheetId="13" r:id="rId5"/>
    <sheet name="ESCALDADO A 90 °C   " sheetId="14" r:id="rId6"/>
    <sheet name="ESCALDADO A 300W" sheetId="15" r:id="rId7"/>
    <sheet name="ESCALDADO A 600W " sheetId="16" r:id="rId8"/>
    <sheet name="ESCALDADO A 900W  " sheetId="17" r:id="rId9"/>
    <sheet name="ESCALDADO A 1200W   " sheetId="18" r:id="rId10"/>
    <sheet name="datos abs" sheetId="10" r:id="rId11"/>
    <sheet name="datos abs MO" sheetId="20" r:id="rId12"/>
    <sheet name="Hoja1" sheetId="21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0" i="21" l="1"/>
  <c r="V10" i="21"/>
  <c r="U10" i="21"/>
  <c r="T10" i="21"/>
  <c r="S10" i="21"/>
  <c r="R10" i="21"/>
  <c r="K10" i="21"/>
  <c r="J10" i="21"/>
  <c r="H10" i="21"/>
  <c r="G10" i="21"/>
  <c r="F10" i="21"/>
  <c r="E10" i="21"/>
  <c r="I10" i="21" s="1"/>
  <c r="D10" i="21"/>
  <c r="W9" i="21"/>
  <c r="V9" i="21"/>
  <c r="U9" i="21"/>
  <c r="T9" i="21"/>
  <c r="S9" i="21"/>
  <c r="R9" i="21"/>
  <c r="K9" i="21"/>
  <c r="J9" i="21"/>
  <c r="H9" i="21"/>
  <c r="G9" i="21"/>
  <c r="F9" i="21"/>
  <c r="E9" i="21"/>
  <c r="D9" i="21"/>
  <c r="W8" i="21"/>
  <c r="V8" i="21"/>
  <c r="U8" i="21"/>
  <c r="T8" i="21"/>
  <c r="S8" i="21"/>
  <c r="R8" i="21"/>
  <c r="K8" i="21"/>
  <c r="J8" i="21"/>
  <c r="H8" i="21"/>
  <c r="I8" i="21" s="1"/>
  <c r="G8" i="21"/>
  <c r="F8" i="21"/>
  <c r="E8" i="21"/>
  <c r="D8" i="21"/>
  <c r="W7" i="21"/>
  <c r="V7" i="21"/>
  <c r="U7" i="21"/>
  <c r="T7" i="21"/>
  <c r="S7" i="21"/>
  <c r="R7" i="21"/>
  <c r="Q7" i="21"/>
  <c r="P7" i="21"/>
  <c r="O7" i="21"/>
  <c r="N7" i="21"/>
  <c r="K7" i="21"/>
  <c r="J7" i="21"/>
  <c r="H7" i="21"/>
  <c r="G7" i="21"/>
  <c r="F7" i="21"/>
  <c r="E7" i="21"/>
  <c r="I7" i="21" s="1"/>
  <c r="D7" i="21"/>
  <c r="W6" i="21"/>
  <c r="V6" i="21"/>
  <c r="U6" i="21"/>
  <c r="T6" i="21"/>
  <c r="S6" i="21"/>
  <c r="R6" i="21"/>
  <c r="Q6" i="21"/>
  <c r="P6" i="21"/>
  <c r="O6" i="21"/>
  <c r="N6" i="21"/>
  <c r="K6" i="21"/>
  <c r="J6" i="21"/>
  <c r="H6" i="21"/>
  <c r="G6" i="21"/>
  <c r="F6" i="21"/>
  <c r="E6" i="21"/>
  <c r="I6" i="21" s="1"/>
  <c r="D6" i="21"/>
  <c r="W5" i="21"/>
  <c r="V5" i="21"/>
  <c r="U5" i="21"/>
  <c r="T5" i="21"/>
  <c r="S5" i="21"/>
  <c r="R5" i="21"/>
  <c r="Q5" i="21"/>
  <c r="P5" i="21"/>
  <c r="O5" i="21"/>
  <c r="N5" i="21"/>
  <c r="K5" i="21"/>
  <c r="J5" i="21"/>
  <c r="H5" i="21"/>
  <c r="G5" i="21"/>
  <c r="I5" i="21" s="1"/>
  <c r="F5" i="21"/>
  <c r="E5" i="21"/>
  <c r="D5" i="21"/>
  <c r="W4" i="21"/>
  <c r="V4" i="21"/>
  <c r="T4" i="21"/>
  <c r="S4" i="21"/>
  <c r="R4" i="21"/>
  <c r="K4" i="21"/>
  <c r="J4" i="21"/>
  <c r="H4" i="21"/>
  <c r="G4" i="21"/>
  <c r="F4" i="21"/>
  <c r="E4" i="21"/>
  <c r="D4" i="21"/>
  <c r="W3" i="21"/>
  <c r="V3" i="21"/>
  <c r="T3" i="21"/>
  <c r="S3" i="21"/>
  <c r="R3" i="21"/>
  <c r="K3" i="21"/>
  <c r="J3" i="21"/>
  <c r="H3" i="21"/>
  <c r="G3" i="21"/>
  <c r="F3" i="21"/>
  <c r="E3" i="21"/>
  <c r="D3" i="21"/>
  <c r="W2" i="21"/>
  <c r="V2" i="21"/>
  <c r="T2" i="21"/>
  <c r="S2" i="21"/>
  <c r="R2" i="21"/>
  <c r="K2" i="21"/>
  <c r="J2" i="21"/>
  <c r="H2" i="21"/>
  <c r="G2" i="21"/>
  <c r="F2" i="21"/>
  <c r="E2" i="21"/>
  <c r="D2" i="21"/>
  <c r="G283" i="10"/>
  <c r="G277" i="10"/>
  <c r="G271" i="10"/>
  <c r="H271" i="10" s="1"/>
  <c r="G265" i="10"/>
  <c r="H265" i="10" s="1"/>
  <c r="G259" i="10"/>
  <c r="G253" i="10"/>
  <c r="H253" i="10" s="1"/>
  <c r="G247" i="10"/>
  <c r="H247" i="10" s="1"/>
  <c r="G241" i="10"/>
  <c r="H241" i="10" s="1"/>
  <c r="G235" i="10"/>
  <c r="H235" i="10" s="1"/>
  <c r="G229" i="10"/>
  <c r="H229" i="10" s="1"/>
  <c r="G223" i="10"/>
  <c r="H223" i="10" s="1"/>
  <c r="G217" i="10"/>
  <c r="H217" i="10" s="1"/>
  <c r="G211" i="10"/>
  <c r="H211" i="10" s="1"/>
  <c r="G205" i="10"/>
  <c r="H205" i="10" s="1"/>
  <c r="G199" i="10"/>
  <c r="H199" i="10" s="1"/>
  <c r="G193" i="10"/>
  <c r="H193" i="10" s="1"/>
  <c r="G79" i="20"/>
  <c r="G49" i="20"/>
  <c r="G37" i="20"/>
  <c r="G25" i="20"/>
  <c r="F7" i="20"/>
  <c r="G7" i="20" s="1"/>
  <c r="F97" i="20"/>
  <c r="F91" i="20"/>
  <c r="F85" i="20"/>
  <c r="G85" i="20" s="1"/>
  <c r="F79" i="20"/>
  <c r="F73" i="20"/>
  <c r="F67" i="20"/>
  <c r="G67" i="20" s="1"/>
  <c r="F61" i="20"/>
  <c r="G61" i="20" s="1"/>
  <c r="F55" i="20"/>
  <c r="G55" i="20" s="1"/>
  <c r="F49" i="20"/>
  <c r="F43" i="20"/>
  <c r="G43" i="20" s="1"/>
  <c r="F37" i="20"/>
  <c r="F31" i="20"/>
  <c r="G31" i="20" s="1"/>
  <c r="F25" i="20"/>
  <c r="F19" i="20"/>
  <c r="G19" i="20" s="1"/>
  <c r="F13" i="20"/>
  <c r="G13" i="20" s="1"/>
  <c r="G7" i="10"/>
  <c r="D6" i="15"/>
  <c r="AQ11" i="18"/>
  <c r="AQ12" i="18" s="1"/>
  <c r="AQ13" i="18" s="1"/>
  <c r="AN11" i="18"/>
  <c r="AK11" i="18"/>
  <c r="AK12" i="18" s="1"/>
  <c r="AK13" i="18" s="1"/>
  <c r="AF11" i="18"/>
  <c r="AF12" i="18" s="1"/>
  <c r="AF13" i="18" s="1"/>
  <c r="AC11" i="18"/>
  <c r="AC12" i="18" s="1"/>
  <c r="AC13" i="18" s="1"/>
  <c r="Z11" i="18"/>
  <c r="U11" i="18"/>
  <c r="U12" i="18" s="1"/>
  <c r="U13" i="18" s="1"/>
  <c r="R11" i="18"/>
  <c r="R12" i="18" s="1"/>
  <c r="R13" i="18" s="1"/>
  <c r="O11" i="18"/>
  <c r="O12" i="18" s="1"/>
  <c r="O13" i="18" s="1"/>
  <c r="J11" i="18"/>
  <c r="J12" i="18" s="1"/>
  <c r="J13" i="18" s="1"/>
  <c r="G11" i="18"/>
  <c r="G12" i="18" s="1"/>
  <c r="G13" i="18" s="1"/>
  <c r="D11" i="18"/>
  <c r="K11" i="18" s="1"/>
  <c r="K12" i="18" s="1"/>
  <c r="K13" i="18" s="1"/>
  <c r="AQ10" i="18"/>
  <c r="AN10" i="18"/>
  <c r="AK10" i="18"/>
  <c r="AF10" i="18"/>
  <c r="AC10" i="18"/>
  <c r="Z10" i="18"/>
  <c r="U10" i="18"/>
  <c r="R10" i="18"/>
  <c r="O10" i="18"/>
  <c r="J10" i="18"/>
  <c r="G10" i="18"/>
  <c r="D10" i="18"/>
  <c r="AQ9" i="18"/>
  <c r="AN9" i="18"/>
  <c r="AK9" i="18"/>
  <c r="AF9" i="18"/>
  <c r="AC9" i="18"/>
  <c r="Z9" i="18"/>
  <c r="U9" i="18"/>
  <c r="R9" i="18"/>
  <c r="O9" i="18"/>
  <c r="J9" i="18"/>
  <c r="G9" i="18"/>
  <c r="D9" i="18"/>
  <c r="AQ8" i="18"/>
  <c r="AN8" i="18"/>
  <c r="AK8" i="18"/>
  <c r="AF8" i="18"/>
  <c r="AC8" i="18"/>
  <c r="Z8" i="18"/>
  <c r="U8" i="18"/>
  <c r="R8" i="18"/>
  <c r="O8" i="18"/>
  <c r="J8" i="18"/>
  <c r="G8" i="18"/>
  <c r="D8" i="18"/>
  <c r="AQ7" i="18"/>
  <c r="AN7" i="18"/>
  <c r="AK7" i="18"/>
  <c r="AF7" i="18"/>
  <c r="AC7" i="18"/>
  <c r="Z7" i="18"/>
  <c r="U7" i="18"/>
  <c r="R7" i="18"/>
  <c r="O7" i="18"/>
  <c r="J7" i="18"/>
  <c r="G7" i="18"/>
  <c r="D7" i="18"/>
  <c r="AQ6" i="18"/>
  <c r="AN6" i="18"/>
  <c r="AK6" i="18"/>
  <c r="AF6" i="18"/>
  <c r="AC6" i="18"/>
  <c r="Z6" i="18"/>
  <c r="U6" i="18"/>
  <c r="R6" i="18"/>
  <c r="O6" i="18"/>
  <c r="J6" i="18"/>
  <c r="G6" i="18"/>
  <c r="D6" i="18"/>
  <c r="AQ11" i="17"/>
  <c r="AQ12" i="17" s="1"/>
  <c r="AQ13" i="17" s="1"/>
  <c r="AN11" i="17"/>
  <c r="AN12" i="17" s="1"/>
  <c r="AN13" i="17" s="1"/>
  <c r="AK11" i="17"/>
  <c r="AF11" i="17"/>
  <c r="AF12" i="17" s="1"/>
  <c r="AF13" i="17" s="1"/>
  <c r="AC11" i="17"/>
  <c r="AC12" i="17" s="1"/>
  <c r="AC13" i="17" s="1"/>
  <c r="Z11" i="17"/>
  <c r="Z12" i="17" s="1"/>
  <c r="Z13" i="17" s="1"/>
  <c r="U11" i="17"/>
  <c r="U12" i="17" s="1"/>
  <c r="U13" i="17" s="1"/>
  <c r="R11" i="17"/>
  <c r="R12" i="17" s="1"/>
  <c r="R13" i="17" s="1"/>
  <c r="O11" i="17"/>
  <c r="J11" i="17"/>
  <c r="J12" i="17" s="1"/>
  <c r="J13" i="17" s="1"/>
  <c r="G11" i="17"/>
  <c r="G12" i="17" s="1"/>
  <c r="G13" i="17" s="1"/>
  <c r="D11" i="17"/>
  <c r="D12" i="17" s="1"/>
  <c r="D13" i="17" s="1"/>
  <c r="AQ10" i="17"/>
  <c r="AN10" i="17"/>
  <c r="AK10" i="17"/>
  <c r="AF10" i="17"/>
  <c r="AC10" i="17"/>
  <c r="Z10" i="17"/>
  <c r="U10" i="17"/>
  <c r="R10" i="17"/>
  <c r="O10" i="17"/>
  <c r="J10" i="17"/>
  <c r="G10" i="17"/>
  <c r="D10" i="17"/>
  <c r="AQ9" i="17"/>
  <c r="AN9" i="17"/>
  <c r="AK9" i="17"/>
  <c r="AF9" i="17"/>
  <c r="AC9" i="17"/>
  <c r="Z9" i="17"/>
  <c r="U9" i="17"/>
  <c r="R9" i="17"/>
  <c r="O9" i="17"/>
  <c r="J9" i="17"/>
  <c r="G9" i="17"/>
  <c r="D9" i="17"/>
  <c r="AQ8" i="17"/>
  <c r="AN8" i="17"/>
  <c r="AK8" i="17"/>
  <c r="AF8" i="17"/>
  <c r="AC8" i="17"/>
  <c r="Z8" i="17"/>
  <c r="U8" i="17"/>
  <c r="R8" i="17"/>
  <c r="O8" i="17"/>
  <c r="J8" i="17"/>
  <c r="G8" i="17"/>
  <c r="D8" i="17"/>
  <c r="AQ7" i="17"/>
  <c r="AN7" i="17"/>
  <c r="AK7" i="17"/>
  <c r="AF7" i="17"/>
  <c r="AC7" i="17"/>
  <c r="Z7" i="17"/>
  <c r="U7" i="17"/>
  <c r="R7" i="17"/>
  <c r="O7" i="17"/>
  <c r="J7" i="17"/>
  <c r="G7" i="17"/>
  <c r="D7" i="17"/>
  <c r="AQ6" i="17"/>
  <c r="AN6" i="17"/>
  <c r="AK6" i="17"/>
  <c r="AF6" i="17"/>
  <c r="AC6" i="17"/>
  <c r="Z6" i="17"/>
  <c r="AG6" i="17" s="1"/>
  <c r="U6" i="17"/>
  <c r="R6" i="17"/>
  <c r="O6" i="17"/>
  <c r="J6" i="17"/>
  <c r="G6" i="17"/>
  <c r="D6" i="17"/>
  <c r="AQ11" i="16"/>
  <c r="AQ12" i="16" s="1"/>
  <c r="AQ13" i="16" s="1"/>
  <c r="AN11" i="16"/>
  <c r="AN12" i="16" s="1"/>
  <c r="AN13" i="16" s="1"/>
  <c r="AK11" i="16"/>
  <c r="AF11" i="16"/>
  <c r="AF12" i="16" s="1"/>
  <c r="AF13" i="16" s="1"/>
  <c r="AC11" i="16"/>
  <c r="AC12" i="16" s="1"/>
  <c r="AC13" i="16" s="1"/>
  <c r="Z11" i="16"/>
  <c r="Z12" i="16" s="1"/>
  <c r="Z13" i="16" s="1"/>
  <c r="U11" i="16"/>
  <c r="U12" i="16" s="1"/>
  <c r="U13" i="16" s="1"/>
  <c r="R11" i="16"/>
  <c r="R12" i="16" s="1"/>
  <c r="R13" i="16" s="1"/>
  <c r="O11" i="16"/>
  <c r="O12" i="16" s="1"/>
  <c r="O13" i="16" s="1"/>
  <c r="J11" i="16"/>
  <c r="J12" i="16" s="1"/>
  <c r="J13" i="16" s="1"/>
  <c r="G11" i="16"/>
  <c r="G12" i="16" s="1"/>
  <c r="G13" i="16" s="1"/>
  <c r="D11" i="16"/>
  <c r="D12" i="16" s="1"/>
  <c r="D13" i="16" s="1"/>
  <c r="AQ10" i="16"/>
  <c r="AN10" i="16"/>
  <c r="AK10" i="16"/>
  <c r="AF10" i="16"/>
  <c r="AC10" i="16"/>
  <c r="Z10" i="16"/>
  <c r="U10" i="16"/>
  <c r="R10" i="16"/>
  <c r="O10" i="16"/>
  <c r="V10" i="16" s="1"/>
  <c r="J10" i="16"/>
  <c r="G10" i="16"/>
  <c r="D10" i="16"/>
  <c r="AQ9" i="16"/>
  <c r="AN9" i="16"/>
  <c r="AK9" i="16"/>
  <c r="AF9" i="16"/>
  <c r="AC9" i="16"/>
  <c r="Z9" i="16"/>
  <c r="U9" i="16"/>
  <c r="R9" i="16"/>
  <c r="O9" i="16"/>
  <c r="J9" i="16"/>
  <c r="G9" i="16"/>
  <c r="D9" i="16"/>
  <c r="AQ8" i="16"/>
  <c r="AN8" i="16"/>
  <c r="AK8" i="16"/>
  <c r="AF8" i="16"/>
  <c r="AC8" i="16"/>
  <c r="Z8" i="16"/>
  <c r="U8" i="16"/>
  <c r="R8" i="16"/>
  <c r="O8" i="16"/>
  <c r="J8" i="16"/>
  <c r="G8" i="16"/>
  <c r="D8" i="16"/>
  <c r="AQ7" i="16"/>
  <c r="AN7" i="16"/>
  <c r="AK7" i="16"/>
  <c r="AF7" i="16"/>
  <c r="AC7" i="16"/>
  <c r="Z7" i="16"/>
  <c r="U7" i="16"/>
  <c r="R7" i="16"/>
  <c r="O7" i="16"/>
  <c r="J7" i="16"/>
  <c r="G7" i="16"/>
  <c r="D7" i="16"/>
  <c r="AQ6" i="16"/>
  <c r="AN6" i="16"/>
  <c r="AK6" i="16"/>
  <c r="AF6" i="16"/>
  <c r="AC6" i="16"/>
  <c r="Z6" i="16"/>
  <c r="U6" i="16"/>
  <c r="R6" i="16"/>
  <c r="O6" i="16"/>
  <c r="J6" i="16"/>
  <c r="G6" i="16"/>
  <c r="D6" i="16"/>
  <c r="U11" i="15"/>
  <c r="U12" i="15" s="1"/>
  <c r="U13" i="15" s="1"/>
  <c r="U10" i="15"/>
  <c r="U9" i="15"/>
  <c r="U8" i="15"/>
  <c r="U7" i="15"/>
  <c r="U6" i="15"/>
  <c r="R11" i="15"/>
  <c r="R10" i="15"/>
  <c r="R9" i="15"/>
  <c r="R8" i="15"/>
  <c r="R7" i="15"/>
  <c r="R6" i="15"/>
  <c r="O7" i="15"/>
  <c r="O8" i="15"/>
  <c r="O9" i="15"/>
  <c r="O10" i="15"/>
  <c r="O11" i="15"/>
  <c r="O12" i="15" s="1"/>
  <c r="O13" i="15" s="1"/>
  <c r="O6" i="15"/>
  <c r="AQ11" i="15"/>
  <c r="AQ12" i="15" s="1"/>
  <c r="AQ13" i="15" s="1"/>
  <c r="AN11" i="15"/>
  <c r="AN12" i="15" s="1"/>
  <c r="AN13" i="15" s="1"/>
  <c r="AK11" i="15"/>
  <c r="AK12" i="15" s="1"/>
  <c r="AK13" i="15" s="1"/>
  <c r="AF11" i="15"/>
  <c r="AF12" i="15" s="1"/>
  <c r="AF13" i="15" s="1"/>
  <c r="AC11" i="15"/>
  <c r="AC12" i="15" s="1"/>
  <c r="AC13" i="15" s="1"/>
  <c r="Z11" i="15"/>
  <c r="Z12" i="15" s="1"/>
  <c r="Z13" i="15" s="1"/>
  <c r="R12" i="15"/>
  <c r="R13" i="15" s="1"/>
  <c r="J11" i="15"/>
  <c r="J12" i="15" s="1"/>
  <c r="J13" i="15" s="1"/>
  <c r="G11" i="15"/>
  <c r="G12" i="15" s="1"/>
  <c r="G13" i="15" s="1"/>
  <c r="D11" i="15"/>
  <c r="D12" i="15" s="1"/>
  <c r="D13" i="15" s="1"/>
  <c r="AQ10" i="15"/>
  <c r="AN10" i="15"/>
  <c r="AK10" i="15"/>
  <c r="AF10" i="15"/>
  <c r="AC10" i="15"/>
  <c r="Z10" i="15"/>
  <c r="J10" i="15"/>
  <c r="G10" i="15"/>
  <c r="D10" i="15"/>
  <c r="AQ9" i="15"/>
  <c r="AN9" i="15"/>
  <c r="AK9" i="15"/>
  <c r="AF9" i="15"/>
  <c r="AC9" i="15"/>
  <c r="Z9" i="15"/>
  <c r="J9" i="15"/>
  <c r="G9" i="15"/>
  <c r="D9" i="15"/>
  <c r="AQ8" i="15"/>
  <c r="AN8" i="15"/>
  <c r="AK8" i="15"/>
  <c r="AF8" i="15"/>
  <c r="AC8" i="15"/>
  <c r="Z8" i="15"/>
  <c r="J8" i="15"/>
  <c r="G8" i="15"/>
  <c r="D8" i="15"/>
  <c r="AQ7" i="15"/>
  <c r="AN7" i="15"/>
  <c r="AK7" i="15"/>
  <c r="AF7" i="15"/>
  <c r="AC7" i="15"/>
  <c r="Z7" i="15"/>
  <c r="J7" i="15"/>
  <c r="G7" i="15"/>
  <c r="D7" i="15"/>
  <c r="AQ6" i="15"/>
  <c r="AN6" i="15"/>
  <c r="AK6" i="15"/>
  <c r="AF6" i="15"/>
  <c r="AC6" i="15"/>
  <c r="Z6" i="15"/>
  <c r="J6" i="15"/>
  <c r="G6" i="15"/>
  <c r="I4" i="21" l="1"/>
  <c r="I2" i="21"/>
  <c r="I3" i="21"/>
  <c r="I9" i="21"/>
  <c r="G73" i="20"/>
  <c r="G91" i="20"/>
  <c r="G97" i="20"/>
  <c r="AR11" i="18"/>
  <c r="AR12" i="18" s="1"/>
  <c r="AR13" i="18" s="1"/>
  <c r="AR8" i="18"/>
  <c r="AR10" i="18"/>
  <c r="AR7" i="18"/>
  <c r="AR9" i="18"/>
  <c r="AR6" i="18"/>
  <c r="AG7" i="18"/>
  <c r="AG9" i="18"/>
  <c r="AG11" i="18"/>
  <c r="AG12" i="18" s="1"/>
  <c r="AG13" i="18" s="1"/>
  <c r="AG8" i="18"/>
  <c r="AG10" i="18"/>
  <c r="AG6" i="18"/>
  <c r="V6" i="18"/>
  <c r="V10" i="18"/>
  <c r="V9" i="18"/>
  <c r="V8" i="18"/>
  <c r="V7" i="18"/>
  <c r="K7" i="18"/>
  <c r="K10" i="18"/>
  <c r="K9" i="18"/>
  <c r="K8" i="18"/>
  <c r="K6" i="18"/>
  <c r="AR6" i="17"/>
  <c r="AG10" i="17"/>
  <c r="AG8" i="17"/>
  <c r="AG9" i="17"/>
  <c r="AG7" i="17"/>
  <c r="V10" i="17"/>
  <c r="V11" i="17"/>
  <c r="V12" i="17" s="1"/>
  <c r="V13" i="17" s="1"/>
  <c r="V8" i="17"/>
  <c r="K9" i="17"/>
  <c r="K8" i="17"/>
  <c r="K7" i="17"/>
  <c r="K11" i="17"/>
  <c r="K12" i="17" s="1"/>
  <c r="K13" i="17" s="1"/>
  <c r="K10" i="17"/>
  <c r="K6" i="17"/>
  <c r="AN12" i="18"/>
  <c r="AN13" i="18" s="1"/>
  <c r="V11" i="18"/>
  <c r="V12" i="18" s="1"/>
  <c r="V13" i="18" s="1"/>
  <c r="D12" i="18"/>
  <c r="D13" i="18" s="1"/>
  <c r="Z12" i="18"/>
  <c r="Z13" i="18" s="1"/>
  <c r="AR8" i="17"/>
  <c r="AR10" i="17"/>
  <c r="AR7" i="17"/>
  <c r="AR9" i="17"/>
  <c r="AR11" i="17"/>
  <c r="AR12" i="17" s="1"/>
  <c r="AR13" i="17" s="1"/>
  <c r="AG11" i="17"/>
  <c r="AG12" i="17" s="1"/>
  <c r="AG13" i="17" s="1"/>
  <c r="V7" i="17"/>
  <c r="V6" i="17"/>
  <c r="V9" i="17"/>
  <c r="O12" i="17"/>
  <c r="O13" i="17" s="1"/>
  <c r="AK12" i="17"/>
  <c r="AK13" i="17" s="1"/>
  <c r="AR8" i="16"/>
  <c r="AR6" i="16"/>
  <c r="AG9" i="16"/>
  <c r="AG8" i="16"/>
  <c r="AG6" i="16"/>
  <c r="AG10" i="16"/>
  <c r="AG7" i="16"/>
  <c r="V8" i="16"/>
  <c r="K10" i="16"/>
  <c r="K9" i="16"/>
  <c r="K8" i="16"/>
  <c r="K7" i="16"/>
  <c r="K6" i="16"/>
  <c r="AR10" i="16"/>
  <c r="AR7" i="16"/>
  <c r="AR9" i="16"/>
  <c r="AR11" i="16"/>
  <c r="AR12" i="16" s="1"/>
  <c r="AR13" i="16" s="1"/>
  <c r="AG11" i="16"/>
  <c r="AG12" i="16" s="1"/>
  <c r="AG13" i="16" s="1"/>
  <c r="V7" i="16"/>
  <c r="V9" i="16"/>
  <c r="V6" i="16"/>
  <c r="V11" i="16"/>
  <c r="V12" i="16" s="1"/>
  <c r="V13" i="16" s="1"/>
  <c r="K11" i="16"/>
  <c r="K12" i="16" s="1"/>
  <c r="K13" i="16" s="1"/>
  <c r="AK12" i="16"/>
  <c r="AK13" i="16" s="1"/>
  <c r="AG6" i="15"/>
  <c r="V10" i="15"/>
  <c r="AR6" i="15"/>
  <c r="AR8" i="15"/>
  <c r="AG7" i="15"/>
  <c r="AG8" i="15"/>
  <c r="AG10" i="15"/>
  <c r="AR10" i="15"/>
  <c r="K6" i="15"/>
  <c r="K8" i="15"/>
  <c r="K10" i="15"/>
  <c r="V6" i="15"/>
  <c r="V8" i="15"/>
  <c r="AG9" i="15"/>
  <c r="AR7" i="15"/>
  <c r="AR9" i="15"/>
  <c r="K7" i="15"/>
  <c r="K9" i="15"/>
  <c r="V7" i="15"/>
  <c r="V9" i="15"/>
  <c r="K11" i="15"/>
  <c r="AR11" i="15"/>
  <c r="AR12" i="15" s="1"/>
  <c r="AR13" i="15" s="1"/>
  <c r="V11" i="15"/>
  <c r="V12" i="15" s="1"/>
  <c r="V13" i="15" s="1"/>
  <c r="AG11" i="15"/>
  <c r="AG12" i="15" s="1"/>
  <c r="AG13" i="15" s="1"/>
  <c r="G187" i="10"/>
  <c r="H187" i="10" s="1"/>
  <c r="G181" i="10"/>
  <c r="H181" i="10" s="1"/>
  <c r="G175" i="10"/>
  <c r="H175" i="10" s="1"/>
  <c r="G169" i="10"/>
  <c r="H169" i="10" s="1"/>
  <c r="G163" i="10"/>
  <c r="H163" i="10" s="1"/>
  <c r="G157" i="10"/>
  <c r="H157" i="10" s="1"/>
  <c r="G151" i="10"/>
  <c r="H151" i="10" s="1"/>
  <c r="G145" i="10"/>
  <c r="H145" i="10" s="1"/>
  <c r="G139" i="10"/>
  <c r="H139" i="10" s="1"/>
  <c r="G133" i="10"/>
  <c r="H133" i="10" s="1"/>
  <c r="G127" i="10"/>
  <c r="H127" i="10" s="1"/>
  <c r="G121" i="10"/>
  <c r="H121" i="10" s="1"/>
  <c r="G115" i="10"/>
  <c r="H115" i="10" s="1"/>
  <c r="G109" i="10"/>
  <c r="H109" i="10" s="1"/>
  <c r="G103" i="10"/>
  <c r="H103" i="10" s="1"/>
  <c r="G97" i="10"/>
  <c r="H97" i="10" s="1"/>
  <c r="G91" i="10"/>
  <c r="H91" i="10" s="1"/>
  <c r="G85" i="10"/>
  <c r="H85" i="10" s="1"/>
  <c r="G79" i="10"/>
  <c r="H79" i="10" s="1"/>
  <c r="G73" i="10"/>
  <c r="H73" i="10" s="1"/>
  <c r="G67" i="10"/>
  <c r="H67" i="10" s="1"/>
  <c r="G61" i="10"/>
  <c r="H61" i="10"/>
  <c r="G55" i="10"/>
  <c r="H55" i="10" s="1"/>
  <c r="G49" i="10"/>
  <c r="H49" i="10" s="1"/>
  <c r="K12" i="15" l="1"/>
  <c r="K13" i="15" s="1"/>
  <c r="G43" i="10"/>
  <c r="H43" i="10" s="1"/>
  <c r="G37" i="10" l="1"/>
  <c r="H37" i="10" s="1"/>
  <c r="G31" i="10"/>
  <c r="H31" i="10" s="1"/>
  <c r="G25" i="10"/>
  <c r="H25" i="10" s="1"/>
  <c r="G19" i="10"/>
  <c r="H19" i="10" s="1"/>
  <c r="G13" i="10"/>
  <c r="H13" i="10" s="1"/>
  <c r="D11" i="7"/>
  <c r="D12" i="7"/>
  <c r="BG13" i="14" l="1"/>
  <c r="D13" i="7"/>
  <c r="BF12" i="14"/>
  <c r="D6" i="6" l="1"/>
  <c r="F12" i="14"/>
  <c r="BM11" i="14"/>
  <c r="BM12" i="14" s="1"/>
  <c r="BM13" i="14" s="1"/>
  <c r="BJ11" i="14"/>
  <c r="BJ12" i="14" s="1"/>
  <c r="BJ13" i="14" s="1"/>
  <c r="BG11" i="14"/>
  <c r="BB11" i="14"/>
  <c r="BB12" i="14" s="1"/>
  <c r="BB13" i="14" s="1"/>
  <c r="AY11" i="14"/>
  <c r="AY12" i="14" s="1"/>
  <c r="AY13" i="14" s="1"/>
  <c r="AV11" i="14"/>
  <c r="AQ11" i="14"/>
  <c r="AQ12" i="14" s="1"/>
  <c r="AQ13" i="14" s="1"/>
  <c r="AN11" i="14"/>
  <c r="AN12" i="14" s="1"/>
  <c r="AN13" i="14" s="1"/>
  <c r="AK11" i="14"/>
  <c r="AK12" i="14" s="1"/>
  <c r="AK13" i="14" s="1"/>
  <c r="AF11" i="14"/>
  <c r="AF12" i="14" s="1"/>
  <c r="AF13" i="14" s="1"/>
  <c r="AC11" i="14"/>
  <c r="AC12" i="14" s="1"/>
  <c r="AC13" i="14" s="1"/>
  <c r="Z11" i="14"/>
  <c r="Z12" i="14" s="1"/>
  <c r="Z13" i="14" s="1"/>
  <c r="U11" i="14"/>
  <c r="U12" i="14" s="1"/>
  <c r="U13" i="14" s="1"/>
  <c r="R11" i="14"/>
  <c r="R12" i="14" s="1"/>
  <c r="R13" i="14" s="1"/>
  <c r="O11" i="14"/>
  <c r="O12" i="14" s="1"/>
  <c r="O13" i="14" s="1"/>
  <c r="J11" i="14"/>
  <c r="J12" i="14" s="1"/>
  <c r="J13" i="14" s="1"/>
  <c r="G11" i="14"/>
  <c r="G12" i="14" s="1"/>
  <c r="G13" i="14" s="1"/>
  <c r="D11" i="14"/>
  <c r="D12" i="14" s="1"/>
  <c r="D13" i="14" s="1"/>
  <c r="BM10" i="14"/>
  <c r="BJ10" i="14"/>
  <c r="BG10" i="14"/>
  <c r="BB10" i="14"/>
  <c r="AY10" i="14"/>
  <c r="AV10" i="14"/>
  <c r="AQ10" i="14"/>
  <c r="AN10" i="14"/>
  <c r="AK10" i="14"/>
  <c r="AF10" i="14"/>
  <c r="AC10" i="14"/>
  <c r="Z10" i="14"/>
  <c r="U10" i="14"/>
  <c r="R10" i="14"/>
  <c r="O10" i="14"/>
  <c r="J10" i="14"/>
  <c r="G10" i="14"/>
  <c r="D10" i="14"/>
  <c r="BM9" i="14"/>
  <c r="BJ9" i="14"/>
  <c r="BG9" i="14"/>
  <c r="BB9" i="14"/>
  <c r="AY9" i="14"/>
  <c r="AV9" i="14"/>
  <c r="AQ9" i="14"/>
  <c r="AN9" i="14"/>
  <c r="AK9" i="14"/>
  <c r="AF9" i="14"/>
  <c r="AC9" i="14"/>
  <c r="Z9" i="14"/>
  <c r="U9" i="14"/>
  <c r="R9" i="14"/>
  <c r="O9" i="14"/>
  <c r="J9" i="14"/>
  <c r="G9" i="14"/>
  <c r="D9" i="14"/>
  <c r="BM8" i="14"/>
  <c r="BJ8" i="14"/>
  <c r="BG8" i="14"/>
  <c r="BB8" i="14"/>
  <c r="AY8" i="14"/>
  <c r="AV8" i="14"/>
  <c r="AQ8" i="14"/>
  <c r="AN8" i="14"/>
  <c r="AK8" i="14"/>
  <c r="AF8" i="14"/>
  <c r="AC8" i="14"/>
  <c r="Z8" i="14"/>
  <c r="U8" i="14"/>
  <c r="R8" i="14"/>
  <c r="O8" i="14"/>
  <c r="J8" i="14"/>
  <c r="G8" i="14"/>
  <c r="D8" i="14"/>
  <c r="BM7" i="14"/>
  <c r="BJ7" i="14"/>
  <c r="BG7" i="14"/>
  <c r="BB7" i="14"/>
  <c r="AY7" i="14"/>
  <c r="AV7" i="14"/>
  <c r="AQ7" i="14"/>
  <c r="AN7" i="14"/>
  <c r="AK7" i="14"/>
  <c r="AF7" i="14"/>
  <c r="AC7" i="14"/>
  <c r="Z7" i="14"/>
  <c r="U7" i="14"/>
  <c r="R7" i="14"/>
  <c r="O7" i="14"/>
  <c r="J7" i="14"/>
  <c r="G7" i="14"/>
  <c r="D7" i="14"/>
  <c r="BM6" i="14"/>
  <c r="BJ6" i="14"/>
  <c r="BG6" i="14"/>
  <c r="BB6" i="14"/>
  <c r="AY6" i="14"/>
  <c r="AV6" i="14"/>
  <c r="AQ6" i="14"/>
  <c r="AN6" i="14"/>
  <c r="AK6" i="14"/>
  <c r="AF6" i="14"/>
  <c r="AC6" i="14"/>
  <c r="Z6" i="14"/>
  <c r="U6" i="14"/>
  <c r="R6" i="14"/>
  <c r="O6" i="14"/>
  <c r="J6" i="14"/>
  <c r="G6" i="14"/>
  <c r="D6" i="14"/>
  <c r="BM11" i="13"/>
  <c r="BM12" i="13" s="1"/>
  <c r="BM13" i="13" s="1"/>
  <c r="BJ11" i="13"/>
  <c r="BJ12" i="13" s="1"/>
  <c r="BJ13" i="13" s="1"/>
  <c r="BG11" i="13"/>
  <c r="BG12" i="13" s="1"/>
  <c r="BG13" i="13" s="1"/>
  <c r="BB11" i="13"/>
  <c r="BB12" i="13" s="1"/>
  <c r="BB13" i="13" s="1"/>
  <c r="AY11" i="13"/>
  <c r="AY12" i="13" s="1"/>
  <c r="AY13" i="13" s="1"/>
  <c r="AV11" i="13"/>
  <c r="AV12" i="13" s="1"/>
  <c r="AV13" i="13" s="1"/>
  <c r="AQ11" i="13"/>
  <c r="AQ12" i="13" s="1"/>
  <c r="AQ13" i="13" s="1"/>
  <c r="AN11" i="13"/>
  <c r="AN12" i="13" s="1"/>
  <c r="AN13" i="13" s="1"/>
  <c r="AK11" i="13"/>
  <c r="AK12" i="13" s="1"/>
  <c r="AK13" i="13" s="1"/>
  <c r="AF11" i="13"/>
  <c r="AF12" i="13" s="1"/>
  <c r="AF13" i="13" s="1"/>
  <c r="AC11" i="13"/>
  <c r="AC12" i="13" s="1"/>
  <c r="AC13" i="13" s="1"/>
  <c r="Z11" i="13"/>
  <c r="Z12" i="13" s="1"/>
  <c r="Z13" i="13" s="1"/>
  <c r="U11" i="13"/>
  <c r="U12" i="13" s="1"/>
  <c r="U13" i="13" s="1"/>
  <c r="R11" i="13"/>
  <c r="R12" i="13" s="1"/>
  <c r="R13" i="13" s="1"/>
  <c r="O11" i="13"/>
  <c r="O12" i="13" s="1"/>
  <c r="O13" i="13" s="1"/>
  <c r="J11" i="13"/>
  <c r="J12" i="13" s="1"/>
  <c r="J13" i="13" s="1"/>
  <c r="G11" i="13"/>
  <c r="G12" i="13" s="1"/>
  <c r="G13" i="13" s="1"/>
  <c r="D11" i="13"/>
  <c r="D12" i="13" s="1"/>
  <c r="D13" i="13" s="1"/>
  <c r="BM10" i="13"/>
  <c r="BJ10" i="13"/>
  <c r="BG10" i="13"/>
  <c r="BB10" i="13"/>
  <c r="AY10" i="13"/>
  <c r="AV10" i="13"/>
  <c r="AQ10" i="13"/>
  <c r="AN10" i="13"/>
  <c r="AK10" i="13"/>
  <c r="AF10" i="13"/>
  <c r="AC10" i="13"/>
  <c r="Z10" i="13"/>
  <c r="U10" i="13"/>
  <c r="R10" i="13"/>
  <c r="O10" i="13"/>
  <c r="J10" i="13"/>
  <c r="G10" i="13"/>
  <c r="D10" i="13"/>
  <c r="BM9" i="13"/>
  <c r="BJ9" i="13"/>
  <c r="BG9" i="13"/>
  <c r="BB9" i="13"/>
  <c r="AY9" i="13"/>
  <c r="AV9" i="13"/>
  <c r="AQ9" i="13"/>
  <c r="AN9" i="13"/>
  <c r="AK9" i="13"/>
  <c r="AF9" i="13"/>
  <c r="AC9" i="13"/>
  <c r="Z9" i="13"/>
  <c r="U9" i="13"/>
  <c r="R9" i="13"/>
  <c r="O9" i="13"/>
  <c r="J9" i="13"/>
  <c r="G9" i="13"/>
  <c r="D9" i="13"/>
  <c r="BM8" i="13"/>
  <c r="BJ8" i="13"/>
  <c r="BG8" i="13"/>
  <c r="BB8" i="13"/>
  <c r="AY8" i="13"/>
  <c r="AV8" i="13"/>
  <c r="AQ8" i="13"/>
  <c r="AN8" i="13"/>
  <c r="AK8" i="13"/>
  <c r="AF8" i="13"/>
  <c r="AC8" i="13"/>
  <c r="Z8" i="13"/>
  <c r="U8" i="13"/>
  <c r="R8" i="13"/>
  <c r="O8" i="13"/>
  <c r="J8" i="13"/>
  <c r="G8" i="13"/>
  <c r="D8" i="13"/>
  <c r="BM7" i="13"/>
  <c r="BJ7" i="13"/>
  <c r="BG7" i="13"/>
  <c r="BB7" i="13"/>
  <c r="AY7" i="13"/>
  <c r="AV7" i="13"/>
  <c r="AQ7" i="13"/>
  <c r="AN7" i="13"/>
  <c r="AK7" i="13"/>
  <c r="AF7" i="13"/>
  <c r="AC7" i="13"/>
  <c r="Z7" i="13"/>
  <c r="U7" i="13"/>
  <c r="R7" i="13"/>
  <c r="O7" i="13"/>
  <c r="J7" i="13"/>
  <c r="G7" i="13"/>
  <c r="D7" i="13"/>
  <c r="BM6" i="13"/>
  <c r="BJ6" i="13"/>
  <c r="BG6" i="13"/>
  <c r="BB6" i="13"/>
  <c r="AY6" i="13"/>
  <c r="AV6" i="13"/>
  <c r="AQ6" i="13"/>
  <c r="AN6" i="13"/>
  <c r="AK6" i="13"/>
  <c r="AF6" i="13"/>
  <c r="AC6" i="13"/>
  <c r="Z6" i="13"/>
  <c r="U6" i="13"/>
  <c r="R6" i="13"/>
  <c r="O6" i="13"/>
  <c r="J6" i="13"/>
  <c r="G6" i="13"/>
  <c r="D6" i="13"/>
  <c r="D6" i="8"/>
  <c r="AV6" i="11"/>
  <c r="D6" i="11"/>
  <c r="BM11" i="11"/>
  <c r="BM12" i="11" s="1"/>
  <c r="BM13" i="11" s="1"/>
  <c r="BJ11" i="11"/>
  <c r="BJ12" i="11" s="1"/>
  <c r="BJ13" i="11" s="1"/>
  <c r="BG11" i="11"/>
  <c r="BG12" i="11" s="1"/>
  <c r="BG13" i="11" s="1"/>
  <c r="BB11" i="11"/>
  <c r="BB12" i="11" s="1"/>
  <c r="BB13" i="11" s="1"/>
  <c r="AY11" i="11"/>
  <c r="AY12" i="11" s="1"/>
  <c r="AY13" i="11" s="1"/>
  <c r="AV11" i="11"/>
  <c r="AV12" i="11" s="1"/>
  <c r="AV13" i="11" s="1"/>
  <c r="AQ11" i="11"/>
  <c r="AQ12" i="11" s="1"/>
  <c r="AQ13" i="11" s="1"/>
  <c r="AN11" i="11"/>
  <c r="AN12" i="11" s="1"/>
  <c r="AN13" i="11" s="1"/>
  <c r="AK11" i="11"/>
  <c r="AK12" i="11" s="1"/>
  <c r="AK13" i="11" s="1"/>
  <c r="AF11" i="11"/>
  <c r="AF12" i="11" s="1"/>
  <c r="AF13" i="11" s="1"/>
  <c r="AC11" i="11"/>
  <c r="AC12" i="11" s="1"/>
  <c r="AC13" i="11" s="1"/>
  <c r="Z11" i="11"/>
  <c r="Z12" i="11" s="1"/>
  <c r="Z13" i="11" s="1"/>
  <c r="U11" i="11"/>
  <c r="U12" i="11" s="1"/>
  <c r="U13" i="11" s="1"/>
  <c r="R11" i="11"/>
  <c r="R12" i="11" s="1"/>
  <c r="R13" i="11" s="1"/>
  <c r="O11" i="11"/>
  <c r="O12" i="11" s="1"/>
  <c r="O13" i="11" s="1"/>
  <c r="J11" i="11"/>
  <c r="J12" i="11" s="1"/>
  <c r="J13" i="11" s="1"/>
  <c r="G11" i="11"/>
  <c r="G12" i="11" s="1"/>
  <c r="G13" i="11" s="1"/>
  <c r="D11" i="11"/>
  <c r="D12" i="11" s="1"/>
  <c r="D13" i="11" s="1"/>
  <c r="BM10" i="11"/>
  <c r="BJ10" i="11"/>
  <c r="BG10" i="11"/>
  <c r="BB10" i="11"/>
  <c r="AY10" i="11"/>
  <c r="BC10" i="11" s="1"/>
  <c r="AV10" i="11"/>
  <c r="AQ10" i="11"/>
  <c r="AN10" i="11"/>
  <c r="AK10" i="11"/>
  <c r="AF10" i="11"/>
  <c r="AC10" i="11"/>
  <c r="Z10" i="11"/>
  <c r="U10" i="11"/>
  <c r="R10" i="11"/>
  <c r="O10" i="11"/>
  <c r="J10" i="11"/>
  <c r="G10" i="11"/>
  <c r="D10" i="11"/>
  <c r="BM9" i="11"/>
  <c r="BJ9" i="11"/>
  <c r="BG9" i="11"/>
  <c r="BB9" i="11"/>
  <c r="AY9" i="11"/>
  <c r="AV9" i="11"/>
  <c r="AQ9" i="11"/>
  <c r="AN9" i="11"/>
  <c r="AK9" i="11"/>
  <c r="AF9" i="11"/>
  <c r="AC9" i="11"/>
  <c r="Z9" i="11"/>
  <c r="U9" i="11"/>
  <c r="R9" i="11"/>
  <c r="O9" i="11"/>
  <c r="J9" i="11"/>
  <c r="G9" i="11"/>
  <c r="D9" i="11"/>
  <c r="BM8" i="11"/>
  <c r="BJ8" i="11"/>
  <c r="BG8" i="11"/>
  <c r="BB8" i="11"/>
  <c r="AY8" i="11"/>
  <c r="AV8" i="11"/>
  <c r="AQ8" i="11"/>
  <c r="AN8" i="11"/>
  <c r="AK8" i="11"/>
  <c r="AF8" i="11"/>
  <c r="AC8" i="11"/>
  <c r="Z8" i="11"/>
  <c r="U8" i="11"/>
  <c r="R8" i="11"/>
  <c r="O8" i="11"/>
  <c r="J8" i="11"/>
  <c r="G8" i="11"/>
  <c r="D8" i="11"/>
  <c r="BM7" i="11"/>
  <c r="BJ7" i="11"/>
  <c r="BG7" i="11"/>
  <c r="BB7" i="11"/>
  <c r="AY7" i="11"/>
  <c r="AV7" i="11"/>
  <c r="AQ7" i="11"/>
  <c r="AN7" i="11"/>
  <c r="AK7" i="11"/>
  <c r="AF7" i="11"/>
  <c r="AC7" i="11"/>
  <c r="Z7" i="11"/>
  <c r="U7" i="11"/>
  <c r="R7" i="11"/>
  <c r="O7" i="11"/>
  <c r="J7" i="11"/>
  <c r="G7" i="11"/>
  <c r="D7" i="11"/>
  <c r="BM6" i="11"/>
  <c r="BJ6" i="11"/>
  <c r="BG6" i="11"/>
  <c r="BN6" i="11" s="1"/>
  <c r="BB6" i="11"/>
  <c r="AY6" i="11"/>
  <c r="AQ6" i="11"/>
  <c r="AN6" i="11"/>
  <c r="AK6" i="11"/>
  <c r="AF6" i="11"/>
  <c r="AC6" i="11"/>
  <c r="Z6" i="11"/>
  <c r="U6" i="11"/>
  <c r="R6" i="11"/>
  <c r="O6" i="11"/>
  <c r="J6" i="11"/>
  <c r="G6" i="11"/>
  <c r="BC10" i="14" l="1"/>
  <c r="BN7" i="13"/>
  <c r="BN9" i="14"/>
  <c r="K7" i="11"/>
  <c r="BC11" i="14"/>
  <c r="BC12" i="14" s="1"/>
  <c r="BC13" i="14" s="1"/>
  <c r="AV12" i="14"/>
  <c r="AV13" i="14" s="1"/>
  <c r="K10" i="11"/>
  <c r="BN6" i="13"/>
  <c r="BN11" i="14"/>
  <c r="BN12" i="14" s="1"/>
  <c r="BN13" i="14" s="1"/>
  <c r="BN8" i="14"/>
  <c r="BN10" i="14"/>
  <c r="BN6" i="14"/>
  <c r="BN7" i="14"/>
  <c r="BC6" i="14"/>
  <c r="AR11" i="14"/>
  <c r="AR12" i="14" s="1"/>
  <c r="AR13" i="14" s="1"/>
  <c r="V9" i="14"/>
  <c r="BN11" i="13"/>
  <c r="BN12" i="13" s="1"/>
  <c r="BN13" i="13" s="1"/>
  <c r="BN8" i="13"/>
  <c r="BN9" i="13"/>
  <c r="BN10" i="13"/>
  <c r="BC11" i="13"/>
  <c r="BC12" i="13" s="1"/>
  <c r="BC13" i="13" s="1"/>
  <c r="BC8" i="13"/>
  <c r="AR9" i="13"/>
  <c r="AR6" i="13"/>
  <c r="AR8" i="14"/>
  <c r="AR10" i="14"/>
  <c r="BC8" i="14"/>
  <c r="AR9" i="14"/>
  <c r="AG10" i="14"/>
  <c r="AR7" i="14"/>
  <c r="AG8" i="14"/>
  <c r="V11" i="14"/>
  <c r="V12" i="14" s="1"/>
  <c r="V13" i="14" s="1"/>
  <c r="BC9" i="14"/>
  <c r="BC7" i="14"/>
  <c r="AG6" i="14"/>
  <c r="K8" i="14"/>
  <c r="K10" i="14"/>
  <c r="K6" i="14"/>
  <c r="AG7" i="14"/>
  <c r="AG9" i="14"/>
  <c r="AR6" i="14"/>
  <c r="V10" i="14"/>
  <c r="V7" i="14"/>
  <c r="V8" i="14"/>
  <c r="AG11" i="14"/>
  <c r="AG12" i="14" s="1"/>
  <c r="AG13" i="14" s="1"/>
  <c r="K9" i="14"/>
  <c r="K7" i="14"/>
  <c r="V6" i="14"/>
  <c r="K11" i="14"/>
  <c r="K12" i="14" s="1"/>
  <c r="K13" i="14" s="1"/>
  <c r="BC6" i="13"/>
  <c r="AR7" i="13"/>
  <c r="BC9" i="13"/>
  <c r="AR10" i="13"/>
  <c r="BC7" i="13"/>
  <c r="AR8" i="13"/>
  <c r="K6" i="13"/>
  <c r="BC10" i="13"/>
  <c r="AR11" i="13"/>
  <c r="AR12" i="13" s="1"/>
  <c r="AR13" i="13" s="1"/>
  <c r="V9" i="13"/>
  <c r="AG7" i="13"/>
  <c r="AG9" i="13"/>
  <c r="AG11" i="13"/>
  <c r="AG12" i="13" s="1"/>
  <c r="AG13" i="13" s="1"/>
  <c r="V8" i="13"/>
  <c r="K7" i="13"/>
  <c r="K9" i="13"/>
  <c r="V10" i="13"/>
  <c r="V6" i="13"/>
  <c r="AG6" i="13"/>
  <c r="AG8" i="13"/>
  <c r="V11" i="13"/>
  <c r="V12" i="13" s="1"/>
  <c r="V13" i="13" s="1"/>
  <c r="V7" i="13"/>
  <c r="AG10" i="13"/>
  <c r="K11" i="13"/>
  <c r="K12" i="13" s="1"/>
  <c r="K13" i="13" s="1"/>
  <c r="K8" i="13"/>
  <c r="K10" i="13"/>
  <c r="BN9" i="11"/>
  <c r="BC7" i="11"/>
  <c r="AR11" i="11"/>
  <c r="AR12" i="11" s="1"/>
  <c r="AR13" i="11" s="1"/>
  <c r="AR10" i="11"/>
  <c r="AR6" i="11"/>
  <c r="AG7" i="11"/>
  <c r="AG11" i="11"/>
  <c r="AG12" i="11" s="1"/>
  <c r="AG13" i="11" s="1"/>
  <c r="V8" i="11"/>
  <c r="V6" i="11"/>
  <c r="K6" i="11"/>
  <c r="BN10" i="11"/>
  <c r="BN7" i="11"/>
  <c r="BN11" i="11"/>
  <c r="BN12" i="11" s="1"/>
  <c r="BN13" i="11" s="1"/>
  <c r="BN8" i="11"/>
  <c r="BC11" i="11"/>
  <c r="BC12" i="11" s="1"/>
  <c r="BC13" i="11" s="1"/>
  <c r="BC8" i="11"/>
  <c r="BC9" i="11"/>
  <c r="BC6" i="11"/>
  <c r="AR7" i="11"/>
  <c r="AR8" i="11"/>
  <c r="AR9" i="11"/>
  <c r="AG6" i="11"/>
  <c r="AG8" i="11"/>
  <c r="AG9" i="11"/>
  <c r="AG10" i="11"/>
  <c r="V10" i="11"/>
  <c r="V7" i="11"/>
  <c r="V9" i="11"/>
  <c r="V11" i="11"/>
  <c r="V12" i="11" s="1"/>
  <c r="V13" i="11" s="1"/>
  <c r="K9" i="11"/>
  <c r="K11" i="11"/>
  <c r="K12" i="11" s="1"/>
  <c r="K13" i="11" s="1"/>
  <c r="K8" i="11"/>
  <c r="BM7" i="8" l="1"/>
  <c r="BM8" i="8"/>
  <c r="BM9" i="8"/>
  <c r="BM10" i="8"/>
  <c r="BM11" i="8"/>
  <c r="BM12" i="8" s="1"/>
  <c r="BM13" i="8" s="1"/>
  <c r="BM6" i="8"/>
  <c r="BJ7" i="8"/>
  <c r="BJ8" i="8"/>
  <c r="BJ9" i="8"/>
  <c r="BJ10" i="8"/>
  <c r="BJ11" i="8"/>
  <c r="BJ12" i="8" s="1"/>
  <c r="BJ13" i="8" s="1"/>
  <c r="BJ6" i="8"/>
  <c r="BG7" i="8"/>
  <c r="BG8" i="8"/>
  <c r="BG9" i="8"/>
  <c r="BG10" i="8"/>
  <c r="BG11" i="8"/>
  <c r="BG12" i="8" s="1"/>
  <c r="BG13" i="8" s="1"/>
  <c r="BG6" i="8"/>
  <c r="BB7" i="8"/>
  <c r="BB8" i="8"/>
  <c r="BB9" i="8"/>
  <c r="BB10" i="8"/>
  <c r="BB11" i="8"/>
  <c r="BB12" i="8" s="1"/>
  <c r="BB13" i="8" s="1"/>
  <c r="AY7" i="8"/>
  <c r="AY8" i="8"/>
  <c r="AY9" i="8"/>
  <c r="AY10" i="8"/>
  <c r="AY11" i="8"/>
  <c r="AY12" i="8" s="1"/>
  <c r="AY13" i="8" s="1"/>
  <c r="BB6" i="8"/>
  <c r="AY6" i="8"/>
  <c r="AV7" i="8"/>
  <c r="AV8" i="8"/>
  <c r="AV9" i="8"/>
  <c r="AV10" i="8"/>
  <c r="AV11" i="8"/>
  <c r="AV12" i="8" s="1"/>
  <c r="AV13" i="8" s="1"/>
  <c r="AV6" i="8"/>
  <c r="AQ7" i="8"/>
  <c r="AQ8" i="8"/>
  <c r="AQ9" i="8"/>
  <c r="AQ10" i="8"/>
  <c r="AQ11" i="8"/>
  <c r="AQ12" i="8" s="1"/>
  <c r="AQ13" i="8" s="1"/>
  <c r="AN7" i="8"/>
  <c r="AN8" i="8"/>
  <c r="AN9" i="8"/>
  <c r="AN10" i="8"/>
  <c r="AN11" i="8"/>
  <c r="AN12" i="8" s="1"/>
  <c r="AN13" i="8" s="1"/>
  <c r="AQ6" i="8"/>
  <c r="AN6" i="8"/>
  <c r="AK7" i="8"/>
  <c r="AK8" i="8"/>
  <c r="AK9" i="8"/>
  <c r="AK10" i="8"/>
  <c r="AK11" i="8"/>
  <c r="AK12" i="8" s="1"/>
  <c r="AK13" i="8" s="1"/>
  <c r="AK6" i="8"/>
  <c r="AF7" i="8"/>
  <c r="AF8" i="8"/>
  <c r="AF9" i="8"/>
  <c r="AF10" i="8"/>
  <c r="AF11" i="8"/>
  <c r="AF12" i="8" s="1"/>
  <c r="AF13" i="8" s="1"/>
  <c r="AF6" i="8"/>
  <c r="AC7" i="8"/>
  <c r="AC8" i="8"/>
  <c r="AC9" i="8"/>
  <c r="AC10" i="8"/>
  <c r="AC11" i="8"/>
  <c r="AC12" i="8" s="1"/>
  <c r="AC13" i="8" s="1"/>
  <c r="AC6" i="8"/>
  <c r="Z7" i="8"/>
  <c r="Z8" i="8"/>
  <c r="Z9" i="8"/>
  <c r="Z10" i="8"/>
  <c r="Z11" i="8"/>
  <c r="Z12" i="8" s="1"/>
  <c r="Z13" i="8" s="1"/>
  <c r="Z6" i="8"/>
  <c r="U7" i="8"/>
  <c r="U8" i="8"/>
  <c r="U9" i="8"/>
  <c r="U10" i="8"/>
  <c r="U11" i="8"/>
  <c r="U12" i="8" s="1"/>
  <c r="U13" i="8" s="1"/>
  <c r="U6" i="8"/>
  <c r="R7" i="8"/>
  <c r="R8" i="8"/>
  <c r="R9" i="8"/>
  <c r="R10" i="8"/>
  <c r="R11" i="8"/>
  <c r="R12" i="8" s="1"/>
  <c r="R13" i="8" s="1"/>
  <c r="R6" i="8"/>
  <c r="O7" i="8"/>
  <c r="O8" i="8"/>
  <c r="O9" i="8"/>
  <c r="O10" i="8"/>
  <c r="O11" i="8"/>
  <c r="O12" i="8" s="1"/>
  <c r="O13" i="8" s="1"/>
  <c r="O6" i="8"/>
  <c r="J7" i="8"/>
  <c r="J8" i="8"/>
  <c r="J9" i="8"/>
  <c r="J10" i="8"/>
  <c r="J11" i="8"/>
  <c r="J12" i="8" s="1"/>
  <c r="J13" i="8" s="1"/>
  <c r="G7" i="8"/>
  <c r="G8" i="8"/>
  <c r="G9" i="8"/>
  <c r="G10" i="8"/>
  <c r="G11" i="8"/>
  <c r="G12" i="8" s="1"/>
  <c r="G13" i="8" s="1"/>
  <c r="J6" i="8"/>
  <c r="G6" i="8"/>
  <c r="D7" i="8"/>
  <c r="D8" i="8"/>
  <c r="D9" i="8"/>
  <c r="D10" i="8"/>
  <c r="D11" i="8"/>
  <c r="D12" i="8" s="1"/>
  <c r="D13" i="8" s="1"/>
  <c r="BM7" i="7"/>
  <c r="BM8" i="7"/>
  <c r="BM9" i="7"/>
  <c r="BM10" i="7"/>
  <c r="BM11" i="7"/>
  <c r="BM12" i="7" s="1"/>
  <c r="BM13" i="7" s="1"/>
  <c r="BM6" i="7"/>
  <c r="BJ7" i="7"/>
  <c r="BJ8" i="7"/>
  <c r="BJ9" i="7"/>
  <c r="BJ10" i="7"/>
  <c r="BJ11" i="7"/>
  <c r="BJ12" i="7" s="1"/>
  <c r="BJ13" i="7" s="1"/>
  <c r="BJ6" i="7"/>
  <c r="BG7" i="7"/>
  <c r="BG8" i="7"/>
  <c r="BG9" i="7"/>
  <c r="BG10" i="7"/>
  <c r="BG11" i="7"/>
  <c r="BG12" i="7" s="1"/>
  <c r="BG13" i="7" s="1"/>
  <c r="BG6" i="7"/>
  <c r="BB7" i="7"/>
  <c r="BB8" i="7"/>
  <c r="BB9" i="7"/>
  <c r="BB10" i="7"/>
  <c r="BB11" i="7"/>
  <c r="BB12" i="7" s="1"/>
  <c r="BB13" i="7" s="1"/>
  <c r="BB6" i="7"/>
  <c r="AY7" i="7"/>
  <c r="AY8" i="7"/>
  <c r="AY9" i="7"/>
  <c r="AY10" i="7"/>
  <c r="AY11" i="7"/>
  <c r="AY12" i="7" s="1"/>
  <c r="AY13" i="7" s="1"/>
  <c r="AY6" i="7"/>
  <c r="AV7" i="7"/>
  <c r="AV8" i="7"/>
  <c r="AV9" i="7"/>
  <c r="AV10" i="7"/>
  <c r="AV11" i="7"/>
  <c r="AV12" i="7" s="1"/>
  <c r="AV13" i="7" s="1"/>
  <c r="AV6" i="7"/>
  <c r="AQ7" i="7"/>
  <c r="AQ8" i="7"/>
  <c r="AQ9" i="7"/>
  <c r="AQ10" i="7"/>
  <c r="AQ11" i="7"/>
  <c r="AQ12" i="7" s="1"/>
  <c r="AQ13" i="7" s="1"/>
  <c r="AQ6" i="7"/>
  <c r="AN7" i="7"/>
  <c r="AN8" i="7"/>
  <c r="AN9" i="7"/>
  <c r="AN10" i="7"/>
  <c r="AN11" i="7"/>
  <c r="AN12" i="7" s="1"/>
  <c r="AN13" i="7" s="1"/>
  <c r="AN6" i="7"/>
  <c r="AK7" i="7"/>
  <c r="AK8" i="7"/>
  <c r="AK9" i="7"/>
  <c r="AK10" i="7"/>
  <c r="AK11" i="7"/>
  <c r="AK12" i="7" s="1"/>
  <c r="AK13" i="7" s="1"/>
  <c r="AK6" i="7"/>
  <c r="AF7" i="7"/>
  <c r="AF8" i="7"/>
  <c r="AF9" i="7"/>
  <c r="AF10" i="7"/>
  <c r="AF11" i="7"/>
  <c r="AF12" i="7" s="1"/>
  <c r="AF13" i="7" s="1"/>
  <c r="AF6" i="7"/>
  <c r="AC7" i="7"/>
  <c r="AC8" i="7"/>
  <c r="AC9" i="7"/>
  <c r="AC10" i="7"/>
  <c r="AC11" i="7"/>
  <c r="AC12" i="7" s="1"/>
  <c r="AC13" i="7" s="1"/>
  <c r="AC6" i="7"/>
  <c r="Z7" i="7"/>
  <c r="Z8" i="7"/>
  <c r="Z9" i="7"/>
  <c r="Z10" i="7"/>
  <c r="Z11" i="7"/>
  <c r="Z12" i="7" s="1"/>
  <c r="Z13" i="7" s="1"/>
  <c r="Z6" i="7"/>
  <c r="U7" i="7"/>
  <c r="U8" i="7"/>
  <c r="U9" i="7"/>
  <c r="U10" i="7"/>
  <c r="U11" i="7"/>
  <c r="U12" i="7" s="1"/>
  <c r="U13" i="7" s="1"/>
  <c r="U6" i="7"/>
  <c r="R7" i="7"/>
  <c r="R8" i="7"/>
  <c r="R9" i="7"/>
  <c r="R10" i="7"/>
  <c r="R11" i="7"/>
  <c r="R12" i="7" s="1"/>
  <c r="R13" i="7" s="1"/>
  <c r="R6" i="7"/>
  <c r="O7" i="7"/>
  <c r="O8" i="7"/>
  <c r="O9" i="7"/>
  <c r="O10" i="7"/>
  <c r="O11" i="7"/>
  <c r="O12" i="7" s="1"/>
  <c r="O13" i="7" s="1"/>
  <c r="O6" i="7"/>
  <c r="J7" i="7"/>
  <c r="J8" i="7"/>
  <c r="J9" i="7"/>
  <c r="J10" i="7"/>
  <c r="J11" i="7"/>
  <c r="J12" i="7" s="1"/>
  <c r="J13" i="7" s="1"/>
  <c r="J6" i="7"/>
  <c r="G7" i="7"/>
  <c r="G8" i="7"/>
  <c r="G9" i="7"/>
  <c r="G10" i="7"/>
  <c r="G11" i="7"/>
  <c r="G12" i="7" s="1"/>
  <c r="G13" i="7" s="1"/>
  <c r="G6" i="7"/>
  <c r="D7" i="7"/>
  <c r="D8" i="7"/>
  <c r="D9" i="7"/>
  <c r="D10" i="7"/>
  <c r="D6" i="7"/>
  <c r="AR10" i="8" l="1"/>
  <c r="AR8" i="8"/>
  <c r="AG7" i="8"/>
  <c r="V11" i="8"/>
  <c r="V12" i="8" s="1"/>
  <c r="V13" i="8" s="1"/>
  <c r="K6" i="8"/>
  <c r="K11" i="8"/>
  <c r="K12" i="8" s="1"/>
  <c r="K13" i="8" s="1"/>
  <c r="K10" i="8"/>
  <c r="BN6" i="8"/>
  <c r="BN8" i="8"/>
  <c r="BN7" i="8"/>
  <c r="BN11" i="8"/>
  <c r="BN12" i="8" s="1"/>
  <c r="BN13" i="8" s="1"/>
  <c r="BN9" i="8"/>
  <c r="BN10" i="8"/>
  <c r="BC6" i="8"/>
  <c r="BC10" i="8"/>
  <c r="BC11" i="8"/>
  <c r="BC12" i="8" s="1"/>
  <c r="BC13" i="8" s="1"/>
  <c r="BC9" i="8"/>
  <c r="BC8" i="8"/>
  <c r="BC7" i="8"/>
  <c r="AR6" i="8"/>
  <c r="AR7" i="8"/>
  <c r="AR11" i="8"/>
  <c r="AR12" i="8" s="1"/>
  <c r="AR13" i="8" s="1"/>
  <c r="AR9" i="8"/>
  <c r="AG6" i="8"/>
  <c r="AG9" i="8"/>
  <c r="AG11" i="8"/>
  <c r="AG12" i="8" s="1"/>
  <c r="AG13" i="8" s="1"/>
  <c r="AG10" i="8"/>
  <c r="AG8" i="8"/>
  <c r="V7" i="8"/>
  <c r="V6" i="8"/>
  <c r="V9" i="8"/>
  <c r="V10" i="8"/>
  <c r="V8" i="8"/>
  <c r="K9" i="8"/>
  <c r="K7" i="8"/>
  <c r="K8" i="8"/>
  <c r="BC6" i="7"/>
  <c r="BC11" i="7"/>
  <c r="BC12" i="7" s="1"/>
  <c r="BC13" i="7" s="1"/>
  <c r="AG8" i="7"/>
  <c r="AG10" i="7"/>
  <c r="AG9" i="7"/>
  <c r="AG7" i="7"/>
  <c r="K6" i="7"/>
  <c r="K11" i="7"/>
  <c r="K12" i="7" s="1"/>
  <c r="K13" i="7" s="1"/>
  <c r="AR10" i="7"/>
  <c r="K10" i="7"/>
  <c r="K8" i="7"/>
  <c r="AG6" i="7"/>
  <c r="BC10" i="7"/>
  <c r="BC8" i="7"/>
  <c r="AR8" i="7"/>
  <c r="V11" i="7"/>
  <c r="V12" i="7" s="1"/>
  <c r="V13" i="7" s="1"/>
  <c r="AR9" i="7"/>
  <c r="BN11" i="7"/>
  <c r="BN12" i="7" s="1"/>
  <c r="BN13" i="7" s="1"/>
  <c r="K9" i="7"/>
  <c r="K7" i="7"/>
  <c r="AG11" i="7"/>
  <c r="AG12" i="7" s="1"/>
  <c r="AG13" i="7" s="1"/>
  <c r="BC9" i="7"/>
  <c r="BC7" i="7"/>
  <c r="V6" i="7"/>
  <c r="AR7" i="7"/>
  <c r="V10" i="7"/>
  <c r="V8" i="7"/>
  <c r="AR6" i="7"/>
  <c r="BN10" i="7"/>
  <c r="BN8" i="7"/>
  <c r="BN6" i="7"/>
  <c r="V9" i="7"/>
  <c r="V7" i="7"/>
  <c r="AR11" i="7"/>
  <c r="AR12" i="7" s="1"/>
  <c r="AR13" i="7" s="1"/>
  <c r="BN9" i="7"/>
  <c r="BN7" i="7"/>
  <c r="J7" i="6"/>
  <c r="J8" i="6"/>
  <c r="J9" i="6"/>
  <c r="J10" i="6"/>
  <c r="J11" i="6"/>
  <c r="J6" i="6"/>
  <c r="G7" i="6"/>
  <c r="G8" i="6"/>
  <c r="G9" i="6"/>
  <c r="G10" i="6"/>
  <c r="G11" i="6"/>
  <c r="G12" i="6" s="1"/>
  <c r="G6" i="6"/>
  <c r="D7" i="6"/>
  <c r="D8" i="6"/>
  <c r="D9" i="6"/>
  <c r="K9" i="6" s="1"/>
  <c r="D10" i="6"/>
  <c r="K10" i="6" s="1"/>
  <c r="D11" i="6"/>
  <c r="K8" i="6" l="1"/>
  <c r="K7" i="6"/>
  <c r="D12" i="6"/>
  <c r="K11" i="6"/>
  <c r="K12" i="6" s="1"/>
  <c r="K6" i="6"/>
</calcChain>
</file>

<file path=xl/sharedStrings.xml><?xml version="1.0" encoding="utf-8"?>
<sst xmlns="http://schemas.openxmlformats.org/spreadsheetml/2006/main" count="2232" uniqueCount="101">
  <si>
    <t>Abs</t>
  </si>
  <si>
    <t>Tiempo (s)</t>
  </si>
  <si>
    <t>MEDICIÓN 1.1</t>
  </si>
  <si>
    <t>MEDICIÓN 1.2</t>
  </si>
  <si>
    <t>MEDICIÓN 1.3</t>
  </si>
  <si>
    <t xml:space="preserve">TOMATE DE ÁRBOL ESCALDADO A 75 °C X 1 min </t>
  </si>
  <si>
    <t xml:space="preserve">TOMATE DE ÁRBOL ESCALDADO A 75 °C X 2 min </t>
  </si>
  <si>
    <t xml:space="preserve">TOMATE DE ÁRBOL ESCALDADO A 75 °C X 3 min </t>
  </si>
  <si>
    <t xml:space="preserve">TOMATE DE ÁRBOL ESCALDADO A 75 °C X 4 min </t>
  </si>
  <si>
    <t xml:space="preserve">TOMATE DE ÁRBOL ESCALDADO A 75 °C X 5 min </t>
  </si>
  <si>
    <t xml:space="preserve">TOMATE DE ÁRBOL ESCALDADO A 75 °C X 6 min </t>
  </si>
  <si>
    <t xml:space="preserve">TOMATE DE ÁRBOL ESCALDADO A 80 °C X 1 min </t>
  </si>
  <si>
    <t xml:space="preserve">TOMATE DE ÁRBOL ESCALDADO A 80 °C X 2 min </t>
  </si>
  <si>
    <t xml:space="preserve">TOMATE DE ÁRBOL ESCALDADO A 80 °C X 3 min </t>
  </si>
  <si>
    <t xml:space="preserve">TOMATE DE ÁRBOL ESCALDADO A 80 °C X 4 min </t>
  </si>
  <si>
    <t xml:space="preserve">TOMATE DE ÁRBOL ESCALDADO A 80 °C X 5 min </t>
  </si>
  <si>
    <t xml:space="preserve">TOMATE DE ÁRBOL ESCALDADO A 80 °C X 6 min </t>
  </si>
  <si>
    <t xml:space="preserve">TOMATE DE ÁRBOL ESCALDADO A 85 °C X 1 min </t>
  </si>
  <si>
    <t xml:space="preserve">TOMATE DE ÁRBOL ESCALDADO A 85 °C X 2 min </t>
  </si>
  <si>
    <t xml:space="preserve">TOMATE DE ÁRBOL ESCALDADO A 85 °C X 3 min </t>
  </si>
  <si>
    <t xml:space="preserve">TOMATE DE ÁRBOL ESCALDADO A 85 °C X 4 min </t>
  </si>
  <si>
    <t xml:space="preserve">TOMATE DE ÁRBOL ESCALDADO A 85 °C X 5 min </t>
  </si>
  <si>
    <t xml:space="preserve">TOMATE DE ÁRBOL ESCALDADO A 85 °C X 6 min </t>
  </si>
  <si>
    <t>Act. Enzimática</t>
  </si>
  <si>
    <t>Coeficiente de extinción molar para el tetraguaiacol a 470 nm es 26,6 (Liburdi y Benucci, 2019)</t>
  </si>
  <si>
    <t>TOMATE DE ÁRBOL ESCALDADO A TEMPERATURA AMBIENTE #1</t>
  </si>
  <si>
    <t>Ley de Lambert-Beer</t>
  </si>
  <si>
    <t>[ ]=Abs/E*L</t>
  </si>
  <si>
    <t>[ ]: Concentración de tetraguayacolato</t>
  </si>
  <si>
    <t xml:space="preserve">Abs: Absorbancia </t>
  </si>
  <si>
    <t>E: Coeficiente de extinsión molar</t>
  </si>
  <si>
    <t>L: Longitud de la celda</t>
  </si>
  <si>
    <t>[ ] mmolar</t>
  </si>
  <si>
    <t>PROMEDIO</t>
  </si>
  <si>
    <t xml:space="preserve">PROMEDIO </t>
  </si>
  <si>
    <t>Tiem. Abs</t>
  </si>
  <si>
    <t>Tiempo Escal</t>
  </si>
  <si>
    <t>mmolar</t>
  </si>
  <si>
    <t xml:space="preserve">TOMATE DE ÁRBOL ESCALDADO A 70 °C X 1 min </t>
  </si>
  <si>
    <t xml:space="preserve">TOMATE DE ÁRBOL ESCALDADO A 70 °C X 2 min </t>
  </si>
  <si>
    <t xml:space="preserve">TOMATE DE ÁRBOL ESCALDADO A 70 °C X 3 min </t>
  </si>
  <si>
    <t xml:space="preserve">TOMATE DE ÁRBOL ESCALDADO A 70 °C X 4 min </t>
  </si>
  <si>
    <t xml:space="preserve">TOMATE DE ÁRBOL ESCALDADO A 70 °C X 5 min </t>
  </si>
  <si>
    <t xml:space="preserve">TOMATE DE ÁRBOL ESCALDADO A 70 °C X 6 min </t>
  </si>
  <si>
    <t xml:space="preserve">TOMATE DE ÁRBOL ESCALDADO A 90 °C X 1 min </t>
  </si>
  <si>
    <t xml:space="preserve">TOMATE DE ÁRBOL ESCALDADO A 90 °C X 2 min </t>
  </si>
  <si>
    <t xml:space="preserve">TOMATE DE ÁRBOL ESCALDADO A 90 °C X 3 min </t>
  </si>
  <si>
    <t xml:space="preserve">TOMATE DE ÁRBOL ESCALDADO A 90 °C X 4 min </t>
  </si>
  <si>
    <t xml:space="preserve">TOMATE DE ÁRBOL ESCALDADO A 90 °C X 5 min </t>
  </si>
  <si>
    <t xml:space="preserve">TOMATE DE ÁRBOL ESCALDADO A 90 °C X 6 min </t>
  </si>
  <si>
    <t>Act. Enzimática
Micromolar en 1 minuto</t>
  </si>
  <si>
    <t>Act. Enzimática
Residual</t>
  </si>
  <si>
    <t>NA</t>
  </si>
  <si>
    <t>VR</t>
  </si>
  <si>
    <t>AES</t>
  </si>
  <si>
    <t>AERS</t>
  </si>
  <si>
    <t xml:space="preserve">TOMATE DE ÁRBOL ESCALDADO A 300 W X 15 s </t>
  </si>
  <si>
    <t xml:space="preserve">TOMATE DE ÁRBOL ESCALDADO A 300 W X 30 s </t>
  </si>
  <si>
    <t xml:space="preserve">TOMATE DE ÁRBOL ESCALDADO A 300 W X 45 s </t>
  </si>
  <si>
    <t xml:space="preserve">TOMATE DE ÁRBOL ESCALDADO A 300 W X 60 s </t>
  </si>
  <si>
    <t xml:space="preserve">TOMATE DE ÁRBOL ESCALDADO A 600 W X 15 s </t>
  </si>
  <si>
    <t xml:space="preserve">TOMATE DE ÁRBOL ESCALDADO A 600 W X 30 s </t>
  </si>
  <si>
    <t xml:space="preserve">TOMATE DE ÁRBOL ESCALDADO A 600 W X 45 s </t>
  </si>
  <si>
    <t xml:space="preserve">TOMATE DE ÁRBOL ESCALDADO A 600 W X 60 s </t>
  </si>
  <si>
    <t xml:space="preserve">TOMATE DE ÁRBOL ESCALDADO A 900 W X 15 s </t>
  </si>
  <si>
    <t xml:space="preserve">TOMATE DE ÁRBOL ESCALDADO A 900 W X 30 s </t>
  </si>
  <si>
    <t xml:space="preserve">TOMATE DE ÁRBOL ESCALDADO A 900 W X 45 s </t>
  </si>
  <si>
    <t xml:space="preserve">TOMATE DE ÁRBOL ESCALDADO A 900 W X 60 s </t>
  </si>
  <si>
    <t xml:space="preserve">TOMATE DE ÁRBOL ESCALDADO A 1200 W X 15 s </t>
  </si>
  <si>
    <t xml:space="preserve">TOMATE DE ÁRBOL ESCALDADO A 1200 W X 30 s </t>
  </si>
  <si>
    <t xml:space="preserve">TOMATE DE ÁRBOL ESCALDADO A 1200 W X 45 s </t>
  </si>
  <si>
    <t xml:space="preserve">TOMATE DE ÁRBOL ESCALDADO A 1200 W X 60 s </t>
  </si>
  <si>
    <t>Potencia</t>
  </si>
  <si>
    <t>Tratamiento</t>
  </si>
  <si>
    <t>Agua</t>
  </si>
  <si>
    <t>MO</t>
  </si>
  <si>
    <t>Energia</t>
  </si>
  <si>
    <t>https://www.youtube.com/watch?v=vfMja2-zQO0&amp;t=154s</t>
  </si>
  <si>
    <t>Rep.t</t>
  </si>
  <si>
    <t>tiempo</t>
  </si>
  <si>
    <t>energia</t>
  </si>
  <si>
    <t>zea</t>
  </si>
  <si>
    <t>bcrip</t>
  </si>
  <si>
    <t>lico</t>
  </si>
  <si>
    <t>acar</t>
  </si>
  <si>
    <t>bcar</t>
  </si>
  <si>
    <t>provita</t>
  </si>
  <si>
    <t>vitc</t>
  </si>
  <si>
    <t>fen</t>
  </si>
  <si>
    <t>vite</t>
  </si>
  <si>
    <t>vita</t>
  </si>
  <si>
    <t>b1</t>
  </si>
  <si>
    <t>b3</t>
  </si>
  <si>
    <t>b5</t>
  </si>
  <si>
    <t>b6</t>
  </si>
  <si>
    <t>L</t>
  </si>
  <si>
    <t>C</t>
  </si>
  <si>
    <t>h</t>
  </si>
  <si>
    <t>E</t>
  </si>
  <si>
    <t>IA</t>
  </si>
  <si>
    <t>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</si>
</sst>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"/>
    <numFmt numFmtId="165" formatCode="0.0000000"/>
    <numFmt numFmtId="166" formatCode="0.000000"/>
    <numFmt numFmtId="167" formatCode="0.00000"/>
    <numFmt numFmtId="168" formatCode="0.0000"/>
    <numFmt numFmtId="169" formatCode="0.0000000000000"/>
    <numFmt numFmtId="170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164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/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165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168" fontId="0" fillId="0" borderId="1" xfId="0" applyNumberFormat="1" applyBorder="1" applyAlignment="1">
      <alignment horizontal="center" vertical="center"/>
    </xf>
    <xf numFmtId="169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" fontId="0" fillId="0" borderId="0" xfId="0" applyNumberFormat="1" applyAlignment="1">
      <alignment horizontal="right"/>
    </xf>
    <xf numFmtId="1" fontId="0" fillId="0" borderId="0" xfId="0" applyNumberFormat="1" applyAlignment="1">
      <alignment horizontal="right" vertical="center"/>
    </xf>
    <xf numFmtId="1" fontId="0" fillId="0" borderId="0" xfId="0" applyNumberFormat="1"/>
    <xf numFmtId="167" fontId="0" fillId="0" borderId="0" xfId="0" applyNumberFormat="1" applyAlignment="1">
      <alignment horizontal="right" vertical="center"/>
    </xf>
    <xf numFmtId="167" fontId="0" fillId="0" borderId="0" xfId="0" applyNumberFormat="1" applyAlignment="1">
      <alignment horizontal="right"/>
    </xf>
    <xf numFmtId="167" fontId="0" fillId="0" borderId="0" xfId="0" applyNumberFormat="1"/>
    <xf numFmtId="166" fontId="0" fillId="0" borderId="0" xfId="0" applyNumberFormat="1"/>
    <xf numFmtId="168" fontId="0" fillId="0" borderId="0" xfId="0" applyNumberFormat="1"/>
    <xf numFmtId="0" fontId="2" fillId="0" borderId="0" xfId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70" fontId="0" fillId="0" borderId="0" xfId="0" applyNumberFormat="1" applyAlignment="1">
      <alignment horizontal="right"/>
    </xf>
    <xf numFmtId="170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1.3924978127734033E-2"/>
                  <c:y val="0.244953703703703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xVal>
            <c:numRef>
              <c:f>'ESCALDADO A TEM AMB '!$B$6:$B$11</c:f>
              <c:numCache>
                <c:formatCode>General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</c:numCache>
            </c:numRef>
          </c:xVal>
          <c:yVal>
            <c:numRef>
              <c:f>'ESCALDADO A TEM AMB '!$K$6:$K$11</c:f>
              <c:numCache>
                <c:formatCode>0.0000</c:formatCode>
                <c:ptCount val="6"/>
                <c:pt idx="0">
                  <c:v>5.0751879699248124E-3</c:v>
                </c:pt>
                <c:pt idx="1">
                  <c:v>5.7518796992481191E-3</c:v>
                </c:pt>
                <c:pt idx="2">
                  <c:v>6.4411027568922301E-3</c:v>
                </c:pt>
                <c:pt idx="3">
                  <c:v>7.1679197994987467E-3</c:v>
                </c:pt>
                <c:pt idx="4">
                  <c:v>7.8320802005012527E-3</c:v>
                </c:pt>
                <c:pt idx="5">
                  <c:v>8.5338345864661644E-3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F63-4832-A523-966342992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3697631"/>
        <c:axId val="663698047"/>
      </c:scatterChart>
      <c:valAx>
        <c:axId val="663697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63698047"/>
        <c:crosses val="autoZero"/>
        <c:crossBetween val="midCat"/>
      </c:valAx>
      <c:valAx>
        <c:axId val="6636980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6369763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2.5036089238845146E-2"/>
                  <c:y val="0.295879629629629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xVal>
            <c:numRef>
              <c:f>'ESCALDADO A 75 °C '!$X$6:$X$11</c:f>
              <c:numCache>
                <c:formatCode>General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</c:numCache>
            </c:numRef>
          </c:xVal>
          <c:yVal>
            <c:numRef>
              <c:f>'ESCALDADO A 75 °C '!$AG$6:$AG$11</c:f>
              <c:numCache>
                <c:formatCode>0.0000</c:formatCode>
                <c:ptCount val="6"/>
                <c:pt idx="0">
                  <c:v>1.0150375939849624E-3</c:v>
                </c:pt>
                <c:pt idx="1">
                  <c:v>1.2030075187969924E-3</c:v>
                </c:pt>
                <c:pt idx="2">
                  <c:v>1.4536340852130325E-3</c:v>
                </c:pt>
                <c:pt idx="3">
                  <c:v>1.7167919799498746E-3</c:v>
                </c:pt>
                <c:pt idx="4">
                  <c:v>1.9799498746867167E-3</c:v>
                </c:pt>
                <c:pt idx="5">
                  <c:v>2.255639097744361E-3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C0F-4110-BC71-B15607D3D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4852224"/>
        <c:axId val="254845984"/>
      </c:scatterChart>
      <c:valAx>
        <c:axId val="2548522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54845984"/>
        <c:crosses val="autoZero"/>
        <c:crossBetween val="midCat"/>
      </c:valAx>
      <c:valAx>
        <c:axId val="254845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548522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2.4438976377952757E-2"/>
                  <c:y val="0.3143981481481481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xVal>
            <c:numRef>
              <c:f>'ESCALDADO A 75 °C '!$AI$6:$AI$11</c:f>
              <c:numCache>
                <c:formatCode>General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</c:numCache>
            </c:numRef>
          </c:xVal>
          <c:yVal>
            <c:numRef>
              <c:f>'ESCALDADO A 75 °C '!$AR$6:$AR$11</c:f>
              <c:numCache>
                <c:formatCode>0.0000</c:formatCode>
                <c:ptCount val="6"/>
                <c:pt idx="0">
                  <c:v>2.631578947368421E-4</c:v>
                </c:pt>
                <c:pt idx="1">
                  <c:v>4.3859649122807008E-4</c:v>
                </c:pt>
                <c:pt idx="2">
                  <c:v>7.0175438596491223E-4</c:v>
                </c:pt>
                <c:pt idx="3">
                  <c:v>8.6466165413533831E-4</c:v>
                </c:pt>
                <c:pt idx="4">
                  <c:v>1.0275689223057643E-3</c:v>
                </c:pt>
                <c:pt idx="5">
                  <c:v>1.2280701754385965E-3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5DE-41D5-B547-B065C993A9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9530928"/>
        <c:axId val="269529680"/>
      </c:scatterChart>
      <c:valAx>
        <c:axId val="269530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69529680"/>
        <c:crosses val="autoZero"/>
        <c:crossBetween val="midCat"/>
      </c:valAx>
      <c:valAx>
        <c:axId val="269529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695309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1.0043744531933508E-3"/>
                  <c:y val="0.1940277777777777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xVal>
            <c:numRef>
              <c:f>'ESCALDADO A 75 °C '!$AT$6:$AT$11</c:f>
              <c:numCache>
                <c:formatCode>General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</c:numCache>
            </c:numRef>
          </c:xVal>
          <c:yVal>
            <c:numRef>
              <c:f>'ESCALDADO A 75 °C '!$BC$6:$BC$11</c:f>
              <c:numCache>
                <c:formatCode>0.00000</c:formatCode>
                <c:ptCount val="6"/>
                <c:pt idx="0">
                  <c:v>3.0075187969924811E-4</c:v>
                </c:pt>
                <c:pt idx="1">
                  <c:v>4.0100250626566407E-4</c:v>
                </c:pt>
                <c:pt idx="2">
                  <c:v>4.8872180451127814E-4</c:v>
                </c:pt>
                <c:pt idx="3">
                  <c:v>5.513784461152882E-4</c:v>
                </c:pt>
                <c:pt idx="4">
                  <c:v>5.6390977443609026E-4</c:v>
                </c:pt>
                <c:pt idx="5">
                  <c:v>6.3909774436090216E-4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10D-4F02-BAE1-A2E68CBCD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9536752"/>
        <c:axId val="269544240"/>
      </c:scatterChart>
      <c:valAx>
        <c:axId val="2695367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69544240"/>
        <c:crosses val="autoZero"/>
        <c:crossBetween val="midCat"/>
      </c:valAx>
      <c:valAx>
        <c:axId val="269544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695367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1.0043744531933508E-3"/>
                  <c:y val="0.2779742636337124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xVal>
            <c:numRef>
              <c:f>'ESCALDADO A 75 °C '!$BE$6:$BE$11</c:f>
              <c:numCache>
                <c:formatCode>General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</c:numCache>
            </c:numRef>
          </c:xVal>
          <c:yVal>
            <c:numRef>
              <c:f>'ESCALDADO A 75 °C '!$BN$6:$BN$11</c:f>
              <c:numCache>
                <c:formatCode>0.00000</c:formatCode>
                <c:ptCount val="6"/>
                <c:pt idx="0">
                  <c:v>2.631578947368421E-4</c:v>
                </c:pt>
                <c:pt idx="1">
                  <c:v>3.1328320802005011E-4</c:v>
                </c:pt>
                <c:pt idx="2">
                  <c:v>4.5112781954887213E-4</c:v>
                </c:pt>
                <c:pt idx="3">
                  <c:v>6.3909774436090227E-4</c:v>
                </c:pt>
                <c:pt idx="4">
                  <c:v>7.5187969924812024E-4</c:v>
                </c:pt>
                <c:pt idx="5">
                  <c:v>8.5213032581453636E-4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E8A-4C5D-86C9-B5AD0EDE39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6042928"/>
        <c:axId val="266041680"/>
      </c:scatterChart>
      <c:valAx>
        <c:axId val="266042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66041680"/>
        <c:crosses val="autoZero"/>
        <c:crossBetween val="midCat"/>
      </c:valAx>
      <c:valAx>
        <c:axId val="266041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660429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1.2681539807524059E-3"/>
                  <c:y val="0.1847685185185185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xVal>
            <c:numRef>
              <c:f>'ESCALDADO A 80 °C  '!$B$6:$B$11</c:f>
              <c:numCache>
                <c:formatCode>General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</c:numCache>
            </c:numRef>
          </c:xVal>
          <c:yVal>
            <c:numRef>
              <c:f>'ESCALDADO A 80 °C  '!$K$6:$K$11</c:f>
              <c:numCache>
                <c:formatCode>0.0000</c:formatCode>
                <c:ptCount val="6"/>
                <c:pt idx="0">
                  <c:v>2.2055137844611524E-3</c:v>
                </c:pt>
                <c:pt idx="1">
                  <c:v>2.4060150375939848E-3</c:v>
                </c:pt>
                <c:pt idx="2">
                  <c:v>2.6190476190476185E-3</c:v>
                </c:pt>
                <c:pt idx="3">
                  <c:v>2.8571428571428567E-3</c:v>
                </c:pt>
                <c:pt idx="4">
                  <c:v>3.0827067669172929E-3</c:v>
                </c:pt>
                <c:pt idx="5">
                  <c:v>3.3333333333333327E-3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989-43EF-A6AD-82B212F66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6042512"/>
        <c:axId val="266040848"/>
      </c:scatterChart>
      <c:valAx>
        <c:axId val="266042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66040848"/>
        <c:crosses val="autoZero"/>
        <c:crossBetween val="midCat"/>
      </c:valAx>
      <c:valAx>
        <c:axId val="266040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660425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4.5511811023622051E-3"/>
                  <c:y val="0.3005092592592592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xVal>
            <c:numRef>
              <c:f>'ESCALDADO A 80 °C  '!$M$6:$M$11</c:f>
              <c:numCache>
                <c:formatCode>General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</c:numCache>
            </c:numRef>
          </c:xVal>
          <c:yVal>
            <c:numRef>
              <c:f>'ESCALDADO A 80 °C  '!$V$6:$V$11</c:f>
              <c:numCache>
                <c:formatCode>0.00000</c:formatCode>
                <c:ptCount val="6"/>
                <c:pt idx="0">
                  <c:v>7.0175438596491223E-4</c:v>
                </c:pt>
                <c:pt idx="1">
                  <c:v>8.2706766917293225E-4</c:v>
                </c:pt>
                <c:pt idx="2">
                  <c:v>9.5238095238095227E-4</c:v>
                </c:pt>
                <c:pt idx="3">
                  <c:v>1.1152882205513785E-3</c:v>
                </c:pt>
                <c:pt idx="4">
                  <c:v>1.2907268170426064E-3</c:v>
                </c:pt>
                <c:pt idx="5">
                  <c:v>1.4661654135338343E-3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857-426D-9BC0-3A899A48B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1610336"/>
        <c:axId val="261610752"/>
      </c:scatterChart>
      <c:valAx>
        <c:axId val="261610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61610752"/>
        <c:crosses val="autoZero"/>
        <c:crossBetween val="midCat"/>
      </c:valAx>
      <c:valAx>
        <c:axId val="261610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616103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3.207502187226597E-2"/>
                  <c:y val="0.2484652960046660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xVal>
            <c:numRef>
              <c:f>'ESCALDADO A 80 °C  '!$X$6:$X$11</c:f>
              <c:numCache>
                <c:formatCode>General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</c:numCache>
            </c:numRef>
          </c:xVal>
          <c:yVal>
            <c:numRef>
              <c:f>'ESCALDADO A 80 °C  '!$AG$6:$AG$11</c:f>
              <c:numCache>
                <c:formatCode>0.0000</c:formatCode>
                <c:ptCount val="6"/>
                <c:pt idx="0">
                  <c:v>1.1403508771929824E-3</c:v>
                </c:pt>
                <c:pt idx="1">
                  <c:v>1.2406015037593986E-3</c:v>
                </c:pt>
                <c:pt idx="2">
                  <c:v>1.3784461152882208E-3</c:v>
                </c:pt>
                <c:pt idx="3">
                  <c:v>1.4912280701754384E-3</c:v>
                </c:pt>
                <c:pt idx="4">
                  <c:v>1.6040100250626565E-3</c:v>
                </c:pt>
                <c:pt idx="5">
                  <c:v>1.7669172932330826E-3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6A1-411C-B255-C793B85B31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3189472"/>
        <c:axId val="183191136"/>
      </c:scatterChart>
      <c:valAx>
        <c:axId val="183189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3191136"/>
        <c:crosses val="autoZero"/>
        <c:crossBetween val="midCat"/>
      </c:valAx>
      <c:valAx>
        <c:axId val="183191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31894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4.899562554680665E-2"/>
                  <c:y val="0.2542129629629629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xVal>
            <c:numRef>
              <c:f>'ESCALDADO A 80 °C  '!$AI$6:$AI$11</c:f>
              <c:numCache>
                <c:formatCode>General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</c:numCache>
            </c:numRef>
          </c:xVal>
          <c:yVal>
            <c:numRef>
              <c:f>'ESCALDADO A 80 °C  '!$AR$6:$AR$11</c:f>
              <c:numCache>
                <c:formatCode>0.00000</c:formatCode>
                <c:ptCount val="6"/>
                <c:pt idx="0">
                  <c:v>3.0075187969924811E-4</c:v>
                </c:pt>
                <c:pt idx="1">
                  <c:v>3.7593984962406012E-4</c:v>
                </c:pt>
                <c:pt idx="2">
                  <c:v>4.3859649122807008E-4</c:v>
                </c:pt>
                <c:pt idx="3">
                  <c:v>5.1378446115288214E-4</c:v>
                </c:pt>
                <c:pt idx="4">
                  <c:v>5.8897243107769416E-4</c:v>
                </c:pt>
                <c:pt idx="5">
                  <c:v>6.3909774436090216E-4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3EE-46D0-9B0A-CB6CFE0E5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0060736"/>
        <c:axId val="260059488"/>
      </c:scatterChart>
      <c:valAx>
        <c:axId val="260060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60059488"/>
        <c:crosses val="autoZero"/>
        <c:crossBetween val="midCat"/>
      </c:valAx>
      <c:valAx>
        <c:axId val="26005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600607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xVal>
            <c:numRef>
              <c:f>'ESCALDADO A 80 °C  '!$AT$6:$AT$11</c:f>
              <c:numCache>
                <c:formatCode>General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</c:numCache>
            </c:numRef>
          </c:xVal>
          <c:yVal>
            <c:numRef>
              <c:f>'ESCALDADO A 80 °C  '!$BC$6:$BC$11</c:f>
              <c:numCache>
                <c:formatCode>General</c:formatCode>
                <c:ptCount val="6"/>
                <c:pt idx="0">
                  <c:v>8.7719298245614029E-5</c:v>
                </c:pt>
                <c:pt idx="1">
                  <c:v>8.7719298245614029E-5</c:v>
                </c:pt>
                <c:pt idx="2">
                  <c:v>8.7719298245614029E-5</c:v>
                </c:pt>
                <c:pt idx="3">
                  <c:v>1.0025062656641603E-4</c:v>
                </c:pt>
                <c:pt idx="4">
                  <c:v>1.0025062656641603E-4</c:v>
                </c:pt>
                <c:pt idx="5">
                  <c:v>1.0025062656641603E-4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74B-4FB9-B110-A4572A22D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5135184"/>
        <c:axId val="305132688"/>
      </c:scatterChart>
      <c:valAx>
        <c:axId val="3051351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05132688"/>
        <c:crosses val="autoZero"/>
        <c:crossBetween val="midCat"/>
      </c:valAx>
      <c:valAx>
        <c:axId val="305132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051351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'ESCALDADO A 80 °C  '!$BE$6:$BE$11</c:f>
              <c:numCache>
                <c:formatCode>General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</c:numCache>
            </c:numRef>
          </c:xVal>
          <c:yVal>
            <c:numRef>
              <c:f>'ESCALDADO A 80 °C  '!$BN$6:$BN$11</c:f>
              <c:numCache>
                <c:formatCode>General</c:formatCode>
                <c:ptCount val="6"/>
                <c:pt idx="0">
                  <c:v>1.0025062656641603E-4</c:v>
                </c:pt>
                <c:pt idx="1">
                  <c:v>1.0025062656641603E-4</c:v>
                </c:pt>
                <c:pt idx="2">
                  <c:v>1.1278195488721803E-4</c:v>
                </c:pt>
                <c:pt idx="3">
                  <c:v>1.1278195488721803E-4</c:v>
                </c:pt>
                <c:pt idx="4">
                  <c:v>1.1278195488721803E-4</c:v>
                </c:pt>
                <c:pt idx="5">
                  <c:v>1.1278195488721803E-4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2AA-4B54-AB56-803BB6593F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6401392"/>
        <c:axId val="306401808"/>
      </c:scatterChart>
      <c:valAx>
        <c:axId val="306401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06401808"/>
        <c:crosses val="autoZero"/>
        <c:crossBetween val="midCat"/>
      </c:valAx>
      <c:valAx>
        <c:axId val="306401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064013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7.8086160098300554E-4"/>
                  <c:y val="0.151377588218139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xVal>
            <c:numRef>
              <c:f>'ESCALDADO A 70 °C '!$B$6:$B$11</c:f>
              <c:numCache>
                <c:formatCode>General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</c:numCache>
            </c:numRef>
          </c:xVal>
          <c:yVal>
            <c:numRef>
              <c:f>'ESCALDADO A 70 °C '!$K$6:$K$11</c:f>
              <c:numCache>
                <c:formatCode>0.0000</c:formatCode>
                <c:ptCount val="6"/>
                <c:pt idx="0">
                  <c:v>2.0050125313283208E-3</c:v>
                </c:pt>
                <c:pt idx="1">
                  <c:v>2.0426065162907265E-3</c:v>
                </c:pt>
                <c:pt idx="2">
                  <c:v>2.1177944862155389E-3</c:v>
                </c:pt>
                <c:pt idx="3">
                  <c:v>2.2180451127819549E-3</c:v>
                </c:pt>
                <c:pt idx="4">
                  <c:v>2.3057644110275688E-3</c:v>
                </c:pt>
                <c:pt idx="5">
                  <c:v>2.4060150375939848E-3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927-4B80-BFA3-BFF0087F8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4381567"/>
        <c:axId val="1974381983"/>
      </c:scatterChart>
      <c:valAx>
        <c:axId val="19743815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74381983"/>
        <c:crosses val="autoZero"/>
        <c:crossBetween val="midCat"/>
      </c:valAx>
      <c:valAx>
        <c:axId val="19743819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7438156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082972440944882"/>
                  <c:y val="0.305138888888888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xVal>
            <c:numRef>
              <c:f>'ESCALDADO A 85 °C   '!$B$6:$B$11</c:f>
              <c:numCache>
                <c:formatCode>General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</c:numCache>
            </c:numRef>
          </c:xVal>
          <c:yVal>
            <c:numRef>
              <c:f>'ESCALDADO A 85 °C   '!$K$6:$K$11</c:f>
              <c:numCache>
                <c:formatCode>0.0000</c:formatCode>
                <c:ptCount val="6"/>
                <c:pt idx="0">
                  <c:v>4.4235588972431081E-3</c:v>
                </c:pt>
                <c:pt idx="1">
                  <c:v>4.6491228070175434E-3</c:v>
                </c:pt>
                <c:pt idx="2">
                  <c:v>4.9248120300751886E-3</c:v>
                </c:pt>
                <c:pt idx="3">
                  <c:v>5.4010025062656633E-3</c:v>
                </c:pt>
                <c:pt idx="4">
                  <c:v>5.8771929824561406E-3</c:v>
                </c:pt>
                <c:pt idx="5">
                  <c:v>6.3533834586466153E-3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BBA-46BB-BF72-8F752A761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7934720"/>
        <c:axId val="267933888"/>
      </c:scatterChart>
      <c:valAx>
        <c:axId val="267934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67933888"/>
        <c:crosses val="autoZero"/>
        <c:crossBetween val="midCat"/>
      </c:valAx>
      <c:valAx>
        <c:axId val="267933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679347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0732895888013998"/>
                  <c:y val="-3.974008457276173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xVal>
            <c:numRef>
              <c:f>'ESCALDADO A 85 °C   '!$M$6:$M$11</c:f>
              <c:numCache>
                <c:formatCode>General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</c:numCache>
            </c:numRef>
          </c:xVal>
          <c:yVal>
            <c:numRef>
              <c:f>'ESCALDADO A 85 °C   '!$V$6:$V$11</c:f>
              <c:numCache>
                <c:formatCode>0.00000</c:formatCode>
                <c:ptCount val="6"/>
                <c:pt idx="0">
                  <c:v>1.6165413533834585E-3</c:v>
                </c:pt>
                <c:pt idx="1">
                  <c:v>1.6791979949874688E-3</c:v>
                </c:pt>
                <c:pt idx="2">
                  <c:v>1.6917293233082705E-3</c:v>
                </c:pt>
                <c:pt idx="3">
                  <c:v>1.7418546365914785E-3</c:v>
                </c:pt>
                <c:pt idx="4">
                  <c:v>1.8045112781954885E-3</c:v>
                </c:pt>
                <c:pt idx="5">
                  <c:v>1.8421052631578947E-3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DBB-4FB9-B266-8CF2DF6323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9537584"/>
        <c:axId val="269531344"/>
      </c:scatterChart>
      <c:valAx>
        <c:axId val="2695375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69531344"/>
        <c:crosses val="autoZero"/>
        <c:crossBetween val="midCat"/>
      </c:valAx>
      <c:valAx>
        <c:axId val="269531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695375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9621784776902892"/>
                  <c:y val="-1.7023913677456984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xVal>
            <c:numRef>
              <c:f>'ESCALDADO A 85 °C   '!$X$6:$X$11</c:f>
              <c:numCache>
                <c:formatCode>General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</c:numCache>
            </c:numRef>
          </c:xVal>
          <c:yVal>
            <c:numRef>
              <c:f>'ESCALDADO A 85 °C   '!$AG$6:$AG$11</c:f>
              <c:numCache>
                <c:formatCode>0.00000</c:formatCode>
                <c:ptCount val="6"/>
                <c:pt idx="0">
                  <c:v>1.8421052631578947E-3</c:v>
                </c:pt>
                <c:pt idx="1">
                  <c:v>1.8671679197994988E-3</c:v>
                </c:pt>
                <c:pt idx="2">
                  <c:v>1.8671679197994988E-3</c:v>
                </c:pt>
                <c:pt idx="3">
                  <c:v>1.9047619047619048E-3</c:v>
                </c:pt>
                <c:pt idx="4">
                  <c:v>1.9172932330827066E-3</c:v>
                </c:pt>
                <c:pt idx="5">
                  <c:v>1.9674185463659146E-3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956-4A5C-A602-878727F6E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1858480"/>
        <c:axId val="801859728"/>
      </c:scatterChart>
      <c:valAx>
        <c:axId val="8018584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01859728"/>
        <c:crosses val="autoZero"/>
        <c:crossBetween val="midCat"/>
      </c:valAx>
      <c:valAx>
        <c:axId val="801859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018584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xVal>
            <c:numRef>
              <c:f>'ESCALDADO A 85 °C   '!$AI$6:$AI$11</c:f>
              <c:numCache>
                <c:formatCode>General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</c:numCache>
            </c:numRef>
          </c:xVal>
          <c:yVal>
            <c:numRef>
              <c:f>'ESCALDADO A 85 °C   '!$AR$6:$AR$11</c:f>
              <c:numCache>
                <c:formatCode>0.00000</c:formatCode>
                <c:ptCount val="6"/>
                <c:pt idx="0">
                  <c:v>2.1929824561403508E-3</c:v>
                </c:pt>
                <c:pt idx="1">
                  <c:v>2.243107769423559E-3</c:v>
                </c:pt>
                <c:pt idx="2">
                  <c:v>2.243107769423559E-3</c:v>
                </c:pt>
                <c:pt idx="3">
                  <c:v>2.243107769423559E-3</c:v>
                </c:pt>
                <c:pt idx="4">
                  <c:v>2.2431077694235585E-3</c:v>
                </c:pt>
                <c:pt idx="5">
                  <c:v>2.2431077694235585E-3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BC0-4BD2-83F0-4079447B7F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9539664"/>
        <c:axId val="269534256"/>
      </c:scatterChart>
      <c:valAx>
        <c:axId val="2695396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69534256"/>
        <c:crosses val="autoZero"/>
        <c:crossBetween val="midCat"/>
      </c:valAx>
      <c:valAx>
        <c:axId val="269534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695396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4.8928258967629049E-2"/>
                  <c:y val="-0.40119167395742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xVal>
            <c:numRef>
              <c:f>'ESCALDADO A 85 °C   '!$AT$6:$AT$11</c:f>
              <c:numCache>
                <c:formatCode>General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</c:numCache>
            </c:numRef>
          </c:xVal>
          <c:yVal>
            <c:numRef>
              <c:f>'ESCALDADO A 85 °C   '!$BC$6:$BC$11</c:f>
              <c:numCache>
                <c:formatCode>0.000000</c:formatCode>
                <c:ptCount val="6"/>
                <c:pt idx="0">
                  <c:v>1.5037593984962405E-3</c:v>
                </c:pt>
                <c:pt idx="1">
                  <c:v>1.5037593984962405E-3</c:v>
                </c:pt>
                <c:pt idx="2">
                  <c:v>1.5037593984962405E-3</c:v>
                </c:pt>
                <c:pt idx="3">
                  <c:v>1.5037593984962405E-3</c:v>
                </c:pt>
                <c:pt idx="4">
                  <c:v>1.5037593984962405E-3</c:v>
                </c:pt>
                <c:pt idx="5">
                  <c:v>1.5037593984962405E-3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C77-4D63-8AC1-594C26146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294000"/>
        <c:axId val="172293168"/>
      </c:scatterChart>
      <c:valAx>
        <c:axId val="1722940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2293168"/>
        <c:crosses val="autoZero"/>
        <c:crossBetween val="midCat"/>
      </c:valAx>
      <c:valAx>
        <c:axId val="17229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22940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739956255468067"/>
                  <c:y val="4.2129629629629626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xVal>
            <c:numRef>
              <c:f>'ESCALDADO A 90 °C   '!$B$6:$B$11</c:f>
              <c:numCache>
                <c:formatCode>General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</c:numCache>
            </c:numRef>
          </c:xVal>
          <c:yVal>
            <c:numRef>
              <c:f>'ESCALDADO A 90 °C   '!$K$6:$K$11</c:f>
              <c:numCache>
                <c:formatCode>0.00000</c:formatCode>
                <c:ptCount val="6"/>
                <c:pt idx="0">
                  <c:v>1.8796992481203006E-4</c:v>
                </c:pt>
                <c:pt idx="1">
                  <c:v>2.380952380952381E-4</c:v>
                </c:pt>
                <c:pt idx="2">
                  <c:v>2.8822055137844605E-4</c:v>
                </c:pt>
                <c:pt idx="3">
                  <c:v>3.3834586466165417E-4</c:v>
                </c:pt>
                <c:pt idx="4">
                  <c:v>4.0100250626566412E-4</c:v>
                </c:pt>
                <c:pt idx="5">
                  <c:v>4.6365914786967413E-4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12D-41A8-AFF5-61A2806D2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6717872"/>
        <c:axId val="256717456"/>
      </c:scatterChart>
      <c:valAx>
        <c:axId val="2567178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56717456"/>
        <c:crosses val="autoZero"/>
        <c:crossBetween val="midCat"/>
      </c:valAx>
      <c:valAx>
        <c:axId val="256717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567178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1.6712598425196852E-2"/>
                  <c:y val="0.1988823272090988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xVal>
            <c:numRef>
              <c:f>'ESCALDADO A 90 °C   '!$M$6:$M$11</c:f>
              <c:numCache>
                <c:formatCode>General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</c:numCache>
            </c:numRef>
          </c:xVal>
          <c:yVal>
            <c:numRef>
              <c:f>'ESCALDADO A 90 °C   '!$O$6:$O$11</c:f>
              <c:numCache>
                <c:formatCode>General</c:formatCode>
                <c:ptCount val="6"/>
                <c:pt idx="0">
                  <c:v>1.9924812030075187E-3</c:v>
                </c:pt>
                <c:pt idx="1">
                  <c:v>2.0676691729323306E-3</c:v>
                </c:pt>
                <c:pt idx="2">
                  <c:v>2.1052631578947368E-3</c:v>
                </c:pt>
                <c:pt idx="3">
                  <c:v>2.2180451127819549E-3</c:v>
                </c:pt>
                <c:pt idx="4">
                  <c:v>2.3684210526315787E-3</c:v>
                </c:pt>
                <c:pt idx="5">
                  <c:v>2.443609022556391E-3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F47-4C99-9D3B-705887B43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7235600"/>
        <c:axId val="307233936"/>
      </c:scatterChart>
      <c:valAx>
        <c:axId val="3072356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07233936"/>
        <c:crosses val="autoZero"/>
        <c:crossBetween val="midCat"/>
      </c:valAx>
      <c:valAx>
        <c:axId val="307233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072356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7.8086160098300554E-4"/>
                  <c:y val="0.151377588218139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xVal>
            <c:numRef>
              <c:f>'ESCALDADO A 300W'!$B$6:$B$11</c:f>
              <c:numCache>
                <c:formatCode>General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</c:numCache>
            </c:numRef>
          </c:xVal>
          <c:yVal>
            <c:numRef>
              <c:f>'ESCALDADO A 300W'!$K$6:$K$11</c:f>
              <c:numCache>
                <c:formatCode>0.0000</c:formatCode>
                <c:ptCount val="6"/>
                <c:pt idx="0">
                  <c:v>4.2606516290726809E-3</c:v>
                </c:pt>
                <c:pt idx="1">
                  <c:v>4.6365914786967418E-3</c:v>
                </c:pt>
                <c:pt idx="2">
                  <c:v>5.1002506265664166E-3</c:v>
                </c:pt>
                <c:pt idx="3">
                  <c:v>5.5137844611528814E-3</c:v>
                </c:pt>
                <c:pt idx="4">
                  <c:v>5.9774436090225562E-3</c:v>
                </c:pt>
                <c:pt idx="5">
                  <c:v>6.4035087719298252E-3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C70-4DA9-899B-25F0F9EF23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4381567"/>
        <c:axId val="1974381983"/>
      </c:scatterChart>
      <c:valAx>
        <c:axId val="19743815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74381983"/>
        <c:crosses val="autoZero"/>
        <c:crossBetween val="midCat"/>
      </c:valAx>
      <c:valAx>
        <c:axId val="19743819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7438156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2.4963910761154857E-2"/>
                  <c:y val="0.3306820501603965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xVal>
            <c:numRef>
              <c:f>'ESCALDADO A 300W'!$M$6:$M$11</c:f>
              <c:numCache>
                <c:formatCode>General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</c:numCache>
            </c:numRef>
          </c:xVal>
          <c:yVal>
            <c:numRef>
              <c:f>'ESCALDADO A 300W'!$V$6:$V$11</c:f>
              <c:numCache>
                <c:formatCode>0.0000</c:formatCode>
                <c:ptCount val="6"/>
                <c:pt idx="0">
                  <c:v>2.8571428571428567E-3</c:v>
                </c:pt>
                <c:pt idx="1">
                  <c:v>3.1954887218045114E-3</c:v>
                </c:pt>
                <c:pt idx="2">
                  <c:v>3.5338345864661656E-3</c:v>
                </c:pt>
                <c:pt idx="3">
                  <c:v>3.8596491228070173E-3</c:v>
                </c:pt>
                <c:pt idx="4">
                  <c:v>4.2105263157894736E-3</c:v>
                </c:pt>
                <c:pt idx="5">
                  <c:v>4.5739348370927311E-3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626-46E9-B6BE-476D32F83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5374223"/>
        <c:axId val="2075373807"/>
      </c:scatterChart>
      <c:valAx>
        <c:axId val="20753742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75373807"/>
        <c:crosses val="autoZero"/>
        <c:crossBetween val="midCat"/>
      </c:valAx>
      <c:valAx>
        <c:axId val="2075373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7537422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0750218722659668E-3"/>
                  <c:y val="0.1616203703703703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xVal>
            <c:numRef>
              <c:f>'ESCALDADO A 300W'!$X$6:$X$11</c:f>
              <c:numCache>
                <c:formatCode>General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</c:numCache>
            </c:numRef>
          </c:xVal>
          <c:yVal>
            <c:numRef>
              <c:f>'ESCALDADO A 300W'!$AG$6:$AG$11</c:f>
              <c:numCache>
                <c:formatCode>0.0000</c:formatCode>
                <c:ptCount val="6"/>
                <c:pt idx="0">
                  <c:v>3.220551378446115E-3</c:v>
                </c:pt>
                <c:pt idx="1">
                  <c:v>3.6090225563909771E-3</c:v>
                </c:pt>
                <c:pt idx="2">
                  <c:v>3.7468671679197992E-3</c:v>
                </c:pt>
                <c:pt idx="3">
                  <c:v>3.9223057644110276E-3</c:v>
                </c:pt>
                <c:pt idx="4">
                  <c:v>4.0601503759398498E-3</c:v>
                </c:pt>
                <c:pt idx="5">
                  <c:v>4.2857142857142851E-3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B22-4EC9-BA16-82943D0FC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627071"/>
        <c:axId val="48627487"/>
      </c:scatterChart>
      <c:valAx>
        <c:axId val="486270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627487"/>
        <c:crosses val="autoZero"/>
        <c:crossBetween val="midCat"/>
      </c:valAx>
      <c:valAx>
        <c:axId val="486274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62707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2.4963910761154857E-2"/>
                  <c:y val="0.3306820501603965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xVal>
            <c:numRef>
              <c:f>'ESCALDADO A 70 °C '!$M$6:$M$11</c:f>
              <c:numCache>
                <c:formatCode>General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</c:numCache>
            </c:numRef>
          </c:xVal>
          <c:yVal>
            <c:numRef>
              <c:f>'ESCALDADO A 70 °C '!$V$6:$V$11</c:f>
              <c:numCache>
                <c:formatCode>0.0000</c:formatCode>
                <c:ptCount val="6"/>
                <c:pt idx="0">
                  <c:v>1.1654135338345865E-3</c:v>
                </c:pt>
                <c:pt idx="1">
                  <c:v>1.2155388471177945E-3</c:v>
                </c:pt>
                <c:pt idx="2">
                  <c:v>1.2907268170426064E-3</c:v>
                </c:pt>
                <c:pt idx="3">
                  <c:v>1.3909774436090226E-3</c:v>
                </c:pt>
                <c:pt idx="4">
                  <c:v>1.5037593984962405E-3</c:v>
                </c:pt>
                <c:pt idx="5">
                  <c:v>1.5914786967418547E-3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AD-419A-9C7C-2FD6F8F29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5374223"/>
        <c:axId val="2075373807"/>
      </c:scatterChart>
      <c:valAx>
        <c:axId val="20753742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75373807"/>
        <c:crosses val="autoZero"/>
        <c:crossBetween val="midCat"/>
      </c:valAx>
      <c:valAx>
        <c:axId val="2075373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7537422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3.6089238845144359E-5"/>
                  <c:y val="0.4150612423447069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xVal>
            <c:numRef>
              <c:f>'ESCALDADO A 300W'!$AI$6:$AI$11</c:f>
              <c:numCache>
                <c:formatCode>General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</c:numCache>
            </c:numRef>
          </c:xVal>
          <c:yVal>
            <c:numRef>
              <c:f>'ESCALDADO A 300W'!$AR$6:$AR$11</c:f>
              <c:numCache>
                <c:formatCode>0.0000</c:formatCode>
                <c:ptCount val="6"/>
                <c:pt idx="0">
                  <c:v>3.0325814536340851E-3</c:v>
                </c:pt>
                <c:pt idx="1">
                  <c:v>3.2957393483709269E-3</c:v>
                </c:pt>
                <c:pt idx="2">
                  <c:v>3.5839598997493734E-3</c:v>
                </c:pt>
                <c:pt idx="3">
                  <c:v>3.8847117794486214E-3</c:v>
                </c:pt>
                <c:pt idx="4">
                  <c:v>4.1854636591478695E-3</c:v>
                </c:pt>
                <c:pt idx="5">
                  <c:v>4.6491228070175443E-3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F12-4EA7-8C9B-FF9667287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1692911"/>
        <c:axId val="521690831"/>
      </c:scatterChart>
      <c:valAx>
        <c:axId val="5216929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21690831"/>
        <c:crosses val="autoZero"/>
        <c:crossBetween val="midCat"/>
      </c:valAx>
      <c:valAx>
        <c:axId val="5216908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2169291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7.8086160098300554E-4"/>
                  <c:y val="0.151377588218139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xVal>
            <c:numRef>
              <c:f>'ESCALDADO A 600W '!$B$6:$B$11</c:f>
              <c:numCache>
                <c:formatCode>General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</c:numCache>
            </c:numRef>
          </c:xVal>
          <c:yVal>
            <c:numRef>
              <c:f>'ESCALDADO A 600W '!$K$6:$K$11</c:f>
              <c:numCache>
                <c:formatCode>0.0000</c:formatCode>
                <c:ptCount val="6"/>
                <c:pt idx="0">
                  <c:v>1.8295739348370924E-3</c:v>
                </c:pt>
                <c:pt idx="1">
                  <c:v>2.0927318295739347E-3</c:v>
                </c:pt>
                <c:pt idx="2">
                  <c:v>2.3809523809523807E-3</c:v>
                </c:pt>
                <c:pt idx="3">
                  <c:v>2.6942355889724308E-3</c:v>
                </c:pt>
                <c:pt idx="4">
                  <c:v>2.9824561403508768E-3</c:v>
                </c:pt>
                <c:pt idx="5">
                  <c:v>3.2832080200501253E-3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03-4EDB-BF60-97C148B51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4381567"/>
        <c:axId val="1974381983"/>
      </c:scatterChart>
      <c:valAx>
        <c:axId val="19743815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74381983"/>
        <c:crosses val="autoZero"/>
        <c:crossBetween val="midCat"/>
      </c:valAx>
      <c:valAx>
        <c:axId val="19743819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7438156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2.4963910761154857E-2"/>
                  <c:y val="0.3306820501603965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xVal>
            <c:numRef>
              <c:f>'ESCALDADO A 600W '!$M$6:$M$11</c:f>
              <c:numCache>
                <c:formatCode>General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</c:numCache>
            </c:numRef>
          </c:xVal>
          <c:yVal>
            <c:numRef>
              <c:f>'ESCALDADO A 600W '!$V$6:$V$11</c:f>
              <c:numCache>
                <c:formatCode>0.0000</c:formatCode>
                <c:ptCount val="6"/>
                <c:pt idx="0">
                  <c:v>2.9323308270676686E-3</c:v>
                </c:pt>
                <c:pt idx="1">
                  <c:v>3.2957393483709269E-3</c:v>
                </c:pt>
                <c:pt idx="2">
                  <c:v>3.6340852130325812E-3</c:v>
                </c:pt>
                <c:pt idx="3">
                  <c:v>3.9223057644110276E-3</c:v>
                </c:pt>
                <c:pt idx="4">
                  <c:v>4.197994987468672E-3</c:v>
                </c:pt>
                <c:pt idx="5">
                  <c:v>4.4611528822055138E-3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307-4FFD-9105-9897AE7BD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5374223"/>
        <c:axId val="2075373807"/>
      </c:scatterChart>
      <c:valAx>
        <c:axId val="20753742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75373807"/>
        <c:crosses val="autoZero"/>
        <c:crossBetween val="midCat"/>
      </c:valAx>
      <c:valAx>
        <c:axId val="2075373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7537422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0750218722659668E-3"/>
                  <c:y val="0.1616203703703703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xVal>
            <c:numRef>
              <c:f>'ESCALDADO A 600W '!$X$6:$X$11</c:f>
              <c:numCache>
                <c:formatCode>General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</c:numCache>
            </c:numRef>
          </c:xVal>
          <c:yVal>
            <c:numRef>
              <c:f>'ESCALDADO A 600W '!$AG$6:$AG$11</c:f>
              <c:numCache>
                <c:formatCode>0.0000</c:formatCode>
                <c:ptCount val="6"/>
                <c:pt idx="0">
                  <c:v>1.6040100250626565E-3</c:v>
                </c:pt>
                <c:pt idx="1">
                  <c:v>1.754385964912281E-3</c:v>
                </c:pt>
                <c:pt idx="2">
                  <c:v>1.9047619047619048E-3</c:v>
                </c:pt>
                <c:pt idx="3">
                  <c:v>2.0927318295739347E-3</c:v>
                </c:pt>
                <c:pt idx="4">
                  <c:v>2.3182957393483709E-3</c:v>
                </c:pt>
                <c:pt idx="5">
                  <c:v>2.5187969924812029E-3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20-4C2A-B170-8AEFB58793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627071"/>
        <c:axId val="48627487"/>
      </c:scatterChart>
      <c:valAx>
        <c:axId val="486270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627487"/>
        <c:crosses val="autoZero"/>
        <c:crossBetween val="midCat"/>
      </c:valAx>
      <c:valAx>
        <c:axId val="486274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62707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3.6089238845144359E-5"/>
                  <c:y val="0.4150612423447069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xVal>
            <c:numRef>
              <c:f>'ESCALDADO A 600W '!$AI$6:$AI$11</c:f>
              <c:numCache>
                <c:formatCode>General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</c:numCache>
            </c:numRef>
          </c:xVal>
          <c:yVal>
            <c:numRef>
              <c:f>'ESCALDADO A 600W '!$AR$6:$AR$11</c:f>
              <c:numCache>
                <c:formatCode>0.0000</c:formatCode>
                <c:ptCount val="6"/>
                <c:pt idx="0">
                  <c:v>2.0175438596491228E-3</c:v>
                </c:pt>
                <c:pt idx="1">
                  <c:v>2.2431077694235585E-3</c:v>
                </c:pt>
                <c:pt idx="2">
                  <c:v>2.431077694235589E-3</c:v>
                </c:pt>
                <c:pt idx="3">
                  <c:v>2.5062656641604009E-3</c:v>
                </c:pt>
                <c:pt idx="4">
                  <c:v>2.6190476190476185E-3</c:v>
                </c:pt>
                <c:pt idx="5">
                  <c:v>2.6691729323308267E-3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5F2-4D55-9305-B920FEDAB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1692911"/>
        <c:axId val="521690831"/>
      </c:scatterChart>
      <c:valAx>
        <c:axId val="5216929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21690831"/>
        <c:crosses val="autoZero"/>
        <c:crossBetween val="midCat"/>
      </c:valAx>
      <c:valAx>
        <c:axId val="5216908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2169291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7.8086160098300554E-4"/>
                  <c:y val="0.151377588218139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xVal>
            <c:numRef>
              <c:f>'ESCALDADO A 900W  '!$B$6:$B$11</c:f>
              <c:numCache>
                <c:formatCode>General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</c:numCache>
            </c:numRef>
          </c:xVal>
          <c:yVal>
            <c:numRef>
              <c:f>'ESCALDADO A 900W  '!$K$6:$K$11</c:f>
              <c:numCache>
                <c:formatCode>0.0000</c:formatCode>
                <c:ptCount val="6"/>
                <c:pt idx="0">
                  <c:v>2.4812030075187972E-3</c:v>
                </c:pt>
                <c:pt idx="1">
                  <c:v>2.731829573934837E-3</c:v>
                </c:pt>
                <c:pt idx="2">
                  <c:v>3.1328320802005011E-3</c:v>
                </c:pt>
                <c:pt idx="3">
                  <c:v>3.5338345864661651E-3</c:v>
                </c:pt>
                <c:pt idx="4">
                  <c:v>3.9598997493734333E-3</c:v>
                </c:pt>
                <c:pt idx="5">
                  <c:v>4.3609022556390974E-3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267-47F2-ACB9-0181B8180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4381567"/>
        <c:axId val="1974381983"/>
      </c:scatterChart>
      <c:valAx>
        <c:axId val="19743815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74381983"/>
        <c:crosses val="autoZero"/>
        <c:crossBetween val="midCat"/>
      </c:valAx>
      <c:valAx>
        <c:axId val="19743819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7438156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2.4963910761154857E-2"/>
                  <c:y val="0.3306820501603965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xVal>
            <c:numRef>
              <c:f>'ESCALDADO A 900W  '!$M$6:$M$11</c:f>
              <c:numCache>
                <c:formatCode>General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</c:numCache>
            </c:numRef>
          </c:xVal>
          <c:yVal>
            <c:numRef>
              <c:f>'ESCALDADO A 900W  '!$V$6:$V$11</c:f>
              <c:numCache>
                <c:formatCode>0.0000</c:formatCode>
                <c:ptCount val="6"/>
                <c:pt idx="0">
                  <c:v>3.1578947368421048E-3</c:v>
                </c:pt>
                <c:pt idx="1">
                  <c:v>3.4335839598997491E-3</c:v>
                </c:pt>
                <c:pt idx="2">
                  <c:v>3.7092731829573931E-3</c:v>
                </c:pt>
                <c:pt idx="3">
                  <c:v>4.0476190476190473E-3</c:v>
                </c:pt>
                <c:pt idx="4">
                  <c:v>4.3483709273182958E-3</c:v>
                </c:pt>
                <c:pt idx="5">
                  <c:v>4.6741854636591475E-3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AA3-4969-B7CC-89234C6B9B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5374223"/>
        <c:axId val="2075373807"/>
      </c:scatterChart>
      <c:valAx>
        <c:axId val="20753742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75373807"/>
        <c:crosses val="autoZero"/>
        <c:crossBetween val="midCat"/>
      </c:valAx>
      <c:valAx>
        <c:axId val="2075373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7537422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0750218722659668E-3"/>
                  <c:y val="0.1616203703703703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xVal>
            <c:numRef>
              <c:f>'ESCALDADO A 900W  '!$X$6:$X$11</c:f>
              <c:numCache>
                <c:formatCode>General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</c:numCache>
            </c:numRef>
          </c:xVal>
          <c:yVal>
            <c:numRef>
              <c:f>'ESCALDADO A 900W  '!$AG$6:$AG$11</c:f>
              <c:numCache>
                <c:formatCode>0.00000</c:formatCode>
                <c:ptCount val="6"/>
                <c:pt idx="0">
                  <c:v>1.2656641604010023E-3</c:v>
                </c:pt>
                <c:pt idx="1">
                  <c:v>1.3157894736842105E-3</c:v>
                </c:pt>
                <c:pt idx="2">
                  <c:v>1.3659147869674183E-3</c:v>
                </c:pt>
                <c:pt idx="3">
                  <c:v>1.4411027568922306E-3</c:v>
                </c:pt>
                <c:pt idx="4">
                  <c:v>1.4912280701754384E-3</c:v>
                </c:pt>
                <c:pt idx="5">
                  <c:v>1.5664160401002505E-3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4E2-4691-93C2-2D3D3E30C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627071"/>
        <c:axId val="48627487"/>
      </c:scatterChart>
      <c:valAx>
        <c:axId val="486270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627487"/>
        <c:crosses val="autoZero"/>
        <c:crossBetween val="midCat"/>
      </c:valAx>
      <c:valAx>
        <c:axId val="486274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62707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3.6089238845144359E-5"/>
                  <c:y val="0.4150612423447069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xVal>
            <c:numRef>
              <c:f>'ESCALDADO A 900W  '!$AI$6:$AI$11</c:f>
              <c:numCache>
                <c:formatCode>General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</c:numCache>
            </c:numRef>
          </c:xVal>
          <c:yVal>
            <c:numRef>
              <c:f>'ESCALDADO A 900W  '!$AR$6:$AR$11</c:f>
              <c:numCache>
                <c:formatCode>0.0000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166-4FA8-9D07-C8D28A1F3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1692911"/>
        <c:axId val="521690831"/>
      </c:scatterChart>
      <c:valAx>
        <c:axId val="5216929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21690831"/>
        <c:crosses val="autoZero"/>
        <c:crossBetween val="midCat"/>
      </c:valAx>
      <c:valAx>
        <c:axId val="5216908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2169291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7.8086160098300554E-4"/>
                  <c:y val="0.151377588218139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xVal>
            <c:numRef>
              <c:f>'ESCALDADO A 1200W   '!$B$6:$B$11</c:f>
              <c:numCache>
                <c:formatCode>General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</c:numCache>
            </c:numRef>
          </c:xVal>
          <c:yVal>
            <c:numRef>
              <c:f>'ESCALDADO A 1200W   '!$K$6:$K$11</c:f>
              <c:numCache>
                <c:formatCode>0.0000</c:formatCode>
                <c:ptCount val="6"/>
                <c:pt idx="0">
                  <c:v>3.8471177944862153E-3</c:v>
                </c:pt>
                <c:pt idx="1">
                  <c:v>4.2105263157894736E-3</c:v>
                </c:pt>
                <c:pt idx="2">
                  <c:v>4.4736842105263155E-3</c:v>
                </c:pt>
                <c:pt idx="3">
                  <c:v>4.6491228070175443E-3</c:v>
                </c:pt>
                <c:pt idx="4">
                  <c:v>4.9122807017543861E-3</c:v>
                </c:pt>
                <c:pt idx="5">
                  <c:v>5.2130325814536346E-3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073-42A6-AE93-7EEC7B34DC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4381567"/>
        <c:axId val="1974381983"/>
      </c:scatterChart>
      <c:valAx>
        <c:axId val="19743815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74381983"/>
        <c:crosses val="autoZero"/>
        <c:crossBetween val="midCat"/>
      </c:valAx>
      <c:valAx>
        <c:axId val="19743819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7438156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0750218722659668E-3"/>
                  <c:y val="0.1616203703703703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xVal>
            <c:numRef>
              <c:f>'ESCALDADO A 70 °C '!$X$6:$X$11</c:f>
              <c:numCache>
                <c:formatCode>General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</c:numCache>
            </c:numRef>
          </c:xVal>
          <c:yVal>
            <c:numRef>
              <c:f>'ESCALDADO A 70 °C '!$AG$6:$AG$11</c:f>
              <c:numCache>
                <c:formatCode>0.0000</c:formatCode>
                <c:ptCount val="6"/>
                <c:pt idx="0">
                  <c:v>2.1553884711779446E-3</c:v>
                </c:pt>
                <c:pt idx="1">
                  <c:v>2.2305764411027569E-3</c:v>
                </c:pt>
                <c:pt idx="2">
                  <c:v>2.3558897243107766E-3</c:v>
                </c:pt>
                <c:pt idx="3">
                  <c:v>2.4812030075187963E-3</c:v>
                </c:pt>
                <c:pt idx="4">
                  <c:v>2.6566416040100251E-3</c:v>
                </c:pt>
                <c:pt idx="5">
                  <c:v>2.8571428571428567E-3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E06-43A6-A9A3-DA926B891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627071"/>
        <c:axId val="48627487"/>
      </c:scatterChart>
      <c:valAx>
        <c:axId val="486270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627487"/>
        <c:crosses val="autoZero"/>
        <c:crossBetween val="midCat"/>
      </c:valAx>
      <c:valAx>
        <c:axId val="486274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62707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2.4963910761154857E-2"/>
                  <c:y val="0.3306820501603965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xVal>
            <c:numRef>
              <c:f>'ESCALDADO A 1200W   '!$M$6:$M$11</c:f>
              <c:numCache>
                <c:formatCode>General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</c:numCache>
            </c:numRef>
          </c:xVal>
          <c:yVal>
            <c:numRef>
              <c:f>'ESCALDADO A 1200W   '!$V$6:$V$11</c:f>
              <c:numCache>
                <c:formatCode>0.0000</c:formatCode>
                <c:ptCount val="6"/>
                <c:pt idx="0">
                  <c:v>2.4436090225563906E-3</c:v>
                </c:pt>
                <c:pt idx="1">
                  <c:v>2.5563909774436087E-3</c:v>
                </c:pt>
                <c:pt idx="2">
                  <c:v>2.6691729323308267E-3</c:v>
                </c:pt>
                <c:pt idx="3">
                  <c:v>2.8070175438596489E-3</c:v>
                </c:pt>
                <c:pt idx="4">
                  <c:v>2.9197994987468674E-3</c:v>
                </c:pt>
                <c:pt idx="5">
                  <c:v>3.0451127819548871E-3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583-48C6-B233-F7A4A9F88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5374223"/>
        <c:axId val="2075373807"/>
      </c:scatterChart>
      <c:valAx>
        <c:axId val="20753742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75373807"/>
        <c:crosses val="autoZero"/>
        <c:crossBetween val="midCat"/>
      </c:valAx>
      <c:valAx>
        <c:axId val="2075373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7537422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0750218722659668E-3"/>
                  <c:y val="0.1616203703703703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xVal>
            <c:numRef>
              <c:f>'ESCALDADO A 1200W   '!$X$6:$X$11</c:f>
              <c:numCache>
                <c:formatCode>General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</c:numCache>
            </c:numRef>
          </c:xVal>
          <c:yVal>
            <c:numRef>
              <c:f>'ESCALDADO A 1200W   '!$AG$6:$AG$11</c:f>
              <c:numCache>
                <c:formatCode>0.0000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5E7-40D0-9D40-EB3AD187C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627071"/>
        <c:axId val="48627487"/>
      </c:scatterChart>
      <c:valAx>
        <c:axId val="486270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627487"/>
        <c:crosses val="autoZero"/>
        <c:crossBetween val="midCat"/>
      </c:valAx>
      <c:valAx>
        <c:axId val="486274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62707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3.6089238845144359E-5"/>
                  <c:y val="0.4150612423447069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xVal>
            <c:numRef>
              <c:f>'ESCALDADO A 1200W   '!$AI$6:$AI$11</c:f>
              <c:numCache>
                <c:formatCode>General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</c:numCache>
            </c:numRef>
          </c:xVal>
          <c:yVal>
            <c:numRef>
              <c:f>'ESCALDADO A 1200W   '!$AR$6:$AR$11</c:f>
              <c:numCache>
                <c:formatCode>0.0000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441-48DB-8BC1-686E36B3D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1692911"/>
        <c:axId val="521690831"/>
      </c:scatterChart>
      <c:valAx>
        <c:axId val="5216929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21690831"/>
        <c:crosses val="autoZero"/>
        <c:crossBetween val="midCat"/>
      </c:valAx>
      <c:valAx>
        <c:axId val="5216908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2169291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3.6089238845144359E-5"/>
                  <c:y val="0.4150612423447069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xVal>
            <c:numRef>
              <c:f>'ESCALDADO A 70 °C '!$AI$6:$AI$11</c:f>
              <c:numCache>
                <c:formatCode>General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</c:numCache>
            </c:numRef>
          </c:xVal>
          <c:yVal>
            <c:numRef>
              <c:f>'ESCALDADO A 70 °C '!$AR$6:$AR$11</c:f>
              <c:numCache>
                <c:formatCode>0.0000</c:formatCode>
                <c:ptCount val="6"/>
                <c:pt idx="0">
                  <c:v>2.4937343358395988E-3</c:v>
                </c:pt>
                <c:pt idx="1">
                  <c:v>2.5438596491228066E-3</c:v>
                </c:pt>
                <c:pt idx="2">
                  <c:v>2.5689223057644111E-3</c:v>
                </c:pt>
                <c:pt idx="3">
                  <c:v>2.6817042606516288E-3</c:v>
                </c:pt>
                <c:pt idx="4">
                  <c:v>2.8070175438596489E-3</c:v>
                </c:pt>
                <c:pt idx="5">
                  <c:v>2.9448621553884711E-3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ED2-4BB3-9741-DA6794C3F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1692911"/>
        <c:axId val="521690831"/>
      </c:scatterChart>
      <c:valAx>
        <c:axId val="5216929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21690831"/>
        <c:crosses val="autoZero"/>
        <c:crossBetween val="midCat"/>
      </c:valAx>
      <c:valAx>
        <c:axId val="5216908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2169291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5.5194663167104112E-3"/>
                  <c:y val="0.3143981481481481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xVal>
            <c:numRef>
              <c:f>'ESCALDADO A 70 °C '!$AT$6:$AT$11</c:f>
              <c:numCache>
                <c:formatCode>General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</c:numCache>
            </c:numRef>
          </c:xVal>
          <c:yVal>
            <c:numRef>
              <c:f>'ESCALDADO A 70 °C '!$BC$6:$BC$11</c:f>
              <c:numCache>
                <c:formatCode>0.0000</c:formatCode>
                <c:ptCount val="6"/>
                <c:pt idx="0">
                  <c:v>2.5187969924812029E-3</c:v>
                </c:pt>
                <c:pt idx="1">
                  <c:v>2.6817042606516288E-3</c:v>
                </c:pt>
                <c:pt idx="2">
                  <c:v>2.8947368421052629E-3</c:v>
                </c:pt>
                <c:pt idx="3">
                  <c:v>3.1328320802005011E-3</c:v>
                </c:pt>
                <c:pt idx="4">
                  <c:v>3.3458646616541352E-3</c:v>
                </c:pt>
                <c:pt idx="5">
                  <c:v>3.5588972431077688E-3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F80-449F-8796-85E96C3D6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8061727"/>
        <c:axId val="668061311"/>
      </c:scatterChart>
      <c:valAx>
        <c:axId val="6680617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68061311"/>
        <c:crosses val="autoZero"/>
        <c:crossBetween val="midCat"/>
      </c:valAx>
      <c:valAx>
        <c:axId val="6680613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6806172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5.5194663167104112E-3"/>
                  <c:y val="0.3243318022747156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xVal>
            <c:numRef>
              <c:f>'ESCALDADO A 70 °C '!$BE$6:$BE$11</c:f>
              <c:numCache>
                <c:formatCode>General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</c:numCache>
            </c:numRef>
          </c:xVal>
          <c:yVal>
            <c:numRef>
              <c:f>'ESCALDADO A 70 °C '!$BN$6:$BN$11</c:f>
              <c:numCache>
                <c:formatCode>0.0000</c:formatCode>
                <c:ptCount val="6"/>
                <c:pt idx="0">
                  <c:v>1.7919799498746867E-3</c:v>
                </c:pt>
                <c:pt idx="1">
                  <c:v>1.9423558897243105E-3</c:v>
                </c:pt>
                <c:pt idx="2">
                  <c:v>2.1177944862155389E-3</c:v>
                </c:pt>
                <c:pt idx="3">
                  <c:v>2.3057644110275693E-3</c:v>
                </c:pt>
                <c:pt idx="4">
                  <c:v>2.4812030075187968E-3</c:v>
                </c:pt>
                <c:pt idx="5">
                  <c:v>2.6065162907268173E-3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2B6-4C51-938E-DD431317F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2325103"/>
        <c:axId val="2072323439"/>
      </c:scatterChart>
      <c:valAx>
        <c:axId val="207232510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72323439"/>
        <c:crosses val="autoZero"/>
        <c:crossBetween val="midCat"/>
      </c:valAx>
      <c:valAx>
        <c:axId val="20723234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7232510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3.3369422572178481E-2"/>
                  <c:y val="0.3201997666958296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xVal>
            <c:numRef>
              <c:f>'ESCALDADO A 75 °C '!$B$6:$B$11</c:f>
              <c:numCache>
                <c:formatCode>General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</c:numCache>
            </c:numRef>
          </c:xVal>
          <c:yVal>
            <c:numRef>
              <c:f>'ESCALDADO A 75 °C '!$K$6:$K$11</c:f>
              <c:numCache>
                <c:formatCode>0.0000</c:formatCode>
                <c:ptCount val="6"/>
                <c:pt idx="0">
                  <c:v>1.6666666666666663E-3</c:v>
                </c:pt>
                <c:pt idx="1">
                  <c:v>1.9047619047619045E-3</c:v>
                </c:pt>
                <c:pt idx="2">
                  <c:v>2.255639097744361E-3</c:v>
                </c:pt>
                <c:pt idx="3">
                  <c:v>2.6190476190476194E-3</c:v>
                </c:pt>
                <c:pt idx="4">
                  <c:v>2.9824561403508768E-3</c:v>
                </c:pt>
                <c:pt idx="5">
                  <c:v>3.4085213032581455E-3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A4E-454C-985C-76974036A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557343"/>
        <c:axId val="58558591"/>
      </c:scatterChart>
      <c:valAx>
        <c:axId val="585573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8558591"/>
        <c:crosses val="autoZero"/>
        <c:crossBetween val="midCat"/>
      </c:valAx>
      <c:valAx>
        <c:axId val="58558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8557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8.2972440944881886E-3"/>
                  <c:y val="0.2915190288713910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xVal>
            <c:numRef>
              <c:f>'ESCALDADO A 75 °C '!$M$6:$M$11</c:f>
              <c:numCache>
                <c:formatCode>General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</c:numCache>
            </c:numRef>
          </c:xVal>
          <c:yVal>
            <c:numRef>
              <c:f>'ESCALDADO A 75 °C '!$V$6:$V$11</c:f>
              <c:numCache>
                <c:formatCode>0.0000</c:formatCode>
                <c:ptCount val="6"/>
                <c:pt idx="0">
                  <c:v>9.5238095238095249E-4</c:v>
                </c:pt>
                <c:pt idx="1">
                  <c:v>1.2155388471177945E-3</c:v>
                </c:pt>
                <c:pt idx="2">
                  <c:v>1.4912280701754384E-3</c:v>
                </c:pt>
                <c:pt idx="3">
                  <c:v>1.7167919799498746E-3</c:v>
                </c:pt>
                <c:pt idx="4">
                  <c:v>1.9298245614035089E-3</c:v>
                </c:pt>
                <c:pt idx="5">
                  <c:v>2.1177944862155389E-3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5DC-4469-BDCD-96CA9B4DA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205296"/>
        <c:axId val="174208624"/>
      </c:scatterChart>
      <c:valAx>
        <c:axId val="1742052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4208624"/>
        <c:crosses val="autoZero"/>
        <c:crossBetween val="midCat"/>
      </c:valAx>
      <c:valAx>
        <c:axId val="17420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42052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4" Type="http://schemas.openxmlformats.org/officeDocument/2006/relationships/chart" Target="../charts/chart42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5" Type="http://schemas.openxmlformats.org/officeDocument/2006/relationships/chart" Target="../charts/chart18.xml"/><Relationship Id="rId4" Type="http://schemas.openxmlformats.org/officeDocument/2006/relationships/chart" Target="../charts/chart1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5" Type="http://schemas.openxmlformats.org/officeDocument/2006/relationships/chart" Target="../charts/chart24.xml"/><Relationship Id="rId4" Type="http://schemas.openxmlformats.org/officeDocument/2006/relationships/chart" Target="../charts/chart23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9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4" Type="http://schemas.openxmlformats.org/officeDocument/2006/relationships/chart" Target="../charts/chart3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4" Type="http://schemas.openxmlformats.org/officeDocument/2006/relationships/chart" Target="../charts/chart34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7.xml"/><Relationship Id="rId2" Type="http://schemas.openxmlformats.org/officeDocument/2006/relationships/chart" Target="../charts/chart36.xml"/><Relationship Id="rId1" Type="http://schemas.openxmlformats.org/officeDocument/2006/relationships/chart" Target="../charts/chart35.xml"/><Relationship Id="rId4" Type="http://schemas.openxmlformats.org/officeDocument/2006/relationships/chart" Target="../charts/chart3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1162050</xdr:colOff>
      <xdr:row>12</xdr:row>
      <xdr:rowOff>114300</xdr:rowOff>
    </xdr:from>
    <xdr:to>
      <xdr:col>9</xdr:col>
      <xdr:colOff>114300</xdr:colOff>
      <xdr:row>27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119063</xdr:colOff>
      <xdr:row>14</xdr:row>
      <xdr:rowOff>41275</xdr:rowOff>
    </xdr:from>
    <xdr:to>
      <xdr:col>9</xdr:col>
      <xdr:colOff>305594</xdr:colOff>
      <xdr:row>28</xdr:row>
      <xdr:rowOff>117475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428625</xdr:colOff>
      <xdr:row>13</xdr:row>
      <xdr:rowOff>69056</xdr:rowOff>
    </xdr:from>
    <xdr:to>
      <xdr:col>19</xdr:col>
      <xdr:colOff>47625</xdr:colOff>
      <xdr:row>27</xdr:row>
      <xdr:rowOff>145256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23813</xdr:colOff>
      <xdr:row>13</xdr:row>
      <xdr:rowOff>104774</xdr:rowOff>
    </xdr:from>
    <xdr:to>
      <xdr:col>30</xdr:col>
      <xdr:colOff>404813</xdr:colOff>
      <xdr:row>27</xdr:row>
      <xdr:rowOff>180974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464343</xdr:colOff>
      <xdr:row>13</xdr:row>
      <xdr:rowOff>104775</xdr:rowOff>
    </xdr:from>
    <xdr:to>
      <xdr:col>43</xdr:col>
      <xdr:colOff>35718</xdr:colOff>
      <xdr:row>29</xdr:row>
      <xdr:rowOff>166687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119063</xdr:colOff>
      <xdr:row>14</xdr:row>
      <xdr:rowOff>41275</xdr:rowOff>
    </xdr:from>
    <xdr:to>
      <xdr:col>9</xdr:col>
      <xdr:colOff>305594</xdr:colOff>
      <xdr:row>28</xdr:row>
      <xdr:rowOff>117475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428625</xdr:colOff>
      <xdr:row>13</xdr:row>
      <xdr:rowOff>69056</xdr:rowOff>
    </xdr:from>
    <xdr:to>
      <xdr:col>19</xdr:col>
      <xdr:colOff>47625</xdr:colOff>
      <xdr:row>27</xdr:row>
      <xdr:rowOff>145256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23813</xdr:colOff>
      <xdr:row>13</xdr:row>
      <xdr:rowOff>104774</xdr:rowOff>
    </xdr:from>
    <xdr:to>
      <xdr:col>30</xdr:col>
      <xdr:colOff>404813</xdr:colOff>
      <xdr:row>27</xdr:row>
      <xdr:rowOff>180974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464343</xdr:colOff>
      <xdr:row>13</xdr:row>
      <xdr:rowOff>104775</xdr:rowOff>
    </xdr:from>
    <xdr:to>
      <xdr:col>43</xdr:col>
      <xdr:colOff>35718</xdr:colOff>
      <xdr:row>29</xdr:row>
      <xdr:rowOff>166687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47</xdr:col>
      <xdr:colOff>702469</xdr:colOff>
      <xdr:row>13</xdr:row>
      <xdr:rowOff>69056</xdr:rowOff>
    </xdr:from>
    <xdr:to>
      <xdr:col>52</xdr:col>
      <xdr:colOff>678656</xdr:colOff>
      <xdr:row>27</xdr:row>
      <xdr:rowOff>145256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58</xdr:col>
      <xdr:colOff>654844</xdr:colOff>
      <xdr:row>14</xdr:row>
      <xdr:rowOff>116681</xdr:rowOff>
    </xdr:from>
    <xdr:to>
      <xdr:col>64</xdr:col>
      <xdr:colOff>83344</xdr:colOff>
      <xdr:row>29</xdr:row>
      <xdr:rowOff>2381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619125</xdr:colOff>
      <xdr:row>14</xdr:row>
      <xdr:rowOff>38100</xdr:rowOff>
    </xdr:from>
    <xdr:to>
      <xdr:col>10</xdr:col>
      <xdr:colOff>47625</xdr:colOff>
      <xdr:row>28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95250</xdr:colOff>
      <xdr:row>16</xdr:row>
      <xdr:rowOff>104775</xdr:rowOff>
    </xdr:from>
    <xdr:to>
      <xdr:col>19</xdr:col>
      <xdr:colOff>476250</xdr:colOff>
      <xdr:row>30</xdr:row>
      <xdr:rowOff>180975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323850</xdr:colOff>
      <xdr:row>13</xdr:row>
      <xdr:rowOff>76200</xdr:rowOff>
    </xdr:from>
    <xdr:to>
      <xdr:col>30</xdr:col>
      <xdr:colOff>704850</xdr:colOff>
      <xdr:row>27</xdr:row>
      <xdr:rowOff>152400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590550</xdr:colOff>
      <xdr:row>13</xdr:row>
      <xdr:rowOff>123825</xdr:rowOff>
    </xdr:from>
    <xdr:to>
      <xdr:col>42</xdr:col>
      <xdr:colOff>19050</xdr:colOff>
      <xdr:row>28</xdr:row>
      <xdr:rowOff>9525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47</xdr:col>
      <xdr:colOff>704850</xdr:colOff>
      <xdr:row>13</xdr:row>
      <xdr:rowOff>171450</xdr:rowOff>
    </xdr:from>
    <xdr:to>
      <xdr:col>52</xdr:col>
      <xdr:colOff>685800</xdr:colOff>
      <xdr:row>28</xdr:row>
      <xdr:rowOff>57150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58</xdr:col>
      <xdr:colOff>47625</xdr:colOff>
      <xdr:row>13</xdr:row>
      <xdr:rowOff>171450</xdr:rowOff>
    </xdr:from>
    <xdr:to>
      <xdr:col>63</xdr:col>
      <xdr:colOff>428625</xdr:colOff>
      <xdr:row>28</xdr:row>
      <xdr:rowOff>57150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13</xdr:row>
      <xdr:rowOff>95250</xdr:rowOff>
    </xdr:from>
    <xdr:to>
      <xdr:col>9</xdr:col>
      <xdr:colOff>228600</xdr:colOff>
      <xdr:row>27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342900</xdr:colOff>
      <xdr:row>13</xdr:row>
      <xdr:rowOff>114300</xdr:rowOff>
    </xdr:from>
    <xdr:to>
      <xdr:col>19</xdr:col>
      <xdr:colOff>581025</xdr:colOff>
      <xdr:row>28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400050</xdr:colOff>
      <xdr:row>13</xdr:row>
      <xdr:rowOff>142875</xdr:rowOff>
    </xdr:from>
    <xdr:to>
      <xdr:col>30</xdr:col>
      <xdr:colOff>781050</xdr:colOff>
      <xdr:row>28</xdr:row>
      <xdr:rowOff>28575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35</xdr:col>
      <xdr:colOff>704850</xdr:colOff>
      <xdr:row>14</xdr:row>
      <xdr:rowOff>104775</xdr:rowOff>
    </xdr:from>
    <xdr:to>
      <xdr:col>41</xdr:col>
      <xdr:colOff>323850</xdr:colOff>
      <xdr:row>28</xdr:row>
      <xdr:rowOff>180975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48</xdr:col>
      <xdr:colOff>390525</xdr:colOff>
      <xdr:row>15</xdr:row>
      <xdr:rowOff>114300</xdr:rowOff>
    </xdr:from>
    <xdr:to>
      <xdr:col>53</xdr:col>
      <xdr:colOff>581025</xdr:colOff>
      <xdr:row>30</xdr:row>
      <xdr:rowOff>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58</xdr:col>
      <xdr:colOff>752475</xdr:colOff>
      <xdr:row>14</xdr:row>
      <xdr:rowOff>47625</xdr:rowOff>
    </xdr:from>
    <xdr:to>
      <xdr:col>64</xdr:col>
      <xdr:colOff>180975</xdr:colOff>
      <xdr:row>28</xdr:row>
      <xdr:rowOff>123825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400050</xdr:colOff>
      <xdr:row>14</xdr:row>
      <xdr:rowOff>19050</xdr:rowOff>
    </xdr:from>
    <xdr:to>
      <xdr:col>9</xdr:col>
      <xdr:colOff>590550</xdr:colOff>
      <xdr:row>28</xdr:row>
      <xdr:rowOff>95250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219075</xdr:colOff>
      <xdr:row>13</xdr:row>
      <xdr:rowOff>142875</xdr:rowOff>
    </xdr:from>
    <xdr:to>
      <xdr:col>19</xdr:col>
      <xdr:colOff>457200</xdr:colOff>
      <xdr:row>28</xdr:row>
      <xdr:rowOff>28575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228600</xdr:colOff>
      <xdr:row>13</xdr:row>
      <xdr:rowOff>123825</xdr:rowOff>
    </xdr:from>
    <xdr:to>
      <xdr:col>30</xdr:col>
      <xdr:colOff>609600</xdr:colOff>
      <xdr:row>28</xdr:row>
      <xdr:rowOff>9525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0</xdr:colOff>
      <xdr:row>13</xdr:row>
      <xdr:rowOff>142875</xdr:rowOff>
    </xdr:from>
    <xdr:to>
      <xdr:col>41</xdr:col>
      <xdr:colOff>381000</xdr:colOff>
      <xdr:row>28</xdr:row>
      <xdr:rowOff>28575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47</xdr:col>
      <xdr:colOff>180975</xdr:colOff>
      <xdr:row>13</xdr:row>
      <xdr:rowOff>142875</xdr:rowOff>
    </xdr:from>
    <xdr:to>
      <xdr:col>52</xdr:col>
      <xdr:colOff>561975</xdr:colOff>
      <xdr:row>28</xdr:row>
      <xdr:rowOff>28575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133350</xdr:colOff>
      <xdr:row>14</xdr:row>
      <xdr:rowOff>66675</xdr:rowOff>
    </xdr:from>
    <xdr:to>
      <xdr:col>9</xdr:col>
      <xdr:colOff>323850</xdr:colOff>
      <xdr:row>28</xdr:row>
      <xdr:rowOff>142875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419100</xdr:colOff>
      <xdr:row>14</xdr:row>
      <xdr:rowOff>114300</xdr:rowOff>
    </xdr:from>
    <xdr:to>
      <xdr:col>19</xdr:col>
      <xdr:colOff>657225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119063</xdr:colOff>
      <xdr:row>14</xdr:row>
      <xdr:rowOff>41275</xdr:rowOff>
    </xdr:from>
    <xdr:to>
      <xdr:col>9</xdr:col>
      <xdr:colOff>305594</xdr:colOff>
      <xdr:row>28</xdr:row>
      <xdr:rowOff>117475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428625</xdr:colOff>
      <xdr:row>13</xdr:row>
      <xdr:rowOff>69056</xdr:rowOff>
    </xdr:from>
    <xdr:to>
      <xdr:col>19</xdr:col>
      <xdr:colOff>47625</xdr:colOff>
      <xdr:row>27</xdr:row>
      <xdr:rowOff>145256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23813</xdr:colOff>
      <xdr:row>13</xdr:row>
      <xdr:rowOff>104774</xdr:rowOff>
    </xdr:from>
    <xdr:to>
      <xdr:col>30</xdr:col>
      <xdr:colOff>404813</xdr:colOff>
      <xdr:row>27</xdr:row>
      <xdr:rowOff>180974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464343</xdr:colOff>
      <xdr:row>13</xdr:row>
      <xdr:rowOff>104775</xdr:rowOff>
    </xdr:from>
    <xdr:to>
      <xdr:col>43</xdr:col>
      <xdr:colOff>35718</xdr:colOff>
      <xdr:row>29</xdr:row>
      <xdr:rowOff>166687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119063</xdr:colOff>
      <xdr:row>14</xdr:row>
      <xdr:rowOff>41275</xdr:rowOff>
    </xdr:from>
    <xdr:to>
      <xdr:col>9</xdr:col>
      <xdr:colOff>305594</xdr:colOff>
      <xdr:row>28</xdr:row>
      <xdr:rowOff>117475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428625</xdr:colOff>
      <xdr:row>13</xdr:row>
      <xdr:rowOff>69056</xdr:rowOff>
    </xdr:from>
    <xdr:to>
      <xdr:col>19</xdr:col>
      <xdr:colOff>47625</xdr:colOff>
      <xdr:row>27</xdr:row>
      <xdr:rowOff>145256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23813</xdr:colOff>
      <xdr:row>13</xdr:row>
      <xdr:rowOff>104774</xdr:rowOff>
    </xdr:from>
    <xdr:to>
      <xdr:col>30</xdr:col>
      <xdr:colOff>404813</xdr:colOff>
      <xdr:row>27</xdr:row>
      <xdr:rowOff>180974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464343</xdr:colOff>
      <xdr:row>13</xdr:row>
      <xdr:rowOff>104775</xdr:rowOff>
    </xdr:from>
    <xdr:to>
      <xdr:col>43</xdr:col>
      <xdr:colOff>35718</xdr:colOff>
      <xdr:row>29</xdr:row>
      <xdr:rowOff>166687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119063</xdr:colOff>
      <xdr:row>14</xdr:row>
      <xdr:rowOff>41275</xdr:rowOff>
    </xdr:from>
    <xdr:to>
      <xdr:col>9</xdr:col>
      <xdr:colOff>305594</xdr:colOff>
      <xdr:row>28</xdr:row>
      <xdr:rowOff>117475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428625</xdr:colOff>
      <xdr:row>13</xdr:row>
      <xdr:rowOff>69056</xdr:rowOff>
    </xdr:from>
    <xdr:to>
      <xdr:col>19</xdr:col>
      <xdr:colOff>47625</xdr:colOff>
      <xdr:row>27</xdr:row>
      <xdr:rowOff>145256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23813</xdr:colOff>
      <xdr:row>13</xdr:row>
      <xdr:rowOff>104774</xdr:rowOff>
    </xdr:from>
    <xdr:to>
      <xdr:col>30</xdr:col>
      <xdr:colOff>404813</xdr:colOff>
      <xdr:row>27</xdr:row>
      <xdr:rowOff>180974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464343</xdr:colOff>
      <xdr:row>13</xdr:row>
      <xdr:rowOff>104775</xdr:rowOff>
    </xdr:from>
    <xdr:to>
      <xdr:col>43</xdr:col>
      <xdr:colOff>35718</xdr:colOff>
      <xdr:row>29</xdr:row>
      <xdr:rowOff>166687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youtube.com/watch?v=vfMja2-zQO0&amp;t=154s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67"/>
  <sheetViews>
    <sheetView zoomScaleNormal="100" workbookViewId="0">
      <selection activeCell="B26" sqref="B26"/>
    </sheetView>
  </sheetViews>
  <sheetFormatPr baseColWidth="10" defaultRowHeight="15" x14ac:dyDescent="0.25"/>
  <cols>
    <col min="1" max="1" width="21.140625" customWidth="1"/>
    <col min="2" max="2" width="14.28515625" bestFit="1" customWidth="1"/>
    <col min="4" max="4" width="18.5703125" customWidth="1"/>
    <col min="5" max="5" width="14.28515625" bestFit="1" customWidth="1"/>
    <col min="8" max="8" width="14.28515625" bestFit="1" customWidth="1"/>
    <col min="9" max="9" width="14.28515625" customWidth="1"/>
    <col min="11" max="11" width="15" customWidth="1"/>
  </cols>
  <sheetData>
    <row r="3" spans="1:11" x14ac:dyDescent="0.25">
      <c r="B3" s="28" t="s">
        <v>25</v>
      </c>
      <c r="C3" s="28"/>
      <c r="D3" s="28"/>
      <c r="E3" s="28"/>
      <c r="F3" s="28"/>
      <c r="G3" s="28"/>
      <c r="H3" s="28"/>
      <c r="I3" s="28"/>
      <c r="J3" s="28"/>
      <c r="K3" s="28"/>
    </row>
    <row r="4" spans="1:11" x14ac:dyDescent="0.25">
      <c r="B4" s="28" t="s">
        <v>2</v>
      </c>
      <c r="C4" s="28"/>
      <c r="D4" s="28"/>
      <c r="E4" s="28" t="s">
        <v>3</v>
      </c>
      <c r="F4" s="28"/>
      <c r="G4" s="28"/>
      <c r="H4" s="28" t="s">
        <v>4</v>
      </c>
      <c r="I4" s="28"/>
      <c r="J4" s="28"/>
      <c r="K4" s="1" t="s">
        <v>33</v>
      </c>
    </row>
    <row r="5" spans="1:11" x14ac:dyDescent="0.25">
      <c r="B5" s="1" t="s">
        <v>1</v>
      </c>
      <c r="C5" s="1" t="s">
        <v>0</v>
      </c>
      <c r="D5" s="1" t="s">
        <v>32</v>
      </c>
      <c r="E5" s="1" t="s">
        <v>1</v>
      </c>
      <c r="F5" s="1" t="s">
        <v>0</v>
      </c>
      <c r="G5" s="1" t="s">
        <v>32</v>
      </c>
      <c r="H5" s="1" t="s">
        <v>1</v>
      </c>
      <c r="I5" s="1" t="s">
        <v>0</v>
      </c>
      <c r="J5" s="1" t="s">
        <v>32</v>
      </c>
      <c r="K5" s="1" t="s">
        <v>32</v>
      </c>
    </row>
    <row r="6" spans="1:11" x14ac:dyDescent="0.25">
      <c r="B6" s="2">
        <v>10</v>
      </c>
      <c r="C6" s="2">
        <v>0.13600000000000001</v>
      </c>
      <c r="D6" s="2">
        <f t="shared" ref="D6:D11" si="0">((C6)/(26.6*1))</f>
        <v>5.1127819548872182E-3</v>
      </c>
      <c r="E6" s="2">
        <v>10</v>
      </c>
      <c r="F6" s="2">
        <v>0.08</v>
      </c>
      <c r="G6" s="2">
        <f t="shared" ref="G6:G11" si="1">((F6)/(26.6*1))</f>
        <v>3.0075187969924809E-3</v>
      </c>
      <c r="H6" s="2">
        <v>10</v>
      </c>
      <c r="I6" s="2">
        <v>0.189</v>
      </c>
      <c r="J6" s="2">
        <f t="shared" ref="J6:J11" si="2">((I6)/(26.6*1))</f>
        <v>7.1052631578947369E-3</v>
      </c>
      <c r="K6" s="15">
        <f t="shared" ref="K6:K11" si="3">((D6+G6+J6)/(3))</f>
        <v>5.0751879699248124E-3</v>
      </c>
    </row>
    <row r="7" spans="1:11" x14ac:dyDescent="0.25">
      <c r="B7" s="2">
        <v>20</v>
      </c>
      <c r="C7" s="2">
        <v>0.156</v>
      </c>
      <c r="D7" s="2">
        <f t="shared" si="0"/>
        <v>5.8646616541353381E-3</v>
      </c>
      <c r="E7" s="2">
        <v>20</v>
      </c>
      <c r="F7" s="2">
        <v>8.8999999999999996E-2</v>
      </c>
      <c r="G7" s="2">
        <f t="shared" si="1"/>
        <v>3.3458646616541352E-3</v>
      </c>
      <c r="H7" s="2">
        <v>20</v>
      </c>
      <c r="I7" s="2">
        <v>0.214</v>
      </c>
      <c r="J7" s="2">
        <f t="shared" si="2"/>
        <v>8.0451127819548864E-3</v>
      </c>
      <c r="K7" s="15">
        <f t="shared" si="3"/>
        <v>5.7518796992481191E-3</v>
      </c>
    </row>
    <row r="8" spans="1:11" x14ac:dyDescent="0.25">
      <c r="B8" s="2">
        <v>30</v>
      </c>
      <c r="C8" s="2">
        <v>0.17699999999999999</v>
      </c>
      <c r="D8" s="2">
        <f t="shared" si="0"/>
        <v>6.6541353383458637E-3</v>
      </c>
      <c r="E8" s="2">
        <v>30</v>
      </c>
      <c r="F8" s="2">
        <v>9.8000000000000004E-2</v>
      </c>
      <c r="G8" s="2">
        <f t="shared" si="1"/>
        <v>3.6842105263157894E-3</v>
      </c>
      <c r="H8" s="2">
        <v>30</v>
      </c>
      <c r="I8" s="2">
        <v>0.23899999999999999</v>
      </c>
      <c r="J8" s="2">
        <f t="shared" si="2"/>
        <v>8.9849624060150367E-3</v>
      </c>
      <c r="K8" s="15">
        <f t="shared" si="3"/>
        <v>6.4411027568922301E-3</v>
      </c>
    </row>
    <row r="9" spans="1:11" x14ac:dyDescent="0.25">
      <c r="B9" s="2">
        <v>40</v>
      </c>
      <c r="C9" s="2">
        <v>0.19900000000000001</v>
      </c>
      <c r="D9" s="2">
        <f t="shared" si="0"/>
        <v>7.4812030075187969E-3</v>
      </c>
      <c r="E9" s="2">
        <v>40</v>
      </c>
      <c r="F9" s="2">
        <v>0.108</v>
      </c>
      <c r="G9" s="2">
        <f t="shared" si="1"/>
        <v>4.0601503759398498E-3</v>
      </c>
      <c r="H9" s="2">
        <v>40</v>
      </c>
      <c r="I9" s="2">
        <v>0.26500000000000001</v>
      </c>
      <c r="J9" s="2">
        <f t="shared" si="2"/>
        <v>9.9624060150375945E-3</v>
      </c>
      <c r="K9" s="15">
        <f t="shared" si="3"/>
        <v>7.1679197994987467E-3</v>
      </c>
    </row>
    <row r="10" spans="1:11" x14ac:dyDescent="0.25">
      <c r="B10" s="2">
        <v>50</v>
      </c>
      <c r="C10" s="2">
        <v>0.218</v>
      </c>
      <c r="D10" s="2">
        <f t="shared" si="0"/>
        <v>8.195488721804511E-3</v>
      </c>
      <c r="E10" s="2">
        <v>50</v>
      </c>
      <c r="F10" s="2">
        <v>0.11700000000000001</v>
      </c>
      <c r="G10" s="2">
        <f t="shared" si="1"/>
        <v>4.398496240601504E-3</v>
      </c>
      <c r="H10" s="2">
        <v>50</v>
      </c>
      <c r="I10" s="2">
        <v>0.28999999999999998</v>
      </c>
      <c r="J10" s="2">
        <f t="shared" si="2"/>
        <v>1.0902255639097743E-2</v>
      </c>
      <c r="K10" s="15">
        <f t="shared" si="3"/>
        <v>7.8320802005012527E-3</v>
      </c>
    </row>
    <row r="11" spans="1:11" x14ac:dyDescent="0.25">
      <c r="B11" s="2">
        <v>60</v>
      </c>
      <c r="C11" s="2">
        <v>0.24099999999999999</v>
      </c>
      <c r="D11" s="2">
        <f t="shared" si="0"/>
        <v>9.0601503759398481E-3</v>
      </c>
      <c r="E11" s="2">
        <v>60</v>
      </c>
      <c r="F11" s="2">
        <v>0.126</v>
      </c>
      <c r="G11" s="2">
        <f t="shared" si="1"/>
        <v>4.7368421052631574E-3</v>
      </c>
      <c r="H11" s="2">
        <v>60</v>
      </c>
      <c r="I11" s="2">
        <v>0.314</v>
      </c>
      <c r="J11" s="2">
        <f t="shared" si="2"/>
        <v>1.1804511278195488E-2</v>
      </c>
      <c r="K11" s="15">
        <f t="shared" si="3"/>
        <v>8.5338345864661644E-3</v>
      </c>
    </row>
    <row r="12" spans="1:11" ht="45" x14ac:dyDescent="0.25">
      <c r="B12" s="17" t="s">
        <v>50</v>
      </c>
      <c r="C12" s="4"/>
      <c r="D12" s="4">
        <f>(((10*D11)/(1000))*(1000))</f>
        <v>9.0601503759398488E-2</v>
      </c>
      <c r="E12" s="17" t="s">
        <v>50</v>
      </c>
      <c r="F12" s="4"/>
      <c r="G12" s="4">
        <f>(((10*G11)/(1000))*(1000))</f>
        <v>4.7368421052631574E-2</v>
      </c>
      <c r="H12" s="17" t="s">
        <v>50</v>
      </c>
      <c r="I12" s="4"/>
      <c r="J12" s="4"/>
      <c r="K12" s="4">
        <f>(((10*K11)/(1000))*(1000))</f>
        <v>8.5338345864661644E-2</v>
      </c>
    </row>
    <row r="16" spans="1:11" x14ac:dyDescent="0.25">
      <c r="A16" t="s">
        <v>26</v>
      </c>
    </row>
    <row r="18" spans="1:1" x14ac:dyDescent="0.25">
      <c r="A18" t="s">
        <v>27</v>
      </c>
    </row>
    <row r="19" spans="1:1" x14ac:dyDescent="0.25">
      <c r="A19" t="s">
        <v>28</v>
      </c>
    </row>
    <row r="20" spans="1:1" x14ac:dyDescent="0.25">
      <c r="A20" t="s">
        <v>29</v>
      </c>
    </row>
    <row r="21" spans="1:1" x14ac:dyDescent="0.25">
      <c r="A21" t="s">
        <v>30</v>
      </c>
    </row>
    <row r="22" spans="1:1" x14ac:dyDescent="0.25">
      <c r="A22" t="s">
        <v>31</v>
      </c>
    </row>
    <row r="23" spans="1:1" x14ac:dyDescent="0.25">
      <c r="A23" s="27" t="s">
        <v>77</v>
      </c>
    </row>
    <row r="35" spans="1:1" x14ac:dyDescent="0.25">
      <c r="A35" s="3"/>
    </row>
    <row r="67" spans="1:1" x14ac:dyDescent="0.25">
      <c r="A67" t="s">
        <v>24</v>
      </c>
    </row>
  </sheetData>
  <mergeCells count="4">
    <mergeCell ref="B4:D4"/>
    <mergeCell ref="E4:G4"/>
    <mergeCell ref="H4:J4"/>
    <mergeCell ref="B3:K3"/>
  </mergeCells>
  <hyperlinks>
    <hyperlink ref="A23" r:id="rId1" xr:uid="{00000000-0004-0000-0000-000000000000}"/>
  </hyperlinks>
  <pageMargins left="0.7" right="0.7" top="0.75" bottom="0.75" header="0.3" footer="0.3"/>
  <pageSetup orientation="portrait" horizontalDpi="360" verticalDpi="36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3:AR33"/>
  <sheetViews>
    <sheetView topLeftCell="D7" zoomScale="80" zoomScaleNormal="80" workbookViewId="0">
      <selection activeCell="V6" sqref="V6:V11"/>
    </sheetView>
  </sheetViews>
  <sheetFormatPr baseColWidth="10" defaultRowHeight="15" x14ac:dyDescent="0.25"/>
  <cols>
    <col min="2" max="2" width="14.28515625" bestFit="1" customWidth="1"/>
    <col min="5" max="5" width="14.28515625" bestFit="1" customWidth="1"/>
    <col min="8" max="8" width="14.28515625" bestFit="1" customWidth="1"/>
    <col min="9" max="9" width="14.28515625" customWidth="1"/>
    <col min="11" max="11" width="14.42578125" customWidth="1"/>
    <col min="12" max="12" width="13.28515625" customWidth="1"/>
    <col min="13" max="13" width="23" bestFit="1" customWidth="1"/>
    <col min="16" max="16" width="14.28515625" bestFit="1" customWidth="1"/>
    <col min="19" max="19" width="14.28515625" bestFit="1" customWidth="1"/>
    <col min="20" max="20" width="14.28515625" customWidth="1"/>
    <col min="22" max="22" width="12.42578125" customWidth="1"/>
    <col min="24" max="24" width="14.28515625" bestFit="1" customWidth="1"/>
    <col min="27" max="27" width="14.28515625" bestFit="1" customWidth="1"/>
    <col min="30" max="30" width="14.28515625" bestFit="1" customWidth="1"/>
    <col min="31" max="31" width="14.28515625" customWidth="1"/>
    <col min="35" max="35" width="14.28515625" bestFit="1" customWidth="1"/>
    <col min="38" max="38" width="14.28515625" bestFit="1" customWidth="1"/>
    <col min="41" max="41" width="14.28515625" bestFit="1" customWidth="1"/>
    <col min="42" max="42" width="14.28515625" customWidth="1"/>
  </cols>
  <sheetData>
    <row r="3" spans="1:44" x14ac:dyDescent="0.25">
      <c r="B3" s="28" t="s">
        <v>68</v>
      </c>
      <c r="C3" s="28"/>
      <c r="D3" s="28"/>
      <c r="E3" s="28"/>
      <c r="F3" s="28"/>
      <c r="G3" s="28"/>
      <c r="H3" s="28"/>
      <c r="I3" s="28"/>
      <c r="J3" s="28"/>
      <c r="K3" s="28"/>
      <c r="M3" s="28" t="s">
        <v>69</v>
      </c>
      <c r="N3" s="28"/>
      <c r="O3" s="28"/>
      <c r="P3" s="28"/>
      <c r="Q3" s="28"/>
      <c r="R3" s="28"/>
      <c r="S3" s="28"/>
      <c r="T3" s="28"/>
      <c r="U3" s="28"/>
      <c r="V3" s="28"/>
      <c r="X3" s="28" t="s">
        <v>70</v>
      </c>
      <c r="Y3" s="28"/>
      <c r="Z3" s="28"/>
      <c r="AA3" s="28"/>
      <c r="AB3" s="28"/>
      <c r="AC3" s="28"/>
      <c r="AD3" s="28"/>
      <c r="AE3" s="28"/>
      <c r="AF3" s="28"/>
      <c r="AG3" s="28"/>
      <c r="AI3" s="28" t="s">
        <v>71</v>
      </c>
      <c r="AJ3" s="28"/>
      <c r="AK3" s="28"/>
      <c r="AL3" s="28"/>
      <c r="AM3" s="28"/>
      <c r="AN3" s="28"/>
      <c r="AO3" s="28"/>
      <c r="AP3" s="28"/>
      <c r="AQ3" s="28"/>
      <c r="AR3" s="28"/>
    </row>
    <row r="4" spans="1:44" x14ac:dyDescent="0.25">
      <c r="B4" s="28" t="s">
        <v>2</v>
      </c>
      <c r="C4" s="28"/>
      <c r="D4" s="28"/>
      <c r="E4" s="28" t="s">
        <v>3</v>
      </c>
      <c r="F4" s="28"/>
      <c r="G4" s="28"/>
      <c r="H4" s="28" t="s">
        <v>4</v>
      </c>
      <c r="I4" s="28"/>
      <c r="J4" s="28"/>
      <c r="K4" s="1" t="s">
        <v>33</v>
      </c>
      <c r="M4" s="28" t="s">
        <v>2</v>
      </c>
      <c r="N4" s="28"/>
      <c r="O4" s="28"/>
      <c r="P4" s="28" t="s">
        <v>3</v>
      </c>
      <c r="Q4" s="28"/>
      <c r="R4" s="28"/>
      <c r="S4" s="28" t="s">
        <v>4</v>
      </c>
      <c r="T4" s="28"/>
      <c r="U4" s="28"/>
      <c r="V4" s="9" t="s">
        <v>34</v>
      </c>
      <c r="X4" s="28" t="s">
        <v>2</v>
      </c>
      <c r="Y4" s="28"/>
      <c r="Z4" s="28"/>
      <c r="AA4" s="28" t="s">
        <v>3</v>
      </c>
      <c r="AB4" s="28"/>
      <c r="AC4" s="28"/>
      <c r="AD4" s="28" t="s">
        <v>4</v>
      </c>
      <c r="AE4" s="28"/>
      <c r="AF4" s="28"/>
      <c r="AG4" s="9" t="s">
        <v>34</v>
      </c>
      <c r="AI4" s="28" t="s">
        <v>2</v>
      </c>
      <c r="AJ4" s="28"/>
      <c r="AK4" s="28"/>
      <c r="AL4" s="28" t="s">
        <v>3</v>
      </c>
      <c r="AM4" s="28"/>
      <c r="AN4" s="28"/>
      <c r="AO4" s="28" t="s">
        <v>4</v>
      </c>
      <c r="AP4" s="28"/>
      <c r="AQ4" s="28"/>
      <c r="AR4" s="9" t="s">
        <v>34</v>
      </c>
    </row>
    <row r="5" spans="1:44" x14ac:dyDescent="0.25">
      <c r="B5" s="1" t="s">
        <v>1</v>
      </c>
      <c r="C5" s="1" t="s">
        <v>0</v>
      </c>
      <c r="D5" s="1" t="s">
        <v>32</v>
      </c>
      <c r="E5" s="1" t="s">
        <v>1</v>
      </c>
      <c r="F5" s="1" t="s">
        <v>0</v>
      </c>
      <c r="G5" s="1" t="s">
        <v>32</v>
      </c>
      <c r="H5" s="1" t="s">
        <v>1</v>
      </c>
      <c r="I5" s="1" t="s">
        <v>0</v>
      </c>
      <c r="J5" s="1" t="s">
        <v>32</v>
      </c>
      <c r="K5" s="1" t="s">
        <v>32</v>
      </c>
      <c r="M5" s="1" t="s">
        <v>1</v>
      </c>
      <c r="N5" s="1" t="s">
        <v>0</v>
      </c>
      <c r="O5" s="1" t="s">
        <v>32</v>
      </c>
      <c r="P5" s="1" t="s">
        <v>1</v>
      </c>
      <c r="Q5" s="1" t="s">
        <v>0</v>
      </c>
      <c r="R5" s="1" t="s">
        <v>32</v>
      </c>
      <c r="S5" s="1" t="s">
        <v>1</v>
      </c>
      <c r="T5" s="1" t="s">
        <v>0</v>
      </c>
      <c r="U5" s="1" t="s">
        <v>32</v>
      </c>
      <c r="V5" s="1" t="s">
        <v>32</v>
      </c>
      <c r="X5" s="1" t="s">
        <v>1</v>
      </c>
      <c r="Y5" s="1" t="s">
        <v>0</v>
      </c>
      <c r="Z5" s="1" t="s">
        <v>32</v>
      </c>
      <c r="AA5" s="1" t="s">
        <v>1</v>
      </c>
      <c r="AB5" s="1" t="s">
        <v>0</v>
      </c>
      <c r="AC5" s="1" t="s">
        <v>32</v>
      </c>
      <c r="AD5" s="1" t="s">
        <v>1</v>
      </c>
      <c r="AE5" s="1" t="s">
        <v>0</v>
      </c>
      <c r="AF5" s="1" t="s">
        <v>32</v>
      </c>
      <c r="AG5" s="1" t="s">
        <v>32</v>
      </c>
      <c r="AI5" s="1" t="s">
        <v>1</v>
      </c>
      <c r="AJ5" s="1" t="s">
        <v>0</v>
      </c>
      <c r="AK5" s="1" t="s">
        <v>32</v>
      </c>
      <c r="AL5" s="1" t="s">
        <v>1</v>
      </c>
      <c r="AM5" s="1" t="s">
        <v>0</v>
      </c>
      <c r="AN5" s="1" t="s">
        <v>32</v>
      </c>
      <c r="AO5" s="1" t="s">
        <v>1</v>
      </c>
      <c r="AP5" s="1" t="s">
        <v>0</v>
      </c>
      <c r="AQ5" s="1" t="s">
        <v>32</v>
      </c>
      <c r="AR5" s="1" t="s">
        <v>32</v>
      </c>
    </row>
    <row r="6" spans="1:44" x14ac:dyDescent="0.25">
      <c r="B6" s="2">
        <v>10</v>
      </c>
      <c r="C6" s="2">
        <v>7.3999999999999996E-2</v>
      </c>
      <c r="D6" s="2">
        <f t="shared" ref="D6:D11" si="0">((C6)/(26.6*1))</f>
        <v>2.7819548872180448E-3</v>
      </c>
      <c r="E6" s="2">
        <v>10</v>
      </c>
      <c r="F6" s="2">
        <v>0.14399999999999999</v>
      </c>
      <c r="G6" s="2">
        <f t="shared" ref="G6:G11" si="1">((F6)/(26.6*1))</f>
        <v>5.4135338345864658E-3</v>
      </c>
      <c r="H6" s="2">
        <v>10</v>
      </c>
      <c r="I6" s="2">
        <v>8.8999999999999996E-2</v>
      </c>
      <c r="J6" s="2">
        <f t="shared" ref="J6:J11" si="2">((I6)/(26.6*1))</f>
        <v>3.3458646616541352E-3</v>
      </c>
      <c r="K6" s="15">
        <f t="shared" ref="K6:K11" si="3">((D6+G6+J6)/(3))</f>
        <v>3.8471177944862153E-3</v>
      </c>
      <c r="M6" s="2">
        <v>10</v>
      </c>
      <c r="N6" s="2">
        <v>3.1E-2</v>
      </c>
      <c r="O6" s="2">
        <f t="shared" ref="O6:O11" si="4">((N6)/(26.6*1))</f>
        <v>1.1654135338345865E-3</v>
      </c>
      <c r="P6" s="2">
        <v>10</v>
      </c>
      <c r="Q6" s="2">
        <v>0.06</v>
      </c>
      <c r="R6" s="2">
        <f t="shared" ref="R6:R11" si="5">((Q6)/(26.6*1))</f>
        <v>2.2556390977443606E-3</v>
      </c>
      <c r="S6" s="2">
        <v>10</v>
      </c>
      <c r="T6" s="2">
        <v>0.104</v>
      </c>
      <c r="U6" s="2">
        <f t="shared" ref="U6:U11" si="6">((T6)/(26.6*1))</f>
        <v>3.9097744360902251E-3</v>
      </c>
      <c r="V6" s="15">
        <f t="shared" ref="V6:V11" si="7">((O6+R6+U6)/(3))</f>
        <v>2.4436090225563906E-3</v>
      </c>
      <c r="X6" s="2">
        <v>10</v>
      </c>
      <c r="Y6" s="2">
        <v>0</v>
      </c>
      <c r="Z6" s="2">
        <f t="shared" ref="Z6:Z11" si="8">((Y6)/(26.6*1))</f>
        <v>0</v>
      </c>
      <c r="AA6" s="2">
        <v>10</v>
      </c>
      <c r="AB6" s="2">
        <v>0</v>
      </c>
      <c r="AC6" s="2">
        <f t="shared" ref="AC6:AC11" si="9">((AB6)/(26.6*1))</f>
        <v>0</v>
      </c>
      <c r="AD6" s="2">
        <v>10</v>
      </c>
      <c r="AE6" s="2">
        <v>0</v>
      </c>
      <c r="AF6" s="2">
        <f t="shared" ref="AF6:AF11" si="10">((AE6)/(26.6*1))</f>
        <v>0</v>
      </c>
      <c r="AG6" s="15">
        <f t="shared" ref="AG6:AG11" si="11">((Z6+AC6+AF6)/(3))</f>
        <v>0</v>
      </c>
      <c r="AI6" s="2">
        <v>10</v>
      </c>
      <c r="AJ6" s="2">
        <v>0</v>
      </c>
      <c r="AK6" s="2">
        <f t="shared" ref="AK6:AK11" si="12">((AJ6)/(26.6*1))</f>
        <v>0</v>
      </c>
      <c r="AL6" s="2">
        <v>10</v>
      </c>
      <c r="AM6" s="2">
        <v>0</v>
      </c>
      <c r="AN6" s="2">
        <f t="shared" ref="AN6:AN11" si="13">((AM6)/(26.6*1))</f>
        <v>0</v>
      </c>
      <c r="AO6" s="2">
        <v>10</v>
      </c>
      <c r="AP6" s="2">
        <v>0</v>
      </c>
      <c r="AQ6" s="2">
        <f t="shared" ref="AQ6:AQ11" si="14">((AP6)/(26.6*1))</f>
        <v>0</v>
      </c>
      <c r="AR6" s="15">
        <f t="shared" ref="AR6:AR11" si="15">((AK6+AN6+AQ6)/(3))</f>
        <v>0</v>
      </c>
    </row>
    <row r="7" spans="1:44" x14ac:dyDescent="0.25">
      <c r="B7" s="2">
        <v>20</v>
      </c>
      <c r="C7" s="2">
        <v>8.3000000000000004E-2</v>
      </c>
      <c r="D7" s="2">
        <f t="shared" si="0"/>
        <v>3.1203007518796995E-3</v>
      </c>
      <c r="E7" s="2">
        <v>20</v>
      </c>
      <c r="F7" s="2">
        <v>0.159</v>
      </c>
      <c r="G7" s="2">
        <f t="shared" si="1"/>
        <v>5.9774436090225562E-3</v>
      </c>
      <c r="H7" s="2">
        <v>20</v>
      </c>
      <c r="I7" s="2">
        <v>9.4E-2</v>
      </c>
      <c r="J7" s="2">
        <f t="shared" si="2"/>
        <v>3.5338345864661651E-3</v>
      </c>
      <c r="K7" s="15">
        <f t="shared" si="3"/>
        <v>4.2105263157894736E-3</v>
      </c>
      <c r="M7" s="2">
        <v>20</v>
      </c>
      <c r="N7" s="2">
        <v>0.03</v>
      </c>
      <c r="O7" s="2">
        <f t="shared" si="4"/>
        <v>1.1278195488721803E-3</v>
      </c>
      <c r="P7" s="2">
        <v>20</v>
      </c>
      <c r="Q7" s="2">
        <v>6.4000000000000001E-2</v>
      </c>
      <c r="R7" s="2">
        <f t="shared" si="5"/>
        <v>2.4060150375939848E-3</v>
      </c>
      <c r="S7" s="2">
        <v>20</v>
      </c>
      <c r="T7" s="2">
        <v>0.11</v>
      </c>
      <c r="U7" s="2">
        <f t="shared" si="6"/>
        <v>4.1353383458646613E-3</v>
      </c>
      <c r="V7" s="15">
        <f t="shared" si="7"/>
        <v>2.5563909774436087E-3</v>
      </c>
      <c r="X7" s="2">
        <v>20</v>
      </c>
      <c r="Y7" s="2">
        <v>0</v>
      </c>
      <c r="Z7" s="2">
        <f t="shared" si="8"/>
        <v>0</v>
      </c>
      <c r="AA7" s="2">
        <v>20</v>
      </c>
      <c r="AB7" s="2">
        <v>0</v>
      </c>
      <c r="AC7" s="2">
        <f t="shared" si="9"/>
        <v>0</v>
      </c>
      <c r="AD7" s="2">
        <v>20</v>
      </c>
      <c r="AE7" s="2">
        <v>0</v>
      </c>
      <c r="AF7" s="2">
        <f t="shared" si="10"/>
        <v>0</v>
      </c>
      <c r="AG7" s="15">
        <f t="shared" si="11"/>
        <v>0</v>
      </c>
      <c r="AI7" s="2">
        <v>20</v>
      </c>
      <c r="AJ7" s="2">
        <v>0</v>
      </c>
      <c r="AK7" s="2">
        <f t="shared" si="12"/>
        <v>0</v>
      </c>
      <c r="AL7" s="2">
        <v>20</v>
      </c>
      <c r="AM7" s="2">
        <v>0</v>
      </c>
      <c r="AN7" s="2">
        <f t="shared" si="13"/>
        <v>0</v>
      </c>
      <c r="AO7" s="2">
        <v>20</v>
      </c>
      <c r="AP7" s="2">
        <v>0</v>
      </c>
      <c r="AQ7" s="2">
        <f t="shared" si="14"/>
        <v>0</v>
      </c>
      <c r="AR7" s="15">
        <f t="shared" si="15"/>
        <v>0</v>
      </c>
    </row>
    <row r="8" spans="1:44" x14ac:dyDescent="0.25">
      <c r="B8" s="2">
        <v>30</v>
      </c>
      <c r="C8" s="2">
        <v>9.2999999999999999E-2</v>
      </c>
      <c r="D8" s="2">
        <f t="shared" si="0"/>
        <v>3.496240601503759E-3</v>
      </c>
      <c r="E8" s="2">
        <v>30</v>
      </c>
      <c r="F8" s="2">
        <v>0.16300000000000001</v>
      </c>
      <c r="G8" s="2">
        <f t="shared" si="1"/>
        <v>6.12781954887218E-3</v>
      </c>
      <c r="H8" s="2">
        <v>30</v>
      </c>
      <c r="I8" s="2">
        <v>0.10100000000000001</v>
      </c>
      <c r="J8" s="2">
        <f t="shared" si="2"/>
        <v>3.7969924812030075E-3</v>
      </c>
      <c r="K8" s="15">
        <f t="shared" si="3"/>
        <v>4.4736842105263155E-3</v>
      </c>
      <c r="M8" s="2">
        <v>30</v>
      </c>
      <c r="N8" s="2">
        <v>3.3000000000000002E-2</v>
      </c>
      <c r="O8" s="2">
        <f t="shared" si="4"/>
        <v>1.2406015037593986E-3</v>
      </c>
      <c r="P8" s="2">
        <v>30</v>
      </c>
      <c r="Q8" s="2">
        <v>6.6000000000000003E-2</v>
      </c>
      <c r="R8" s="2">
        <f t="shared" si="5"/>
        <v>2.4812030075187972E-3</v>
      </c>
      <c r="S8" s="2">
        <v>30</v>
      </c>
      <c r="T8" s="2">
        <v>0.114</v>
      </c>
      <c r="U8" s="2">
        <f t="shared" si="6"/>
        <v>4.2857142857142859E-3</v>
      </c>
      <c r="V8" s="15">
        <f t="shared" si="7"/>
        <v>2.6691729323308267E-3</v>
      </c>
      <c r="X8" s="2">
        <v>30</v>
      </c>
      <c r="Y8" s="2">
        <v>0</v>
      </c>
      <c r="Z8" s="2">
        <f t="shared" si="8"/>
        <v>0</v>
      </c>
      <c r="AA8" s="2">
        <v>30</v>
      </c>
      <c r="AB8" s="2">
        <v>0</v>
      </c>
      <c r="AC8" s="2">
        <f t="shared" si="9"/>
        <v>0</v>
      </c>
      <c r="AD8" s="2">
        <v>30</v>
      </c>
      <c r="AE8" s="2">
        <v>0</v>
      </c>
      <c r="AF8" s="2">
        <f t="shared" si="10"/>
        <v>0</v>
      </c>
      <c r="AG8" s="15">
        <f t="shared" si="11"/>
        <v>0</v>
      </c>
      <c r="AI8" s="2">
        <v>30</v>
      </c>
      <c r="AJ8" s="2">
        <v>0</v>
      </c>
      <c r="AK8" s="2">
        <f t="shared" si="12"/>
        <v>0</v>
      </c>
      <c r="AL8" s="2">
        <v>30</v>
      </c>
      <c r="AM8" s="2">
        <v>0</v>
      </c>
      <c r="AN8" s="2">
        <f t="shared" si="13"/>
        <v>0</v>
      </c>
      <c r="AO8" s="2">
        <v>30</v>
      </c>
      <c r="AP8" s="2">
        <v>0</v>
      </c>
      <c r="AQ8" s="2">
        <f t="shared" si="14"/>
        <v>0</v>
      </c>
      <c r="AR8" s="15">
        <f t="shared" si="15"/>
        <v>0</v>
      </c>
    </row>
    <row r="9" spans="1:44" x14ac:dyDescent="0.25">
      <c r="B9" s="2">
        <v>40</v>
      </c>
      <c r="C9" s="2">
        <v>9.8000000000000004E-2</v>
      </c>
      <c r="D9" s="2">
        <f t="shared" si="0"/>
        <v>3.6842105263157894E-3</v>
      </c>
      <c r="E9" s="2">
        <v>40</v>
      </c>
      <c r="F9" s="2">
        <v>0.16500000000000001</v>
      </c>
      <c r="G9" s="2">
        <f t="shared" si="1"/>
        <v>6.2030075187969923E-3</v>
      </c>
      <c r="H9" s="2">
        <v>40</v>
      </c>
      <c r="I9" s="2">
        <v>0.108</v>
      </c>
      <c r="J9" s="2">
        <f t="shared" si="2"/>
        <v>4.0601503759398498E-3</v>
      </c>
      <c r="K9" s="15">
        <f t="shared" si="3"/>
        <v>4.6491228070175443E-3</v>
      </c>
      <c r="M9" s="2">
        <v>40</v>
      </c>
      <c r="N9" s="2">
        <v>3.6999999999999998E-2</v>
      </c>
      <c r="O9" s="2">
        <f t="shared" si="4"/>
        <v>1.3909774436090224E-3</v>
      </c>
      <c r="P9" s="2">
        <v>40</v>
      </c>
      <c r="Q9" s="2">
        <v>7.0999999999999994E-2</v>
      </c>
      <c r="R9" s="2">
        <f t="shared" si="5"/>
        <v>2.6691729323308267E-3</v>
      </c>
      <c r="S9" s="2">
        <v>40</v>
      </c>
      <c r="T9" s="2">
        <v>0.11600000000000001</v>
      </c>
      <c r="U9" s="2">
        <f t="shared" si="6"/>
        <v>4.3609022556390974E-3</v>
      </c>
      <c r="V9" s="15">
        <f t="shared" si="7"/>
        <v>2.8070175438596489E-3</v>
      </c>
      <c r="X9" s="2">
        <v>40</v>
      </c>
      <c r="Y9" s="2">
        <v>0</v>
      </c>
      <c r="Z9" s="2">
        <f t="shared" si="8"/>
        <v>0</v>
      </c>
      <c r="AA9" s="2">
        <v>40</v>
      </c>
      <c r="AB9" s="2">
        <v>0</v>
      </c>
      <c r="AC9" s="2">
        <f t="shared" si="9"/>
        <v>0</v>
      </c>
      <c r="AD9" s="2">
        <v>40</v>
      </c>
      <c r="AE9" s="2">
        <v>0</v>
      </c>
      <c r="AF9" s="2">
        <f t="shared" si="10"/>
        <v>0</v>
      </c>
      <c r="AG9" s="15">
        <f t="shared" si="11"/>
        <v>0</v>
      </c>
      <c r="AI9" s="2">
        <v>40</v>
      </c>
      <c r="AJ9" s="2">
        <v>0</v>
      </c>
      <c r="AK9" s="2">
        <f t="shared" si="12"/>
        <v>0</v>
      </c>
      <c r="AL9" s="2">
        <v>40</v>
      </c>
      <c r="AM9" s="2">
        <v>0</v>
      </c>
      <c r="AN9" s="2">
        <f t="shared" si="13"/>
        <v>0</v>
      </c>
      <c r="AO9" s="2">
        <v>40</v>
      </c>
      <c r="AP9" s="2">
        <v>0</v>
      </c>
      <c r="AQ9" s="2">
        <f t="shared" si="14"/>
        <v>0</v>
      </c>
      <c r="AR9" s="15">
        <f t="shared" si="15"/>
        <v>0</v>
      </c>
    </row>
    <row r="10" spans="1:44" x14ac:dyDescent="0.25">
      <c r="B10" s="2">
        <v>50</v>
      </c>
      <c r="C10" s="2">
        <v>0.106</v>
      </c>
      <c r="D10" s="2">
        <f t="shared" si="0"/>
        <v>3.9849624060150374E-3</v>
      </c>
      <c r="E10" s="2">
        <v>50</v>
      </c>
      <c r="F10" s="2">
        <v>0.16600000000000001</v>
      </c>
      <c r="G10" s="2">
        <f t="shared" si="1"/>
        <v>6.2406015037593989E-3</v>
      </c>
      <c r="H10" s="2">
        <v>50</v>
      </c>
      <c r="I10" s="2">
        <v>0.12</v>
      </c>
      <c r="J10" s="2">
        <f t="shared" si="2"/>
        <v>4.5112781954887212E-3</v>
      </c>
      <c r="K10" s="15">
        <f t="shared" si="3"/>
        <v>4.9122807017543861E-3</v>
      </c>
      <c r="M10" s="2">
        <v>50</v>
      </c>
      <c r="N10" s="2">
        <v>0.04</v>
      </c>
      <c r="O10" s="2">
        <f t="shared" si="4"/>
        <v>1.5037593984962405E-3</v>
      </c>
      <c r="P10" s="2">
        <v>50</v>
      </c>
      <c r="Q10" s="2">
        <v>7.4999999999999997E-2</v>
      </c>
      <c r="R10" s="2">
        <f t="shared" si="5"/>
        <v>2.819548872180451E-3</v>
      </c>
      <c r="S10" s="2">
        <v>50</v>
      </c>
      <c r="T10" s="2">
        <v>0.11799999999999999</v>
      </c>
      <c r="U10" s="2">
        <f t="shared" si="6"/>
        <v>4.4360902255639097E-3</v>
      </c>
      <c r="V10" s="15">
        <f t="shared" si="7"/>
        <v>2.9197994987468674E-3</v>
      </c>
      <c r="X10" s="2">
        <v>50</v>
      </c>
      <c r="Y10" s="2">
        <v>0</v>
      </c>
      <c r="Z10" s="2">
        <f t="shared" si="8"/>
        <v>0</v>
      </c>
      <c r="AA10" s="2">
        <v>50</v>
      </c>
      <c r="AB10" s="2">
        <v>0</v>
      </c>
      <c r="AC10" s="2">
        <f t="shared" si="9"/>
        <v>0</v>
      </c>
      <c r="AD10" s="2">
        <v>50</v>
      </c>
      <c r="AE10" s="2">
        <v>0</v>
      </c>
      <c r="AF10" s="2">
        <f t="shared" si="10"/>
        <v>0</v>
      </c>
      <c r="AG10" s="15">
        <f t="shared" si="11"/>
        <v>0</v>
      </c>
      <c r="AI10" s="2">
        <v>50</v>
      </c>
      <c r="AJ10" s="2">
        <v>0</v>
      </c>
      <c r="AK10" s="2">
        <f t="shared" si="12"/>
        <v>0</v>
      </c>
      <c r="AL10" s="2">
        <v>50</v>
      </c>
      <c r="AM10" s="2">
        <v>0</v>
      </c>
      <c r="AN10" s="2">
        <f t="shared" si="13"/>
        <v>0</v>
      </c>
      <c r="AO10" s="2">
        <v>50</v>
      </c>
      <c r="AP10" s="2">
        <v>0</v>
      </c>
      <c r="AQ10" s="2">
        <f t="shared" si="14"/>
        <v>0</v>
      </c>
      <c r="AR10" s="15">
        <f t="shared" si="15"/>
        <v>0</v>
      </c>
    </row>
    <row r="11" spans="1:44" x14ac:dyDescent="0.25">
      <c r="B11" s="2">
        <v>60</v>
      </c>
      <c r="C11" s="2">
        <v>0.112</v>
      </c>
      <c r="D11" s="2">
        <f t="shared" si="0"/>
        <v>4.2105263157894736E-3</v>
      </c>
      <c r="E11" s="2">
        <v>60</v>
      </c>
      <c r="F11" s="2">
        <v>0.17399999999999999</v>
      </c>
      <c r="G11" s="2">
        <f t="shared" si="1"/>
        <v>6.5413533834586457E-3</v>
      </c>
      <c r="H11" s="2">
        <v>60</v>
      </c>
      <c r="I11" s="2">
        <v>0.13</v>
      </c>
      <c r="J11" s="2">
        <f t="shared" si="2"/>
        <v>4.887218045112782E-3</v>
      </c>
      <c r="K11" s="15">
        <f t="shared" si="3"/>
        <v>5.2130325814536346E-3</v>
      </c>
      <c r="M11" s="2">
        <v>60</v>
      </c>
      <c r="N11" s="2">
        <v>4.2000000000000003E-2</v>
      </c>
      <c r="O11" s="2">
        <f t="shared" si="4"/>
        <v>1.5789473684210526E-3</v>
      </c>
      <c r="P11" s="2">
        <v>60</v>
      </c>
      <c r="Q11" s="2">
        <v>7.9000000000000001E-2</v>
      </c>
      <c r="R11" s="2">
        <f t="shared" si="5"/>
        <v>2.9699248120300752E-3</v>
      </c>
      <c r="S11" s="2">
        <v>60</v>
      </c>
      <c r="T11" s="2">
        <v>0.122</v>
      </c>
      <c r="U11" s="2">
        <f t="shared" si="6"/>
        <v>4.5864661654135335E-3</v>
      </c>
      <c r="V11" s="15">
        <f t="shared" si="7"/>
        <v>3.0451127819548871E-3</v>
      </c>
      <c r="X11" s="2">
        <v>60</v>
      </c>
      <c r="Y11" s="2">
        <v>0</v>
      </c>
      <c r="Z11" s="2">
        <f t="shared" si="8"/>
        <v>0</v>
      </c>
      <c r="AA11" s="2">
        <v>60</v>
      </c>
      <c r="AB11" s="2">
        <v>0</v>
      </c>
      <c r="AC11" s="2">
        <f t="shared" si="9"/>
        <v>0</v>
      </c>
      <c r="AD11" s="2">
        <v>60</v>
      </c>
      <c r="AE11" s="2">
        <v>0</v>
      </c>
      <c r="AF11" s="2">
        <f t="shared" si="10"/>
        <v>0</v>
      </c>
      <c r="AG11" s="15">
        <f t="shared" si="11"/>
        <v>0</v>
      </c>
      <c r="AI11" s="2">
        <v>60</v>
      </c>
      <c r="AJ11" s="2">
        <v>0</v>
      </c>
      <c r="AK11" s="2">
        <f t="shared" si="12"/>
        <v>0</v>
      </c>
      <c r="AL11" s="2">
        <v>60</v>
      </c>
      <c r="AM11" s="2">
        <v>0</v>
      </c>
      <c r="AN11" s="2">
        <f t="shared" si="13"/>
        <v>0</v>
      </c>
      <c r="AO11" s="2">
        <v>60</v>
      </c>
      <c r="AP11" s="2">
        <v>0</v>
      </c>
      <c r="AQ11" s="2">
        <f t="shared" si="14"/>
        <v>0</v>
      </c>
      <c r="AR11" s="15">
        <f t="shared" si="15"/>
        <v>0</v>
      </c>
    </row>
    <row r="12" spans="1:44" ht="60" x14ac:dyDescent="0.25">
      <c r="B12" s="17" t="s">
        <v>50</v>
      </c>
      <c r="C12" s="4"/>
      <c r="D12" s="4">
        <f>(((10*D11)/(1000))*(1000))</f>
        <v>4.2105263157894736E-2</v>
      </c>
      <c r="E12" s="1" t="s">
        <v>23</v>
      </c>
      <c r="F12" s="4"/>
      <c r="G12" s="4">
        <f>(((10*G11)/(1000))*(1000))</f>
        <v>6.5413533834586451E-2</v>
      </c>
      <c r="H12" s="1" t="s">
        <v>23</v>
      </c>
      <c r="I12" s="4"/>
      <c r="J12" s="4">
        <f>(((10*J11)/(1000))*(1000))</f>
        <v>4.8872180451127817E-2</v>
      </c>
      <c r="K12" s="4">
        <f>(((10*K11)/(1000))*(1000))</f>
        <v>5.2130325814536346E-2</v>
      </c>
      <c r="M12" s="1" t="s">
        <v>23</v>
      </c>
      <c r="N12" s="4"/>
      <c r="O12" s="4">
        <f>(((10*O11)/(1000))*(1000))</f>
        <v>1.5789473684210527E-2</v>
      </c>
      <c r="P12" s="1" t="s">
        <v>23</v>
      </c>
      <c r="Q12" s="4"/>
      <c r="R12" s="4">
        <f>(((10*R11)/(1000))*(1000))</f>
        <v>2.9699248120300753E-2</v>
      </c>
      <c r="S12" s="1" t="s">
        <v>23</v>
      </c>
      <c r="T12" s="4"/>
      <c r="U12" s="4">
        <f>(((10*U11)/(1000))*(1000))</f>
        <v>4.5864661654135337E-2</v>
      </c>
      <c r="V12" s="4">
        <f>(((10*V11)/(1000))*(1000))</f>
        <v>3.0451127819548871E-2</v>
      </c>
      <c r="X12" s="1" t="s">
        <v>23</v>
      </c>
      <c r="Y12" s="4"/>
      <c r="Z12" s="4">
        <f>(((10*Z11)/(1000))*(1000))</f>
        <v>0</v>
      </c>
      <c r="AA12" s="1" t="s">
        <v>23</v>
      </c>
      <c r="AB12" s="4"/>
      <c r="AC12" s="4">
        <f>(((10*AC11)/(1000))*(1000))</f>
        <v>0</v>
      </c>
      <c r="AD12" s="1" t="s">
        <v>23</v>
      </c>
      <c r="AE12" s="4"/>
      <c r="AF12" s="4">
        <f>(((10*AF11)/(1000))*(1000))</f>
        <v>0</v>
      </c>
      <c r="AG12" s="4">
        <f>(((10*AG11)/(1000))*(1000))</f>
        <v>0</v>
      </c>
      <c r="AI12" s="1" t="s">
        <v>23</v>
      </c>
      <c r="AJ12" s="4"/>
      <c r="AK12" s="4">
        <f>(((10*AK11)/(1000))*(1000))</f>
        <v>0</v>
      </c>
      <c r="AL12" s="1" t="s">
        <v>23</v>
      </c>
      <c r="AM12" s="4"/>
      <c r="AN12" s="4">
        <f>(((10*AN11)/(1000))*(1000))</f>
        <v>0</v>
      </c>
      <c r="AO12" s="1" t="s">
        <v>23</v>
      </c>
      <c r="AP12" s="4"/>
      <c r="AQ12" s="4">
        <f>(((10*AQ11)/(1000))*(1000))</f>
        <v>0</v>
      </c>
      <c r="AR12" s="4">
        <f>(((10*AR11)/(1000))*(1000))</f>
        <v>0</v>
      </c>
    </row>
    <row r="13" spans="1:44" ht="45" x14ac:dyDescent="0.25">
      <c r="B13" s="17" t="s">
        <v>51</v>
      </c>
      <c r="C13" s="8"/>
      <c r="D13" s="8">
        <f>((D12/0.085)*(100))</f>
        <v>49.535603715170275</v>
      </c>
      <c r="E13" s="8"/>
      <c r="F13" s="8"/>
      <c r="G13" s="8">
        <f>((G12/0.085)*(100))</f>
        <v>76.957098628925237</v>
      </c>
      <c r="H13" s="8"/>
      <c r="I13" s="8"/>
      <c r="J13" s="8">
        <f>((J12/0.085)*(100))</f>
        <v>57.496682883679782</v>
      </c>
      <c r="K13" s="8">
        <f>((K12/0.085)*(100))</f>
        <v>61.329795075925105</v>
      </c>
      <c r="M13" s="17" t="s">
        <v>51</v>
      </c>
      <c r="N13" s="8"/>
      <c r="O13" s="8">
        <f>((O12/0.085)*(100))</f>
        <v>18.575851393188852</v>
      </c>
      <c r="P13" s="8"/>
      <c r="Q13" s="8"/>
      <c r="R13" s="8">
        <f>((R12/0.085)*(100))</f>
        <v>34.940291906236176</v>
      </c>
      <c r="S13" s="8"/>
      <c r="T13" s="8"/>
      <c r="U13" s="8">
        <f>((U12/0.085)*(100))</f>
        <v>53.958425475453332</v>
      </c>
      <c r="V13" s="8">
        <f>((V12/0.085)*(100))</f>
        <v>35.824856258292783</v>
      </c>
      <c r="X13" s="17" t="s">
        <v>51</v>
      </c>
      <c r="Y13" s="8"/>
      <c r="Z13" s="8">
        <f>((Z12/0.085)*(100))</f>
        <v>0</v>
      </c>
      <c r="AA13" s="8"/>
      <c r="AB13" s="8"/>
      <c r="AC13" s="8">
        <f>((AC12/0.085)*(100))</f>
        <v>0</v>
      </c>
      <c r="AD13" s="8"/>
      <c r="AE13" s="8"/>
      <c r="AF13" s="8">
        <f>((AF12/0.085)*(100))</f>
        <v>0</v>
      </c>
      <c r="AG13" s="8">
        <f>((AG12/0.085)*(100))</f>
        <v>0</v>
      </c>
      <c r="AI13" s="17" t="s">
        <v>51</v>
      </c>
      <c r="AJ13" s="8"/>
      <c r="AK13" s="8">
        <f>((AK12/0.085)*(100))</f>
        <v>0</v>
      </c>
      <c r="AL13" s="8"/>
      <c r="AM13" s="8"/>
      <c r="AN13" s="8">
        <f>((AN12/0.085)*(100))</f>
        <v>0</v>
      </c>
      <c r="AO13" s="8"/>
      <c r="AP13" s="8"/>
      <c r="AQ13" s="8">
        <f>((AQ12/0.085)*(100))</f>
        <v>0</v>
      </c>
      <c r="AR13" s="8">
        <f>((AR12/0.085)*(100))</f>
        <v>0</v>
      </c>
    </row>
    <row r="14" spans="1:44" x14ac:dyDescent="0.25">
      <c r="K14" s="3"/>
      <c r="L14" s="3"/>
      <c r="M14" s="3"/>
    </row>
    <row r="15" spans="1:44" x14ac:dyDescent="0.25">
      <c r="K15" s="7"/>
      <c r="L15" s="7"/>
      <c r="M15" s="7"/>
    </row>
    <row r="16" spans="1:44" x14ac:dyDescent="0.25">
      <c r="A16" t="s">
        <v>26</v>
      </c>
      <c r="K16" s="6"/>
      <c r="L16" s="6"/>
      <c r="M16" s="6"/>
    </row>
    <row r="17" spans="1:13" x14ac:dyDescent="0.25">
      <c r="K17" s="6"/>
      <c r="L17" s="6"/>
      <c r="M17" s="6"/>
    </row>
    <row r="18" spans="1:13" x14ac:dyDescent="0.25">
      <c r="A18" t="s">
        <v>27</v>
      </c>
      <c r="K18" s="6"/>
      <c r="L18" s="6"/>
      <c r="M18" s="6"/>
    </row>
    <row r="19" spans="1:13" x14ac:dyDescent="0.25">
      <c r="A19" t="s">
        <v>28</v>
      </c>
      <c r="K19" s="6"/>
      <c r="L19" s="6"/>
      <c r="M19" s="6"/>
    </row>
    <row r="20" spans="1:13" x14ac:dyDescent="0.25">
      <c r="A20" t="s">
        <v>29</v>
      </c>
      <c r="K20" s="6"/>
      <c r="L20" s="6"/>
      <c r="M20" s="6"/>
    </row>
    <row r="21" spans="1:13" x14ac:dyDescent="0.25">
      <c r="A21" t="s">
        <v>30</v>
      </c>
      <c r="K21" s="6"/>
      <c r="L21" s="6"/>
      <c r="M21" s="6"/>
    </row>
    <row r="22" spans="1:13" x14ac:dyDescent="0.25">
      <c r="A22" t="s">
        <v>31</v>
      </c>
    </row>
    <row r="33" spans="1:1" x14ac:dyDescent="0.25">
      <c r="A33" s="3" t="s">
        <v>24</v>
      </c>
    </row>
  </sheetData>
  <mergeCells count="16">
    <mergeCell ref="AO4:AQ4"/>
    <mergeCell ref="B3:K3"/>
    <mergeCell ref="M3:V3"/>
    <mergeCell ref="X3:AG3"/>
    <mergeCell ref="AI3:AR3"/>
    <mergeCell ref="B4:D4"/>
    <mergeCell ref="E4:G4"/>
    <mergeCell ref="H4:J4"/>
    <mergeCell ref="M4:O4"/>
    <mergeCell ref="P4:R4"/>
    <mergeCell ref="S4:U4"/>
    <mergeCell ref="X4:Z4"/>
    <mergeCell ref="AA4:AC4"/>
    <mergeCell ref="AD4:AF4"/>
    <mergeCell ref="AI4:AK4"/>
    <mergeCell ref="AL4:AN4"/>
  </mergeCells>
  <pageMargins left="0.7" right="0.7" top="0.75" bottom="0.75" header="0.3" footer="0.3"/>
  <pageSetup orientation="portrait" horizontalDpi="360" verticalDpi="36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83"/>
  <sheetViews>
    <sheetView workbookViewId="0">
      <selection activeCell="F151" sqref="F151"/>
    </sheetView>
  </sheetViews>
  <sheetFormatPr baseColWidth="10" defaultRowHeight="15" x14ac:dyDescent="0.25"/>
  <cols>
    <col min="1" max="2" width="12.85546875" customWidth="1"/>
    <col min="3" max="3" width="13.42578125" customWidth="1"/>
    <col min="5" max="5" width="13.28515625" customWidth="1"/>
    <col min="6" max="6" width="16.140625" customWidth="1"/>
  </cols>
  <sheetData>
    <row r="1" spans="1:8" x14ac:dyDescent="0.25">
      <c r="A1" s="10" t="s">
        <v>73</v>
      </c>
      <c r="B1" s="10" t="s">
        <v>76</v>
      </c>
      <c r="C1" s="10" t="s">
        <v>36</v>
      </c>
      <c r="D1" s="11" t="s">
        <v>35</v>
      </c>
      <c r="E1" s="11" t="s">
        <v>37</v>
      </c>
      <c r="F1" s="10" t="s">
        <v>53</v>
      </c>
      <c r="G1" s="10" t="s">
        <v>54</v>
      </c>
      <c r="H1" s="10" t="s">
        <v>55</v>
      </c>
    </row>
    <row r="2" spans="1:8" x14ac:dyDescent="0.25">
      <c r="A2" s="10" t="s">
        <v>74</v>
      </c>
      <c r="B2" s="19">
        <v>25</v>
      </c>
      <c r="C2" s="19">
        <v>0</v>
      </c>
      <c r="D2" s="20">
        <v>10</v>
      </c>
      <c r="E2" s="22">
        <v>5.0751879699248124E-3</v>
      </c>
      <c r="F2" s="23" t="s">
        <v>52</v>
      </c>
      <c r="G2" s="23" t="s">
        <v>52</v>
      </c>
      <c r="H2" s="23" t="s">
        <v>52</v>
      </c>
    </row>
    <row r="3" spans="1:8" x14ac:dyDescent="0.25">
      <c r="A3" s="10" t="s">
        <v>74</v>
      </c>
      <c r="B3" s="19">
        <v>25</v>
      </c>
      <c r="C3" s="19">
        <v>0</v>
      </c>
      <c r="D3" s="20">
        <v>20</v>
      </c>
      <c r="E3" s="22">
        <v>5.7518796992481191E-3</v>
      </c>
      <c r="F3" s="23" t="s">
        <v>52</v>
      </c>
      <c r="G3" s="23" t="s">
        <v>52</v>
      </c>
      <c r="H3" s="23" t="s">
        <v>52</v>
      </c>
    </row>
    <row r="4" spans="1:8" x14ac:dyDescent="0.25">
      <c r="A4" s="10" t="s">
        <v>74</v>
      </c>
      <c r="B4" s="19">
        <v>25</v>
      </c>
      <c r="C4" s="19">
        <v>0</v>
      </c>
      <c r="D4" s="20">
        <v>30</v>
      </c>
      <c r="E4" s="22">
        <v>6.4411027568922301E-3</v>
      </c>
      <c r="F4" s="23" t="s">
        <v>52</v>
      </c>
      <c r="G4" s="23" t="s">
        <v>52</v>
      </c>
      <c r="H4" s="23" t="s">
        <v>52</v>
      </c>
    </row>
    <row r="5" spans="1:8" x14ac:dyDescent="0.25">
      <c r="A5" s="10" t="s">
        <v>74</v>
      </c>
      <c r="B5" s="19">
        <v>25</v>
      </c>
      <c r="C5" s="19">
        <v>0</v>
      </c>
      <c r="D5" s="20">
        <v>40</v>
      </c>
      <c r="E5" s="22">
        <v>7.1679197994987467E-3</v>
      </c>
      <c r="F5" s="23" t="s">
        <v>52</v>
      </c>
      <c r="G5" s="23" t="s">
        <v>52</v>
      </c>
      <c r="H5" s="23" t="s">
        <v>52</v>
      </c>
    </row>
    <row r="6" spans="1:8" x14ac:dyDescent="0.25">
      <c r="A6" s="10" t="s">
        <v>74</v>
      </c>
      <c r="B6" s="19">
        <v>25</v>
      </c>
      <c r="C6" s="19">
        <v>0</v>
      </c>
      <c r="D6" s="20">
        <v>50</v>
      </c>
      <c r="E6" s="22">
        <v>7.8320802005012527E-3</v>
      </c>
      <c r="F6" s="23" t="s">
        <v>52</v>
      </c>
      <c r="G6" s="23" t="s">
        <v>52</v>
      </c>
      <c r="H6" s="23" t="s">
        <v>52</v>
      </c>
    </row>
    <row r="7" spans="1:8" x14ac:dyDescent="0.25">
      <c r="A7" s="10" t="s">
        <v>74</v>
      </c>
      <c r="B7" s="19">
        <v>25</v>
      </c>
      <c r="C7" s="19">
        <v>0</v>
      </c>
      <c r="D7" s="20">
        <v>60</v>
      </c>
      <c r="E7" s="22">
        <v>8.5338345864661644E-3</v>
      </c>
      <c r="F7">
        <v>6.9999999999999994E-5</v>
      </c>
      <c r="G7" s="26">
        <f>10*F7*4</f>
        <v>2.7999999999999995E-3</v>
      </c>
      <c r="H7" s="23" t="s">
        <v>52</v>
      </c>
    </row>
    <row r="8" spans="1:8" x14ac:dyDescent="0.25">
      <c r="A8" s="10" t="s">
        <v>74</v>
      </c>
      <c r="B8" s="21">
        <v>70</v>
      </c>
      <c r="C8" s="21">
        <v>60</v>
      </c>
      <c r="D8" s="21">
        <v>10</v>
      </c>
      <c r="E8" s="24">
        <v>2.0050125313283208E-3</v>
      </c>
      <c r="F8" s="23" t="s">
        <v>52</v>
      </c>
      <c r="G8" s="23" t="s">
        <v>52</v>
      </c>
      <c r="H8" s="23" t="s">
        <v>52</v>
      </c>
    </row>
    <row r="9" spans="1:8" x14ac:dyDescent="0.25">
      <c r="A9" s="10" t="s">
        <v>74</v>
      </c>
      <c r="B9" s="21">
        <v>70</v>
      </c>
      <c r="C9" s="21">
        <v>60</v>
      </c>
      <c r="D9" s="21">
        <v>20</v>
      </c>
      <c r="E9" s="24">
        <v>2.0426065162907265E-3</v>
      </c>
      <c r="F9" s="23" t="s">
        <v>52</v>
      </c>
      <c r="G9" s="23" t="s">
        <v>52</v>
      </c>
      <c r="H9" s="23" t="s">
        <v>52</v>
      </c>
    </row>
    <row r="10" spans="1:8" x14ac:dyDescent="0.25">
      <c r="A10" s="10" t="s">
        <v>74</v>
      </c>
      <c r="B10" s="21">
        <v>70</v>
      </c>
      <c r="C10" s="21">
        <v>60</v>
      </c>
      <c r="D10" s="21">
        <v>30</v>
      </c>
      <c r="E10" s="24">
        <v>2.1177944862155389E-3</v>
      </c>
      <c r="F10" s="23" t="s">
        <v>52</v>
      </c>
      <c r="G10" s="23" t="s">
        <v>52</v>
      </c>
      <c r="H10" s="23" t="s">
        <v>52</v>
      </c>
    </row>
    <row r="11" spans="1:8" x14ac:dyDescent="0.25">
      <c r="A11" s="10" t="s">
        <v>74</v>
      </c>
      <c r="B11" s="21">
        <v>70</v>
      </c>
      <c r="C11" s="21">
        <v>60</v>
      </c>
      <c r="D11" s="21">
        <v>40</v>
      </c>
      <c r="E11" s="24">
        <v>2.2180451127819549E-3</v>
      </c>
      <c r="F11" s="23" t="s">
        <v>52</v>
      </c>
      <c r="G11" s="23" t="s">
        <v>52</v>
      </c>
      <c r="H11" s="23" t="s">
        <v>52</v>
      </c>
    </row>
    <row r="12" spans="1:8" x14ac:dyDescent="0.25">
      <c r="A12" s="10" t="s">
        <v>74</v>
      </c>
      <c r="B12" s="21">
        <v>70</v>
      </c>
      <c r="C12" s="21">
        <v>60</v>
      </c>
      <c r="D12" s="21">
        <v>50</v>
      </c>
      <c r="E12" s="24">
        <v>2.3057644110275688E-3</v>
      </c>
      <c r="F12" s="23" t="s">
        <v>52</v>
      </c>
      <c r="G12" s="23" t="s">
        <v>52</v>
      </c>
      <c r="H12" s="23" t="s">
        <v>52</v>
      </c>
    </row>
    <row r="13" spans="1:8" x14ac:dyDescent="0.25">
      <c r="A13" s="10" t="s">
        <v>74</v>
      </c>
      <c r="B13" s="21">
        <v>70</v>
      </c>
      <c r="C13" s="21">
        <v>60</v>
      </c>
      <c r="D13" s="21">
        <v>60</v>
      </c>
      <c r="E13" s="24">
        <v>2.4060150375939848E-3</v>
      </c>
      <c r="F13" s="25">
        <v>7.9999999999999996E-6</v>
      </c>
      <c r="G13">
        <f>10*F13*4</f>
        <v>3.1999999999999997E-4</v>
      </c>
      <c r="H13">
        <f>((G13/$G$7)*(100))</f>
        <v>11.428571428571429</v>
      </c>
    </row>
    <row r="14" spans="1:8" x14ac:dyDescent="0.25">
      <c r="A14" s="10" t="s">
        <v>74</v>
      </c>
      <c r="B14" s="21">
        <v>70</v>
      </c>
      <c r="C14" s="21">
        <v>120</v>
      </c>
      <c r="D14" s="21">
        <v>10</v>
      </c>
      <c r="E14" s="24">
        <v>1.1654135338345865E-3</v>
      </c>
      <c r="F14" s="23" t="s">
        <v>52</v>
      </c>
      <c r="G14" s="23" t="s">
        <v>52</v>
      </c>
      <c r="H14" s="23" t="s">
        <v>52</v>
      </c>
    </row>
    <row r="15" spans="1:8" x14ac:dyDescent="0.25">
      <c r="A15" s="10" t="s">
        <v>74</v>
      </c>
      <c r="B15" s="21">
        <v>70</v>
      </c>
      <c r="C15" s="21">
        <v>120</v>
      </c>
      <c r="D15" s="21">
        <v>20</v>
      </c>
      <c r="E15" s="24">
        <v>1.2155388471177945E-3</v>
      </c>
      <c r="F15" s="23" t="s">
        <v>52</v>
      </c>
      <c r="G15" s="23" t="s">
        <v>52</v>
      </c>
      <c r="H15" s="23" t="s">
        <v>52</v>
      </c>
    </row>
    <row r="16" spans="1:8" x14ac:dyDescent="0.25">
      <c r="A16" s="10" t="s">
        <v>74</v>
      </c>
      <c r="B16" s="21">
        <v>70</v>
      </c>
      <c r="C16" s="21">
        <v>120</v>
      </c>
      <c r="D16" s="21">
        <v>30</v>
      </c>
      <c r="E16" s="24">
        <v>1.2907268170426064E-3</v>
      </c>
      <c r="F16" s="23" t="s">
        <v>52</v>
      </c>
      <c r="G16" s="23" t="s">
        <v>52</v>
      </c>
      <c r="H16" s="23" t="s">
        <v>52</v>
      </c>
    </row>
    <row r="17" spans="1:8" x14ac:dyDescent="0.25">
      <c r="A17" s="10" t="s">
        <v>74</v>
      </c>
      <c r="B17" s="21">
        <v>70</v>
      </c>
      <c r="C17" s="21">
        <v>120</v>
      </c>
      <c r="D17" s="21">
        <v>40</v>
      </c>
      <c r="E17" s="24">
        <v>1.3909774436090226E-3</v>
      </c>
      <c r="F17" s="23" t="s">
        <v>52</v>
      </c>
      <c r="G17" s="23" t="s">
        <v>52</v>
      </c>
      <c r="H17" s="23" t="s">
        <v>52</v>
      </c>
    </row>
    <row r="18" spans="1:8" x14ac:dyDescent="0.25">
      <c r="A18" s="10" t="s">
        <v>74</v>
      </c>
      <c r="B18" s="21">
        <v>70</v>
      </c>
      <c r="C18" s="21">
        <v>120</v>
      </c>
      <c r="D18" s="21">
        <v>50</v>
      </c>
      <c r="E18" s="24">
        <v>1.5037593984962405E-3</v>
      </c>
      <c r="F18" s="23" t="s">
        <v>52</v>
      </c>
      <c r="G18" s="23" t="s">
        <v>52</v>
      </c>
      <c r="H18" s="23" t="s">
        <v>52</v>
      </c>
    </row>
    <row r="19" spans="1:8" x14ac:dyDescent="0.25">
      <c r="A19" s="10" t="s">
        <v>74</v>
      </c>
      <c r="B19" s="21">
        <v>70</v>
      </c>
      <c r="C19" s="21">
        <v>120</v>
      </c>
      <c r="D19" s="21">
        <v>60</v>
      </c>
      <c r="E19" s="24">
        <v>1.5914786967418547E-3</v>
      </c>
      <c r="F19" s="25">
        <v>9.0000000000000002E-6</v>
      </c>
      <c r="G19">
        <f>10*F19*4</f>
        <v>3.6000000000000002E-4</v>
      </c>
      <c r="H19">
        <f>((G19/$G$7)*(100))</f>
        <v>12.857142857142861</v>
      </c>
    </row>
    <row r="20" spans="1:8" x14ac:dyDescent="0.25">
      <c r="A20" s="10" t="s">
        <v>74</v>
      </c>
      <c r="B20" s="21">
        <v>70</v>
      </c>
      <c r="C20" s="21">
        <v>180</v>
      </c>
      <c r="D20" s="21">
        <v>10</v>
      </c>
      <c r="E20" s="24">
        <v>2.1553884711779446E-3</v>
      </c>
      <c r="F20" s="23" t="s">
        <v>52</v>
      </c>
      <c r="G20" s="23" t="s">
        <v>52</v>
      </c>
      <c r="H20" s="23" t="s">
        <v>52</v>
      </c>
    </row>
    <row r="21" spans="1:8" x14ac:dyDescent="0.25">
      <c r="A21" s="10" t="s">
        <v>74</v>
      </c>
      <c r="B21" s="21">
        <v>70</v>
      </c>
      <c r="C21" s="21">
        <v>180</v>
      </c>
      <c r="D21" s="21">
        <v>20</v>
      </c>
      <c r="E21" s="24">
        <v>2.2305764411027569E-3</v>
      </c>
      <c r="F21" s="23" t="s">
        <v>52</v>
      </c>
      <c r="G21" s="23" t="s">
        <v>52</v>
      </c>
      <c r="H21" s="23" t="s">
        <v>52</v>
      </c>
    </row>
    <row r="22" spans="1:8" x14ac:dyDescent="0.25">
      <c r="A22" s="10" t="s">
        <v>74</v>
      </c>
      <c r="B22" s="21">
        <v>70</v>
      </c>
      <c r="C22" s="21">
        <v>180</v>
      </c>
      <c r="D22" s="21">
        <v>30</v>
      </c>
      <c r="E22" s="24">
        <v>2.3558897243107766E-3</v>
      </c>
      <c r="F22" s="23" t="s">
        <v>52</v>
      </c>
      <c r="G22" s="23" t="s">
        <v>52</v>
      </c>
      <c r="H22" s="23" t="s">
        <v>52</v>
      </c>
    </row>
    <row r="23" spans="1:8" x14ac:dyDescent="0.25">
      <c r="A23" s="10" t="s">
        <v>74</v>
      </c>
      <c r="B23" s="21">
        <v>70</v>
      </c>
      <c r="C23" s="21">
        <v>180</v>
      </c>
      <c r="D23" s="21">
        <v>40</v>
      </c>
      <c r="E23" s="24">
        <v>2.4812030075187963E-3</v>
      </c>
      <c r="F23" s="23" t="s">
        <v>52</v>
      </c>
      <c r="G23" s="23" t="s">
        <v>52</v>
      </c>
      <c r="H23" s="23" t="s">
        <v>52</v>
      </c>
    </row>
    <row r="24" spans="1:8" x14ac:dyDescent="0.25">
      <c r="A24" s="10" t="s">
        <v>74</v>
      </c>
      <c r="B24" s="21">
        <v>70</v>
      </c>
      <c r="C24" s="21">
        <v>180</v>
      </c>
      <c r="D24" s="21">
        <v>50</v>
      </c>
      <c r="E24" s="24">
        <v>2.6566416040100251E-3</v>
      </c>
      <c r="F24" s="23" t="s">
        <v>52</v>
      </c>
      <c r="G24" s="23" t="s">
        <v>52</v>
      </c>
      <c r="H24" s="23" t="s">
        <v>52</v>
      </c>
    </row>
    <row r="25" spans="1:8" x14ac:dyDescent="0.25">
      <c r="A25" s="10" t="s">
        <v>74</v>
      </c>
      <c r="B25" s="21">
        <v>70</v>
      </c>
      <c r="C25" s="21">
        <v>180</v>
      </c>
      <c r="D25" s="21">
        <v>60</v>
      </c>
      <c r="E25" s="24">
        <v>2.8571428571428567E-3</v>
      </c>
      <c r="F25" s="24">
        <v>1.0000000000000001E-5</v>
      </c>
      <c r="G25">
        <f>10*F25*4</f>
        <v>4.0000000000000002E-4</v>
      </c>
      <c r="H25">
        <f>((G25/$G$7)*(100))</f>
        <v>14.285714285714288</v>
      </c>
    </row>
    <row r="26" spans="1:8" x14ac:dyDescent="0.25">
      <c r="A26" s="10" t="s">
        <v>74</v>
      </c>
      <c r="B26" s="21">
        <v>70</v>
      </c>
      <c r="C26" s="21">
        <v>240</v>
      </c>
      <c r="D26" s="21">
        <v>10</v>
      </c>
      <c r="E26" s="24">
        <v>2.4937343358395988E-3</v>
      </c>
      <c r="F26" s="23" t="s">
        <v>52</v>
      </c>
      <c r="G26" s="23" t="s">
        <v>52</v>
      </c>
      <c r="H26" s="23" t="s">
        <v>52</v>
      </c>
    </row>
    <row r="27" spans="1:8" x14ac:dyDescent="0.25">
      <c r="A27" s="10" t="s">
        <v>74</v>
      </c>
      <c r="B27" s="21">
        <v>70</v>
      </c>
      <c r="C27" s="21">
        <v>240</v>
      </c>
      <c r="D27" s="21">
        <v>20</v>
      </c>
      <c r="E27" s="24">
        <v>2.5438596491228066E-3</v>
      </c>
      <c r="F27" s="23" t="s">
        <v>52</v>
      </c>
      <c r="G27" s="23" t="s">
        <v>52</v>
      </c>
      <c r="H27" s="23" t="s">
        <v>52</v>
      </c>
    </row>
    <row r="28" spans="1:8" x14ac:dyDescent="0.25">
      <c r="A28" s="10" t="s">
        <v>74</v>
      </c>
      <c r="B28" s="21">
        <v>70</v>
      </c>
      <c r="C28" s="21">
        <v>240</v>
      </c>
      <c r="D28" s="21">
        <v>30</v>
      </c>
      <c r="E28" s="24">
        <v>2.5689223057644111E-3</v>
      </c>
      <c r="F28" s="23" t="s">
        <v>52</v>
      </c>
      <c r="G28" s="23" t="s">
        <v>52</v>
      </c>
      <c r="H28" s="23" t="s">
        <v>52</v>
      </c>
    </row>
    <row r="29" spans="1:8" x14ac:dyDescent="0.25">
      <c r="A29" s="10" t="s">
        <v>74</v>
      </c>
      <c r="B29" s="21">
        <v>70</v>
      </c>
      <c r="C29" s="21">
        <v>240</v>
      </c>
      <c r="D29" s="21">
        <v>40</v>
      </c>
      <c r="E29" s="24">
        <v>2.6817042606516288E-3</v>
      </c>
      <c r="F29" s="23" t="s">
        <v>52</v>
      </c>
      <c r="G29" s="23" t="s">
        <v>52</v>
      </c>
      <c r="H29" s="23" t="s">
        <v>52</v>
      </c>
    </row>
    <row r="30" spans="1:8" x14ac:dyDescent="0.25">
      <c r="A30" s="10" t="s">
        <v>74</v>
      </c>
      <c r="B30" s="21">
        <v>70</v>
      </c>
      <c r="C30" s="21">
        <v>240</v>
      </c>
      <c r="D30" s="21">
        <v>50</v>
      </c>
      <c r="E30" s="24">
        <v>2.8070175438596489E-3</v>
      </c>
      <c r="F30" s="23" t="s">
        <v>52</v>
      </c>
      <c r="G30" s="23" t="s">
        <v>52</v>
      </c>
      <c r="H30" s="23" t="s">
        <v>52</v>
      </c>
    </row>
    <row r="31" spans="1:8" x14ac:dyDescent="0.25">
      <c r="A31" s="10" t="s">
        <v>74</v>
      </c>
      <c r="B31" s="21">
        <v>70</v>
      </c>
      <c r="C31" s="21">
        <v>240</v>
      </c>
      <c r="D31" s="21">
        <v>60</v>
      </c>
      <c r="E31" s="24">
        <v>2.9448621553884711E-3</v>
      </c>
      <c r="F31" s="25">
        <v>9.0000000000000002E-6</v>
      </c>
      <c r="G31">
        <f>10*F31*4</f>
        <v>3.6000000000000002E-4</v>
      </c>
      <c r="H31">
        <f>((G31/$G$7)*(100))</f>
        <v>12.857142857142861</v>
      </c>
    </row>
    <row r="32" spans="1:8" x14ac:dyDescent="0.25">
      <c r="A32" s="10" t="s">
        <v>74</v>
      </c>
      <c r="B32" s="21">
        <v>70</v>
      </c>
      <c r="C32" s="21">
        <v>300</v>
      </c>
      <c r="D32" s="21">
        <v>10</v>
      </c>
      <c r="E32" s="24">
        <v>2.5187969924812029E-3</v>
      </c>
      <c r="F32" s="23" t="s">
        <v>52</v>
      </c>
      <c r="G32" s="23" t="s">
        <v>52</v>
      </c>
      <c r="H32" s="23" t="s">
        <v>52</v>
      </c>
    </row>
    <row r="33" spans="1:8" x14ac:dyDescent="0.25">
      <c r="A33" s="10" t="s">
        <v>74</v>
      </c>
      <c r="B33" s="21">
        <v>70</v>
      </c>
      <c r="C33" s="21">
        <v>300</v>
      </c>
      <c r="D33" s="21">
        <v>20</v>
      </c>
      <c r="E33" s="24">
        <v>2.6817042606516288E-3</v>
      </c>
      <c r="F33" s="23" t="s">
        <v>52</v>
      </c>
      <c r="G33" s="23" t="s">
        <v>52</v>
      </c>
      <c r="H33" s="23" t="s">
        <v>52</v>
      </c>
    </row>
    <row r="34" spans="1:8" x14ac:dyDescent="0.25">
      <c r="A34" s="10" t="s">
        <v>74</v>
      </c>
      <c r="B34" s="21">
        <v>70</v>
      </c>
      <c r="C34" s="21">
        <v>300</v>
      </c>
      <c r="D34" s="21">
        <v>30</v>
      </c>
      <c r="E34" s="24">
        <v>2.8947368421052629E-3</v>
      </c>
      <c r="F34" s="23" t="s">
        <v>52</v>
      </c>
      <c r="G34" s="23" t="s">
        <v>52</v>
      </c>
      <c r="H34" s="23" t="s">
        <v>52</v>
      </c>
    </row>
    <row r="35" spans="1:8" x14ac:dyDescent="0.25">
      <c r="A35" s="10" t="s">
        <v>74</v>
      </c>
      <c r="B35" s="21">
        <v>70</v>
      </c>
      <c r="C35" s="21">
        <v>300</v>
      </c>
      <c r="D35" s="21">
        <v>40</v>
      </c>
      <c r="E35" s="24">
        <v>3.1328320802005011E-3</v>
      </c>
      <c r="F35" s="23" t="s">
        <v>52</v>
      </c>
      <c r="G35" s="23" t="s">
        <v>52</v>
      </c>
      <c r="H35" s="23" t="s">
        <v>52</v>
      </c>
    </row>
    <row r="36" spans="1:8" x14ac:dyDescent="0.25">
      <c r="A36" s="10" t="s">
        <v>74</v>
      </c>
      <c r="B36" s="21">
        <v>70</v>
      </c>
      <c r="C36" s="21">
        <v>300</v>
      </c>
      <c r="D36" s="21">
        <v>50</v>
      </c>
      <c r="E36" s="24">
        <v>3.3458646616541352E-3</v>
      </c>
      <c r="F36" s="23" t="s">
        <v>52</v>
      </c>
      <c r="G36" s="23" t="s">
        <v>52</v>
      </c>
      <c r="H36" s="23" t="s">
        <v>52</v>
      </c>
    </row>
    <row r="37" spans="1:8" x14ac:dyDescent="0.25">
      <c r="A37" s="10" t="s">
        <v>74</v>
      </c>
      <c r="B37" s="21">
        <v>70</v>
      </c>
      <c r="C37" s="21">
        <v>300</v>
      </c>
      <c r="D37" s="21">
        <v>60</v>
      </c>
      <c r="E37" s="24">
        <v>3.5588972431077688E-3</v>
      </c>
      <c r="F37" s="24">
        <v>2.0000000000000002E-5</v>
      </c>
      <c r="G37">
        <f>10*F37*4</f>
        <v>8.0000000000000004E-4</v>
      </c>
      <c r="H37">
        <f>((G37/$G$7)*(100))</f>
        <v>28.571428571428577</v>
      </c>
    </row>
    <row r="38" spans="1:8" x14ac:dyDescent="0.25">
      <c r="A38" s="10" t="s">
        <v>74</v>
      </c>
      <c r="B38" s="21">
        <v>70</v>
      </c>
      <c r="C38" s="21">
        <v>360</v>
      </c>
      <c r="D38" s="21">
        <v>10</v>
      </c>
      <c r="E38" s="24">
        <v>1.7919799498746867E-3</v>
      </c>
      <c r="F38" s="23" t="s">
        <v>52</v>
      </c>
      <c r="G38" s="23" t="s">
        <v>52</v>
      </c>
      <c r="H38" s="23" t="s">
        <v>52</v>
      </c>
    </row>
    <row r="39" spans="1:8" x14ac:dyDescent="0.25">
      <c r="A39" s="10" t="s">
        <v>74</v>
      </c>
      <c r="B39" s="21">
        <v>70</v>
      </c>
      <c r="C39" s="21">
        <v>360</v>
      </c>
      <c r="D39" s="21">
        <v>20</v>
      </c>
      <c r="E39" s="24">
        <v>1.9423558897243105E-3</v>
      </c>
      <c r="F39" s="23" t="s">
        <v>52</v>
      </c>
      <c r="G39" s="23" t="s">
        <v>52</v>
      </c>
      <c r="H39" s="23" t="s">
        <v>52</v>
      </c>
    </row>
    <row r="40" spans="1:8" x14ac:dyDescent="0.25">
      <c r="A40" s="10" t="s">
        <v>74</v>
      </c>
      <c r="B40" s="21">
        <v>70</v>
      </c>
      <c r="C40" s="21">
        <v>360</v>
      </c>
      <c r="D40" s="21">
        <v>30</v>
      </c>
      <c r="E40" s="24">
        <v>2.1177944862155389E-3</v>
      </c>
      <c r="F40" s="23" t="s">
        <v>52</v>
      </c>
      <c r="G40" s="23" t="s">
        <v>52</v>
      </c>
      <c r="H40" s="23" t="s">
        <v>52</v>
      </c>
    </row>
    <row r="41" spans="1:8" x14ac:dyDescent="0.25">
      <c r="A41" s="10" t="s">
        <v>74</v>
      </c>
      <c r="B41" s="21">
        <v>70</v>
      </c>
      <c r="C41" s="21">
        <v>360</v>
      </c>
      <c r="D41" s="21">
        <v>40</v>
      </c>
      <c r="E41" s="24">
        <v>2.3057644110275693E-3</v>
      </c>
      <c r="F41" s="23" t="s">
        <v>52</v>
      </c>
      <c r="G41" s="23" t="s">
        <v>52</v>
      </c>
      <c r="H41" s="23" t="s">
        <v>52</v>
      </c>
    </row>
    <row r="42" spans="1:8" x14ac:dyDescent="0.25">
      <c r="A42" s="10" t="s">
        <v>74</v>
      </c>
      <c r="B42" s="21">
        <v>70</v>
      </c>
      <c r="C42" s="21">
        <v>360</v>
      </c>
      <c r="D42" s="21">
        <v>50</v>
      </c>
      <c r="E42" s="24">
        <v>2.4812030075187968E-3</v>
      </c>
      <c r="F42" s="23" t="s">
        <v>52</v>
      </c>
      <c r="G42" s="23" t="s">
        <v>52</v>
      </c>
      <c r="H42" s="23" t="s">
        <v>52</v>
      </c>
    </row>
    <row r="43" spans="1:8" x14ac:dyDescent="0.25">
      <c r="A43" s="10" t="s">
        <v>74</v>
      </c>
      <c r="B43" s="21">
        <v>70</v>
      </c>
      <c r="C43" s="21">
        <v>360</v>
      </c>
      <c r="D43" s="21">
        <v>60</v>
      </c>
      <c r="E43" s="24">
        <v>2.6065162907268173E-3</v>
      </c>
      <c r="F43" s="24">
        <v>2.0000000000000002E-5</v>
      </c>
      <c r="G43">
        <f>10*F43*4</f>
        <v>8.0000000000000004E-4</v>
      </c>
      <c r="H43">
        <f>((G43/$G$7)*(100))</f>
        <v>28.571428571428577</v>
      </c>
    </row>
    <row r="44" spans="1:8" x14ac:dyDescent="0.25">
      <c r="A44" s="10" t="s">
        <v>74</v>
      </c>
      <c r="B44" s="21">
        <v>75</v>
      </c>
      <c r="C44" s="21">
        <v>60</v>
      </c>
      <c r="D44" s="21">
        <v>10</v>
      </c>
      <c r="E44" s="24">
        <v>1.6666666666666663E-3</v>
      </c>
      <c r="F44" s="23" t="s">
        <v>52</v>
      </c>
      <c r="G44" s="23" t="s">
        <v>52</v>
      </c>
      <c r="H44" s="23" t="s">
        <v>52</v>
      </c>
    </row>
    <row r="45" spans="1:8" x14ac:dyDescent="0.25">
      <c r="A45" s="10" t="s">
        <v>74</v>
      </c>
      <c r="B45" s="21">
        <v>75</v>
      </c>
      <c r="C45" s="21">
        <v>60</v>
      </c>
      <c r="D45" s="21">
        <v>20</v>
      </c>
      <c r="E45" s="24">
        <v>1.9047619047619045E-3</v>
      </c>
      <c r="F45" s="23" t="s">
        <v>52</v>
      </c>
      <c r="G45" s="23" t="s">
        <v>52</v>
      </c>
      <c r="H45" s="23" t="s">
        <v>52</v>
      </c>
    </row>
    <row r="46" spans="1:8" x14ac:dyDescent="0.25">
      <c r="A46" s="10" t="s">
        <v>74</v>
      </c>
      <c r="B46" s="21">
        <v>75</v>
      </c>
      <c r="C46" s="21">
        <v>60</v>
      </c>
      <c r="D46" s="21">
        <v>30</v>
      </c>
      <c r="E46" s="24">
        <v>2.255639097744361E-3</v>
      </c>
      <c r="F46" s="23" t="s">
        <v>52</v>
      </c>
      <c r="G46" s="23" t="s">
        <v>52</v>
      </c>
      <c r="H46" s="23" t="s">
        <v>52</v>
      </c>
    </row>
    <row r="47" spans="1:8" x14ac:dyDescent="0.25">
      <c r="A47" s="10" t="s">
        <v>74</v>
      </c>
      <c r="B47" s="21">
        <v>75</v>
      </c>
      <c r="C47" s="21">
        <v>60</v>
      </c>
      <c r="D47" s="21">
        <v>40</v>
      </c>
      <c r="E47" s="24">
        <v>2.6190476190476194E-3</v>
      </c>
      <c r="F47" s="23" t="s">
        <v>52</v>
      </c>
      <c r="G47" s="23" t="s">
        <v>52</v>
      </c>
      <c r="H47" s="23" t="s">
        <v>52</v>
      </c>
    </row>
    <row r="48" spans="1:8" x14ac:dyDescent="0.25">
      <c r="A48" s="10" t="s">
        <v>74</v>
      </c>
      <c r="B48" s="21">
        <v>75</v>
      </c>
      <c r="C48" s="21">
        <v>60</v>
      </c>
      <c r="D48" s="21">
        <v>50</v>
      </c>
      <c r="E48" s="24">
        <v>2.9824561403508768E-3</v>
      </c>
      <c r="F48" s="23" t="s">
        <v>52</v>
      </c>
      <c r="G48" s="23" t="s">
        <v>52</v>
      </c>
      <c r="H48" s="23" t="s">
        <v>52</v>
      </c>
    </row>
    <row r="49" spans="1:8" x14ac:dyDescent="0.25">
      <c r="A49" s="10" t="s">
        <v>74</v>
      </c>
      <c r="B49" s="21">
        <v>75</v>
      </c>
      <c r="C49" s="21">
        <v>60</v>
      </c>
      <c r="D49" s="21">
        <v>60</v>
      </c>
      <c r="E49" s="24">
        <v>3.4085213032581455E-3</v>
      </c>
      <c r="F49" s="24">
        <v>4.0000000000000003E-5</v>
      </c>
      <c r="G49">
        <f>10*F49*4</f>
        <v>1.6000000000000001E-3</v>
      </c>
      <c r="H49">
        <f>((G49/$G$7)*(100))</f>
        <v>57.142857142857153</v>
      </c>
    </row>
    <row r="50" spans="1:8" x14ac:dyDescent="0.25">
      <c r="A50" s="10" t="s">
        <v>74</v>
      </c>
      <c r="B50" s="21">
        <v>75</v>
      </c>
      <c r="C50" s="21">
        <v>120</v>
      </c>
      <c r="D50" s="21">
        <v>10</v>
      </c>
      <c r="E50" s="24">
        <v>9.5238095238095249E-4</v>
      </c>
      <c r="F50" s="23" t="s">
        <v>52</v>
      </c>
      <c r="G50" s="23" t="s">
        <v>52</v>
      </c>
      <c r="H50" s="23" t="s">
        <v>52</v>
      </c>
    </row>
    <row r="51" spans="1:8" x14ac:dyDescent="0.25">
      <c r="A51" s="10" t="s">
        <v>74</v>
      </c>
      <c r="B51" s="21">
        <v>75</v>
      </c>
      <c r="C51" s="21">
        <v>120</v>
      </c>
      <c r="D51" s="21">
        <v>20</v>
      </c>
      <c r="E51" s="24">
        <v>1.2155388471177945E-3</v>
      </c>
      <c r="F51" s="23" t="s">
        <v>52</v>
      </c>
      <c r="G51" s="23" t="s">
        <v>52</v>
      </c>
      <c r="H51" s="23" t="s">
        <v>52</v>
      </c>
    </row>
    <row r="52" spans="1:8" x14ac:dyDescent="0.25">
      <c r="A52" s="10" t="s">
        <v>74</v>
      </c>
      <c r="B52" s="21">
        <v>75</v>
      </c>
      <c r="C52" s="21">
        <v>120</v>
      </c>
      <c r="D52" s="21">
        <v>30</v>
      </c>
      <c r="E52" s="24">
        <v>1.4912280701754384E-3</v>
      </c>
      <c r="F52" s="23" t="s">
        <v>52</v>
      </c>
      <c r="G52" s="23" t="s">
        <v>52</v>
      </c>
      <c r="H52" s="23" t="s">
        <v>52</v>
      </c>
    </row>
    <row r="53" spans="1:8" x14ac:dyDescent="0.25">
      <c r="A53" s="10" t="s">
        <v>74</v>
      </c>
      <c r="B53" s="21">
        <v>75</v>
      </c>
      <c r="C53" s="21">
        <v>120</v>
      </c>
      <c r="D53" s="21">
        <v>40</v>
      </c>
      <c r="E53" s="24">
        <v>1.7167919799498746E-3</v>
      </c>
      <c r="F53" s="23" t="s">
        <v>52</v>
      </c>
      <c r="G53" s="23" t="s">
        <v>52</v>
      </c>
      <c r="H53" s="23" t="s">
        <v>52</v>
      </c>
    </row>
    <row r="54" spans="1:8" x14ac:dyDescent="0.25">
      <c r="A54" s="10" t="s">
        <v>74</v>
      </c>
      <c r="B54" s="21">
        <v>75</v>
      </c>
      <c r="C54" s="21">
        <v>120</v>
      </c>
      <c r="D54" s="21">
        <v>50</v>
      </c>
      <c r="E54" s="24">
        <v>1.9298245614035089E-3</v>
      </c>
      <c r="F54" s="23" t="s">
        <v>52</v>
      </c>
      <c r="G54" s="23" t="s">
        <v>52</v>
      </c>
      <c r="H54" s="23" t="s">
        <v>52</v>
      </c>
    </row>
    <row r="55" spans="1:8" x14ac:dyDescent="0.25">
      <c r="A55" s="10" t="s">
        <v>74</v>
      </c>
      <c r="B55" s="21">
        <v>75</v>
      </c>
      <c r="C55" s="21">
        <v>120</v>
      </c>
      <c r="D55" s="21">
        <v>60</v>
      </c>
      <c r="E55" s="24">
        <v>2.1177944862155389E-3</v>
      </c>
      <c r="F55" s="24">
        <v>2.0000000000000002E-5</v>
      </c>
      <c r="G55">
        <f>10*F55*4</f>
        <v>8.0000000000000004E-4</v>
      </c>
      <c r="H55">
        <f>((G55/$G$7)*(100))</f>
        <v>28.571428571428577</v>
      </c>
    </row>
    <row r="56" spans="1:8" x14ac:dyDescent="0.25">
      <c r="A56" s="10" t="s">
        <v>74</v>
      </c>
      <c r="B56" s="21">
        <v>75</v>
      </c>
      <c r="C56" s="21">
        <v>180</v>
      </c>
      <c r="D56" s="21">
        <v>10</v>
      </c>
      <c r="E56" s="24">
        <v>1.0150375939849624E-3</v>
      </c>
      <c r="F56" s="23" t="s">
        <v>52</v>
      </c>
      <c r="G56" s="23" t="s">
        <v>52</v>
      </c>
      <c r="H56" s="23" t="s">
        <v>52</v>
      </c>
    </row>
    <row r="57" spans="1:8" x14ac:dyDescent="0.25">
      <c r="A57" s="10" t="s">
        <v>74</v>
      </c>
      <c r="B57" s="21">
        <v>75</v>
      </c>
      <c r="C57" s="21">
        <v>180</v>
      </c>
      <c r="D57" s="21">
        <v>20</v>
      </c>
      <c r="E57" s="24">
        <v>1.2030075187969924E-3</v>
      </c>
      <c r="F57" s="23" t="s">
        <v>52</v>
      </c>
      <c r="G57" s="23" t="s">
        <v>52</v>
      </c>
      <c r="H57" s="23" t="s">
        <v>52</v>
      </c>
    </row>
    <row r="58" spans="1:8" x14ac:dyDescent="0.25">
      <c r="A58" s="10" t="s">
        <v>74</v>
      </c>
      <c r="B58" s="21">
        <v>75</v>
      </c>
      <c r="C58" s="21">
        <v>180</v>
      </c>
      <c r="D58" s="21">
        <v>30</v>
      </c>
      <c r="E58" s="24">
        <v>1.4536340852130325E-3</v>
      </c>
      <c r="F58" s="23" t="s">
        <v>52</v>
      </c>
      <c r="G58" s="23" t="s">
        <v>52</v>
      </c>
      <c r="H58" s="23" t="s">
        <v>52</v>
      </c>
    </row>
    <row r="59" spans="1:8" x14ac:dyDescent="0.25">
      <c r="A59" s="10" t="s">
        <v>74</v>
      </c>
      <c r="B59" s="21">
        <v>75</v>
      </c>
      <c r="C59" s="21">
        <v>180</v>
      </c>
      <c r="D59" s="21">
        <v>40</v>
      </c>
      <c r="E59" s="24">
        <v>1.7167919799498746E-3</v>
      </c>
      <c r="F59" s="23" t="s">
        <v>52</v>
      </c>
      <c r="G59" s="23" t="s">
        <v>52</v>
      </c>
      <c r="H59" s="23" t="s">
        <v>52</v>
      </c>
    </row>
    <row r="60" spans="1:8" x14ac:dyDescent="0.25">
      <c r="A60" s="10" t="s">
        <v>74</v>
      </c>
      <c r="B60" s="21">
        <v>75</v>
      </c>
      <c r="C60" s="21">
        <v>180</v>
      </c>
      <c r="D60" s="21">
        <v>50</v>
      </c>
      <c r="E60" s="24">
        <v>1.9799498746867167E-3</v>
      </c>
      <c r="F60" s="23" t="s">
        <v>52</v>
      </c>
      <c r="G60" s="23" t="s">
        <v>52</v>
      </c>
      <c r="H60" s="23" t="s">
        <v>52</v>
      </c>
    </row>
    <row r="61" spans="1:8" x14ac:dyDescent="0.25">
      <c r="A61" s="10" t="s">
        <v>74</v>
      </c>
      <c r="B61" s="21">
        <v>75</v>
      </c>
      <c r="C61" s="21">
        <v>180</v>
      </c>
      <c r="D61" s="21">
        <v>60</v>
      </c>
      <c r="E61" s="24">
        <v>2.255639097744361E-3</v>
      </c>
      <c r="F61" s="24">
        <v>3.0000000000000001E-5</v>
      </c>
      <c r="G61">
        <f>10*F61*4</f>
        <v>1.2000000000000001E-3</v>
      </c>
      <c r="H61">
        <f>((G61/$G$7)*(100))</f>
        <v>42.857142857142868</v>
      </c>
    </row>
    <row r="62" spans="1:8" x14ac:dyDescent="0.25">
      <c r="A62" s="10" t="s">
        <v>74</v>
      </c>
      <c r="B62" s="21">
        <v>75</v>
      </c>
      <c r="C62" s="21">
        <v>240</v>
      </c>
      <c r="D62" s="21">
        <v>10</v>
      </c>
      <c r="E62" s="24">
        <v>2.631578947368421E-4</v>
      </c>
      <c r="F62" s="23" t="s">
        <v>52</v>
      </c>
      <c r="G62" s="23" t="s">
        <v>52</v>
      </c>
      <c r="H62" s="23" t="s">
        <v>52</v>
      </c>
    </row>
    <row r="63" spans="1:8" x14ac:dyDescent="0.25">
      <c r="A63" s="10" t="s">
        <v>74</v>
      </c>
      <c r="B63" s="21">
        <v>75</v>
      </c>
      <c r="C63" s="21">
        <v>240</v>
      </c>
      <c r="D63" s="21">
        <v>20</v>
      </c>
      <c r="E63" s="24">
        <v>4.3859649122807008E-4</v>
      </c>
      <c r="F63" s="23" t="s">
        <v>52</v>
      </c>
      <c r="G63" s="23" t="s">
        <v>52</v>
      </c>
      <c r="H63" s="23" t="s">
        <v>52</v>
      </c>
    </row>
    <row r="64" spans="1:8" x14ac:dyDescent="0.25">
      <c r="A64" s="10" t="s">
        <v>74</v>
      </c>
      <c r="B64" s="21">
        <v>75</v>
      </c>
      <c r="C64" s="21">
        <v>240</v>
      </c>
      <c r="D64" s="21">
        <v>30</v>
      </c>
      <c r="E64" s="24">
        <v>7.0175438596491223E-4</v>
      </c>
      <c r="F64" s="23" t="s">
        <v>52</v>
      </c>
      <c r="G64" s="23" t="s">
        <v>52</v>
      </c>
      <c r="H64" s="23" t="s">
        <v>52</v>
      </c>
    </row>
    <row r="65" spans="1:8" x14ac:dyDescent="0.25">
      <c r="A65" s="10" t="s">
        <v>74</v>
      </c>
      <c r="B65" s="21">
        <v>75</v>
      </c>
      <c r="C65" s="21">
        <v>240</v>
      </c>
      <c r="D65" s="21">
        <v>40</v>
      </c>
      <c r="E65" s="24">
        <v>8.6466165413533831E-4</v>
      </c>
      <c r="F65" s="23" t="s">
        <v>52</v>
      </c>
      <c r="G65" s="23" t="s">
        <v>52</v>
      </c>
      <c r="H65" s="23" t="s">
        <v>52</v>
      </c>
    </row>
    <row r="66" spans="1:8" x14ac:dyDescent="0.25">
      <c r="A66" s="10" t="s">
        <v>74</v>
      </c>
      <c r="B66" s="21">
        <v>75</v>
      </c>
      <c r="C66" s="21">
        <v>240</v>
      </c>
      <c r="D66" s="21">
        <v>50</v>
      </c>
      <c r="E66" s="24">
        <v>1.0275689223057643E-3</v>
      </c>
      <c r="F66" s="23" t="s">
        <v>52</v>
      </c>
      <c r="G66" s="23" t="s">
        <v>52</v>
      </c>
      <c r="H66" s="23" t="s">
        <v>52</v>
      </c>
    </row>
    <row r="67" spans="1:8" x14ac:dyDescent="0.25">
      <c r="A67" s="10" t="s">
        <v>74</v>
      </c>
      <c r="B67" s="21">
        <v>75</v>
      </c>
      <c r="C67" s="21">
        <v>240</v>
      </c>
      <c r="D67" s="21">
        <v>60</v>
      </c>
      <c r="E67" s="24">
        <v>1.2280701754385965E-3</v>
      </c>
      <c r="F67" s="24">
        <v>2.0000000000000002E-5</v>
      </c>
      <c r="G67">
        <f>10*F67*4</f>
        <v>8.0000000000000004E-4</v>
      </c>
      <c r="H67">
        <f>((G67/$G$7)*(100))</f>
        <v>28.571428571428577</v>
      </c>
    </row>
    <row r="68" spans="1:8" x14ac:dyDescent="0.25">
      <c r="A68" s="10" t="s">
        <v>74</v>
      </c>
      <c r="B68" s="21">
        <v>75</v>
      </c>
      <c r="C68" s="21">
        <v>300</v>
      </c>
      <c r="D68" s="21">
        <v>10</v>
      </c>
      <c r="E68" s="24">
        <v>3.0075187969924811E-4</v>
      </c>
      <c r="F68" s="23" t="s">
        <v>52</v>
      </c>
      <c r="G68" s="23" t="s">
        <v>52</v>
      </c>
      <c r="H68" s="23" t="s">
        <v>52</v>
      </c>
    </row>
    <row r="69" spans="1:8" x14ac:dyDescent="0.25">
      <c r="A69" s="10" t="s">
        <v>74</v>
      </c>
      <c r="B69" s="21">
        <v>75</v>
      </c>
      <c r="C69" s="21">
        <v>300</v>
      </c>
      <c r="D69" s="21">
        <v>20</v>
      </c>
      <c r="E69" s="24">
        <v>4.0100250626566407E-4</v>
      </c>
      <c r="F69" s="23" t="s">
        <v>52</v>
      </c>
      <c r="G69" s="23" t="s">
        <v>52</v>
      </c>
      <c r="H69" s="23" t="s">
        <v>52</v>
      </c>
    </row>
    <row r="70" spans="1:8" x14ac:dyDescent="0.25">
      <c r="A70" s="10" t="s">
        <v>74</v>
      </c>
      <c r="B70" s="21">
        <v>75</v>
      </c>
      <c r="C70" s="21">
        <v>300</v>
      </c>
      <c r="D70" s="21">
        <v>30</v>
      </c>
      <c r="E70" s="24">
        <v>4.8872180451127814E-4</v>
      </c>
      <c r="F70" s="23" t="s">
        <v>52</v>
      </c>
      <c r="G70" s="23" t="s">
        <v>52</v>
      </c>
      <c r="H70" s="23" t="s">
        <v>52</v>
      </c>
    </row>
    <row r="71" spans="1:8" x14ac:dyDescent="0.25">
      <c r="A71" s="10" t="s">
        <v>74</v>
      </c>
      <c r="B71" s="21">
        <v>75</v>
      </c>
      <c r="C71" s="21">
        <v>300</v>
      </c>
      <c r="D71" s="21">
        <v>40</v>
      </c>
      <c r="E71" s="24">
        <v>5.513784461152882E-4</v>
      </c>
      <c r="F71" s="23" t="s">
        <v>52</v>
      </c>
      <c r="G71" s="23" t="s">
        <v>52</v>
      </c>
      <c r="H71" s="23" t="s">
        <v>52</v>
      </c>
    </row>
    <row r="72" spans="1:8" x14ac:dyDescent="0.25">
      <c r="A72" s="10" t="s">
        <v>74</v>
      </c>
      <c r="B72" s="21">
        <v>75</v>
      </c>
      <c r="C72" s="21">
        <v>300</v>
      </c>
      <c r="D72" s="21">
        <v>50</v>
      </c>
      <c r="E72" s="24">
        <v>5.6390977443609026E-4</v>
      </c>
      <c r="F72" s="23" t="s">
        <v>52</v>
      </c>
      <c r="G72" s="23" t="s">
        <v>52</v>
      </c>
      <c r="H72" s="23" t="s">
        <v>52</v>
      </c>
    </row>
    <row r="73" spans="1:8" x14ac:dyDescent="0.25">
      <c r="A73" s="10" t="s">
        <v>74</v>
      </c>
      <c r="B73" s="21">
        <v>75</v>
      </c>
      <c r="C73" s="21">
        <v>300</v>
      </c>
      <c r="D73" s="21">
        <v>60</v>
      </c>
      <c r="E73" s="24">
        <v>6.3909774436090216E-4</v>
      </c>
      <c r="F73" s="25">
        <v>6.0000000000000002E-6</v>
      </c>
      <c r="G73">
        <f>10*F73*4</f>
        <v>2.4000000000000001E-4</v>
      </c>
      <c r="H73">
        <f>((G73/$G$7)*(100))</f>
        <v>8.571428571428573</v>
      </c>
    </row>
    <row r="74" spans="1:8" x14ac:dyDescent="0.25">
      <c r="A74" s="10" t="s">
        <v>74</v>
      </c>
      <c r="B74" s="21">
        <v>75</v>
      </c>
      <c r="C74" s="21">
        <v>360</v>
      </c>
      <c r="D74" s="21">
        <v>10</v>
      </c>
      <c r="E74" s="24">
        <v>2.631578947368421E-4</v>
      </c>
      <c r="F74" s="23" t="s">
        <v>52</v>
      </c>
      <c r="G74" s="23" t="s">
        <v>52</v>
      </c>
      <c r="H74" s="23" t="s">
        <v>52</v>
      </c>
    </row>
    <row r="75" spans="1:8" x14ac:dyDescent="0.25">
      <c r="A75" s="10" t="s">
        <v>74</v>
      </c>
      <c r="B75" s="21">
        <v>75</v>
      </c>
      <c r="C75" s="21">
        <v>360</v>
      </c>
      <c r="D75" s="21">
        <v>20</v>
      </c>
      <c r="E75" s="24">
        <v>3.1328320802005011E-4</v>
      </c>
      <c r="F75" s="23" t="s">
        <v>52</v>
      </c>
      <c r="G75" s="23" t="s">
        <v>52</v>
      </c>
      <c r="H75" s="23" t="s">
        <v>52</v>
      </c>
    </row>
    <row r="76" spans="1:8" x14ac:dyDescent="0.25">
      <c r="A76" s="10" t="s">
        <v>74</v>
      </c>
      <c r="B76" s="21">
        <v>75</v>
      </c>
      <c r="C76" s="21">
        <v>360</v>
      </c>
      <c r="D76" s="21">
        <v>30</v>
      </c>
      <c r="E76" s="24">
        <v>4.5112781954887213E-4</v>
      </c>
      <c r="F76" s="23" t="s">
        <v>52</v>
      </c>
      <c r="G76" s="23" t="s">
        <v>52</v>
      </c>
      <c r="H76" s="23" t="s">
        <v>52</v>
      </c>
    </row>
    <row r="77" spans="1:8" x14ac:dyDescent="0.25">
      <c r="A77" s="10" t="s">
        <v>74</v>
      </c>
      <c r="B77" s="21">
        <v>75</v>
      </c>
      <c r="C77" s="21">
        <v>360</v>
      </c>
      <c r="D77" s="21">
        <v>40</v>
      </c>
      <c r="E77" s="24">
        <v>6.3909774436090227E-4</v>
      </c>
      <c r="F77" s="23" t="s">
        <v>52</v>
      </c>
      <c r="G77" s="23" t="s">
        <v>52</v>
      </c>
      <c r="H77" s="23" t="s">
        <v>52</v>
      </c>
    </row>
    <row r="78" spans="1:8" x14ac:dyDescent="0.25">
      <c r="A78" s="10" t="s">
        <v>74</v>
      </c>
      <c r="B78" s="21">
        <v>75</v>
      </c>
      <c r="C78" s="21">
        <v>360</v>
      </c>
      <c r="D78" s="21">
        <v>50</v>
      </c>
      <c r="E78" s="24">
        <v>7.5187969924812024E-4</v>
      </c>
      <c r="F78" s="23" t="s">
        <v>52</v>
      </c>
      <c r="G78" s="23" t="s">
        <v>52</v>
      </c>
      <c r="H78" s="23" t="s">
        <v>52</v>
      </c>
    </row>
    <row r="79" spans="1:8" x14ac:dyDescent="0.25">
      <c r="A79" s="10" t="s">
        <v>74</v>
      </c>
      <c r="B79" s="21">
        <v>75</v>
      </c>
      <c r="C79" s="21">
        <v>360</v>
      </c>
      <c r="D79" s="21">
        <v>60</v>
      </c>
      <c r="E79" s="24">
        <v>8.5213032581453636E-4</v>
      </c>
      <c r="F79" s="24">
        <v>1.0000000000000001E-5</v>
      </c>
      <c r="G79">
        <f>10*F79*4</f>
        <v>4.0000000000000002E-4</v>
      </c>
      <c r="H79">
        <f>((G79/$G$7)*(100))</f>
        <v>14.285714285714288</v>
      </c>
    </row>
    <row r="80" spans="1:8" x14ac:dyDescent="0.25">
      <c r="A80" s="10" t="s">
        <v>74</v>
      </c>
      <c r="B80" s="21">
        <v>80</v>
      </c>
      <c r="C80" s="21">
        <v>60</v>
      </c>
      <c r="D80" s="21">
        <v>10</v>
      </c>
      <c r="E80" s="24">
        <v>2.2055137844611524E-3</v>
      </c>
      <c r="F80" s="23" t="s">
        <v>52</v>
      </c>
      <c r="G80" s="23" t="s">
        <v>52</v>
      </c>
      <c r="H80" s="23" t="s">
        <v>52</v>
      </c>
    </row>
    <row r="81" spans="1:8" x14ac:dyDescent="0.25">
      <c r="A81" s="10" t="s">
        <v>74</v>
      </c>
      <c r="B81" s="21">
        <v>80</v>
      </c>
      <c r="C81" s="21">
        <v>60</v>
      </c>
      <c r="D81" s="21">
        <v>20</v>
      </c>
      <c r="E81" s="24">
        <v>2.4060150375939848E-3</v>
      </c>
      <c r="F81" s="23" t="s">
        <v>52</v>
      </c>
      <c r="G81" s="23" t="s">
        <v>52</v>
      </c>
      <c r="H81" s="23" t="s">
        <v>52</v>
      </c>
    </row>
    <row r="82" spans="1:8" x14ac:dyDescent="0.25">
      <c r="A82" s="10" t="s">
        <v>74</v>
      </c>
      <c r="B82" s="21">
        <v>80</v>
      </c>
      <c r="C82" s="21">
        <v>60</v>
      </c>
      <c r="D82" s="21">
        <v>30</v>
      </c>
      <c r="E82" s="24">
        <v>2.6190476190476185E-3</v>
      </c>
      <c r="F82" s="23" t="s">
        <v>52</v>
      </c>
      <c r="G82" s="23" t="s">
        <v>52</v>
      </c>
      <c r="H82" s="23" t="s">
        <v>52</v>
      </c>
    </row>
    <row r="83" spans="1:8" x14ac:dyDescent="0.25">
      <c r="A83" s="10" t="s">
        <v>74</v>
      </c>
      <c r="B83" s="21">
        <v>80</v>
      </c>
      <c r="C83" s="21">
        <v>60</v>
      </c>
      <c r="D83" s="21">
        <v>40</v>
      </c>
      <c r="E83" s="24">
        <v>2.8571428571428567E-3</v>
      </c>
      <c r="F83" s="23" t="s">
        <v>52</v>
      </c>
      <c r="G83" s="23" t="s">
        <v>52</v>
      </c>
      <c r="H83" s="23" t="s">
        <v>52</v>
      </c>
    </row>
    <row r="84" spans="1:8" x14ac:dyDescent="0.25">
      <c r="A84" s="10" t="s">
        <v>74</v>
      </c>
      <c r="B84" s="21">
        <v>80</v>
      </c>
      <c r="C84" s="21">
        <v>60</v>
      </c>
      <c r="D84" s="21">
        <v>50</v>
      </c>
      <c r="E84" s="24">
        <v>3.0827067669172929E-3</v>
      </c>
      <c r="F84" s="23" t="s">
        <v>52</v>
      </c>
      <c r="G84" s="23" t="s">
        <v>52</v>
      </c>
      <c r="H84" s="23" t="s">
        <v>52</v>
      </c>
    </row>
    <row r="85" spans="1:8" x14ac:dyDescent="0.25">
      <c r="A85" s="10" t="s">
        <v>74</v>
      </c>
      <c r="B85" s="21">
        <v>80</v>
      </c>
      <c r="C85" s="21">
        <v>60</v>
      </c>
      <c r="D85" s="21">
        <v>60</v>
      </c>
      <c r="E85" s="24">
        <v>3.3333333333333327E-3</v>
      </c>
      <c r="F85" s="24">
        <v>2.0000000000000002E-5</v>
      </c>
      <c r="G85">
        <f>10*F85*4</f>
        <v>8.0000000000000004E-4</v>
      </c>
      <c r="H85">
        <f>((G85/$G$7)*(100))</f>
        <v>28.571428571428577</v>
      </c>
    </row>
    <row r="86" spans="1:8" x14ac:dyDescent="0.25">
      <c r="A86" s="10" t="s">
        <v>74</v>
      </c>
      <c r="B86" s="21">
        <v>80</v>
      </c>
      <c r="C86" s="21">
        <v>120</v>
      </c>
      <c r="D86" s="21">
        <v>10</v>
      </c>
      <c r="E86" s="24">
        <v>7.0175438596491223E-4</v>
      </c>
      <c r="F86" s="23" t="s">
        <v>52</v>
      </c>
      <c r="G86" s="23" t="s">
        <v>52</v>
      </c>
      <c r="H86" s="23" t="s">
        <v>52</v>
      </c>
    </row>
    <row r="87" spans="1:8" x14ac:dyDescent="0.25">
      <c r="A87" s="10" t="s">
        <v>74</v>
      </c>
      <c r="B87" s="21">
        <v>80</v>
      </c>
      <c r="C87" s="21">
        <v>120</v>
      </c>
      <c r="D87" s="21">
        <v>20</v>
      </c>
      <c r="E87" s="24">
        <v>8.2706766917293225E-4</v>
      </c>
      <c r="F87" s="23" t="s">
        <v>52</v>
      </c>
      <c r="G87" s="23" t="s">
        <v>52</v>
      </c>
      <c r="H87" s="23" t="s">
        <v>52</v>
      </c>
    </row>
    <row r="88" spans="1:8" x14ac:dyDescent="0.25">
      <c r="A88" s="10" t="s">
        <v>74</v>
      </c>
      <c r="B88" s="21">
        <v>80</v>
      </c>
      <c r="C88" s="21">
        <v>120</v>
      </c>
      <c r="D88" s="21">
        <v>30</v>
      </c>
      <c r="E88" s="24">
        <v>9.5238095238095227E-4</v>
      </c>
      <c r="F88" s="23" t="s">
        <v>52</v>
      </c>
      <c r="G88" s="23" t="s">
        <v>52</v>
      </c>
      <c r="H88" s="23" t="s">
        <v>52</v>
      </c>
    </row>
    <row r="89" spans="1:8" x14ac:dyDescent="0.25">
      <c r="A89" s="10" t="s">
        <v>74</v>
      </c>
      <c r="B89" s="21">
        <v>80</v>
      </c>
      <c r="C89" s="21">
        <v>120</v>
      </c>
      <c r="D89" s="21">
        <v>40</v>
      </c>
      <c r="E89" s="24">
        <v>1.1152882205513785E-3</v>
      </c>
      <c r="F89" s="23" t="s">
        <v>52</v>
      </c>
      <c r="G89" s="23" t="s">
        <v>52</v>
      </c>
      <c r="H89" s="23" t="s">
        <v>52</v>
      </c>
    </row>
    <row r="90" spans="1:8" x14ac:dyDescent="0.25">
      <c r="A90" s="10" t="s">
        <v>74</v>
      </c>
      <c r="B90" s="21">
        <v>80</v>
      </c>
      <c r="C90" s="21">
        <v>120</v>
      </c>
      <c r="D90" s="21">
        <v>50</v>
      </c>
      <c r="E90" s="24">
        <v>1.2907268170426064E-3</v>
      </c>
      <c r="F90" s="23" t="s">
        <v>52</v>
      </c>
      <c r="G90" s="23" t="s">
        <v>52</v>
      </c>
      <c r="H90" s="23" t="s">
        <v>52</v>
      </c>
    </row>
    <row r="91" spans="1:8" x14ac:dyDescent="0.25">
      <c r="A91" s="10" t="s">
        <v>74</v>
      </c>
      <c r="B91" s="21">
        <v>80</v>
      </c>
      <c r="C91" s="21">
        <v>120</v>
      </c>
      <c r="D91" s="21">
        <v>60</v>
      </c>
      <c r="E91" s="24">
        <v>1.4661654135338343E-3</v>
      </c>
      <c r="F91" s="24">
        <v>2.0000000000000002E-5</v>
      </c>
      <c r="G91">
        <f>10*F91*4</f>
        <v>8.0000000000000004E-4</v>
      </c>
      <c r="H91">
        <f>((G91/$G$7)*(100))</f>
        <v>28.571428571428577</v>
      </c>
    </row>
    <row r="92" spans="1:8" x14ac:dyDescent="0.25">
      <c r="A92" s="10" t="s">
        <v>74</v>
      </c>
      <c r="B92" s="21">
        <v>80</v>
      </c>
      <c r="C92" s="21">
        <v>180</v>
      </c>
      <c r="D92" s="21">
        <v>10</v>
      </c>
      <c r="E92" s="24">
        <v>1.1403508771929824E-3</v>
      </c>
      <c r="F92" s="23" t="s">
        <v>52</v>
      </c>
      <c r="G92" s="23" t="s">
        <v>52</v>
      </c>
      <c r="H92" s="23" t="s">
        <v>52</v>
      </c>
    </row>
    <row r="93" spans="1:8" x14ac:dyDescent="0.25">
      <c r="A93" s="10" t="s">
        <v>74</v>
      </c>
      <c r="B93" s="21">
        <v>80</v>
      </c>
      <c r="C93" s="21">
        <v>180</v>
      </c>
      <c r="D93" s="21">
        <v>20</v>
      </c>
      <c r="E93" s="24">
        <v>1.2406015037593986E-3</v>
      </c>
      <c r="F93" s="23" t="s">
        <v>52</v>
      </c>
      <c r="G93" s="23" t="s">
        <v>52</v>
      </c>
      <c r="H93" s="23" t="s">
        <v>52</v>
      </c>
    </row>
    <row r="94" spans="1:8" x14ac:dyDescent="0.25">
      <c r="A94" s="10" t="s">
        <v>74</v>
      </c>
      <c r="B94" s="21">
        <v>80</v>
      </c>
      <c r="C94" s="21">
        <v>180</v>
      </c>
      <c r="D94" s="21">
        <v>30</v>
      </c>
      <c r="E94" s="24">
        <v>1.3784461152882208E-3</v>
      </c>
      <c r="F94" s="23" t="s">
        <v>52</v>
      </c>
      <c r="G94" s="23" t="s">
        <v>52</v>
      </c>
      <c r="H94" s="23" t="s">
        <v>52</v>
      </c>
    </row>
    <row r="95" spans="1:8" x14ac:dyDescent="0.25">
      <c r="A95" s="10" t="s">
        <v>74</v>
      </c>
      <c r="B95" s="21">
        <v>80</v>
      </c>
      <c r="C95" s="21">
        <v>180</v>
      </c>
      <c r="D95" s="21">
        <v>40</v>
      </c>
      <c r="E95" s="24">
        <v>1.4912280701754384E-3</v>
      </c>
      <c r="F95" s="23" t="s">
        <v>52</v>
      </c>
      <c r="G95" s="23" t="s">
        <v>52</v>
      </c>
      <c r="H95" s="23" t="s">
        <v>52</v>
      </c>
    </row>
    <row r="96" spans="1:8" x14ac:dyDescent="0.25">
      <c r="A96" s="10" t="s">
        <v>74</v>
      </c>
      <c r="B96" s="21">
        <v>80</v>
      </c>
      <c r="C96" s="21">
        <v>180</v>
      </c>
      <c r="D96" s="21">
        <v>50</v>
      </c>
      <c r="E96" s="24">
        <v>1.6040100250626565E-3</v>
      </c>
      <c r="F96" s="23" t="s">
        <v>52</v>
      </c>
      <c r="G96" s="23" t="s">
        <v>52</v>
      </c>
      <c r="H96" s="23" t="s">
        <v>52</v>
      </c>
    </row>
    <row r="97" spans="1:8" x14ac:dyDescent="0.25">
      <c r="A97" s="10" t="s">
        <v>74</v>
      </c>
      <c r="B97" s="21">
        <v>80</v>
      </c>
      <c r="C97" s="21">
        <v>180</v>
      </c>
      <c r="D97" s="21">
        <v>60</v>
      </c>
      <c r="E97" s="24">
        <v>1.7669172932330826E-3</v>
      </c>
      <c r="F97" s="24">
        <v>1.0000000000000001E-5</v>
      </c>
      <c r="G97">
        <f>10*F97*4</f>
        <v>4.0000000000000002E-4</v>
      </c>
      <c r="H97">
        <f>((G97/$G$7)*(100))</f>
        <v>14.285714285714288</v>
      </c>
    </row>
    <row r="98" spans="1:8" x14ac:dyDescent="0.25">
      <c r="A98" s="10" t="s">
        <v>74</v>
      </c>
      <c r="B98" s="21">
        <v>80</v>
      </c>
      <c r="C98" s="21">
        <v>240</v>
      </c>
      <c r="D98" s="21">
        <v>10</v>
      </c>
      <c r="E98" s="24">
        <v>3.0075187969924811E-4</v>
      </c>
      <c r="F98" s="23" t="s">
        <v>52</v>
      </c>
      <c r="G98" s="23" t="s">
        <v>52</v>
      </c>
      <c r="H98" s="23" t="s">
        <v>52</v>
      </c>
    </row>
    <row r="99" spans="1:8" x14ac:dyDescent="0.25">
      <c r="A99" s="10" t="s">
        <v>74</v>
      </c>
      <c r="B99" s="21">
        <v>80</v>
      </c>
      <c r="C99" s="21">
        <v>240</v>
      </c>
      <c r="D99" s="21">
        <v>20</v>
      </c>
      <c r="E99" s="24">
        <v>3.7593984962406012E-4</v>
      </c>
      <c r="F99" s="23" t="s">
        <v>52</v>
      </c>
      <c r="G99" s="23" t="s">
        <v>52</v>
      </c>
      <c r="H99" s="23" t="s">
        <v>52</v>
      </c>
    </row>
    <row r="100" spans="1:8" x14ac:dyDescent="0.25">
      <c r="A100" s="10" t="s">
        <v>74</v>
      </c>
      <c r="B100" s="21">
        <v>80</v>
      </c>
      <c r="C100" s="21">
        <v>240</v>
      </c>
      <c r="D100" s="21">
        <v>30</v>
      </c>
      <c r="E100" s="24">
        <v>4.3859649122807008E-4</v>
      </c>
      <c r="F100" s="23" t="s">
        <v>52</v>
      </c>
      <c r="G100" s="23" t="s">
        <v>52</v>
      </c>
      <c r="H100" s="23" t="s">
        <v>52</v>
      </c>
    </row>
    <row r="101" spans="1:8" x14ac:dyDescent="0.25">
      <c r="A101" s="10" t="s">
        <v>74</v>
      </c>
      <c r="B101" s="21">
        <v>80</v>
      </c>
      <c r="C101" s="21">
        <v>240</v>
      </c>
      <c r="D101" s="21">
        <v>40</v>
      </c>
      <c r="E101" s="24">
        <v>5.1378446115288214E-4</v>
      </c>
      <c r="F101" s="23" t="s">
        <v>52</v>
      </c>
      <c r="G101" s="23" t="s">
        <v>52</v>
      </c>
      <c r="H101" s="23" t="s">
        <v>52</v>
      </c>
    </row>
    <row r="102" spans="1:8" x14ac:dyDescent="0.25">
      <c r="A102" s="10" t="s">
        <v>74</v>
      </c>
      <c r="B102" s="21">
        <v>80</v>
      </c>
      <c r="C102" s="21">
        <v>240</v>
      </c>
      <c r="D102" s="21">
        <v>50</v>
      </c>
      <c r="E102" s="24">
        <v>5.8897243107769416E-4</v>
      </c>
      <c r="F102" s="23" t="s">
        <v>52</v>
      </c>
      <c r="G102" s="23" t="s">
        <v>52</v>
      </c>
      <c r="H102" s="23" t="s">
        <v>52</v>
      </c>
    </row>
    <row r="103" spans="1:8" x14ac:dyDescent="0.25">
      <c r="A103" s="10" t="s">
        <v>74</v>
      </c>
      <c r="B103" s="21">
        <v>80</v>
      </c>
      <c r="C103" s="21">
        <v>240</v>
      </c>
      <c r="D103" s="21">
        <v>60</v>
      </c>
      <c r="E103" s="24">
        <v>6.3909774436090216E-4</v>
      </c>
      <c r="F103" s="25">
        <v>6.9999999999999999E-6</v>
      </c>
      <c r="G103">
        <f>10*F103*4</f>
        <v>2.7999999999999998E-4</v>
      </c>
      <c r="H103">
        <f>((G103/$G$7)*(100))</f>
        <v>10</v>
      </c>
    </row>
    <row r="104" spans="1:8" x14ac:dyDescent="0.25">
      <c r="A104" s="10" t="s">
        <v>74</v>
      </c>
      <c r="B104" s="21">
        <v>80</v>
      </c>
      <c r="C104" s="21">
        <v>300</v>
      </c>
      <c r="D104" s="21">
        <v>10</v>
      </c>
      <c r="E104" s="24">
        <v>0</v>
      </c>
      <c r="F104" s="23" t="s">
        <v>52</v>
      </c>
      <c r="G104" s="23" t="s">
        <v>52</v>
      </c>
      <c r="H104" s="23" t="s">
        <v>52</v>
      </c>
    </row>
    <row r="105" spans="1:8" x14ac:dyDescent="0.25">
      <c r="A105" s="10" t="s">
        <v>74</v>
      </c>
      <c r="B105" s="21">
        <v>80</v>
      </c>
      <c r="C105" s="21">
        <v>300</v>
      </c>
      <c r="D105" s="21">
        <v>20</v>
      </c>
      <c r="E105" s="24">
        <v>0</v>
      </c>
      <c r="F105" s="23" t="s">
        <v>52</v>
      </c>
      <c r="G105" s="23" t="s">
        <v>52</v>
      </c>
      <c r="H105" s="23" t="s">
        <v>52</v>
      </c>
    </row>
    <row r="106" spans="1:8" x14ac:dyDescent="0.25">
      <c r="A106" s="10" t="s">
        <v>74</v>
      </c>
      <c r="B106" s="21">
        <v>80</v>
      </c>
      <c r="C106" s="21">
        <v>300</v>
      </c>
      <c r="D106" s="21">
        <v>30</v>
      </c>
      <c r="E106" s="24">
        <v>0</v>
      </c>
      <c r="F106" s="23" t="s">
        <v>52</v>
      </c>
      <c r="G106" s="23" t="s">
        <v>52</v>
      </c>
      <c r="H106" s="23" t="s">
        <v>52</v>
      </c>
    </row>
    <row r="107" spans="1:8" x14ac:dyDescent="0.25">
      <c r="A107" s="10" t="s">
        <v>74</v>
      </c>
      <c r="B107" s="21">
        <v>80</v>
      </c>
      <c r="C107" s="21">
        <v>300</v>
      </c>
      <c r="D107" s="21">
        <v>40</v>
      </c>
      <c r="E107" s="24">
        <v>0</v>
      </c>
      <c r="F107" s="23" t="s">
        <v>52</v>
      </c>
      <c r="G107" s="23" t="s">
        <v>52</v>
      </c>
      <c r="H107" s="23" t="s">
        <v>52</v>
      </c>
    </row>
    <row r="108" spans="1:8" x14ac:dyDescent="0.25">
      <c r="A108" s="10" t="s">
        <v>74</v>
      </c>
      <c r="B108" s="21">
        <v>80</v>
      </c>
      <c r="C108" s="21">
        <v>300</v>
      </c>
      <c r="D108" s="21">
        <v>50</v>
      </c>
      <c r="E108" s="24">
        <v>0</v>
      </c>
      <c r="F108" s="23" t="s">
        <v>52</v>
      </c>
      <c r="G108" s="23" t="s">
        <v>52</v>
      </c>
      <c r="H108" s="23" t="s">
        <v>52</v>
      </c>
    </row>
    <row r="109" spans="1:8" x14ac:dyDescent="0.25">
      <c r="A109" s="10" t="s">
        <v>74</v>
      </c>
      <c r="B109" s="21">
        <v>80</v>
      </c>
      <c r="C109" s="21">
        <v>300</v>
      </c>
      <c r="D109" s="21">
        <v>60</v>
      </c>
      <c r="E109" s="24">
        <v>0</v>
      </c>
      <c r="F109" s="24">
        <v>0</v>
      </c>
      <c r="G109">
        <f>10*F109*4</f>
        <v>0</v>
      </c>
      <c r="H109">
        <f>((G109/$G$7)*(100))</f>
        <v>0</v>
      </c>
    </row>
    <row r="110" spans="1:8" x14ac:dyDescent="0.25">
      <c r="A110" s="10" t="s">
        <v>74</v>
      </c>
      <c r="B110" s="21">
        <v>80</v>
      </c>
      <c r="C110" s="21">
        <v>360</v>
      </c>
      <c r="D110" s="21">
        <v>10</v>
      </c>
      <c r="E110" s="24">
        <v>0</v>
      </c>
      <c r="F110" s="23" t="s">
        <v>52</v>
      </c>
      <c r="G110" s="23" t="s">
        <v>52</v>
      </c>
      <c r="H110" s="23" t="s">
        <v>52</v>
      </c>
    </row>
    <row r="111" spans="1:8" x14ac:dyDescent="0.25">
      <c r="A111" s="10" t="s">
        <v>74</v>
      </c>
      <c r="B111" s="21">
        <v>80</v>
      </c>
      <c r="C111" s="21">
        <v>360</v>
      </c>
      <c r="D111" s="21">
        <v>20</v>
      </c>
      <c r="E111" s="24">
        <v>0</v>
      </c>
      <c r="F111" s="23" t="s">
        <v>52</v>
      </c>
      <c r="G111" s="23" t="s">
        <v>52</v>
      </c>
      <c r="H111" s="23" t="s">
        <v>52</v>
      </c>
    </row>
    <row r="112" spans="1:8" x14ac:dyDescent="0.25">
      <c r="A112" s="10" t="s">
        <v>74</v>
      </c>
      <c r="B112" s="21">
        <v>80</v>
      </c>
      <c r="C112" s="21">
        <v>360</v>
      </c>
      <c r="D112" s="21">
        <v>30</v>
      </c>
      <c r="E112" s="24">
        <v>0</v>
      </c>
      <c r="F112" s="23" t="s">
        <v>52</v>
      </c>
      <c r="G112" s="23" t="s">
        <v>52</v>
      </c>
      <c r="H112" s="23" t="s">
        <v>52</v>
      </c>
    </row>
    <row r="113" spans="1:8" x14ac:dyDescent="0.25">
      <c r="A113" s="10" t="s">
        <v>74</v>
      </c>
      <c r="B113" s="21">
        <v>80</v>
      </c>
      <c r="C113" s="21">
        <v>360</v>
      </c>
      <c r="D113" s="21">
        <v>40</v>
      </c>
      <c r="E113" s="24">
        <v>0</v>
      </c>
      <c r="F113" s="23" t="s">
        <v>52</v>
      </c>
      <c r="G113" s="23" t="s">
        <v>52</v>
      </c>
      <c r="H113" s="23" t="s">
        <v>52</v>
      </c>
    </row>
    <row r="114" spans="1:8" x14ac:dyDescent="0.25">
      <c r="A114" s="10" t="s">
        <v>74</v>
      </c>
      <c r="B114" s="21">
        <v>80</v>
      </c>
      <c r="C114" s="21">
        <v>360</v>
      </c>
      <c r="D114" s="21">
        <v>50</v>
      </c>
      <c r="E114" s="24">
        <v>0</v>
      </c>
      <c r="F114" s="23" t="s">
        <v>52</v>
      </c>
      <c r="G114" s="23" t="s">
        <v>52</v>
      </c>
      <c r="H114" s="23" t="s">
        <v>52</v>
      </c>
    </row>
    <row r="115" spans="1:8" x14ac:dyDescent="0.25">
      <c r="A115" s="10" t="s">
        <v>74</v>
      </c>
      <c r="B115" s="21">
        <v>80</v>
      </c>
      <c r="C115" s="21">
        <v>360</v>
      </c>
      <c r="D115" s="21">
        <v>60</v>
      </c>
      <c r="E115" s="24">
        <v>0</v>
      </c>
      <c r="F115" s="24">
        <v>0</v>
      </c>
      <c r="G115">
        <f>10*F115*4</f>
        <v>0</v>
      </c>
      <c r="H115">
        <f>((G115/$G$7)*(100))</f>
        <v>0</v>
      </c>
    </row>
    <row r="116" spans="1:8" x14ac:dyDescent="0.25">
      <c r="A116" s="10" t="s">
        <v>74</v>
      </c>
      <c r="B116" s="21">
        <v>85</v>
      </c>
      <c r="C116" s="21">
        <v>60</v>
      </c>
      <c r="D116" s="21">
        <v>10</v>
      </c>
      <c r="E116" s="23">
        <v>4.4235588972431081E-3</v>
      </c>
      <c r="F116" s="23" t="s">
        <v>52</v>
      </c>
      <c r="G116" s="23" t="s">
        <v>52</v>
      </c>
      <c r="H116" s="23" t="s">
        <v>52</v>
      </c>
    </row>
    <row r="117" spans="1:8" x14ac:dyDescent="0.25">
      <c r="A117" s="10" t="s">
        <v>74</v>
      </c>
      <c r="B117" s="21">
        <v>85</v>
      </c>
      <c r="C117" s="21">
        <v>60</v>
      </c>
      <c r="D117" s="21">
        <v>20</v>
      </c>
      <c r="E117" s="23">
        <v>4.6491228070175434E-3</v>
      </c>
      <c r="F117" s="23" t="s">
        <v>52</v>
      </c>
      <c r="G117" s="23" t="s">
        <v>52</v>
      </c>
      <c r="H117" s="23" t="s">
        <v>52</v>
      </c>
    </row>
    <row r="118" spans="1:8" x14ac:dyDescent="0.25">
      <c r="A118" s="10" t="s">
        <v>74</v>
      </c>
      <c r="B118" s="21">
        <v>85</v>
      </c>
      <c r="C118" s="21">
        <v>60</v>
      </c>
      <c r="D118" s="21">
        <v>30</v>
      </c>
      <c r="E118" s="23">
        <v>4.9248120300751886E-3</v>
      </c>
      <c r="F118" s="23" t="s">
        <v>52</v>
      </c>
      <c r="G118" s="23" t="s">
        <v>52</v>
      </c>
      <c r="H118" s="23" t="s">
        <v>52</v>
      </c>
    </row>
    <row r="119" spans="1:8" x14ac:dyDescent="0.25">
      <c r="A119" s="10" t="s">
        <v>74</v>
      </c>
      <c r="B119" s="21">
        <v>85</v>
      </c>
      <c r="C119" s="21">
        <v>60</v>
      </c>
      <c r="D119" s="21">
        <v>40</v>
      </c>
      <c r="E119" s="23">
        <v>5.4010025062656633E-3</v>
      </c>
      <c r="F119" s="23" t="s">
        <v>52</v>
      </c>
      <c r="G119" s="23" t="s">
        <v>52</v>
      </c>
      <c r="H119" s="23" t="s">
        <v>52</v>
      </c>
    </row>
    <row r="120" spans="1:8" x14ac:dyDescent="0.25">
      <c r="A120" s="10" t="s">
        <v>74</v>
      </c>
      <c r="B120" s="21">
        <v>85</v>
      </c>
      <c r="C120" s="21">
        <v>60</v>
      </c>
      <c r="D120" s="21">
        <v>50</v>
      </c>
      <c r="E120" s="23">
        <v>5.8771929824561406E-3</v>
      </c>
      <c r="F120" s="23" t="s">
        <v>52</v>
      </c>
      <c r="G120" s="23" t="s">
        <v>52</v>
      </c>
      <c r="H120" s="23" t="s">
        <v>52</v>
      </c>
    </row>
    <row r="121" spans="1:8" x14ac:dyDescent="0.25">
      <c r="A121" s="10" t="s">
        <v>74</v>
      </c>
      <c r="B121" s="21">
        <v>85</v>
      </c>
      <c r="C121" s="21">
        <v>60</v>
      </c>
      <c r="D121" s="21">
        <v>60</v>
      </c>
      <c r="E121" s="23">
        <v>6.3533834586466153E-3</v>
      </c>
      <c r="F121">
        <v>4.0000000000000003E-5</v>
      </c>
      <c r="G121">
        <f>10*F121*4</f>
        <v>1.6000000000000001E-3</v>
      </c>
      <c r="H121">
        <f>((G121/$G$7)*(100))</f>
        <v>57.142857142857153</v>
      </c>
    </row>
    <row r="122" spans="1:8" x14ac:dyDescent="0.25">
      <c r="A122" s="10" t="s">
        <v>74</v>
      </c>
      <c r="B122" s="21">
        <v>85</v>
      </c>
      <c r="C122" s="21">
        <v>120</v>
      </c>
      <c r="D122" s="21">
        <v>10</v>
      </c>
      <c r="E122" s="23">
        <v>1.6165413533834585E-3</v>
      </c>
      <c r="F122" s="23" t="s">
        <v>52</v>
      </c>
      <c r="G122" s="23" t="s">
        <v>52</v>
      </c>
      <c r="H122" s="23" t="s">
        <v>52</v>
      </c>
    </row>
    <row r="123" spans="1:8" x14ac:dyDescent="0.25">
      <c r="A123" s="10" t="s">
        <v>74</v>
      </c>
      <c r="B123" s="21">
        <v>85</v>
      </c>
      <c r="C123" s="21">
        <v>120</v>
      </c>
      <c r="D123" s="21">
        <v>20</v>
      </c>
      <c r="E123" s="23">
        <v>1.6791979949874688E-3</v>
      </c>
      <c r="F123" s="23" t="s">
        <v>52</v>
      </c>
      <c r="G123" s="23" t="s">
        <v>52</v>
      </c>
      <c r="H123" s="23" t="s">
        <v>52</v>
      </c>
    </row>
    <row r="124" spans="1:8" x14ac:dyDescent="0.25">
      <c r="A124" s="10" t="s">
        <v>74</v>
      </c>
      <c r="B124" s="21">
        <v>85</v>
      </c>
      <c r="C124" s="21">
        <v>120</v>
      </c>
      <c r="D124" s="21">
        <v>30</v>
      </c>
      <c r="E124" s="23">
        <v>1.6917293233082705E-3</v>
      </c>
      <c r="F124" s="23" t="s">
        <v>52</v>
      </c>
      <c r="G124" s="23" t="s">
        <v>52</v>
      </c>
      <c r="H124" s="23" t="s">
        <v>52</v>
      </c>
    </row>
    <row r="125" spans="1:8" x14ac:dyDescent="0.25">
      <c r="A125" s="10" t="s">
        <v>74</v>
      </c>
      <c r="B125" s="21">
        <v>85</v>
      </c>
      <c r="C125" s="21">
        <v>120</v>
      </c>
      <c r="D125" s="21">
        <v>40</v>
      </c>
      <c r="E125" s="23">
        <v>1.7418546365914785E-3</v>
      </c>
      <c r="F125" s="23" t="s">
        <v>52</v>
      </c>
      <c r="G125" s="23" t="s">
        <v>52</v>
      </c>
      <c r="H125" s="23" t="s">
        <v>52</v>
      </c>
    </row>
    <row r="126" spans="1:8" x14ac:dyDescent="0.25">
      <c r="A126" s="10" t="s">
        <v>74</v>
      </c>
      <c r="B126" s="21">
        <v>85</v>
      </c>
      <c r="C126" s="21">
        <v>120</v>
      </c>
      <c r="D126" s="21">
        <v>50</v>
      </c>
      <c r="E126" s="23">
        <v>1.8045112781954885E-3</v>
      </c>
      <c r="F126" s="23" t="s">
        <v>52</v>
      </c>
      <c r="G126" s="23" t="s">
        <v>52</v>
      </c>
      <c r="H126" s="23" t="s">
        <v>52</v>
      </c>
    </row>
    <row r="127" spans="1:8" x14ac:dyDescent="0.25">
      <c r="A127" s="10" t="s">
        <v>74</v>
      </c>
      <c r="B127" s="21">
        <v>85</v>
      </c>
      <c r="C127" s="21">
        <v>120</v>
      </c>
      <c r="D127" s="21">
        <v>60</v>
      </c>
      <c r="E127" s="23">
        <v>1.8421052631578947E-3</v>
      </c>
      <c r="F127">
        <v>3.9999999999999998E-6</v>
      </c>
      <c r="G127">
        <f>10*F127*4</f>
        <v>1.5999999999999999E-4</v>
      </c>
      <c r="H127">
        <f>((G127/$G$7)*(100))</f>
        <v>5.7142857142857144</v>
      </c>
    </row>
    <row r="128" spans="1:8" x14ac:dyDescent="0.25">
      <c r="A128" s="10" t="s">
        <v>74</v>
      </c>
      <c r="B128" s="21">
        <v>85</v>
      </c>
      <c r="C128" s="21">
        <v>180</v>
      </c>
      <c r="D128" s="21">
        <v>10</v>
      </c>
      <c r="E128" s="24">
        <v>1.8421052631578947E-3</v>
      </c>
      <c r="F128" s="23" t="s">
        <v>52</v>
      </c>
      <c r="G128" s="23" t="s">
        <v>52</v>
      </c>
      <c r="H128" s="23" t="s">
        <v>52</v>
      </c>
    </row>
    <row r="129" spans="1:8" x14ac:dyDescent="0.25">
      <c r="A129" s="10" t="s">
        <v>74</v>
      </c>
      <c r="B129" s="21">
        <v>85</v>
      </c>
      <c r="C129" s="21">
        <v>180</v>
      </c>
      <c r="D129" s="21">
        <v>20</v>
      </c>
      <c r="E129" s="24">
        <v>1.8671679197994988E-3</v>
      </c>
      <c r="F129" s="23" t="s">
        <v>52</v>
      </c>
      <c r="G129" s="23" t="s">
        <v>52</v>
      </c>
      <c r="H129" s="23" t="s">
        <v>52</v>
      </c>
    </row>
    <row r="130" spans="1:8" x14ac:dyDescent="0.25">
      <c r="A130" s="10" t="s">
        <v>74</v>
      </c>
      <c r="B130" s="21">
        <v>85</v>
      </c>
      <c r="C130" s="21">
        <v>180</v>
      </c>
      <c r="D130" s="21">
        <v>30</v>
      </c>
      <c r="E130" s="24">
        <v>1.8671679197994988E-3</v>
      </c>
      <c r="F130" s="23" t="s">
        <v>52</v>
      </c>
      <c r="G130" s="23" t="s">
        <v>52</v>
      </c>
      <c r="H130" s="23" t="s">
        <v>52</v>
      </c>
    </row>
    <row r="131" spans="1:8" x14ac:dyDescent="0.25">
      <c r="A131" s="10" t="s">
        <v>74</v>
      </c>
      <c r="B131" s="21">
        <v>85</v>
      </c>
      <c r="C131" s="21">
        <v>180</v>
      </c>
      <c r="D131" s="21">
        <v>40</v>
      </c>
      <c r="E131" s="24">
        <v>1.9047619047619048E-3</v>
      </c>
      <c r="F131" s="23" t="s">
        <v>52</v>
      </c>
      <c r="G131" s="23" t="s">
        <v>52</v>
      </c>
      <c r="H131" s="23" t="s">
        <v>52</v>
      </c>
    </row>
    <row r="132" spans="1:8" x14ac:dyDescent="0.25">
      <c r="A132" s="10" t="s">
        <v>74</v>
      </c>
      <c r="B132" s="21">
        <v>85</v>
      </c>
      <c r="C132" s="21">
        <v>180</v>
      </c>
      <c r="D132" s="21">
        <v>50</v>
      </c>
      <c r="E132" s="24">
        <v>1.9172932330827066E-3</v>
      </c>
      <c r="F132" s="23" t="s">
        <v>52</v>
      </c>
      <c r="G132" s="23" t="s">
        <v>52</v>
      </c>
      <c r="H132" s="23" t="s">
        <v>52</v>
      </c>
    </row>
    <row r="133" spans="1:8" x14ac:dyDescent="0.25">
      <c r="A133" s="10" t="s">
        <v>74</v>
      </c>
      <c r="B133" s="21">
        <v>85</v>
      </c>
      <c r="C133" s="21">
        <v>180</v>
      </c>
      <c r="D133" s="21">
        <v>60</v>
      </c>
      <c r="E133" s="24">
        <v>1.9674185463659146E-3</v>
      </c>
      <c r="F133" s="25">
        <v>1.9999999999999999E-6</v>
      </c>
      <c r="G133">
        <f>10*F133*4</f>
        <v>7.9999999999999993E-5</v>
      </c>
      <c r="H133">
        <f>((G133/$G$7)*(100))</f>
        <v>2.8571428571428572</v>
      </c>
    </row>
    <row r="134" spans="1:8" x14ac:dyDescent="0.25">
      <c r="A134" s="10" t="s">
        <v>74</v>
      </c>
      <c r="B134" s="21">
        <v>85</v>
      </c>
      <c r="C134" s="21">
        <v>240</v>
      </c>
      <c r="D134" s="21">
        <v>10</v>
      </c>
      <c r="E134" s="23">
        <v>0</v>
      </c>
      <c r="F134" s="23" t="s">
        <v>52</v>
      </c>
      <c r="G134" s="23" t="s">
        <v>52</v>
      </c>
      <c r="H134" s="23" t="s">
        <v>52</v>
      </c>
    </row>
    <row r="135" spans="1:8" x14ac:dyDescent="0.25">
      <c r="A135" s="10" t="s">
        <v>74</v>
      </c>
      <c r="B135" s="21">
        <v>85</v>
      </c>
      <c r="C135" s="21">
        <v>240</v>
      </c>
      <c r="D135" s="21">
        <v>20</v>
      </c>
      <c r="E135" s="23">
        <v>0</v>
      </c>
      <c r="F135" s="23" t="s">
        <v>52</v>
      </c>
      <c r="G135" s="23" t="s">
        <v>52</v>
      </c>
      <c r="H135" s="23" t="s">
        <v>52</v>
      </c>
    </row>
    <row r="136" spans="1:8" x14ac:dyDescent="0.25">
      <c r="A136" s="10" t="s">
        <v>74</v>
      </c>
      <c r="B136" s="21">
        <v>85</v>
      </c>
      <c r="C136" s="21">
        <v>240</v>
      </c>
      <c r="D136" s="21">
        <v>30</v>
      </c>
      <c r="E136" s="23">
        <v>0</v>
      </c>
      <c r="F136" s="23" t="s">
        <v>52</v>
      </c>
      <c r="G136" s="23" t="s">
        <v>52</v>
      </c>
      <c r="H136" s="23" t="s">
        <v>52</v>
      </c>
    </row>
    <row r="137" spans="1:8" x14ac:dyDescent="0.25">
      <c r="A137" s="10" t="s">
        <v>74</v>
      </c>
      <c r="B137" s="21">
        <v>85</v>
      </c>
      <c r="C137" s="21">
        <v>240</v>
      </c>
      <c r="D137" s="21">
        <v>40</v>
      </c>
      <c r="E137" s="23">
        <v>0</v>
      </c>
      <c r="F137" s="23" t="s">
        <v>52</v>
      </c>
      <c r="G137" s="23" t="s">
        <v>52</v>
      </c>
      <c r="H137" s="23" t="s">
        <v>52</v>
      </c>
    </row>
    <row r="138" spans="1:8" x14ac:dyDescent="0.25">
      <c r="A138" s="10" t="s">
        <v>74</v>
      </c>
      <c r="B138" s="21">
        <v>85</v>
      </c>
      <c r="C138" s="21">
        <v>240</v>
      </c>
      <c r="D138" s="21">
        <v>50</v>
      </c>
      <c r="E138" s="23">
        <v>0</v>
      </c>
      <c r="F138" s="23" t="s">
        <v>52</v>
      </c>
      <c r="G138" s="23" t="s">
        <v>52</v>
      </c>
      <c r="H138" s="23" t="s">
        <v>52</v>
      </c>
    </row>
    <row r="139" spans="1:8" ht="14.25" customHeight="1" x14ac:dyDescent="0.25">
      <c r="A139" s="10" t="s">
        <v>74</v>
      </c>
      <c r="B139" s="21">
        <v>85</v>
      </c>
      <c r="C139" s="21">
        <v>240</v>
      </c>
      <c r="D139" s="21">
        <v>60</v>
      </c>
      <c r="E139" s="23">
        <v>0</v>
      </c>
      <c r="F139">
        <v>0</v>
      </c>
      <c r="G139">
        <f>10*F139*4</f>
        <v>0</v>
      </c>
      <c r="H139">
        <f>((G139/$G$7)*(100))</f>
        <v>0</v>
      </c>
    </row>
    <row r="140" spans="1:8" x14ac:dyDescent="0.25">
      <c r="A140" s="10" t="s">
        <v>74</v>
      </c>
      <c r="B140" s="21">
        <v>85</v>
      </c>
      <c r="C140" s="21">
        <v>300</v>
      </c>
      <c r="D140" s="21">
        <v>10</v>
      </c>
      <c r="E140" s="23">
        <v>0</v>
      </c>
      <c r="F140" s="23" t="s">
        <v>52</v>
      </c>
      <c r="G140" s="23" t="s">
        <v>52</v>
      </c>
      <c r="H140" s="23" t="s">
        <v>52</v>
      </c>
    </row>
    <row r="141" spans="1:8" x14ac:dyDescent="0.25">
      <c r="A141" s="10" t="s">
        <v>74</v>
      </c>
      <c r="B141" s="21">
        <v>85</v>
      </c>
      <c r="C141" s="21">
        <v>300</v>
      </c>
      <c r="D141" s="21">
        <v>20</v>
      </c>
      <c r="E141" s="23">
        <v>0</v>
      </c>
      <c r="F141" s="23" t="s">
        <v>52</v>
      </c>
      <c r="G141" s="23" t="s">
        <v>52</v>
      </c>
      <c r="H141" s="23" t="s">
        <v>52</v>
      </c>
    </row>
    <row r="142" spans="1:8" x14ac:dyDescent="0.25">
      <c r="A142" s="10" t="s">
        <v>74</v>
      </c>
      <c r="B142" s="21">
        <v>85</v>
      </c>
      <c r="C142" s="21">
        <v>300</v>
      </c>
      <c r="D142" s="21">
        <v>30</v>
      </c>
      <c r="E142" s="23">
        <v>0</v>
      </c>
      <c r="F142" s="23" t="s">
        <v>52</v>
      </c>
      <c r="G142" s="23" t="s">
        <v>52</v>
      </c>
      <c r="H142" s="23" t="s">
        <v>52</v>
      </c>
    </row>
    <row r="143" spans="1:8" x14ac:dyDescent="0.25">
      <c r="A143" s="10" t="s">
        <v>74</v>
      </c>
      <c r="B143" s="21">
        <v>85</v>
      </c>
      <c r="C143" s="21">
        <v>300</v>
      </c>
      <c r="D143" s="21">
        <v>40</v>
      </c>
      <c r="E143" s="23">
        <v>0</v>
      </c>
      <c r="F143" s="23" t="s">
        <v>52</v>
      </c>
      <c r="G143" s="23" t="s">
        <v>52</v>
      </c>
      <c r="H143" s="23" t="s">
        <v>52</v>
      </c>
    </row>
    <row r="144" spans="1:8" x14ac:dyDescent="0.25">
      <c r="A144" s="10" t="s">
        <v>74</v>
      </c>
      <c r="B144" s="21">
        <v>85</v>
      </c>
      <c r="C144" s="21">
        <v>300</v>
      </c>
      <c r="D144" s="21">
        <v>50</v>
      </c>
      <c r="E144" s="23">
        <v>0</v>
      </c>
      <c r="F144" s="23" t="s">
        <v>52</v>
      </c>
      <c r="G144" s="23" t="s">
        <v>52</v>
      </c>
      <c r="H144" s="23" t="s">
        <v>52</v>
      </c>
    </row>
    <row r="145" spans="1:8" x14ac:dyDescent="0.25">
      <c r="A145" s="10" t="s">
        <v>74</v>
      </c>
      <c r="B145" s="21">
        <v>85</v>
      </c>
      <c r="C145" s="21">
        <v>300</v>
      </c>
      <c r="D145" s="21">
        <v>60</v>
      </c>
      <c r="E145" s="23">
        <v>0</v>
      </c>
      <c r="F145" s="24">
        <v>0</v>
      </c>
      <c r="G145">
        <f>10*F145*4</f>
        <v>0</v>
      </c>
      <c r="H145">
        <f>((G145/$G$7)*(100))</f>
        <v>0</v>
      </c>
    </row>
    <row r="146" spans="1:8" x14ac:dyDescent="0.25">
      <c r="A146" s="10" t="s">
        <v>74</v>
      </c>
      <c r="B146" s="21">
        <v>85</v>
      </c>
      <c r="C146" s="21">
        <v>360</v>
      </c>
      <c r="D146" s="21">
        <v>10</v>
      </c>
      <c r="E146" s="23">
        <v>0</v>
      </c>
      <c r="F146" s="23" t="s">
        <v>52</v>
      </c>
      <c r="G146" s="23" t="s">
        <v>52</v>
      </c>
      <c r="H146" s="23" t="s">
        <v>52</v>
      </c>
    </row>
    <row r="147" spans="1:8" x14ac:dyDescent="0.25">
      <c r="A147" s="10" t="s">
        <v>74</v>
      </c>
      <c r="B147" s="21">
        <v>85</v>
      </c>
      <c r="C147" s="21">
        <v>360</v>
      </c>
      <c r="D147" s="21">
        <v>20</v>
      </c>
      <c r="E147" s="23">
        <v>0</v>
      </c>
      <c r="F147" s="23" t="s">
        <v>52</v>
      </c>
      <c r="G147" s="23" t="s">
        <v>52</v>
      </c>
      <c r="H147" s="23" t="s">
        <v>52</v>
      </c>
    </row>
    <row r="148" spans="1:8" x14ac:dyDescent="0.25">
      <c r="A148" s="10" t="s">
        <v>74</v>
      </c>
      <c r="B148" s="21">
        <v>85</v>
      </c>
      <c r="C148" s="21">
        <v>360</v>
      </c>
      <c r="D148" s="21">
        <v>30</v>
      </c>
      <c r="E148" s="23">
        <v>0</v>
      </c>
      <c r="F148" s="23" t="s">
        <v>52</v>
      </c>
      <c r="G148" s="23" t="s">
        <v>52</v>
      </c>
      <c r="H148" s="23" t="s">
        <v>52</v>
      </c>
    </row>
    <row r="149" spans="1:8" x14ac:dyDescent="0.25">
      <c r="A149" s="10" t="s">
        <v>74</v>
      </c>
      <c r="B149" s="21">
        <v>85</v>
      </c>
      <c r="C149" s="21">
        <v>360</v>
      </c>
      <c r="D149" s="21">
        <v>40</v>
      </c>
      <c r="E149" s="23">
        <v>0</v>
      </c>
      <c r="F149" s="23" t="s">
        <v>52</v>
      </c>
      <c r="G149" s="23" t="s">
        <v>52</v>
      </c>
      <c r="H149" s="23" t="s">
        <v>52</v>
      </c>
    </row>
    <row r="150" spans="1:8" x14ac:dyDescent="0.25">
      <c r="A150" s="10" t="s">
        <v>74</v>
      </c>
      <c r="B150" s="21">
        <v>85</v>
      </c>
      <c r="C150" s="21">
        <v>360</v>
      </c>
      <c r="D150" s="21">
        <v>50</v>
      </c>
      <c r="E150" s="23">
        <v>0</v>
      </c>
      <c r="F150" s="23" t="s">
        <v>52</v>
      </c>
      <c r="G150" s="23" t="s">
        <v>52</v>
      </c>
      <c r="H150" s="23" t="s">
        <v>52</v>
      </c>
    </row>
    <row r="151" spans="1:8" x14ac:dyDescent="0.25">
      <c r="A151" s="10" t="s">
        <v>74</v>
      </c>
      <c r="B151" s="21">
        <v>85</v>
      </c>
      <c r="C151" s="21">
        <v>360</v>
      </c>
      <c r="D151" s="21">
        <v>60</v>
      </c>
      <c r="E151" s="24">
        <v>0</v>
      </c>
      <c r="F151" s="24">
        <v>0</v>
      </c>
      <c r="G151">
        <f>10*F151*4</f>
        <v>0</v>
      </c>
      <c r="H151">
        <f>((G151/$G$7)*(100))</f>
        <v>0</v>
      </c>
    </row>
    <row r="152" spans="1:8" x14ac:dyDescent="0.25">
      <c r="A152" s="10" t="s">
        <v>74</v>
      </c>
      <c r="B152" s="21">
        <v>90</v>
      </c>
      <c r="C152" s="21">
        <v>60</v>
      </c>
      <c r="D152" s="21">
        <v>10</v>
      </c>
      <c r="E152" s="23">
        <v>1.8796992481203006E-4</v>
      </c>
      <c r="F152" s="23" t="s">
        <v>52</v>
      </c>
      <c r="G152" s="23" t="s">
        <v>52</v>
      </c>
      <c r="H152" s="23" t="s">
        <v>52</v>
      </c>
    </row>
    <row r="153" spans="1:8" x14ac:dyDescent="0.25">
      <c r="A153" s="10" t="s">
        <v>74</v>
      </c>
      <c r="B153" s="21">
        <v>90</v>
      </c>
      <c r="C153" s="21">
        <v>60</v>
      </c>
      <c r="D153" s="21">
        <v>20</v>
      </c>
      <c r="E153" s="23">
        <v>2.380952380952381E-4</v>
      </c>
      <c r="F153" s="23" t="s">
        <v>52</v>
      </c>
      <c r="G153" s="23" t="s">
        <v>52</v>
      </c>
      <c r="H153" s="23" t="s">
        <v>52</v>
      </c>
    </row>
    <row r="154" spans="1:8" x14ac:dyDescent="0.25">
      <c r="A154" s="10" t="s">
        <v>74</v>
      </c>
      <c r="B154" s="21">
        <v>90</v>
      </c>
      <c r="C154" s="21">
        <v>60</v>
      </c>
      <c r="D154" s="21">
        <v>30</v>
      </c>
      <c r="E154" s="23">
        <v>2.8822055137844605E-4</v>
      </c>
      <c r="F154" s="23" t="s">
        <v>52</v>
      </c>
      <c r="G154" s="23" t="s">
        <v>52</v>
      </c>
      <c r="H154" s="23" t="s">
        <v>52</v>
      </c>
    </row>
    <row r="155" spans="1:8" x14ac:dyDescent="0.25">
      <c r="A155" s="10" t="s">
        <v>74</v>
      </c>
      <c r="B155" s="21">
        <v>90</v>
      </c>
      <c r="C155" s="21">
        <v>60</v>
      </c>
      <c r="D155" s="21">
        <v>40</v>
      </c>
      <c r="E155" s="23">
        <v>3.3834586466165417E-4</v>
      </c>
      <c r="F155" s="23" t="s">
        <v>52</v>
      </c>
      <c r="G155" s="23" t="s">
        <v>52</v>
      </c>
      <c r="H155" s="23" t="s">
        <v>52</v>
      </c>
    </row>
    <row r="156" spans="1:8" x14ac:dyDescent="0.25">
      <c r="A156" s="10" t="s">
        <v>74</v>
      </c>
      <c r="B156" s="21">
        <v>90</v>
      </c>
      <c r="C156" s="21">
        <v>60</v>
      </c>
      <c r="D156" s="21">
        <v>50</v>
      </c>
      <c r="E156" s="23">
        <v>4.0100250626566412E-4</v>
      </c>
      <c r="F156" s="23" t="s">
        <v>52</v>
      </c>
      <c r="G156" s="23" t="s">
        <v>52</v>
      </c>
      <c r="H156" s="23" t="s">
        <v>52</v>
      </c>
    </row>
    <row r="157" spans="1:8" x14ac:dyDescent="0.25">
      <c r="A157" s="10" t="s">
        <v>74</v>
      </c>
      <c r="B157" s="21">
        <v>90</v>
      </c>
      <c r="C157" s="21">
        <v>60</v>
      </c>
      <c r="D157" s="21">
        <v>60</v>
      </c>
      <c r="E157" s="23">
        <v>4.6365914786967413E-4</v>
      </c>
      <c r="F157">
        <v>5.0000000000000004E-6</v>
      </c>
      <c r="G157">
        <f>10*F157*4</f>
        <v>2.0000000000000001E-4</v>
      </c>
      <c r="H157">
        <f>((G157/$G$7)*(100))</f>
        <v>7.1428571428571441</v>
      </c>
    </row>
    <row r="158" spans="1:8" x14ac:dyDescent="0.25">
      <c r="A158" s="10" t="s">
        <v>74</v>
      </c>
      <c r="B158" s="21">
        <v>90</v>
      </c>
      <c r="C158" s="21">
        <v>120</v>
      </c>
      <c r="D158" s="21">
        <v>10</v>
      </c>
      <c r="E158" s="23">
        <v>1.7919799498746867E-3</v>
      </c>
      <c r="F158" s="23" t="s">
        <v>52</v>
      </c>
      <c r="G158" s="23" t="s">
        <v>52</v>
      </c>
      <c r="H158" s="23" t="s">
        <v>52</v>
      </c>
    </row>
    <row r="159" spans="1:8" x14ac:dyDescent="0.25">
      <c r="A159" s="10" t="s">
        <v>74</v>
      </c>
      <c r="B159" s="21">
        <v>90</v>
      </c>
      <c r="C159" s="21">
        <v>120</v>
      </c>
      <c r="D159" s="21">
        <v>20</v>
      </c>
      <c r="E159" s="23">
        <v>1.8295739348370924E-3</v>
      </c>
      <c r="F159" s="23" t="s">
        <v>52</v>
      </c>
      <c r="G159" s="23" t="s">
        <v>52</v>
      </c>
      <c r="H159" s="23" t="s">
        <v>52</v>
      </c>
    </row>
    <row r="160" spans="1:8" x14ac:dyDescent="0.25">
      <c r="A160" s="10" t="s">
        <v>74</v>
      </c>
      <c r="B160" s="21">
        <v>90</v>
      </c>
      <c r="C160" s="21">
        <v>120</v>
      </c>
      <c r="D160" s="21">
        <v>30</v>
      </c>
      <c r="E160" s="23">
        <v>1.8421052631578947E-3</v>
      </c>
      <c r="F160" s="23" t="s">
        <v>52</v>
      </c>
      <c r="G160" s="23" t="s">
        <v>52</v>
      </c>
      <c r="H160" s="23" t="s">
        <v>52</v>
      </c>
    </row>
    <row r="161" spans="1:8" x14ac:dyDescent="0.25">
      <c r="A161" s="10" t="s">
        <v>74</v>
      </c>
      <c r="B161" s="21">
        <v>90</v>
      </c>
      <c r="C161" s="21">
        <v>120</v>
      </c>
      <c r="D161" s="21">
        <v>40</v>
      </c>
      <c r="E161" s="23">
        <v>1.8922305764411025E-3</v>
      </c>
      <c r="F161" s="23" t="s">
        <v>52</v>
      </c>
      <c r="G161" s="23" t="s">
        <v>52</v>
      </c>
      <c r="H161" s="23" t="s">
        <v>52</v>
      </c>
    </row>
    <row r="162" spans="1:8" x14ac:dyDescent="0.25">
      <c r="A162" s="10" t="s">
        <v>74</v>
      </c>
      <c r="B162" s="21">
        <v>90</v>
      </c>
      <c r="C162" s="21">
        <v>120</v>
      </c>
      <c r="D162" s="21">
        <v>50</v>
      </c>
      <c r="E162" s="23">
        <v>1.9548872180451126E-3</v>
      </c>
      <c r="F162" s="23" t="s">
        <v>52</v>
      </c>
      <c r="G162" s="23" t="s">
        <v>52</v>
      </c>
      <c r="H162" s="23" t="s">
        <v>52</v>
      </c>
    </row>
    <row r="163" spans="1:8" x14ac:dyDescent="0.25">
      <c r="A163" s="10" t="s">
        <v>74</v>
      </c>
      <c r="B163" s="21">
        <v>90</v>
      </c>
      <c r="C163" s="21">
        <v>120</v>
      </c>
      <c r="D163" s="21">
        <v>60</v>
      </c>
      <c r="E163" s="23">
        <v>4.2606516290726809E-3</v>
      </c>
      <c r="F163">
        <v>9.0000000000000002E-6</v>
      </c>
      <c r="G163">
        <f>10*F163*4</f>
        <v>3.6000000000000002E-4</v>
      </c>
      <c r="H163">
        <f>((G163/$G$7)*(100))</f>
        <v>12.857142857142861</v>
      </c>
    </row>
    <row r="164" spans="1:8" x14ac:dyDescent="0.25">
      <c r="A164" s="10" t="s">
        <v>74</v>
      </c>
      <c r="B164" s="21">
        <v>90</v>
      </c>
      <c r="C164" s="21">
        <v>180</v>
      </c>
      <c r="D164" s="21">
        <v>10</v>
      </c>
      <c r="E164" s="24">
        <v>0</v>
      </c>
      <c r="F164" s="23" t="s">
        <v>52</v>
      </c>
      <c r="G164" s="23" t="s">
        <v>52</v>
      </c>
      <c r="H164" s="23" t="s">
        <v>52</v>
      </c>
    </row>
    <row r="165" spans="1:8" x14ac:dyDescent="0.25">
      <c r="A165" s="10" t="s">
        <v>74</v>
      </c>
      <c r="B165" s="21">
        <v>90</v>
      </c>
      <c r="C165" s="21">
        <v>180</v>
      </c>
      <c r="D165" s="21">
        <v>20</v>
      </c>
      <c r="E165" s="24">
        <v>0</v>
      </c>
      <c r="F165" s="23" t="s">
        <v>52</v>
      </c>
      <c r="G165" s="23" t="s">
        <v>52</v>
      </c>
      <c r="H165" s="23" t="s">
        <v>52</v>
      </c>
    </row>
    <row r="166" spans="1:8" x14ac:dyDescent="0.25">
      <c r="A166" s="10" t="s">
        <v>74</v>
      </c>
      <c r="B166" s="21">
        <v>90</v>
      </c>
      <c r="C166" s="21">
        <v>180</v>
      </c>
      <c r="D166" s="21">
        <v>30</v>
      </c>
      <c r="E166" s="24">
        <v>0</v>
      </c>
      <c r="F166" s="23" t="s">
        <v>52</v>
      </c>
      <c r="G166" s="23" t="s">
        <v>52</v>
      </c>
      <c r="H166" s="23" t="s">
        <v>52</v>
      </c>
    </row>
    <row r="167" spans="1:8" x14ac:dyDescent="0.25">
      <c r="A167" s="10" t="s">
        <v>74</v>
      </c>
      <c r="B167" s="21">
        <v>90</v>
      </c>
      <c r="C167" s="21">
        <v>180</v>
      </c>
      <c r="D167" s="21">
        <v>40</v>
      </c>
      <c r="E167" s="24">
        <v>0</v>
      </c>
      <c r="F167" s="23" t="s">
        <v>52</v>
      </c>
      <c r="G167" s="23" t="s">
        <v>52</v>
      </c>
      <c r="H167" s="23" t="s">
        <v>52</v>
      </c>
    </row>
    <row r="168" spans="1:8" x14ac:dyDescent="0.25">
      <c r="A168" s="10" t="s">
        <v>74</v>
      </c>
      <c r="B168" s="21">
        <v>90</v>
      </c>
      <c r="C168" s="21">
        <v>180</v>
      </c>
      <c r="D168" s="21">
        <v>50</v>
      </c>
      <c r="E168" s="24">
        <v>0</v>
      </c>
      <c r="F168" s="23" t="s">
        <v>52</v>
      </c>
      <c r="G168" s="23" t="s">
        <v>52</v>
      </c>
      <c r="H168" s="23" t="s">
        <v>52</v>
      </c>
    </row>
    <row r="169" spans="1:8" x14ac:dyDescent="0.25">
      <c r="A169" s="10" t="s">
        <v>74</v>
      </c>
      <c r="B169" s="21">
        <v>90</v>
      </c>
      <c r="C169" s="21">
        <v>180</v>
      </c>
      <c r="D169" s="21">
        <v>60</v>
      </c>
      <c r="E169" s="24">
        <v>0</v>
      </c>
      <c r="F169" s="24">
        <v>0</v>
      </c>
      <c r="G169">
        <f>10*F169*4</f>
        <v>0</v>
      </c>
      <c r="H169">
        <f>((G169/$G$7)*(100))</f>
        <v>0</v>
      </c>
    </row>
    <row r="170" spans="1:8" x14ac:dyDescent="0.25">
      <c r="A170" s="10" t="s">
        <v>74</v>
      </c>
      <c r="B170" s="21">
        <v>90</v>
      </c>
      <c r="C170" s="21">
        <v>240</v>
      </c>
      <c r="D170" s="21">
        <v>10</v>
      </c>
      <c r="E170" s="23">
        <v>0</v>
      </c>
      <c r="F170" s="23" t="s">
        <v>52</v>
      </c>
      <c r="G170" s="23" t="s">
        <v>52</v>
      </c>
      <c r="H170" s="23" t="s">
        <v>52</v>
      </c>
    </row>
    <row r="171" spans="1:8" x14ac:dyDescent="0.25">
      <c r="A171" s="10" t="s">
        <v>74</v>
      </c>
      <c r="B171" s="21">
        <v>90</v>
      </c>
      <c r="C171" s="21">
        <v>240</v>
      </c>
      <c r="D171" s="21">
        <v>20</v>
      </c>
      <c r="E171" s="23">
        <v>0</v>
      </c>
      <c r="F171" s="23" t="s">
        <v>52</v>
      </c>
      <c r="G171" s="23" t="s">
        <v>52</v>
      </c>
      <c r="H171" s="23" t="s">
        <v>52</v>
      </c>
    </row>
    <row r="172" spans="1:8" x14ac:dyDescent="0.25">
      <c r="A172" s="10" t="s">
        <v>74</v>
      </c>
      <c r="B172" s="21">
        <v>90</v>
      </c>
      <c r="C172" s="21">
        <v>240</v>
      </c>
      <c r="D172" s="21">
        <v>30</v>
      </c>
      <c r="E172" s="23">
        <v>0</v>
      </c>
      <c r="F172" s="23" t="s">
        <v>52</v>
      </c>
      <c r="G172" s="23" t="s">
        <v>52</v>
      </c>
      <c r="H172" s="23" t="s">
        <v>52</v>
      </c>
    </row>
    <row r="173" spans="1:8" x14ac:dyDescent="0.25">
      <c r="A173" s="10" t="s">
        <v>74</v>
      </c>
      <c r="B173" s="21">
        <v>90</v>
      </c>
      <c r="C173" s="21">
        <v>240</v>
      </c>
      <c r="D173" s="21">
        <v>40</v>
      </c>
      <c r="E173" s="23">
        <v>0</v>
      </c>
      <c r="F173" s="23" t="s">
        <v>52</v>
      </c>
      <c r="G173" s="23" t="s">
        <v>52</v>
      </c>
      <c r="H173" s="23" t="s">
        <v>52</v>
      </c>
    </row>
    <row r="174" spans="1:8" x14ac:dyDescent="0.25">
      <c r="A174" s="10" t="s">
        <v>74</v>
      </c>
      <c r="B174" s="21">
        <v>90</v>
      </c>
      <c r="C174" s="21">
        <v>240</v>
      </c>
      <c r="D174" s="21">
        <v>50</v>
      </c>
      <c r="E174" s="23">
        <v>0</v>
      </c>
      <c r="F174" s="23" t="s">
        <v>52</v>
      </c>
      <c r="G174" s="23" t="s">
        <v>52</v>
      </c>
      <c r="H174" s="23" t="s">
        <v>52</v>
      </c>
    </row>
    <row r="175" spans="1:8" x14ac:dyDescent="0.25">
      <c r="A175" s="10" t="s">
        <v>74</v>
      </c>
      <c r="B175" s="21">
        <v>90</v>
      </c>
      <c r="C175" s="21">
        <v>240</v>
      </c>
      <c r="D175" s="21">
        <v>60</v>
      </c>
      <c r="E175" s="23">
        <v>0</v>
      </c>
      <c r="F175">
        <v>0</v>
      </c>
      <c r="G175">
        <f>10*F175*4</f>
        <v>0</v>
      </c>
      <c r="H175">
        <f>((G175/$G$7)*(100))</f>
        <v>0</v>
      </c>
    </row>
    <row r="176" spans="1:8" x14ac:dyDescent="0.25">
      <c r="A176" s="10" t="s">
        <v>74</v>
      </c>
      <c r="B176" s="21">
        <v>90</v>
      </c>
      <c r="C176" s="21">
        <v>300</v>
      </c>
      <c r="D176" s="21">
        <v>10</v>
      </c>
      <c r="E176" s="24">
        <v>0</v>
      </c>
      <c r="F176" s="23" t="s">
        <v>52</v>
      </c>
      <c r="G176" s="23" t="s">
        <v>52</v>
      </c>
      <c r="H176" s="23" t="s">
        <v>52</v>
      </c>
    </row>
    <row r="177" spans="1:8" x14ac:dyDescent="0.25">
      <c r="A177" s="10" t="s">
        <v>74</v>
      </c>
      <c r="B177" s="21">
        <v>90</v>
      </c>
      <c r="C177" s="21">
        <v>300</v>
      </c>
      <c r="D177" s="21">
        <v>20</v>
      </c>
      <c r="E177" s="24">
        <v>0</v>
      </c>
      <c r="F177" s="23" t="s">
        <v>52</v>
      </c>
      <c r="G177" s="23" t="s">
        <v>52</v>
      </c>
      <c r="H177" s="23" t="s">
        <v>52</v>
      </c>
    </row>
    <row r="178" spans="1:8" x14ac:dyDescent="0.25">
      <c r="A178" s="10" t="s">
        <v>74</v>
      </c>
      <c r="B178" s="21">
        <v>90</v>
      </c>
      <c r="C178" s="21">
        <v>300</v>
      </c>
      <c r="D178" s="21">
        <v>30</v>
      </c>
      <c r="E178" s="24">
        <v>0</v>
      </c>
      <c r="F178" s="23" t="s">
        <v>52</v>
      </c>
      <c r="G178" s="23" t="s">
        <v>52</v>
      </c>
      <c r="H178" s="23" t="s">
        <v>52</v>
      </c>
    </row>
    <row r="179" spans="1:8" x14ac:dyDescent="0.25">
      <c r="A179" s="10" t="s">
        <v>74</v>
      </c>
      <c r="B179" s="21">
        <v>90</v>
      </c>
      <c r="C179" s="21">
        <v>300</v>
      </c>
      <c r="D179" s="21">
        <v>40</v>
      </c>
      <c r="E179" s="24">
        <v>0</v>
      </c>
      <c r="F179" s="23" t="s">
        <v>52</v>
      </c>
      <c r="G179" s="23" t="s">
        <v>52</v>
      </c>
      <c r="H179" s="23" t="s">
        <v>52</v>
      </c>
    </row>
    <row r="180" spans="1:8" x14ac:dyDescent="0.25">
      <c r="A180" s="10" t="s">
        <v>74</v>
      </c>
      <c r="B180" s="21">
        <v>90</v>
      </c>
      <c r="C180" s="21">
        <v>300</v>
      </c>
      <c r="D180" s="21">
        <v>50</v>
      </c>
      <c r="E180" s="24">
        <v>0</v>
      </c>
      <c r="F180" s="23" t="s">
        <v>52</v>
      </c>
      <c r="G180" s="23" t="s">
        <v>52</v>
      </c>
      <c r="H180" s="23" t="s">
        <v>52</v>
      </c>
    </row>
    <row r="181" spans="1:8" x14ac:dyDescent="0.25">
      <c r="A181" s="10" t="s">
        <v>74</v>
      </c>
      <c r="B181" s="21">
        <v>90</v>
      </c>
      <c r="C181" s="21">
        <v>300</v>
      </c>
      <c r="D181" s="21">
        <v>60</v>
      </c>
      <c r="E181" s="24">
        <v>0</v>
      </c>
      <c r="F181" s="24">
        <v>0</v>
      </c>
      <c r="G181">
        <f>10*F181*4</f>
        <v>0</v>
      </c>
      <c r="H181">
        <f>((G181/$G$7)*(100))</f>
        <v>0</v>
      </c>
    </row>
    <row r="182" spans="1:8" x14ac:dyDescent="0.25">
      <c r="A182" s="10" t="s">
        <v>74</v>
      </c>
      <c r="B182" s="21">
        <v>90</v>
      </c>
      <c r="C182" s="21">
        <v>360</v>
      </c>
      <c r="D182" s="21">
        <v>10</v>
      </c>
      <c r="E182" s="24">
        <v>0</v>
      </c>
      <c r="F182" s="23" t="s">
        <v>52</v>
      </c>
      <c r="G182" s="23" t="s">
        <v>52</v>
      </c>
      <c r="H182" s="23" t="s">
        <v>52</v>
      </c>
    </row>
    <row r="183" spans="1:8" x14ac:dyDescent="0.25">
      <c r="A183" s="10" t="s">
        <v>74</v>
      </c>
      <c r="B183" s="21">
        <v>90</v>
      </c>
      <c r="C183" s="21">
        <v>360</v>
      </c>
      <c r="D183" s="21">
        <v>20</v>
      </c>
      <c r="E183" s="24">
        <v>0</v>
      </c>
      <c r="F183" s="23" t="s">
        <v>52</v>
      </c>
      <c r="G183" s="23" t="s">
        <v>52</v>
      </c>
      <c r="H183" s="23" t="s">
        <v>52</v>
      </c>
    </row>
    <row r="184" spans="1:8" x14ac:dyDescent="0.25">
      <c r="A184" s="10" t="s">
        <v>74</v>
      </c>
      <c r="B184" s="21">
        <v>90</v>
      </c>
      <c r="C184" s="21">
        <v>360</v>
      </c>
      <c r="D184" s="21">
        <v>30</v>
      </c>
      <c r="E184" s="24">
        <v>0</v>
      </c>
      <c r="F184" s="23" t="s">
        <v>52</v>
      </c>
      <c r="G184" s="23" t="s">
        <v>52</v>
      </c>
      <c r="H184" s="23" t="s">
        <v>52</v>
      </c>
    </row>
    <row r="185" spans="1:8" x14ac:dyDescent="0.25">
      <c r="A185" s="10" t="s">
        <v>74</v>
      </c>
      <c r="B185" s="21">
        <v>90</v>
      </c>
      <c r="C185" s="21">
        <v>360</v>
      </c>
      <c r="D185" s="21">
        <v>40</v>
      </c>
      <c r="E185" s="24">
        <v>0</v>
      </c>
      <c r="F185" s="23" t="s">
        <v>52</v>
      </c>
      <c r="G185" s="23" t="s">
        <v>52</v>
      </c>
      <c r="H185" s="23" t="s">
        <v>52</v>
      </c>
    </row>
    <row r="186" spans="1:8" x14ac:dyDescent="0.25">
      <c r="A186" s="10" t="s">
        <v>74</v>
      </c>
      <c r="B186" s="21">
        <v>90</v>
      </c>
      <c r="C186" s="21">
        <v>360</v>
      </c>
      <c r="D186" s="21">
        <v>50</v>
      </c>
      <c r="E186" s="24">
        <v>0</v>
      </c>
      <c r="F186" s="23" t="s">
        <v>52</v>
      </c>
      <c r="G186" s="23" t="s">
        <v>52</v>
      </c>
      <c r="H186" s="23" t="s">
        <v>52</v>
      </c>
    </row>
    <row r="187" spans="1:8" x14ac:dyDescent="0.25">
      <c r="A187" s="10" t="s">
        <v>74</v>
      </c>
      <c r="B187" s="21">
        <v>90</v>
      </c>
      <c r="C187" s="21">
        <v>360</v>
      </c>
      <c r="D187" s="21">
        <v>60</v>
      </c>
      <c r="E187" s="24">
        <v>0</v>
      </c>
      <c r="F187" s="24">
        <v>0</v>
      </c>
      <c r="G187">
        <f>10*F187*4</f>
        <v>0</v>
      </c>
      <c r="H187">
        <f>((G187/$G$7)*(100))</f>
        <v>0</v>
      </c>
    </row>
    <row r="188" spans="1:8" x14ac:dyDescent="0.25">
      <c r="A188" s="10" t="s">
        <v>75</v>
      </c>
      <c r="B188">
        <v>300</v>
      </c>
      <c r="C188">
        <v>15</v>
      </c>
      <c r="D188">
        <v>10</v>
      </c>
      <c r="E188">
        <v>4.2606516290726809E-3</v>
      </c>
      <c r="F188" s="23" t="s">
        <v>52</v>
      </c>
      <c r="G188" s="23" t="s">
        <v>52</v>
      </c>
      <c r="H188" s="23" t="s">
        <v>52</v>
      </c>
    </row>
    <row r="189" spans="1:8" x14ac:dyDescent="0.25">
      <c r="A189" s="10" t="s">
        <v>75</v>
      </c>
      <c r="B189">
        <v>300</v>
      </c>
      <c r="C189">
        <v>15</v>
      </c>
      <c r="D189">
        <v>20</v>
      </c>
      <c r="E189">
        <v>4.6365914786967418E-3</v>
      </c>
      <c r="F189" s="23" t="s">
        <v>52</v>
      </c>
      <c r="G189" s="23" t="s">
        <v>52</v>
      </c>
      <c r="H189" s="23" t="s">
        <v>52</v>
      </c>
    </row>
    <row r="190" spans="1:8" x14ac:dyDescent="0.25">
      <c r="A190" s="10" t="s">
        <v>75</v>
      </c>
      <c r="B190">
        <v>300</v>
      </c>
      <c r="C190">
        <v>15</v>
      </c>
      <c r="D190">
        <v>30</v>
      </c>
      <c r="E190">
        <v>5.1002506265664166E-3</v>
      </c>
      <c r="F190" s="23" t="s">
        <v>52</v>
      </c>
      <c r="G190" s="23" t="s">
        <v>52</v>
      </c>
      <c r="H190" s="23" t="s">
        <v>52</v>
      </c>
    </row>
    <row r="191" spans="1:8" x14ac:dyDescent="0.25">
      <c r="A191" s="10" t="s">
        <v>75</v>
      </c>
      <c r="B191">
        <v>300</v>
      </c>
      <c r="C191">
        <v>15</v>
      </c>
      <c r="D191">
        <v>40</v>
      </c>
      <c r="E191">
        <v>5.5137844611528814E-3</v>
      </c>
      <c r="F191" s="23" t="s">
        <v>52</v>
      </c>
      <c r="G191" s="23" t="s">
        <v>52</v>
      </c>
      <c r="H191" s="23" t="s">
        <v>52</v>
      </c>
    </row>
    <row r="192" spans="1:8" x14ac:dyDescent="0.25">
      <c r="A192" s="10" t="s">
        <v>75</v>
      </c>
      <c r="B192">
        <v>300</v>
      </c>
      <c r="C192">
        <v>15</v>
      </c>
      <c r="D192">
        <v>50</v>
      </c>
      <c r="E192">
        <v>5.9774436090225562E-3</v>
      </c>
      <c r="F192" s="23" t="s">
        <v>52</v>
      </c>
      <c r="G192" s="23" t="s">
        <v>52</v>
      </c>
      <c r="H192" s="23" t="s">
        <v>52</v>
      </c>
    </row>
    <row r="193" spans="1:8" x14ac:dyDescent="0.25">
      <c r="A193" s="10" t="s">
        <v>75</v>
      </c>
      <c r="B193">
        <v>300</v>
      </c>
      <c r="C193">
        <v>15</v>
      </c>
      <c r="D193">
        <v>60</v>
      </c>
      <c r="E193">
        <v>6.4035087719298252E-3</v>
      </c>
      <c r="F193">
        <v>4.0000000000000003E-5</v>
      </c>
      <c r="G193">
        <f>10*F193*4</f>
        <v>1.6000000000000001E-3</v>
      </c>
      <c r="H193" s="23">
        <f>((G193/0.0028)*(100))</f>
        <v>57.142857142857153</v>
      </c>
    </row>
    <row r="194" spans="1:8" x14ac:dyDescent="0.25">
      <c r="A194" s="10" t="s">
        <v>75</v>
      </c>
      <c r="B194">
        <v>300</v>
      </c>
      <c r="C194">
        <v>30</v>
      </c>
      <c r="D194">
        <v>10</v>
      </c>
      <c r="E194">
        <v>2.8571428571428567E-3</v>
      </c>
      <c r="F194" s="23" t="s">
        <v>52</v>
      </c>
      <c r="G194" s="23" t="s">
        <v>52</v>
      </c>
      <c r="H194" s="23" t="s">
        <v>52</v>
      </c>
    </row>
    <row r="195" spans="1:8" x14ac:dyDescent="0.25">
      <c r="A195" s="10" t="s">
        <v>75</v>
      </c>
      <c r="B195">
        <v>300</v>
      </c>
      <c r="C195">
        <v>30</v>
      </c>
      <c r="D195">
        <v>20</v>
      </c>
      <c r="E195">
        <v>3.1954887218045114E-3</v>
      </c>
      <c r="F195" s="23" t="s">
        <v>52</v>
      </c>
      <c r="G195" s="23" t="s">
        <v>52</v>
      </c>
      <c r="H195" s="23" t="s">
        <v>52</v>
      </c>
    </row>
    <row r="196" spans="1:8" x14ac:dyDescent="0.25">
      <c r="A196" s="10" t="s">
        <v>75</v>
      </c>
      <c r="B196">
        <v>300</v>
      </c>
      <c r="C196">
        <v>30</v>
      </c>
      <c r="D196">
        <v>30</v>
      </c>
      <c r="E196">
        <v>3.5338345864661656E-3</v>
      </c>
      <c r="F196" s="23" t="s">
        <v>52</v>
      </c>
      <c r="G196" s="23" t="s">
        <v>52</v>
      </c>
      <c r="H196" s="23" t="s">
        <v>52</v>
      </c>
    </row>
    <row r="197" spans="1:8" x14ac:dyDescent="0.25">
      <c r="A197" s="10" t="s">
        <v>75</v>
      </c>
      <c r="B197">
        <v>300</v>
      </c>
      <c r="C197">
        <v>30</v>
      </c>
      <c r="D197">
        <v>40</v>
      </c>
      <c r="E197">
        <v>3.8596491228070173E-3</v>
      </c>
      <c r="F197" s="23" t="s">
        <v>52</v>
      </c>
      <c r="G197" s="23" t="s">
        <v>52</v>
      </c>
      <c r="H197" s="23" t="s">
        <v>52</v>
      </c>
    </row>
    <row r="198" spans="1:8" x14ac:dyDescent="0.25">
      <c r="A198" s="10" t="s">
        <v>75</v>
      </c>
      <c r="B198">
        <v>300</v>
      </c>
      <c r="C198">
        <v>30</v>
      </c>
      <c r="D198">
        <v>50</v>
      </c>
      <c r="E198">
        <v>4.2105263157894736E-3</v>
      </c>
      <c r="F198" s="23" t="s">
        <v>52</v>
      </c>
      <c r="G198" s="23" t="s">
        <v>52</v>
      </c>
      <c r="H198" s="23" t="s">
        <v>52</v>
      </c>
    </row>
    <row r="199" spans="1:8" x14ac:dyDescent="0.25">
      <c r="A199" s="10" t="s">
        <v>75</v>
      </c>
      <c r="B199">
        <v>300</v>
      </c>
      <c r="C199">
        <v>30</v>
      </c>
      <c r="D199">
        <v>60</v>
      </c>
      <c r="E199">
        <v>4.5739348370927311E-3</v>
      </c>
      <c r="F199" s="25">
        <v>3.0000000000000001E-5</v>
      </c>
      <c r="G199">
        <f>10*F199*4</f>
        <v>1.2000000000000001E-3</v>
      </c>
      <c r="H199" s="23">
        <f>((G199/0.0028)*(100))</f>
        <v>42.857142857142861</v>
      </c>
    </row>
    <row r="200" spans="1:8" x14ac:dyDescent="0.25">
      <c r="A200" s="10" t="s">
        <v>75</v>
      </c>
      <c r="B200">
        <v>300</v>
      </c>
      <c r="C200">
        <v>45</v>
      </c>
      <c r="D200">
        <v>10</v>
      </c>
      <c r="E200">
        <v>3.220551378446115E-3</v>
      </c>
      <c r="F200" s="23" t="s">
        <v>52</v>
      </c>
      <c r="G200" s="23" t="s">
        <v>52</v>
      </c>
      <c r="H200" s="23" t="s">
        <v>52</v>
      </c>
    </row>
    <row r="201" spans="1:8" x14ac:dyDescent="0.25">
      <c r="A201" s="10" t="s">
        <v>75</v>
      </c>
      <c r="B201">
        <v>300</v>
      </c>
      <c r="C201">
        <v>45</v>
      </c>
      <c r="D201">
        <v>20</v>
      </c>
      <c r="E201">
        <v>3.6090225563909771E-3</v>
      </c>
      <c r="F201" s="23" t="s">
        <v>52</v>
      </c>
      <c r="G201" s="23" t="s">
        <v>52</v>
      </c>
      <c r="H201" s="23" t="s">
        <v>52</v>
      </c>
    </row>
    <row r="202" spans="1:8" x14ac:dyDescent="0.25">
      <c r="A202" s="10" t="s">
        <v>75</v>
      </c>
      <c r="B202">
        <v>300</v>
      </c>
      <c r="C202">
        <v>45</v>
      </c>
      <c r="D202">
        <v>30</v>
      </c>
      <c r="E202">
        <v>3.7468671679197992E-3</v>
      </c>
      <c r="F202" s="23" t="s">
        <v>52</v>
      </c>
      <c r="G202" s="23" t="s">
        <v>52</v>
      </c>
      <c r="H202" s="23" t="s">
        <v>52</v>
      </c>
    </row>
    <row r="203" spans="1:8" x14ac:dyDescent="0.25">
      <c r="A203" s="10" t="s">
        <v>75</v>
      </c>
      <c r="B203">
        <v>300</v>
      </c>
      <c r="C203">
        <v>45</v>
      </c>
      <c r="D203">
        <v>40</v>
      </c>
      <c r="E203">
        <v>3.9223057644110276E-3</v>
      </c>
      <c r="F203" s="23" t="s">
        <v>52</v>
      </c>
      <c r="G203" s="23" t="s">
        <v>52</v>
      </c>
      <c r="H203" s="23" t="s">
        <v>52</v>
      </c>
    </row>
    <row r="204" spans="1:8" x14ac:dyDescent="0.25">
      <c r="A204" s="10" t="s">
        <v>75</v>
      </c>
      <c r="B204">
        <v>300</v>
      </c>
      <c r="C204">
        <v>45</v>
      </c>
      <c r="D204">
        <v>50</v>
      </c>
      <c r="E204">
        <v>4.0601503759398498E-3</v>
      </c>
      <c r="F204" s="23" t="s">
        <v>52</v>
      </c>
      <c r="G204" s="23" t="s">
        <v>52</v>
      </c>
      <c r="H204" s="23" t="s">
        <v>52</v>
      </c>
    </row>
    <row r="205" spans="1:8" x14ac:dyDescent="0.25">
      <c r="A205" s="10" t="s">
        <v>75</v>
      </c>
      <c r="B205">
        <v>300</v>
      </c>
      <c r="C205">
        <v>45</v>
      </c>
      <c r="D205">
        <v>60</v>
      </c>
      <c r="E205">
        <v>4.2857142857142851E-3</v>
      </c>
      <c r="F205" s="25">
        <v>2.0000000000000002E-5</v>
      </c>
      <c r="G205">
        <f>10*F205*4</f>
        <v>8.0000000000000004E-4</v>
      </c>
      <c r="H205" s="23">
        <f>((G205/0.0028)*(100))</f>
        <v>28.571428571428577</v>
      </c>
    </row>
    <row r="206" spans="1:8" x14ac:dyDescent="0.25">
      <c r="A206" s="10" t="s">
        <v>75</v>
      </c>
      <c r="B206">
        <v>300</v>
      </c>
      <c r="C206">
        <v>60</v>
      </c>
      <c r="D206">
        <v>10</v>
      </c>
      <c r="E206">
        <v>3.0325814536340851E-3</v>
      </c>
      <c r="F206" s="23" t="s">
        <v>52</v>
      </c>
      <c r="G206" s="23" t="s">
        <v>52</v>
      </c>
      <c r="H206" s="23" t="s">
        <v>52</v>
      </c>
    </row>
    <row r="207" spans="1:8" x14ac:dyDescent="0.25">
      <c r="A207" s="10" t="s">
        <v>75</v>
      </c>
      <c r="B207">
        <v>300</v>
      </c>
      <c r="C207">
        <v>60</v>
      </c>
      <c r="D207">
        <v>20</v>
      </c>
      <c r="E207">
        <v>3.2957393483709269E-3</v>
      </c>
      <c r="F207" s="23" t="s">
        <v>52</v>
      </c>
      <c r="G207" s="23" t="s">
        <v>52</v>
      </c>
      <c r="H207" s="23" t="s">
        <v>52</v>
      </c>
    </row>
    <row r="208" spans="1:8" x14ac:dyDescent="0.25">
      <c r="A208" s="10" t="s">
        <v>75</v>
      </c>
      <c r="B208">
        <v>300</v>
      </c>
      <c r="C208">
        <v>60</v>
      </c>
      <c r="D208">
        <v>30</v>
      </c>
      <c r="E208">
        <v>3.5839598997493734E-3</v>
      </c>
      <c r="F208" s="23" t="s">
        <v>52</v>
      </c>
      <c r="G208" s="23" t="s">
        <v>52</v>
      </c>
      <c r="H208" s="23" t="s">
        <v>52</v>
      </c>
    </row>
    <row r="209" spans="1:8" x14ac:dyDescent="0.25">
      <c r="A209" s="10" t="s">
        <v>75</v>
      </c>
      <c r="B209">
        <v>300</v>
      </c>
      <c r="C209">
        <v>60</v>
      </c>
      <c r="D209">
        <v>40</v>
      </c>
      <c r="E209">
        <v>3.8847117794486214E-3</v>
      </c>
      <c r="F209" s="23" t="s">
        <v>52</v>
      </c>
      <c r="G209" s="23" t="s">
        <v>52</v>
      </c>
      <c r="H209" s="23" t="s">
        <v>52</v>
      </c>
    </row>
    <row r="210" spans="1:8" x14ac:dyDescent="0.25">
      <c r="A210" s="10" t="s">
        <v>75</v>
      </c>
      <c r="B210">
        <v>300</v>
      </c>
      <c r="C210">
        <v>60</v>
      </c>
      <c r="D210">
        <v>50</v>
      </c>
      <c r="E210">
        <v>4.1854636591478695E-3</v>
      </c>
      <c r="F210" s="23" t="s">
        <v>52</v>
      </c>
      <c r="G210" s="23" t="s">
        <v>52</v>
      </c>
      <c r="H210" s="23" t="s">
        <v>52</v>
      </c>
    </row>
    <row r="211" spans="1:8" x14ac:dyDescent="0.25">
      <c r="A211" s="10" t="s">
        <v>75</v>
      </c>
      <c r="B211">
        <v>300</v>
      </c>
      <c r="C211">
        <v>60</v>
      </c>
      <c r="D211">
        <v>60</v>
      </c>
      <c r="E211">
        <v>4.6491228070175443E-3</v>
      </c>
      <c r="F211" s="25">
        <v>3.0000000000000001E-5</v>
      </c>
      <c r="G211">
        <f>10*F211*4</f>
        <v>1.2000000000000001E-3</v>
      </c>
      <c r="H211" s="23">
        <f>((G211/0.0028)*(100))</f>
        <v>42.857142857142861</v>
      </c>
    </row>
    <row r="212" spans="1:8" x14ac:dyDescent="0.25">
      <c r="A212" s="10" t="s">
        <v>75</v>
      </c>
      <c r="B212">
        <v>600</v>
      </c>
      <c r="C212">
        <v>15</v>
      </c>
      <c r="D212">
        <v>10</v>
      </c>
      <c r="E212">
        <v>1.8295739348370924E-3</v>
      </c>
      <c r="F212" s="23" t="s">
        <v>52</v>
      </c>
      <c r="G212" s="23" t="s">
        <v>52</v>
      </c>
      <c r="H212" s="23" t="s">
        <v>52</v>
      </c>
    </row>
    <row r="213" spans="1:8" x14ac:dyDescent="0.25">
      <c r="A213" s="10" t="s">
        <v>75</v>
      </c>
      <c r="B213">
        <v>600</v>
      </c>
      <c r="C213">
        <v>15</v>
      </c>
      <c r="D213">
        <v>20</v>
      </c>
      <c r="E213">
        <v>2.0927318295739347E-3</v>
      </c>
      <c r="F213" s="23" t="s">
        <v>52</v>
      </c>
      <c r="G213" s="23" t="s">
        <v>52</v>
      </c>
      <c r="H213" s="23" t="s">
        <v>52</v>
      </c>
    </row>
    <row r="214" spans="1:8" x14ac:dyDescent="0.25">
      <c r="A214" s="10" t="s">
        <v>75</v>
      </c>
      <c r="B214">
        <v>600</v>
      </c>
      <c r="C214">
        <v>15</v>
      </c>
      <c r="D214">
        <v>30</v>
      </c>
      <c r="E214">
        <v>2.3809523809523807E-3</v>
      </c>
      <c r="F214" s="23" t="s">
        <v>52</v>
      </c>
      <c r="G214" s="23" t="s">
        <v>52</v>
      </c>
      <c r="H214" s="23" t="s">
        <v>52</v>
      </c>
    </row>
    <row r="215" spans="1:8" x14ac:dyDescent="0.25">
      <c r="A215" s="10" t="s">
        <v>75</v>
      </c>
      <c r="B215">
        <v>600</v>
      </c>
      <c r="C215">
        <v>15</v>
      </c>
      <c r="D215">
        <v>40</v>
      </c>
      <c r="E215">
        <v>2.6942355889724308E-3</v>
      </c>
      <c r="F215" s="23" t="s">
        <v>52</v>
      </c>
      <c r="G215" s="23" t="s">
        <v>52</v>
      </c>
      <c r="H215" s="23" t="s">
        <v>52</v>
      </c>
    </row>
    <row r="216" spans="1:8" x14ac:dyDescent="0.25">
      <c r="A216" s="10" t="s">
        <v>75</v>
      </c>
      <c r="B216">
        <v>600</v>
      </c>
      <c r="C216">
        <v>15</v>
      </c>
      <c r="D216">
        <v>50</v>
      </c>
      <c r="E216">
        <v>2.9824561403508768E-3</v>
      </c>
      <c r="F216" s="23" t="s">
        <v>52</v>
      </c>
      <c r="G216" s="23" t="s">
        <v>52</v>
      </c>
      <c r="H216" s="23" t="s">
        <v>52</v>
      </c>
    </row>
    <row r="217" spans="1:8" x14ac:dyDescent="0.25">
      <c r="A217" s="10" t="s">
        <v>75</v>
      </c>
      <c r="B217">
        <v>600</v>
      </c>
      <c r="C217">
        <v>15</v>
      </c>
      <c r="D217">
        <v>60</v>
      </c>
      <c r="E217">
        <v>3.2832080200501253E-3</v>
      </c>
      <c r="F217" s="25">
        <v>3.0000000000000001E-5</v>
      </c>
      <c r="G217">
        <f>10*F217*4</f>
        <v>1.2000000000000001E-3</v>
      </c>
      <c r="H217" s="23">
        <f>((G217/0.0028)*(100))</f>
        <v>42.857142857142861</v>
      </c>
    </row>
    <row r="218" spans="1:8" x14ac:dyDescent="0.25">
      <c r="A218" s="10" t="s">
        <v>75</v>
      </c>
      <c r="B218">
        <v>600</v>
      </c>
      <c r="C218">
        <v>30</v>
      </c>
      <c r="D218">
        <v>10</v>
      </c>
      <c r="E218">
        <v>2.9323308270676686E-3</v>
      </c>
      <c r="F218" s="23" t="s">
        <v>52</v>
      </c>
      <c r="G218" s="23" t="s">
        <v>52</v>
      </c>
      <c r="H218" s="23" t="s">
        <v>52</v>
      </c>
    </row>
    <row r="219" spans="1:8" x14ac:dyDescent="0.25">
      <c r="A219" s="10" t="s">
        <v>75</v>
      </c>
      <c r="B219">
        <v>600</v>
      </c>
      <c r="C219">
        <v>30</v>
      </c>
      <c r="D219">
        <v>20</v>
      </c>
      <c r="E219">
        <v>3.2957393483709269E-3</v>
      </c>
      <c r="F219" s="23" t="s">
        <v>52</v>
      </c>
      <c r="G219" s="23" t="s">
        <v>52</v>
      </c>
      <c r="H219" s="23" t="s">
        <v>52</v>
      </c>
    </row>
    <row r="220" spans="1:8" x14ac:dyDescent="0.25">
      <c r="A220" s="10" t="s">
        <v>75</v>
      </c>
      <c r="B220">
        <v>600</v>
      </c>
      <c r="C220">
        <v>30</v>
      </c>
      <c r="D220">
        <v>30</v>
      </c>
      <c r="E220">
        <v>3.6340852130325812E-3</v>
      </c>
      <c r="F220" s="23" t="s">
        <v>52</v>
      </c>
      <c r="G220" s="23" t="s">
        <v>52</v>
      </c>
      <c r="H220" s="23" t="s">
        <v>52</v>
      </c>
    </row>
    <row r="221" spans="1:8" x14ac:dyDescent="0.25">
      <c r="A221" s="10" t="s">
        <v>75</v>
      </c>
      <c r="B221">
        <v>600</v>
      </c>
      <c r="C221">
        <v>30</v>
      </c>
      <c r="D221">
        <v>40</v>
      </c>
      <c r="E221">
        <v>3.9223057644110276E-3</v>
      </c>
      <c r="F221" s="23" t="s">
        <v>52</v>
      </c>
      <c r="G221" s="23" t="s">
        <v>52</v>
      </c>
      <c r="H221" s="23" t="s">
        <v>52</v>
      </c>
    </row>
    <row r="222" spans="1:8" x14ac:dyDescent="0.25">
      <c r="A222" s="10" t="s">
        <v>75</v>
      </c>
      <c r="B222">
        <v>600</v>
      </c>
      <c r="C222">
        <v>30</v>
      </c>
      <c r="D222">
        <v>50</v>
      </c>
      <c r="E222">
        <v>4.197994987468672E-3</v>
      </c>
      <c r="F222" s="23" t="s">
        <v>52</v>
      </c>
      <c r="G222" s="23" t="s">
        <v>52</v>
      </c>
      <c r="H222" s="23" t="s">
        <v>52</v>
      </c>
    </row>
    <row r="223" spans="1:8" x14ac:dyDescent="0.25">
      <c r="A223" s="10" t="s">
        <v>75</v>
      </c>
      <c r="B223">
        <v>600</v>
      </c>
      <c r="C223">
        <v>30</v>
      </c>
      <c r="D223">
        <v>60</v>
      </c>
      <c r="E223">
        <v>4.4611528822055138E-3</v>
      </c>
      <c r="F223" s="24">
        <v>3.0000000000000001E-5</v>
      </c>
      <c r="G223">
        <f>10*F223*4</f>
        <v>1.2000000000000001E-3</v>
      </c>
      <c r="H223" s="23">
        <f>((G223/0.0028)*(100))</f>
        <v>42.857142857142861</v>
      </c>
    </row>
    <row r="224" spans="1:8" x14ac:dyDescent="0.25">
      <c r="A224" s="10" t="s">
        <v>75</v>
      </c>
      <c r="B224">
        <v>600</v>
      </c>
      <c r="C224">
        <v>45</v>
      </c>
      <c r="D224">
        <v>10</v>
      </c>
      <c r="E224">
        <v>1.6040100250626565E-3</v>
      </c>
      <c r="F224" s="23" t="s">
        <v>52</v>
      </c>
      <c r="G224" s="23" t="s">
        <v>52</v>
      </c>
      <c r="H224" s="23" t="s">
        <v>52</v>
      </c>
    </row>
    <row r="225" spans="1:8" x14ac:dyDescent="0.25">
      <c r="A225" s="10" t="s">
        <v>75</v>
      </c>
      <c r="B225">
        <v>600</v>
      </c>
      <c r="C225">
        <v>45</v>
      </c>
      <c r="D225">
        <v>20</v>
      </c>
      <c r="E225">
        <v>1.754385964912281E-3</v>
      </c>
      <c r="F225" s="23" t="s">
        <v>52</v>
      </c>
      <c r="G225" s="23" t="s">
        <v>52</v>
      </c>
      <c r="H225" s="23" t="s">
        <v>52</v>
      </c>
    </row>
    <row r="226" spans="1:8" x14ac:dyDescent="0.25">
      <c r="A226" s="10" t="s">
        <v>75</v>
      </c>
      <c r="B226">
        <v>600</v>
      </c>
      <c r="C226">
        <v>45</v>
      </c>
      <c r="D226">
        <v>30</v>
      </c>
      <c r="E226">
        <v>1.9047619047619048E-3</v>
      </c>
      <c r="F226" s="23" t="s">
        <v>52</v>
      </c>
      <c r="G226" s="23" t="s">
        <v>52</v>
      </c>
      <c r="H226" s="23" t="s">
        <v>52</v>
      </c>
    </row>
    <row r="227" spans="1:8" x14ac:dyDescent="0.25">
      <c r="A227" s="10" t="s">
        <v>75</v>
      </c>
      <c r="B227">
        <v>600</v>
      </c>
      <c r="C227">
        <v>45</v>
      </c>
      <c r="D227">
        <v>40</v>
      </c>
      <c r="E227">
        <v>2.0927318295739347E-3</v>
      </c>
      <c r="F227" s="23" t="s">
        <v>52</v>
      </c>
      <c r="G227" s="23" t="s">
        <v>52</v>
      </c>
      <c r="H227" s="23" t="s">
        <v>52</v>
      </c>
    </row>
    <row r="228" spans="1:8" x14ac:dyDescent="0.25">
      <c r="A228" s="10" t="s">
        <v>75</v>
      </c>
      <c r="B228">
        <v>600</v>
      </c>
      <c r="C228">
        <v>45</v>
      </c>
      <c r="D228">
        <v>50</v>
      </c>
      <c r="E228">
        <v>2.3182957393483709E-3</v>
      </c>
      <c r="F228" s="23" t="s">
        <v>52</v>
      </c>
      <c r="G228" s="23" t="s">
        <v>52</v>
      </c>
      <c r="H228" s="23" t="s">
        <v>52</v>
      </c>
    </row>
    <row r="229" spans="1:8" x14ac:dyDescent="0.25">
      <c r="A229" s="10" t="s">
        <v>75</v>
      </c>
      <c r="B229">
        <v>600</v>
      </c>
      <c r="C229">
        <v>45</v>
      </c>
      <c r="D229">
        <v>60</v>
      </c>
      <c r="E229">
        <v>2.5187969924812029E-3</v>
      </c>
      <c r="F229" s="24">
        <v>2.0000000000000002E-5</v>
      </c>
      <c r="G229">
        <f>10*F229*4</f>
        <v>8.0000000000000004E-4</v>
      </c>
      <c r="H229" s="23">
        <f>((G229/0.0028)*(100))</f>
        <v>28.571428571428577</v>
      </c>
    </row>
    <row r="230" spans="1:8" x14ac:dyDescent="0.25">
      <c r="A230" s="10" t="s">
        <v>75</v>
      </c>
      <c r="B230">
        <v>600</v>
      </c>
      <c r="C230">
        <v>60</v>
      </c>
      <c r="D230">
        <v>10</v>
      </c>
      <c r="E230">
        <v>2.0175438596491228E-3</v>
      </c>
      <c r="F230" s="23" t="s">
        <v>52</v>
      </c>
      <c r="G230" s="23" t="s">
        <v>52</v>
      </c>
      <c r="H230" s="23" t="s">
        <v>52</v>
      </c>
    </row>
    <row r="231" spans="1:8" x14ac:dyDescent="0.25">
      <c r="A231" s="10" t="s">
        <v>75</v>
      </c>
      <c r="B231">
        <v>600</v>
      </c>
      <c r="C231">
        <v>60</v>
      </c>
      <c r="D231">
        <v>20</v>
      </c>
      <c r="E231">
        <v>2.2431077694235585E-3</v>
      </c>
      <c r="F231" s="23" t="s">
        <v>52</v>
      </c>
      <c r="G231" s="23" t="s">
        <v>52</v>
      </c>
      <c r="H231" s="23" t="s">
        <v>52</v>
      </c>
    </row>
    <row r="232" spans="1:8" x14ac:dyDescent="0.25">
      <c r="A232" s="10" t="s">
        <v>75</v>
      </c>
      <c r="B232">
        <v>600</v>
      </c>
      <c r="C232">
        <v>60</v>
      </c>
      <c r="D232">
        <v>30</v>
      </c>
      <c r="E232">
        <v>2.431077694235589E-3</v>
      </c>
      <c r="F232" s="23" t="s">
        <v>52</v>
      </c>
      <c r="G232" s="23" t="s">
        <v>52</v>
      </c>
      <c r="H232" s="23" t="s">
        <v>52</v>
      </c>
    </row>
    <row r="233" spans="1:8" x14ac:dyDescent="0.25">
      <c r="A233" s="10" t="s">
        <v>75</v>
      </c>
      <c r="B233">
        <v>600</v>
      </c>
      <c r="C233">
        <v>60</v>
      </c>
      <c r="D233">
        <v>40</v>
      </c>
      <c r="E233">
        <v>2.5062656641604009E-3</v>
      </c>
      <c r="F233" s="23" t="s">
        <v>52</v>
      </c>
      <c r="G233" s="23" t="s">
        <v>52</v>
      </c>
      <c r="H233" s="23" t="s">
        <v>52</v>
      </c>
    </row>
    <row r="234" spans="1:8" x14ac:dyDescent="0.25">
      <c r="A234" s="10" t="s">
        <v>75</v>
      </c>
      <c r="B234">
        <v>600</v>
      </c>
      <c r="C234">
        <v>60</v>
      </c>
      <c r="D234">
        <v>50</v>
      </c>
      <c r="E234">
        <v>2.6190476190476185E-3</v>
      </c>
      <c r="F234" s="23" t="s">
        <v>52</v>
      </c>
      <c r="G234" s="23" t="s">
        <v>52</v>
      </c>
      <c r="H234" s="23" t="s">
        <v>52</v>
      </c>
    </row>
    <row r="235" spans="1:8" x14ac:dyDescent="0.25">
      <c r="A235" s="10" t="s">
        <v>75</v>
      </c>
      <c r="B235">
        <v>600</v>
      </c>
      <c r="C235">
        <v>60</v>
      </c>
      <c r="D235">
        <v>60</v>
      </c>
      <c r="E235">
        <v>2.6691729323308267E-3</v>
      </c>
      <c r="F235" s="24">
        <v>1.0000000000000001E-5</v>
      </c>
      <c r="G235">
        <f>10*F235*4</f>
        <v>4.0000000000000002E-4</v>
      </c>
      <c r="H235" s="23">
        <f>((G235/0.0028)*(100))</f>
        <v>14.285714285714288</v>
      </c>
    </row>
    <row r="236" spans="1:8" x14ac:dyDescent="0.25">
      <c r="A236" s="10" t="s">
        <v>75</v>
      </c>
      <c r="B236">
        <v>900</v>
      </c>
      <c r="C236">
        <v>15</v>
      </c>
      <c r="D236">
        <v>10</v>
      </c>
      <c r="E236">
        <v>2.4812030075187972E-3</v>
      </c>
      <c r="F236" s="23" t="s">
        <v>52</v>
      </c>
      <c r="G236" s="23" t="s">
        <v>52</v>
      </c>
      <c r="H236" s="23" t="s">
        <v>52</v>
      </c>
    </row>
    <row r="237" spans="1:8" x14ac:dyDescent="0.25">
      <c r="A237" s="10" t="s">
        <v>75</v>
      </c>
      <c r="B237">
        <v>900</v>
      </c>
      <c r="C237">
        <v>15</v>
      </c>
      <c r="D237">
        <v>20</v>
      </c>
      <c r="E237">
        <v>2.731829573934837E-3</v>
      </c>
      <c r="F237" s="23" t="s">
        <v>52</v>
      </c>
      <c r="G237" s="23" t="s">
        <v>52</v>
      </c>
      <c r="H237" s="23" t="s">
        <v>52</v>
      </c>
    </row>
    <row r="238" spans="1:8" x14ac:dyDescent="0.25">
      <c r="A238" s="10" t="s">
        <v>75</v>
      </c>
      <c r="B238">
        <v>900</v>
      </c>
      <c r="C238">
        <v>15</v>
      </c>
      <c r="D238">
        <v>30</v>
      </c>
      <c r="E238">
        <v>3.1328320802005011E-3</v>
      </c>
      <c r="F238" s="23" t="s">
        <v>52</v>
      </c>
      <c r="G238" s="23" t="s">
        <v>52</v>
      </c>
      <c r="H238" s="23" t="s">
        <v>52</v>
      </c>
    </row>
    <row r="239" spans="1:8" x14ac:dyDescent="0.25">
      <c r="A239" s="10" t="s">
        <v>75</v>
      </c>
      <c r="B239">
        <v>900</v>
      </c>
      <c r="C239">
        <v>15</v>
      </c>
      <c r="D239">
        <v>40</v>
      </c>
      <c r="E239">
        <v>3.5338345864661651E-3</v>
      </c>
      <c r="F239" s="23" t="s">
        <v>52</v>
      </c>
      <c r="G239" s="23" t="s">
        <v>52</v>
      </c>
      <c r="H239" s="23" t="s">
        <v>52</v>
      </c>
    </row>
    <row r="240" spans="1:8" x14ac:dyDescent="0.25">
      <c r="A240" s="10" t="s">
        <v>75</v>
      </c>
      <c r="B240">
        <v>900</v>
      </c>
      <c r="C240">
        <v>15</v>
      </c>
      <c r="D240">
        <v>50</v>
      </c>
      <c r="E240">
        <v>3.9598997493734333E-3</v>
      </c>
      <c r="F240" s="23" t="s">
        <v>52</v>
      </c>
      <c r="G240" s="23" t="s">
        <v>52</v>
      </c>
      <c r="H240" s="23" t="s">
        <v>52</v>
      </c>
    </row>
    <row r="241" spans="1:8" x14ac:dyDescent="0.25">
      <c r="A241" s="10" t="s">
        <v>75</v>
      </c>
      <c r="B241">
        <v>900</v>
      </c>
      <c r="C241">
        <v>15</v>
      </c>
      <c r="D241">
        <v>60</v>
      </c>
      <c r="E241">
        <v>4.3609022556390974E-3</v>
      </c>
      <c r="F241" s="24">
        <v>4.0000000000000003E-5</v>
      </c>
      <c r="G241">
        <f>10*F241*4</f>
        <v>1.6000000000000001E-3</v>
      </c>
      <c r="H241" s="23">
        <f>((G241/0.0028)*(100))</f>
        <v>57.142857142857153</v>
      </c>
    </row>
    <row r="242" spans="1:8" x14ac:dyDescent="0.25">
      <c r="A242" s="10" t="s">
        <v>75</v>
      </c>
      <c r="B242">
        <v>900</v>
      </c>
      <c r="C242">
        <v>30</v>
      </c>
      <c r="D242">
        <v>10</v>
      </c>
      <c r="E242">
        <v>3.1578947368421048E-3</v>
      </c>
      <c r="F242" s="23" t="s">
        <v>52</v>
      </c>
      <c r="G242" s="23" t="s">
        <v>52</v>
      </c>
      <c r="H242" s="23" t="s">
        <v>52</v>
      </c>
    </row>
    <row r="243" spans="1:8" x14ac:dyDescent="0.25">
      <c r="A243" s="10" t="s">
        <v>75</v>
      </c>
      <c r="B243">
        <v>900</v>
      </c>
      <c r="C243">
        <v>30</v>
      </c>
      <c r="D243">
        <v>20</v>
      </c>
      <c r="E243">
        <v>3.4335839598997491E-3</v>
      </c>
      <c r="F243" s="23" t="s">
        <v>52</v>
      </c>
      <c r="G243" s="23" t="s">
        <v>52</v>
      </c>
      <c r="H243" s="23" t="s">
        <v>52</v>
      </c>
    </row>
    <row r="244" spans="1:8" x14ac:dyDescent="0.25">
      <c r="A244" s="10" t="s">
        <v>75</v>
      </c>
      <c r="B244">
        <v>900</v>
      </c>
      <c r="C244">
        <v>30</v>
      </c>
      <c r="D244">
        <v>30</v>
      </c>
      <c r="E244">
        <v>3.7092731829573931E-3</v>
      </c>
      <c r="F244" s="23" t="s">
        <v>52</v>
      </c>
      <c r="G244" s="23" t="s">
        <v>52</v>
      </c>
      <c r="H244" s="23" t="s">
        <v>52</v>
      </c>
    </row>
    <row r="245" spans="1:8" x14ac:dyDescent="0.25">
      <c r="A245" s="10" t="s">
        <v>75</v>
      </c>
      <c r="B245">
        <v>900</v>
      </c>
      <c r="C245">
        <v>30</v>
      </c>
      <c r="D245">
        <v>40</v>
      </c>
      <c r="E245">
        <v>4.0476190476190473E-3</v>
      </c>
      <c r="F245" s="23" t="s">
        <v>52</v>
      </c>
      <c r="G245" s="23" t="s">
        <v>52</v>
      </c>
      <c r="H245" s="23" t="s">
        <v>52</v>
      </c>
    </row>
    <row r="246" spans="1:8" x14ac:dyDescent="0.25">
      <c r="A246" s="10" t="s">
        <v>75</v>
      </c>
      <c r="B246">
        <v>900</v>
      </c>
      <c r="C246">
        <v>30</v>
      </c>
      <c r="D246">
        <v>50</v>
      </c>
      <c r="E246">
        <v>4.3483709273182958E-3</v>
      </c>
      <c r="F246" s="23" t="s">
        <v>52</v>
      </c>
      <c r="G246" s="23" t="s">
        <v>52</v>
      </c>
      <c r="H246" s="23" t="s">
        <v>52</v>
      </c>
    </row>
    <row r="247" spans="1:8" x14ac:dyDescent="0.25">
      <c r="A247" s="10" t="s">
        <v>75</v>
      </c>
      <c r="B247">
        <v>900</v>
      </c>
      <c r="C247">
        <v>30</v>
      </c>
      <c r="D247">
        <v>60</v>
      </c>
      <c r="E247">
        <v>4.6741854636591475E-3</v>
      </c>
      <c r="F247" s="24">
        <v>3.0000000000000001E-5</v>
      </c>
      <c r="G247">
        <f>10*F247*4</f>
        <v>1.2000000000000001E-3</v>
      </c>
      <c r="H247" s="23">
        <f>((G247/0.0028)*(100))</f>
        <v>42.857142857142861</v>
      </c>
    </row>
    <row r="248" spans="1:8" x14ac:dyDescent="0.25">
      <c r="A248" s="10" t="s">
        <v>75</v>
      </c>
      <c r="B248">
        <v>900</v>
      </c>
      <c r="C248">
        <v>45</v>
      </c>
      <c r="D248">
        <v>10</v>
      </c>
      <c r="E248">
        <v>1.2656641604010023E-3</v>
      </c>
      <c r="F248" s="23" t="s">
        <v>52</v>
      </c>
      <c r="G248" s="23" t="s">
        <v>52</v>
      </c>
      <c r="H248" s="23" t="s">
        <v>52</v>
      </c>
    </row>
    <row r="249" spans="1:8" x14ac:dyDescent="0.25">
      <c r="A249" s="10" t="s">
        <v>75</v>
      </c>
      <c r="B249">
        <v>900</v>
      </c>
      <c r="C249">
        <v>45</v>
      </c>
      <c r="D249">
        <v>20</v>
      </c>
      <c r="E249">
        <v>1.3157894736842105E-3</v>
      </c>
      <c r="F249" s="23" t="s">
        <v>52</v>
      </c>
      <c r="G249" s="23" t="s">
        <v>52</v>
      </c>
      <c r="H249" s="23" t="s">
        <v>52</v>
      </c>
    </row>
    <row r="250" spans="1:8" x14ac:dyDescent="0.25">
      <c r="A250" s="10" t="s">
        <v>75</v>
      </c>
      <c r="B250">
        <v>900</v>
      </c>
      <c r="C250">
        <v>45</v>
      </c>
      <c r="D250">
        <v>30</v>
      </c>
      <c r="E250">
        <v>1.3659147869674183E-3</v>
      </c>
      <c r="F250" s="23" t="s">
        <v>52</v>
      </c>
      <c r="G250" s="23" t="s">
        <v>52</v>
      </c>
      <c r="H250" s="23" t="s">
        <v>52</v>
      </c>
    </row>
    <row r="251" spans="1:8" x14ac:dyDescent="0.25">
      <c r="A251" s="10" t="s">
        <v>75</v>
      </c>
      <c r="B251">
        <v>900</v>
      </c>
      <c r="C251">
        <v>45</v>
      </c>
      <c r="D251">
        <v>40</v>
      </c>
      <c r="E251">
        <v>1.4411027568922306E-3</v>
      </c>
      <c r="F251" s="23" t="s">
        <v>52</v>
      </c>
      <c r="G251" s="23" t="s">
        <v>52</v>
      </c>
      <c r="H251" s="23" t="s">
        <v>52</v>
      </c>
    </row>
    <row r="252" spans="1:8" x14ac:dyDescent="0.25">
      <c r="A252" s="10" t="s">
        <v>75</v>
      </c>
      <c r="B252">
        <v>900</v>
      </c>
      <c r="C252">
        <v>45</v>
      </c>
      <c r="D252">
        <v>50</v>
      </c>
      <c r="E252">
        <v>1.4912280701754384E-3</v>
      </c>
      <c r="F252" s="23" t="s">
        <v>52</v>
      </c>
      <c r="G252" s="23" t="s">
        <v>52</v>
      </c>
      <c r="H252" s="23" t="s">
        <v>52</v>
      </c>
    </row>
    <row r="253" spans="1:8" x14ac:dyDescent="0.25">
      <c r="A253" s="10" t="s">
        <v>75</v>
      </c>
      <c r="B253">
        <v>900</v>
      </c>
      <c r="C253">
        <v>45</v>
      </c>
      <c r="D253">
        <v>60</v>
      </c>
      <c r="E253">
        <v>1.5664160401002505E-3</v>
      </c>
      <c r="F253" s="25">
        <v>6.0000000000000002E-6</v>
      </c>
      <c r="G253">
        <f>10*F253*4</f>
        <v>2.4000000000000001E-4</v>
      </c>
      <c r="H253" s="23">
        <f>((G253/0.0028)*(100))</f>
        <v>8.5714285714285712</v>
      </c>
    </row>
    <row r="254" spans="1:8" x14ac:dyDescent="0.25">
      <c r="A254" s="10" t="s">
        <v>75</v>
      </c>
      <c r="B254">
        <v>900</v>
      </c>
      <c r="C254">
        <v>60</v>
      </c>
      <c r="D254">
        <v>10</v>
      </c>
      <c r="E254">
        <v>0</v>
      </c>
      <c r="F254" s="23" t="s">
        <v>52</v>
      </c>
      <c r="G254" s="23" t="s">
        <v>52</v>
      </c>
      <c r="H254" s="23" t="s">
        <v>52</v>
      </c>
    </row>
    <row r="255" spans="1:8" x14ac:dyDescent="0.25">
      <c r="A255" s="10" t="s">
        <v>75</v>
      </c>
      <c r="B255">
        <v>900</v>
      </c>
      <c r="C255">
        <v>60</v>
      </c>
      <c r="D255">
        <v>20</v>
      </c>
      <c r="E255">
        <v>0</v>
      </c>
      <c r="F255" s="23" t="s">
        <v>52</v>
      </c>
      <c r="G255" s="23" t="s">
        <v>52</v>
      </c>
      <c r="H255" s="23" t="s">
        <v>52</v>
      </c>
    </row>
    <row r="256" spans="1:8" x14ac:dyDescent="0.25">
      <c r="A256" s="10" t="s">
        <v>75</v>
      </c>
      <c r="B256">
        <v>900</v>
      </c>
      <c r="C256">
        <v>60</v>
      </c>
      <c r="D256">
        <v>30</v>
      </c>
      <c r="E256">
        <v>0</v>
      </c>
      <c r="F256" s="23" t="s">
        <v>52</v>
      </c>
      <c r="G256" s="23" t="s">
        <v>52</v>
      </c>
      <c r="H256" s="23" t="s">
        <v>52</v>
      </c>
    </row>
    <row r="257" spans="1:8" x14ac:dyDescent="0.25">
      <c r="A257" s="10" t="s">
        <v>75</v>
      </c>
      <c r="B257">
        <v>900</v>
      </c>
      <c r="C257">
        <v>60</v>
      </c>
      <c r="D257">
        <v>40</v>
      </c>
      <c r="E257">
        <v>0</v>
      </c>
      <c r="F257" s="23" t="s">
        <v>52</v>
      </c>
      <c r="G257" s="23" t="s">
        <v>52</v>
      </c>
      <c r="H257" s="23" t="s">
        <v>52</v>
      </c>
    </row>
    <row r="258" spans="1:8" x14ac:dyDescent="0.25">
      <c r="A258" s="10" t="s">
        <v>75</v>
      </c>
      <c r="B258">
        <v>900</v>
      </c>
      <c r="C258">
        <v>60</v>
      </c>
      <c r="D258">
        <v>50</v>
      </c>
      <c r="E258">
        <v>0</v>
      </c>
      <c r="F258" s="23" t="s">
        <v>52</v>
      </c>
      <c r="G258" s="23" t="s">
        <v>52</v>
      </c>
      <c r="H258" s="23" t="s">
        <v>52</v>
      </c>
    </row>
    <row r="259" spans="1:8" x14ac:dyDescent="0.25">
      <c r="A259" s="10" t="s">
        <v>75</v>
      </c>
      <c r="B259">
        <v>900</v>
      </c>
      <c r="C259">
        <v>60</v>
      </c>
      <c r="D259">
        <v>60</v>
      </c>
      <c r="E259">
        <v>0</v>
      </c>
      <c r="F259" s="25">
        <v>0</v>
      </c>
      <c r="G259">
        <f>10*F259*4</f>
        <v>0</v>
      </c>
      <c r="H259">
        <v>0</v>
      </c>
    </row>
    <row r="260" spans="1:8" x14ac:dyDescent="0.25">
      <c r="A260" s="10" t="s">
        <v>75</v>
      </c>
      <c r="B260">
        <v>1200</v>
      </c>
      <c r="C260">
        <v>15</v>
      </c>
      <c r="D260">
        <v>10</v>
      </c>
      <c r="E260">
        <v>3.8471177944862153E-3</v>
      </c>
      <c r="F260" s="23" t="s">
        <v>52</v>
      </c>
      <c r="G260" s="23" t="s">
        <v>52</v>
      </c>
      <c r="H260" s="23" t="s">
        <v>52</v>
      </c>
    </row>
    <row r="261" spans="1:8" x14ac:dyDescent="0.25">
      <c r="A261" s="10" t="s">
        <v>75</v>
      </c>
      <c r="B261">
        <v>1200</v>
      </c>
      <c r="C261">
        <v>15</v>
      </c>
      <c r="D261">
        <v>20</v>
      </c>
      <c r="E261">
        <v>4.2105263157894736E-3</v>
      </c>
      <c r="F261" s="23" t="s">
        <v>52</v>
      </c>
      <c r="G261" s="23" t="s">
        <v>52</v>
      </c>
      <c r="H261" s="23" t="s">
        <v>52</v>
      </c>
    </row>
    <row r="262" spans="1:8" x14ac:dyDescent="0.25">
      <c r="A262" s="10" t="s">
        <v>75</v>
      </c>
      <c r="B262">
        <v>1200</v>
      </c>
      <c r="C262">
        <v>15</v>
      </c>
      <c r="D262">
        <v>30</v>
      </c>
      <c r="E262">
        <v>4.4736842105263155E-3</v>
      </c>
      <c r="F262" s="23" t="s">
        <v>52</v>
      </c>
      <c r="G262" s="23" t="s">
        <v>52</v>
      </c>
      <c r="H262" s="23" t="s">
        <v>52</v>
      </c>
    </row>
    <row r="263" spans="1:8" x14ac:dyDescent="0.25">
      <c r="A263" s="10" t="s">
        <v>75</v>
      </c>
      <c r="B263">
        <v>1200</v>
      </c>
      <c r="C263">
        <v>15</v>
      </c>
      <c r="D263">
        <v>40</v>
      </c>
      <c r="E263">
        <v>4.6491228070175443E-3</v>
      </c>
      <c r="F263" s="23" t="s">
        <v>52</v>
      </c>
      <c r="G263" s="23" t="s">
        <v>52</v>
      </c>
      <c r="H263" s="23" t="s">
        <v>52</v>
      </c>
    </row>
    <row r="264" spans="1:8" x14ac:dyDescent="0.25">
      <c r="A264" s="10" t="s">
        <v>75</v>
      </c>
      <c r="B264">
        <v>1200</v>
      </c>
      <c r="C264">
        <v>15</v>
      </c>
      <c r="D264">
        <v>50</v>
      </c>
      <c r="E264">
        <v>4.9122807017543861E-3</v>
      </c>
      <c r="F264" s="23" t="s">
        <v>52</v>
      </c>
      <c r="G264" s="23" t="s">
        <v>52</v>
      </c>
      <c r="H264" s="23" t="s">
        <v>52</v>
      </c>
    </row>
    <row r="265" spans="1:8" x14ac:dyDescent="0.25">
      <c r="A265" s="10" t="s">
        <v>75</v>
      </c>
      <c r="B265">
        <v>1200</v>
      </c>
      <c r="C265">
        <v>15</v>
      </c>
      <c r="D265">
        <v>60</v>
      </c>
      <c r="E265">
        <v>5.2130325814536346E-3</v>
      </c>
      <c r="F265" s="24">
        <v>3.0000000000000001E-5</v>
      </c>
      <c r="G265">
        <f>10*F265*4</f>
        <v>1.2000000000000001E-3</v>
      </c>
      <c r="H265" s="23">
        <f>((G265/0.0028)*(100))</f>
        <v>42.857142857142861</v>
      </c>
    </row>
    <row r="266" spans="1:8" x14ac:dyDescent="0.25">
      <c r="A266" s="10" t="s">
        <v>75</v>
      </c>
      <c r="B266">
        <v>1200</v>
      </c>
      <c r="C266">
        <v>30</v>
      </c>
      <c r="D266">
        <v>10</v>
      </c>
      <c r="E266">
        <v>2.4436090225563906E-3</v>
      </c>
      <c r="F266" s="23" t="s">
        <v>52</v>
      </c>
      <c r="G266" s="23" t="s">
        <v>52</v>
      </c>
      <c r="H266" s="23" t="s">
        <v>52</v>
      </c>
    </row>
    <row r="267" spans="1:8" x14ac:dyDescent="0.25">
      <c r="A267" s="10" t="s">
        <v>75</v>
      </c>
      <c r="B267">
        <v>1200</v>
      </c>
      <c r="C267">
        <v>30</v>
      </c>
      <c r="D267">
        <v>20</v>
      </c>
      <c r="E267">
        <v>2.5563909774436087E-3</v>
      </c>
      <c r="F267" s="23" t="s">
        <v>52</v>
      </c>
      <c r="G267" s="23" t="s">
        <v>52</v>
      </c>
      <c r="H267" s="23" t="s">
        <v>52</v>
      </c>
    </row>
    <row r="268" spans="1:8" x14ac:dyDescent="0.25">
      <c r="A268" s="10" t="s">
        <v>75</v>
      </c>
      <c r="B268">
        <v>1200</v>
      </c>
      <c r="C268">
        <v>30</v>
      </c>
      <c r="D268">
        <v>30</v>
      </c>
      <c r="E268">
        <v>2.6691729323308267E-3</v>
      </c>
      <c r="F268" s="23" t="s">
        <v>52</v>
      </c>
      <c r="G268" s="23" t="s">
        <v>52</v>
      </c>
      <c r="H268" s="23" t="s">
        <v>52</v>
      </c>
    </row>
    <row r="269" spans="1:8" x14ac:dyDescent="0.25">
      <c r="A269" s="10" t="s">
        <v>75</v>
      </c>
      <c r="B269">
        <v>1200</v>
      </c>
      <c r="C269">
        <v>30</v>
      </c>
      <c r="D269">
        <v>40</v>
      </c>
      <c r="E269">
        <v>2.8070175438596489E-3</v>
      </c>
      <c r="F269" s="23" t="s">
        <v>52</v>
      </c>
      <c r="G269" s="23" t="s">
        <v>52</v>
      </c>
      <c r="H269" s="23" t="s">
        <v>52</v>
      </c>
    </row>
    <row r="270" spans="1:8" x14ac:dyDescent="0.25">
      <c r="A270" s="10" t="s">
        <v>75</v>
      </c>
      <c r="B270">
        <v>1200</v>
      </c>
      <c r="C270">
        <v>30</v>
      </c>
      <c r="D270">
        <v>50</v>
      </c>
      <c r="E270">
        <v>2.9197994987468674E-3</v>
      </c>
      <c r="F270" s="23" t="s">
        <v>52</v>
      </c>
      <c r="G270" s="23" t="s">
        <v>52</v>
      </c>
      <c r="H270" s="23" t="s">
        <v>52</v>
      </c>
    </row>
    <row r="271" spans="1:8" x14ac:dyDescent="0.25">
      <c r="A271" s="10" t="s">
        <v>75</v>
      </c>
      <c r="B271">
        <v>1200</v>
      </c>
      <c r="C271">
        <v>30</v>
      </c>
      <c r="D271">
        <v>60</v>
      </c>
      <c r="E271">
        <v>3.0451127819548871E-3</v>
      </c>
      <c r="F271" s="24">
        <v>1.0000000000000001E-5</v>
      </c>
      <c r="G271">
        <f>10*F271*4</f>
        <v>4.0000000000000002E-4</v>
      </c>
      <c r="H271" s="23">
        <f>((G271/0.0028)*(100))</f>
        <v>14.285714285714288</v>
      </c>
    </row>
    <row r="272" spans="1:8" x14ac:dyDescent="0.25">
      <c r="A272" s="10" t="s">
        <v>75</v>
      </c>
      <c r="B272">
        <v>1200</v>
      </c>
      <c r="C272">
        <v>45</v>
      </c>
      <c r="D272">
        <v>10</v>
      </c>
      <c r="E272">
        <v>0</v>
      </c>
      <c r="F272" s="23" t="s">
        <v>52</v>
      </c>
      <c r="G272" s="23" t="s">
        <v>52</v>
      </c>
      <c r="H272" s="23" t="s">
        <v>52</v>
      </c>
    </row>
    <row r="273" spans="1:8" x14ac:dyDescent="0.25">
      <c r="A273" s="10" t="s">
        <v>75</v>
      </c>
      <c r="B273">
        <v>1200</v>
      </c>
      <c r="C273">
        <v>45</v>
      </c>
      <c r="D273">
        <v>20</v>
      </c>
      <c r="E273">
        <v>0</v>
      </c>
      <c r="F273" s="23" t="s">
        <v>52</v>
      </c>
      <c r="G273" s="23" t="s">
        <v>52</v>
      </c>
      <c r="H273" s="23" t="s">
        <v>52</v>
      </c>
    </row>
    <row r="274" spans="1:8" x14ac:dyDescent="0.25">
      <c r="A274" s="10" t="s">
        <v>75</v>
      </c>
      <c r="B274">
        <v>1200</v>
      </c>
      <c r="C274">
        <v>45</v>
      </c>
      <c r="D274">
        <v>30</v>
      </c>
      <c r="E274">
        <v>0</v>
      </c>
      <c r="F274" s="23" t="s">
        <v>52</v>
      </c>
      <c r="G274" s="23" t="s">
        <v>52</v>
      </c>
      <c r="H274" s="23" t="s">
        <v>52</v>
      </c>
    </row>
    <row r="275" spans="1:8" x14ac:dyDescent="0.25">
      <c r="A275" s="10" t="s">
        <v>75</v>
      </c>
      <c r="B275">
        <v>1200</v>
      </c>
      <c r="C275">
        <v>45</v>
      </c>
      <c r="D275">
        <v>40</v>
      </c>
      <c r="E275">
        <v>0</v>
      </c>
      <c r="F275" s="23" t="s">
        <v>52</v>
      </c>
      <c r="G275" s="23" t="s">
        <v>52</v>
      </c>
      <c r="H275" s="23" t="s">
        <v>52</v>
      </c>
    </row>
    <row r="276" spans="1:8" x14ac:dyDescent="0.25">
      <c r="A276" s="10" t="s">
        <v>75</v>
      </c>
      <c r="B276">
        <v>1200</v>
      </c>
      <c r="C276">
        <v>45</v>
      </c>
      <c r="D276">
        <v>50</v>
      </c>
      <c r="E276">
        <v>0</v>
      </c>
      <c r="F276" s="23" t="s">
        <v>52</v>
      </c>
      <c r="G276" s="23" t="s">
        <v>52</v>
      </c>
      <c r="H276" s="23" t="s">
        <v>52</v>
      </c>
    </row>
    <row r="277" spans="1:8" x14ac:dyDescent="0.25">
      <c r="A277" s="10" t="s">
        <v>75</v>
      </c>
      <c r="B277">
        <v>1200</v>
      </c>
      <c r="C277">
        <v>45</v>
      </c>
      <c r="D277">
        <v>60</v>
      </c>
      <c r="E277">
        <v>0</v>
      </c>
      <c r="F277" s="24">
        <v>0</v>
      </c>
      <c r="G277">
        <f>10*F277*4</f>
        <v>0</v>
      </c>
      <c r="H277">
        <v>0</v>
      </c>
    </row>
    <row r="278" spans="1:8" x14ac:dyDescent="0.25">
      <c r="A278" s="10" t="s">
        <v>75</v>
      </c>
      <c r="B278">
        <v>1200</v>
      </c>
      <c r="C278">
        <v>60</v>
      </c>
      <c r="D278">
        <v>10</v>
      </c>
      <c r="E278">
        <v>0</v>
      </c>
      <c r="F278" s="23" t="s">
        <v>52</v>
      </c>
      <c r="G278" s="23" t="s">
        <v>52</v>
      </c>
      <c r="H278" s="23" t="s">
        <v>52</v>
      </c>
    </row>
    <row r="279" spans="1:8" x14ac:dyDescent="0.25">
      <c r="A279" s="10" t="s">
        <v>75</v>
      </c>
      <c r="B279">
        <v>1200</v>
      </c>
      <c r="C279">
        <v>60</v>
      </c>
      <c r="D279">
        <v>20</v>
      </c>
      <c r="E279">
        <v>0</v>
      </c>
      <c r="F279" s="23" t="s">
        <v>52</v>
      </c>
      <c r="G279" s="23" t="s">
        <v>52</v>
      </c>
      <c r="H279" s="23" t="s">
        <v>52</v>
      </c>
    </row>
    <row r="280" spans="1:8" x14ac:dyDescent="0.25">
      <c r="A280" s="10" t="s">
        <v>75</v>
      </c>
      <c r="B280">
        <v>1200</v>
      </c>
      <c r="C280">
        <v>60</v>
      </c>
      <c r="D280">
        <v>30</v>
      </c>
      <c r="E280">
        <v>0</v>
      </c>
      <c r="F280" s="23" t="s">
        <v>52</v>
      </c>
      <c r="G280" s="23" t="s">
        <v>52</v>
      </c>
      <c r="H280" s="23" t="s">
        <v>52</v>
      </c>
    </row>
    <row r="281" spans="1:8" x14ac:dyDescent="0.25">
      <c r="A281" s="10" t="s">
        <v>75</v>
      </c>
      <c r="B281">
        <v>1200</v>
      </c>
      <c r="C281">
        <v>60</v>
      </c>
      <c r="D281">
        <v>40</v>
      </c>
      <c r="E281">
        <v>0</v>
      </c>
      <c r="F281" s="23" t="s">
        <v>52</v>
      </c>
      <c r="G281" s="23" t="s">
        <v>52</v>
      </c>
      <c r="H281" s="23" t="s">
        <v>52</v>
      </c>
    </row>
    <row r="282" spans="1:8" x14ac:dyDescent="0.25">
      <c r="A282" s="10" t="s">
        <v>75</v>
      </c>
      <c r="B282">
        <v>1200</v>
      </c>
      <c r="C282">
        <v>60</v>
      </c>
      <c r="D282">
        <v>50</v>
      </c>
      <c r="E282">
        <v>0</v>
      </c>
      <c r="F282" s="23" t="s">
        <v>52</v>
      </c>
      <c r="G282" s="23" t="s">
        <v>52</v>
      </c>
      <c r="H282" s="23" t="s">
        <v>52</v>
      </c>
    </row>
    <row r="283" spans="1:8" x14ac:dyDescent="0.25">
      <c r="A283" s="10" t="s">
        <v>75</v>
      </c>
      <c r="B283">
        <v>1200</v>
      </c>
      <c r="C283">
        <v>60</v>
      </c>
      <c r="D283">
        <v>60</v>
      </c>
      <c r="E283">
        <v>0</v>
      </c>
      <c r="F283" s="24">
        <v>0</v>
      </c>
      <c r="G283">
        <f>10*F283*4</f>
        <v>0</v>
      </c>
      <c r="H283">
        <v>0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97"/>
  <sheetViews>
    <sheetView zoomScaleNormal="100" workbookViewId="0">
      <selection activeCell="A91" sqref="A91:XFD91"/>
    </sheetView>
  </sheetViews>
  <sheetFormatPr baseColWidth="10" defaultRowHeight="15" x14ac:dyDescent="0.25"/>
  <cols>
    <col min="1" max="1" width="12.85546875" customWidth="1"/>
    <col min="2" max="2" width="13.42578125" customWidth="1"/>
    <col min="4" max="4" width="13.28515625" customWidth="1"/>
    <col min="5" max="5" width="16.140625" customWidth="1"/>
  </cols>
  <sheetData>
    <row r="1" spans="1:7" x14ac:dyDescent="0.25">
      <c r="A1" s="10" t="s">
        <v>72</v>
      </c>
      <c r="B1" s="10" t="s">
        <v>36</v>
      </c>
      <c r="C1" s="11" t="s">
        <v>35</v>
      </c>
      <c r="D1" s="11" t="s">
        <v>37</v>
      </c>
      <c r="E1" s="10" t="s">
        <v>53</v>
      </c>
      <c r="F1" s="10" t="s">
        <v>54</v>
      </c>
      <c r="G1" s="10" t="s">
        <v>55</v>
      </c>
    </row>
    <row r="2" spans="1:7" x14ac:dyDescent="0.25">
      <c r="A2" s="19">
        <v>300</v>
      </c>
      <c r="B2" s="19">
        <v>15</v>
      </c>
      <c r="C2" s="20">
        <v>10</v>
      </c>
      <c r="D2" s="22">
        <v>4.2606516290726809E-3</v>
      </c>
      <c r="E2" s="23" t="s">
        <v>52</v>
      </c>
      <c r="F2" s="23" t="s">
        <v>52</v>
      </c>
      <c r="G2" s="23" t="s">
        <v>52</v>
      </c>
    </row>
    <row r="3" spans="1:7" x14ac:dyDescent="0.25">
      <c r="A3" s="19">
        <v>300</v>
      </c>
      <c r="B3" s="19">
        <v>15</v>
      </c>
      <c r="C3" s="20">
        <v>20</v>
      </c>
      <c r="D3" s="22">
        <v>4.6365914786967418E-3</v>
      </c>
      <c r="E3" s="23" t="s">
        <v>52</v>
      </c>
      <c r="F3" s="23" t="s">
        <v>52</v>
      </c>
      <c r="G3" s="23" t="s">
        <v>52</v>
      </c>
    </row>
    <row r="4" spans="1:7" x14ac:dyDescent="0.25">
      <c r="A4" s="19">
        <v>300</v>
      </c>
      <c r="B4" s="19">
        <v>15</v>
      </c>
      <c r="C4" s="20">
        <v>30</v>
      </c>
      <c r="D4" s="22">
        <v>5.1002506265664166E-3</v>
      </c>
      <c r="E4" s="23" t="s">
        <v>52</v>
      </c>
      <c r="F4" s="23" t="s">
        <v>52</v>
      </c>
      <c r="G4" s="23" t="s">
        <v>52</v>
      </c>
    </row>
    <row r="5" spans="1:7" x14ac:dyDescent="0.25">
      <c r="A5" s="19">
        <v>300</v>
      </c>
      <c r="B5" s="19">
        <v>15</v>
      </c>
      <c r="C5" s="20">
        <v>40</v>
      </c>
      <c r="D5" s="22">
        <v>5.5137844611528814E-3</v>
      </c>
      <c r="E5" s="23" t="s">
        <v>52</v>
      </c>
      <c r="F5" s="23" t="s">
        <v>52</v>
      </c>
      <c r="G5" s="23" t="s">
        <v>52</v>
      </c>
    </row>
    <row r="6" spans="1:7" x14ac:dyDescent="0.25">
      <c r="A6" s="19">
        <v>300</v>
      </c>
      <c r="B6" s="19">
        <v>15</v>
      </c>
      <c r="C6" s="20">
        <v>50</v>
      </c>
      <c r="D6" s="22">
        <v>5.9774436090225562E-3</v>
      </c>
      <c r="E6" s="23" t="s">
        <v>52</v>
      </c>
      <c r="F6" s="23" t="s">
        <v>52</v>
      </c>
      <c r="G6" s="23" t="s">
        <v>52</v>
      </c>
    </row>
    <row r="7" spans="1:7" x14ac:dyDescent="0.25">
      <c r="A7" s="19">
        <v>300</v>
      </c>
      <c r="B7" s="19">
        <v>15</v>
      </c>
      <c r="C7" s="20">
        <v>60</v>
      </c>
      <c r="D7" s="22">
        <v>6.4035087719298252E-3</v>
      </c>
      <c r="E7">
        <v>4.0000000000000003E-5</v>
      </c>
      <c r="F7">
        <f>10*E7*4</f>
        <v>1.6000000000000001E-3</v>
      </c>
      <c r="G7" s="23">
        <f>((F7/0.0028)*(100))</f>
        <v>57.142857142857153</v>
      </c>
    </row>
    <row r="8" spans="1:7" x14ac:dyDescent="0.25">
      <c r="A8" s="19">
        <v>300</v>
      </c>
      <c r="B8" s="21">
        <v>30</v>
      </c>
      <c r="C8" s="21">
        <v>10</v>
      </c>
      <c r="D8" s="24">
        <v>2.8571428571428567E-3</v>
      </c>
      <c r="E8" s="23" t="s">
        <v>52</v>
      </c>
      <c r="F8" s="23" t="s">
        <v>52</v>
      </c>
      <c r="G8" s="23" t="s">
        <v>52</v>
      </c>
    </row>
    <row r="9" spans="1:7" x14ac:dyDescent="0.25">
      <c r="A9" s="19">
        <v>300</v>
      </c>
      <c r="B9" s="21">
        <v>30</v>
      </c>
      <c r="C9" s="21">
        <v>20</v>
      </c>
      <c r="D9" s="24">
        <v>3.1954887218045114E-3</v>
      </c>
      <c r="E9" s="23" t="s">
        <v>52</v>
      </c>
      <c r="F9" s="23" t="s">
        <v>52</v>
      </c>
      <c r="G9" s="23" t="s">
        <v>52</v>
      </c>
    </row>
    <row r="10" spans="1:7" x14ac:dyDescent="0.25">
      <c r="A10" s="19">
        <v>300</v>
      </c>
      <c r="B10" s="21">
        <v>30</v>
      </c>
      <c r="C10" s="21">
        <v>30</v>
      </c>
      <c r="D10" s="24">
        <v>3.5338345864661656E-3</v>
      </c>
      <c r="E10" s="23" t="s">
        <v>52</v>
      </c>
      <c r="F10" s="23" t="s">
        <v>52</v>
      </c>
      <c r="G10" s="23" t="s">
        <v>52</v>
      </c>
    </row>
    <row r="11" spans="1:7" x14ac:dyDescent="0.25">
      <c r="A11" s="19">
        <v>300</v>
      </c>
      <c r="B11" s="21">
        <v>30</v>
      </c>
      <c r="C11" s="21">
        <v>40</v>
      </c>
      <c r="D11" s="24">
        <v>3.8596491228070173E-3</v>
      </c>
      <c r="E11" s="23" t="s">
        <v>52</v>
      </c>
      <c r="F11" s="23" t="s">
        <v>52</v>
      </c>
      <c r="G11" s="23" t="s">
        <v>52</v>
      </c>
    </row>
    <row r="12" spans="1:7" x14ac:dyDescent="0.25">
      <c r="A12" s="19">
        <v>300</v>
      </c>
      <c r="B12" s="21">
        <v>30</v>
      </c>
      <c r="C12" s="21">
        <v>50</v>
      </c>
      <c r="D12" s="24">
        <v>4.2105263157894736E-3</v>
      </c>
      <c r="E12" s="23" t="s">
        <v>52</v>
      </c>
      <c r="F12" s="23" t="s">
        <v>52</v>
      </c>
      <c r="G12" s="23" t="s">
        <v>52</v>
      </c>
    </row>
    <row r="13" spans="1:7" x14ac:dyDescent="0.25">
      <c r="A13" s="19">
        <v>300</v>
      </c>
      <c r="B13" s="21">
        <v>30</v>
      </c>
      <c r="C13" s="21">
        <v>60</v>
      </c>
      <c r="D13" s="24">
        <v>4.5739348370927311E-3</v>
      </c>
      <c r="E13" s="25">
        <v>3.0000000000000001E-5</v>
      </c>
      <c r="F13">
        <f>10*E13*4</f>
        <v>1.2000000000000001E-3</v>
      </c>
      <c r="G13" s="23">
        <f>((F13/0.0028)*(100))</f>
        <v>42.857142857142861</v>
      </c>
    </row>
    <row r="14" spans="1:7" x14ac:dyDescent="0.25">
      <c r="A14" s="21">
        <v>300</v>
      </c>
      <c r="B14" s="21">
        <v>45</v>
      </c>
      <c r="C14" s="21">
        <v>10</v>
      </c>
      <c r="D14" s="24">
        <v>3.220551378446115E-3</v>
      </c>
      <c r="E14" s="23" t="s">
        <v>52</v>
      </c>
      <c r="F14" s="23" t="s">
        <v>52</v>
      </c>
      <c r="G14" s="23" t="s">
        <v>52</v>
      </c>
    </row>
    <row r="15" spans="1:7" x14ac:dyDescent="0.25">
      <c r="A15" s="21">
        <v>300</v>
      </c>
      <c r="B15" s="21">
        <v>45</v>
      </c>
      <c r="C15" s="21">
        <v>20</v>
      </c>
      <c r="D15" s="24">
        <v>3.6090225563909771E-3</v>
      </c>
      <c r="E15" s="23" t="s">
        <v>52</v>
      </c>
      <c r="F15" s="23" t="s">
        <v>52</v>
      </c>
      <c r="G15" s="23" t="s">
        <v>52</v>
      </c>
    </row>
    <row r="16" spans="1:7" x14ac:dyDescent="0.25">
      <c r="A16" s="21">
        <v>300</v>
      </c>
      <c r="B16" s="21">
        <v>45</v>
      </c>
      <c r="C16" s="21">
        <v>30</v>
      </c>
      <c r="D16" s="24">
        <v>3.7468671679197992E-3</v>
      </c>
      <c r="E16" s="23" t="s">
        <v>52</v>
      </c>
      <c r="F16" s="23" t="s">
        <v>52</v>
      </c>
      <c r="G16" s="23" t="s">
        <v>52</v>
      </c>
    </row>
    <row r="17" spans="1:7" x14ac:dyDescent="0.25">
      <c r="A17" s="21">
        <v>300</v>
      </c>
      <c r="B17" s="21">
        <v>45</v>
      </c>
      <c r="C17" s="21">
        <v>40</v>
      </c>
      <c r="D17" s="24">
        <v>3.9223057644110276E-3</v>
      </c>
      <c r="E17" s="23" t="s">
        <v>52</v>
      </c>
      <c r="F17" s="23" t="s">
        <v>52</v>
      </c>
      <c r="G17" s="23" t="s">
        <v>52</v>
      </c>
    </row>
    <row r="18" spans="1:7" x14ac:dyDescent="0.25">
      <c r="A18" s="21">
        <v>300</v>
      </c>
      <c r="B18" s="21">
        <v>45</v>
      </c>
      <c r="C18" s="21">
        <v>50</v>
      </c>
      <c r="D18" s="24">
        <v>4.0601503759398498E-3</v>
      </c>
      <c r="E18" s="23" t="s">
        <v>52</v>
      </c>
      <c r="F18" s="23" t="s">
        <v>52</v>
      </c>
      <c r="G18" s="23" t="s">
        <v>52</v>
      </c>
    </row>
    <row r="19" spans="1:7" x14ac:dyDescent="0.25">
      <c r="A19" s="21">
        <v>300</v>
      </c>
      <c r="B19" s="21">
        <v>45</v>
      </c>
      <c r="C19" s="21">
        <v>60</v>
      </c>
      <c r="D19" s="24">
        <v>4.2857142857142851E-3</v>
      </c>
      <c r="E19" s="25">
        <v>2.0000000000000002E-5</v>
      </c>
      <c r="F19">
        <f>10*E19*4</f>
        <v>8.0000000000000004E-4</v>
      </c>
      <c r="G19" s="23">
        <f>((F19/0.0028)*(100))</f>
        <v>28.571428571428577</v>
      </c>
    </row>
    <row r="20" spans="1:7" x14ac:dyDescent="0.25">
      <c r="A20" s="21">
        <v>300</v>
      </c>
      <c r="B20" s="21">
        <v>60</v>
      </c>
      <c r="C20" s="21">
        <v>10</v>
      </c>
      <c r="D20" s="24">
        <v>3.0325814536340851E-3</v>
      </c>
      <c r="E20" s="23" t="s">
        <v>52</v>
      </c>
      <c r="F20" s="23" t="s">
        <v>52</v>
      </c>
      <c r="G20" s="23" t="s">
        <v>52</v>
      </c>
    </row>
    <row r="21" spans="1:7" x14ac:dyDescent="0.25">
      <c r="A21" s="21">
        <v>300</v>
      </c>
      <c r="B21" s="21">
        <v>60</v>
      </c>
      <c r="C21" s="21">
        <v>20</v>
      </c>
      <c r="D21" s="24">
        <v>3.2957393483709269E-3</v>
      </c>
      <c r="E21" s="23" t="s">
        <v>52</v>
      </c>
      <c r="F21" s="23" t="s">
        <v>52</v>
      </c>
      <c r="G21" s="23" t="s">
        <v>52</v>
      </c>
    </row>
    <row r="22" spans="1:7" x14ac:dyDescent="0.25">
      <c r="A22" s="21">
        <v>300</v>
      </c>
      <c r="B22" s="21">
        <v>60</v>
      </c>
      <c r="C22" s="21">
        <v>30</v>
      </c>
      <c r="D22" s="24">
        <v>3.5839598997493734E-3</v>
      </c>
      <c r="E22" s="23" t="s">
        <v>52</v>
      </c>
      <c r="F22" s="23" t="s">
        <v>52</v>
      </c>
      <c r="G22" s="23" t="s">
        <v>52</v>
      </c>
    </row>
    <row r="23" spans="1:7" x14ac:dyDescent="0.25">
      <c r="A23" s="21">
        <v>300</v>
      </c>
      <c r="B23" s="21">
        <v>60</v>
      </c>
      <c r="C23" s="21">
        <v>40</v>
      </c>
      <c r="D23" s="24">
        <v>3.8847117794486214E-3</v>
      </c>
      <c r="E23" s="23" t="s">
        <v>52</v>
      </c>
      <c r="F23" s="23" t="s">
        <v>52</v>
      </c>
      <c r="G23" s="23" t="s">
        <v>52</v>
      </c>
    </row>
    <row r="24" spans="1:7" x14ac:dyDescent="0.25">
      <c r="A24" s="21">
        <v>300</v>
      </c>
      <c r="B24" s="21">
        <v>60</v>
      </c>
      <c r="C24" s="21">
        <v>50</v>
      </c>
      <c r="D24" s="24">
        <v>4.1854636591478695E-3</v>
      </c>
      <c r="E24" s="23" t="s">
        <v>52</v>
      </c>
      <c r="F24" s="23" t="s">
        <v>52</v>
      </c>
      <c r="G24" s="23" t="s">
        <v>52</v>
      </c>
    </row>
    <row r="25" spans="1:7" x14ac:dyDescent="0.25">
      <c r="A25" s="21">
        <v>300</v>
      </c>
      <c r="B25" s="21">
        <v>60</v>
      </c>
      <c r="C25" s="21">
        <v>60</v>
      </c>
      <c r="D25" s="24">
        <v>4.6491228070175443E-3</v>
      </c>
      <c r="E25" s="25">
        <v>3.0000000000000001E-5</v>
      </c>
      <c r="F25">
        <f>10*E25*4</f>
        <v>1.2000000000000001E-3</v>
      </c>
      <c r="G25" s="23">
        <f>((F25/0.0028)*(100))</f>
        <v>42.857142857142861</v>
      </c>
    </row>
    <row r="26" spans="1:7" x14ac:dyDescent="0.25">
      <c r="A26" s="19">
        <v>600</v>
      </c>
      <c r="B26" s="19">
        <v>15</v>
      </c>
      <c r="C26" s="20">
        <v>10</v>
      </c>
      <c r="D26" s="24">
        <v>1.8295739348370924E-3</v>
      </c>
      <c r="E26" s="23" t="s">
        <v>52</v>
      </c>
      <c r="F26" s="23" t="s">
        <v>52</v>
      </c>
      <c r="G26" s="23" t="s">
        <v>52</v>
      </c>
    </row>
    <row r="27" spans="1:7" x14ac:dyDescent="0.25">
      <c r="A27" s="19">
        <v>600</v>
      </c>
      <c r="B27" s="19">
        <v>15</v>
      </c>
      <c r="C27" s="20">
        <v>20</v>
      </c>
      <c r="D27" s="24">
        <v>2.0927318295739347E-3</v>
      </c>
      <c r="E27" s="23" t="s">
        <v>52</v>
      </c>
      <c r="F27" s="23" t="s">
        <v>52</v>
      </c>
      <c r="G27" s="23" t="s">
        <v>52</v>
      </c>
    </row>
    <row r="28" spans="1:7" x14ac:dyDescent="0.25">
      <c r="A28" s="19">
        <v>600</v>
      </c>
      <c r="B28" s="19">
        <v>15</v>
      </c>
      <c r="C28" s="20">
        <v>30</v>
      </c>
      <c r="D28" s="24">
        <v>2.3809523809523807E-3</v>
      </c>
      <c r="E28" s="23" t="s">
        <v>52</v>
      </c>
      <c r="F28" s="23" t="s">
        <v>52</v>
      </c>
      <c r="G28" s="23" t="s">
        <v>52</v>
      </c>
    </row>
    <row r="29" spans="1:7" x14ac:dyDescent="0.25">
      <c r="A29" s="19">
        <v>600</v>
      </c>
      <c r="B29" s="19">
        <v>15</v>
      </c>
      <c r="C29" s="20">
        <v>40</v>
      </c>
      <c r="D29" s="24">
        <v>2.6942355889724308E-3</v>
      </c>
      <c r="E29" s="23" t="s">
        <v>52</v>
      </c>
      <c r="F29" s="23" t="s">
        <v>52</v>
      </c>
      <c r="G29" s="23" t="s">
        <v>52</v>
      </c>
    </row>
    <row r="30" spans="1:7" x14ac:dyDescent="0.25">
      <c r="A30" s="19">
        <v>600</v>
      </c>
      <c r="B30" s="19">
        <v>15</v>
      </c>
      <c r="C30" s="20">
        <v>50</v>
      </c>
      <c r="D30" s="24">
        <v>2.9824561403508768E-3</v>
      </c>
      <c r="E30" s="23" t="s">
        <v>52</v>
      </c>
      <c r="F30" s="23" t="s">
        <v>52</v>
      </c>
      <c r="G30" s="23" t="s">
        <v>52</v>
      </c>
    </row>
    <row r="31" spans="1:7" x14ac:dyDescent="0.25">
      <c r="A31" s="19">
        <v>600</v>
      </c>
      <c r="B31" s="19">
        <v>15</v>
      </c>
      <c r="C31" s="20">
        <v>60</v>
      </c>
      <c r="D31" s="24">
        <v>3.2832080200501253E-3</v>
      </c>
      <c r="E31" s="25">
        <v>3.0000000000000001E-5</v>
      </c>
      <c r="F31">
        <f>10*E31*4</f>
        <v>1.2000000000000001E-3</v>
      </c>
      <c r="G31" s="23">
        <f>((F31/0.0028)*(100))</f>
        <v>42.857142857142861</v>
      </c>
    </row>
    <row r="32" spans="1:7" x14ac:dyDescent="0.25">
      <c r="A32" s="19">
        <v>600</v>
      </c>
      <c r="B32" s="21">
        <v>30</v>
      </c>
      <c r="C32" s="21">
        <v>10</v>
      </c>
      <c r="D32" s="24">
        <v>2.9323308270676686E-3</v>
      </c>
      <c r="E32" s="23" t="s">
        <v>52</v>
      </c>
      <c r="F32" s="23" t="s">
        <v>52</v>
      </c>
      <c r="G32" s="23" t="s">
        <v>52</v>
      </c>
    </row>
    <row r="33" spans="1:7" x14ac:dyDescent="0.25">
      <c r="A33" s="19">
        <v>600</v>
      </c>
      <c r="B33" s="21">
        <v>30</v>
      </c>
      <c r="C33" s="21">
        <v>20</v>
      </c>
      <c r="D33" s="24">
        <v>3.2957393483709269E-3</v>
      </c>
      <c r="E33" s="23" t="s">
        <v>52</v>
      </c>
      <c r="F33" s="23" t="s">
        <v>52</v>
      </c>
      <c r="G33" s="23" t="s">
        <v>52</v>
      </c>
    </row>
    <row r="34" spans="1:7" x14ac:dyDescent="0.25">
      <c r="A34" s="19">
        <v>600</v>
      </c>
      <c r="B34" s="21">
        <v>30</v>
      </c>
      <c r="C34" s="21">
        <v>30</v>
      </c>
      <c r="D34" s="24">
        <v>3.6340852130325812E-3</v>
      </c>
      <c r="E34" s="23" t="s">
        <v>52</v>
      </c>
      <c r="F34" s="23" t="s">
        <v>52</v>
      </c>
      <c r="G34" s="23" t="s">
        <v>52</v>
      </c>
    </row>
    <row r="35" spans="1:7" x14ac:dyDescent="0.25">
      <c r="A35" s="19">
        <v>600</v>
      </c>
      <c r="B35" s="21">
        <v>30</v>
      </c>
      <c r="C35" s="21">
        <v>40</v>
      </c>
      <c r="D35" s="24">
        <v>3.9223057644110276E-3</v>
      </c>
      <c r="E35" s="23" t="s">
        <v>52</v>
      </c>
      <c r="F35" s="23" t="s">
        <v>52</v>
      </c>
      <c r="G35" s="23" t="s">
        <v>52</v>
      </c>
    </row>
    <row r="36" spans="1:7" x14ac:dyDescent="0.25">
      <c r="A36" s="19">
        <v>600</v>
      </c>
      <c r="B36" s="21">
        <v>30</v>
      </c>
      <c r="C36" s="21">
        <v>50</v>
      </c>
      <c r="D36" s="24">
        <v>4.197994987468672E-3</v>
      </c>
      <c r="E36" s="23" t="s">
        <v>52</v>
      </c>
      <c r="F36" s="23" t="s">
        <v>52</v>
      </c>
      <c r="G36" s="23" t="s">
        <v>52</v>
      </c>
    </row>
    <row r="37" spans="1:7" x14ac:dyDescent="0.25">
      <c r="A37" s="19">
        <v>600</v>
      </c>
      <c r="B37" s="21">
        <v>30</v>
      </c>
      <c r="C37" s="21">
        <v>60</v>
      </c>
      <c r="D37" s="24">
        <v>4.4611528822055138E-3</v>
      </c>
      <c r="E37" s="24">
        <v>3.0000000000000001E-5</v>
      </c>
      <c r="F37">
        <f>10*E37*4</f>
        <v>1.2000000000000001E-3</v>
      </c>
      <c r="G37" s="23">
        <f>((F37/0.0028)*(100))</f>
        <v>42.857142857142861</v>
      </c>
    </row>
    <row r="38" spans="1:7" x14ac:dyDescent="0.25">
      <c r="A38" s="19">
        <v>600</v>
      </c>
      <c r="B38" s="21">
        <v>45</v>
      </c>
      <c r="C38" s="21">
        <v>10</v>
      </c>
      <c r="D38" s="24">
        <v>1.6040100250626565E-3</v>
      </c>
      <c r="E38" s="23" t="s">
        <v>52</v>
      </c>
      <c r="F38" s="23" t="s">
        <v>52</v>
      </c>
      <c r="G38" s="23" t="s">
        <v>52</v>
      </c>
    </row>
    <row r="39" spans="1:7" x14ac:dyDescent="0.25">
      <c r="A39" s="19">
        <v>600</v>
      </c>
      <c r="B39" s="21">
        <v>45</v>
      </c>
      <c r="C39" s="21">
        <v>20</v>
      </c>
      <c r="D39" s="24">
        <v>1.754385964912281E-3</v>
      </c>
      <c r="E39" s="23" t="s">
        <v>52</v>
      </c>
      <c r="F39" s="23" t="s">
        <v>52</v>
      </c>
      <c r="G39" s="23" t="s">
        <v>52</v>
      </c>
    </row>
    <row r="40" spans="1:7" x14ac:dyDescent="0.25">
      <c r="A40" s="19">
        <v>600</v>
      </c>
      <c r="B40" s="21">
        <v>45</v>
      </c>
      <c r="C40" s="21">
        <v>30</v>
      </c>
      <c r="D40" s="24">
        <v>1.9047619047619048E-3</v>
      </c>
      <c r="E40" s="23" t="s">
        <v>52</v>
      </c>
      <c r="F40" s="23" t="s">
        <v>52</v>
      </c>
      <c r="G40" s="23" t="s">
        <v>52</v>
      </c>
    </row>
    <row r="41" spans="1:7" x14ac:dyDescent="0.25">
      <c r="A41" s="19">
        <v>600</v>
      </c>
      <c r="B41" s="21">
        <v>45</v>
      </c>
      <c r="C41" s="21">
        <v>40</v>
      </c>
      <c r="D41" s="24">
        <v>2.0927318295739347E-3</v>
      </c>
      <c r="E41" s="23" t="s">
        <v>52</v>
      </c>
      <c r="F41" s="23" t="s">
        <v>52</v>
      </c>
      <c r="G41" s="23" t="s">
        <v>52</v>
      </c>
    </row>
    <row r="42" spans="1:7" x14ac:dyDescent="0.25">
      <c r="A42" s="19">
        <v>600</v>
      </c>
      <c r="B42" s="21">
        <v>45</v>
      </c>
      <c r="C42" s="21">
        <v>50</v>
      </c>
      <c r="D42" s="24">
        <v>2.3182957393483709E-3</v>
      </c>
      <c r="E42" s="23" t="s">
        <v>52</v>
      </c>
      <c r="F42" s="23" t="s">
        <v>52</v>
      </c>
      <c r="G42" s="23" t="s">
        <v>52</v>
      </c>
    </row>
    <row r="43" spans="1:7" x14ac:dyDescent="0.25">
      <c r="A43" s="19">
        <v>600</v>
      </c>
      <c r="B43" s="21">
        <v>45</v>
      </c>
      <c r="C43" s="21">
        <v>60</v>
      </c>
      <c r="D43" s="24">
        <v>2.5187969924812029E-3</v>
      </c>
      <c r="E43" s="24">
        <v>2.0000000000000002E-5</v>
      </c>
      <c r="F43">
        <f>10*E43*4</f>
        <v>8.0000000000000004E-4</v>
      </c>
      <c r="G43" s="23">
        <f>((F43/0.0028)*(100))</f>
        <v>28.571428571428577</v>
      </c>
    </row>
    <row r="44" spans="1:7" x14ac:dyDescent="0.25">
      <c r="A44" s="19">
        <v>600</v>
      </c>
      <c r="B44" s="21">
        <v>60</v>
      </c>
      <c r="C44" s="21">
        <v>10</v>
      </c>
      <c r="D44" s="24">
        <v>2.0175438596491228E-3</v>
      </c>
      <c r="E44" s="23" t="s">
        <v>52</v>
      </c>
      <c r="F44" s="23" t="s">
        <v>52</v>
      </c>
      <c r="G44" s="23" t="s">
        <v>52</v>
      </c>
    </row>
    <row r="45" spans="1:7" x14ac:dyDescent="0.25">
      <c r="A45" s="19">
        <v>600</v>
      </c>
      <c r="B45" s="21">
        <v>60</v>
      </c>
      <c r="C45" s="21">
        <v>20</v>
      </c>
      <c r="D45" s="24">
        <v>2.2431077694235585E-3</v>
      </c>
      <c r="E45" s="23" t="s">
        <v>52</v>
      </c>
      <c r="F45" s="23" t="s">
        <v>52</v>
      </c>
      <c r="G45" s="23" t="s">
        <v>52</v>
      </c>
    </row>
    <row r="46" spans="1:7" x14ac:dyDescent="0.25">
      <c r="A46" s="19">
        <v>600</v>
      </c>
      <c r="B46" s="21">
        <v>60</v>
      </c>
      <c r="C46" s="21">
        <v>30</v>
      </c>
      <c r="D46" s="24">
        <v>2.431077694235589E-3</v>
      </c>
      <c r="E46" s="23" t="s">
        <v>52</v>
      </c>
      <c r="F46" s="23" t="s">
        <v>52</v>
      </c>
      <c r="G46" s="23" t="s">
        <v>52</v>
      </c>
    </row>
    <row r="47" spans="1:7" x14ac:dyDescent="0.25">
      <c r="A47" s="19">
        <v>600</v>
      </c>
      <c r="B47" s="21">
        <v>60</v>
      </c>
      <c r="C47" s="21">
        <v>40</v>
      </c>
      <c r="D47" s="24">
        <v>2.5062656641604009E-3</v>
      </c>
      <c r="E47" s="23" t="s">
        <v>52</v>
      </c>
      <c r="F47" s="23" t="s">
        <v>52</v>
      </c>
      <c r="G47" s="23" t="s">
        <v>52</v>
      </c>
    </row>
    <row r="48" spans="1:7" x14ac:dyDescent="0.25">
      <c r="A48" s="19">
        <v>600</v>
      </c>
      <c r="B48" s="21">
        <v>60</v>
      </c>
      <c r="C48" s="21">
        <v>50</v>
      </c>
      <c r="D48" s="24">
        <v>2.6190476190476185E-3</v>
      </c>
      <c r="E48" s="23" t="s">
        <v>52</v>
      </c>
      <c r="F48" s="23" t="s">
        <v>52</v>
      </c>
      <c r="G48" s="23" t="s">
        <v>52</v>
      </c>
    </row>
    <row r="49" spans="1:7" x14ac:dyDescent="0.25">
      <c r="A49" s="19">
        <v>600</v>
      </c>
      <c r="B49" s="21">
        <v>60</v>
      </c>
      <c r="C49" s="21">
        <v>60</v>
      </c>
      <c r="D49" s="24">
        <v>2.6691729323308267E-3</v>
      </c>
      <c r="E49" s="24">
        <v>1.0000000000000001E-5</v>
      </c>
      <c r="F49">
        <f>10*E49*4</f>
        <v>4.0000000000000002E-4</v>
      </c>
      <c r="G49" s="23">
        <f>((F49/0.0028)*(100))</f>
        <v>14.285714285714288</v>
      </c>
    </row>
    <row r="50" spans="1:7" x14ac:dyDescent="0.25">
      <c r="A50" s="19">
        <v>900</v>
      </c>
      <c r="B50" s="19">
        <v>15</v>
      </c>
      <c r="C50" s="20">
        <v>10</v>
      </c>
      <c r="D50" s="24">
        <v>2.4812030075187972E-3</v>
      </c>
      <c r="E50" s="23" t="s">
        <v>52</v>
      </c>
      <c r="F50" s="23" t="s">
        <v>52</v>
      </c>
      <c r="G50" s="23" t="s">
        <v>52</v>
      </c>
    </row>
    <row r="51" spans="1:7" x14ac:dyDescent="0.25">
      <c r="A51" s="19">
        <v>900</v>
      </c>
      <c r="B51" s="19">
        <v>15</v>
      </c>
      <c r="C51" s="20">
        <v>20</v>
      </c>
      <c r="D51" s="24">
        <v>2.731829573934837E-3</v>
      </c>
      <c r="E51" s="23" t="s">
        <v>52</v>
      </c>
      <c r="F51" s="23" t="s">
        <v>52</v>
      </c>
      <c r="G51" s="23" t="s">
        <v>52</v>
      </c>
    </row>
    <row r="52" spans="1:7" x14ac:dyDescent="0.25">
      <c r="A52" s="19">
        <v>900</v>
      </c>
      <c r="B52" s="19">
        <v>15</v>
      </c>
      <c r="C52" s="20">
        <v>30</v>
      </c>
      <c r="D52" s="24">
        <v>3.1328320802005011E-3</v>
      </c>
      <c r="E52" s="23" t="s">
        <v>52</v>
      </c>
      <c r="F52" s="23" t="s">
        <v>52</v>
      </c>
      <c r="G52" s="23" t="s">
        <v>52</v>
      </c>
    </row>
    <row r="53" spans="1:7" x14ac:dyDescent="0.25">
      <c r="A53" s="19">
        <v>900</v>
      </c>
      <c r="B53" s="19">
        <v>15</v>
      </c>
      <c r="C53" s="20">
        <v>40</v>
      </c>
      <c r="D53" s="24">
        <v>3.5338345864661651E-3</v>
      </c>
      <c r="E53" s="23" t="s">
        <v>52</v>
      </c>
      <c r="F53" s="23" t="s">
        <v>52</v>
      </c>
      <c r="G53" s="23" t="s">
        <v>52</v>
      </c>
    </row>
    <row r="54" spans="1:7" x14ac:dyDescent="0.25">
      <c r="A54" s="19">
        <v>900</v>
      </c>
      <c r="B54" s="19">
        <v>15</v>
      </c>
      <c r="C54" s="20">
        <v>50</v>
      </c>
      <c r="D54" s="24">
        <v>3.9598997493734333E-3</v>
      </c>
      <c r="E54" s="23" t="s">
        <v>52</v>
      </c>
      <c r="F54" s="23" t="s">
        <v>52</v>
      </c>
      <c r="G54" s="23" t="s">
        <v>52</v>
      </c>
    </row>
    <row r="55" spans="1:7" x14ac:dyDescent="0.25">
      <c r="A55" s="19">
        <v>900</v>
      </c>
      <c r="B55" s="19">
        <v>15</v>
      </c>
      <c r="C55" s="20">
        <v>60</v>
      </c>
      <c r="D55" s="24">
        <v>4.3609022556390974E-3</v>
      </c>
      <c r="E55" s="24">
        <v>4.0000000000000003E-5</v>
      </c>
      <c r="F55">
        <f>10*E55*4</f>
        <v>1.6000000000000001E-3</v>
      </c>
      <c r="G55" s="23">
        <f>((F55/0.0028)*(100))</f>
        <v>57.142857142857153</v>
      </c>
    </row>
    <row r="56" spans="1:7" x14ac:dyDescent="0.25">
      <c r="A56" s="19">
        <v>900</v>
      </c>
      <c r="B56" s="21">
        <v>30</v>
      </c>
      <c r="C56" s="21">
        <v>10</v>
      </c>
      <c r="D56" s="24">
        <v>3.1578947368421048E-3</v>
      </c>
      <c r="E56" s="23" t="s">
        <v>52</v>
      </c>
      <c r="F56" s="23" t="s">
        <v>52</v>
      </c>
      <c r="G56" s="23" t="s">
        <v>52</v>
      </c>
    </row>
    <row r="57" spans="1:7" x14ac:dyDescent="0.25">
      <c r="A57" s="19">
        <v>900</v>
      </c>
      <c r="B57" s="21">
        <v>30</v>
      </c>
      <c r="C57" s="21">
        <v>20</v>
      </c>
      <c r="D57" s="24">
        <v>3.4335839598997491E-3</v>
      </c>
      <c r="E57" s="23" t="s">
        <v>52</v>
      </c>
      <c r="F57" s="23" t="s">
        <v>52</v>
      </c>
      <c r="G57" s="23" t="s">
        <v>52</v>
      </c>
    </row>
    <row r="58" spans="1:7" x14ac:dyDescent="0.25">
      <c r="A58" s="19">
        <v>900</v>
      </c>
      <c r="B58" s="21">
        <v>30</v>
      </c>
      <c r="C58" s="21">
        <v>30</v>
      </c>
      <c r="D58" s="24">
        <v>3.7092731829573931E-3</v>
      </c>
      <c r="E58" s="23" t="s">
        <v>52</v>
      </c>
      <c r="F58" s="23" t="s">
        <v>52</v>
      </c>
      <c r="G58" s="23" t="s">
        <v>52</v>
      </c>
    </row>
    <row r="59" spans="1:7" x14ac:dyDescent="0.25">
      <c r="A59" s="19">
        <v>900</v>
      </c>
      <c r="B59" s="21">
        <v>30</v>
      </c>
      <c r="C59" s="21">
        <v>40</v>
      </c>
      <c r="D59" s="24">
        <v>4.0476190476190473E-3</v>
      </c>
      <c r="E59" s="23" t="s">
        <v>52</v>
      </c>
      <c r="F59" s="23" t="s">
        <v>52</v>
      </c>
      <c r="G59" s="23" t="s">
        <v>52</v>
      </c>
    </row>
    <row r="60" spans="1:7" x14ac:dyDescent="0.25">
      <c r="A60" s="19">
        <v>900</v>
      </c>
      <c r="B60" s="21">
        <v>30</v>
      </c>
      <c r="C60" s="21">
        <v>50</v>
      </c>
      <c r="D60" s="24">
        <v>4.3483709273182958E-3</v>
      </c>
      <c r="E60" s="23" t="s">
        <v>52</v>
      </c>
      <c r="F60" s="23" t="s">
        <v>52</v>
      </c>
      <c r="G60" s="23" t="s">
        <v>52</v>
      </c>
    </row>
    <row r="61" spans="1:7" x14ac:dyDescent="0.25">
      <c r="A61" s="19">
        <v>900</v>
      </c>
      <c r="B61" s="21">
        <v>30</v>
      </c>
      <c r="C61" s="21">
        <v>60</v>
      </c>
      <c r="D61" s="24">
        <v>4.6741854636591475E-3</v>
      </c>
      <c r="E61" s="24">
        <v>3.0000000000000001E-5</v>
      </c>
      <c r="F61">
        <f>10*E61*4</f>
        <v>1.2000000000000001E-3</v>
      </c>
      <c r="G61" s="23">
        <f>((F61/0.0028)*(100))</f>
        <v>42.857142857142861</v>
      </c>
    </row>
    <row r="62" spans="1:7" x14ac:dyDescent="0.25">
      <c r="A62" s="19">
        <v>900</v>
      </c>
      <c r="B62" s="21">
        <v>45</v>
      </c>
      <c r="C62" s="21">
        <v>10</v>
      </c>
      <c r="D62" s="24">
        <v>1.2656641604010023E-3</v>
      </c>
      <c r="E62" s="23" t="s">
        <v>52</v>
      </c>
      <c r="F62" s="23" t="s">
        <v>52</v>
      </c>
      <c r="G62" s="23" t="s">
        <v>52</v>
      </c>
    </row>
    <row r="63" spans="1:7" x14ac:dyDescent="0.25">
      <c r="A63" s="19">
        <v>900</v>
      </c>
      <c r="B63" s="21">
        <v>45</v>
      </c>
      <c r="C63" s="21">
        <v>20</v>
      </c>
      <c r="D63" s="24">
        <v>1.3157894736842105E-3</v>
      </c>
      <c r="E63" s="23" t="s">
        <v>52</v>
      </c>
      <c r="F63" s="23" t="s">
        <v>52</v>
      </c>
      <c r="G63" s="23" t="s">
        <v>52</v>
      </c>
    </row>
    <row r="64" spans="1:7" x14ac:dyDescent="0.25">
      <c r="A64" s="19">
        <v>900</v>
      </c>
      <c r="B64" s="21">
        <v>45</v>
      </c>
      <c r="C64" s="21">
        <v>30</v>
      </c>
      <c r="D64" s="24">
        <v>1.3659147869674183E-3</v>
      </c>
      <c r="E64" s="23" t="s">
        <v>52</v>
      </c>
      <c r="F64" s="23" t="s">
        <v>52</v>
      </c>
      <c r="G64" s="23" t="s">
        <v>52</v>
      </c>
    </row>
    <row r="65" spans="1:7" x14ac:dyDescent="0.25">
      <c r="A65" s="19">
        <v>900</v>
      </c>
      <c r="B65" s="21">
        <v>45</v>
      </c>
      <c r="C65" s="21">
        <v>40</v>
      </c>
      <c r="D65" s="24">
        <v>1.4411027568922306E-3</v>
      </c>
      <c r="E65" s="23" t="s">
        <v>52</v>
      </c>
      <c r="F65" s="23" t="s">
        <v>52</v>
      </c>
      <c r="G65" s="23" t="s">
        <v>52</v>
      </c>
    </row>
    <row r="66" spans="1:7" x14ac:dyDescent="0.25">
      <c r="A66" s="19">
        <v>900</v>
      </c>
      <c r="B66" s="21">
        <v>45</v>
      </c>
      <c r="C66" s="21">
        <v>50</v>
      </c>
      <c r="D66" s="24">
        <v>1.4912280701754384E-3</v>
      </c>
      <c r="E66" s="23" t="s">
        <v>52</v>
      </c>
      <c r="F66" s="23" t="s">
        <v>52</v>
      </c>
      <c r="G66" s="23" t="s">
        <v>52</v>
      </c>
    </row>
    <row r="67" spans="1:7" x14ac:dyDescent="0.25">
      <c r="A67" s="19">
        <v>900</v>
      </c>
      <c r="B67" s="21">
        <v>45</v>
      </c>
      <c r="C67" s="21">
        <v>60</v>
      </c>
      <c r="D67" s="24">
        <v>1.5664160401002505E-3</v>
      </c>
      <c r="E67" s="25">
        <v>6.0000000000000002E-6</v>
      </c>
      <c r="F67">
        <f>10*E67*4</f>
        <v>2.4000000000000001E-4</v>
      </c>
      <c r="G67" s="23">
        <f>((F67/0.0028)*(100))</f>
        <v>8.5714285714285712</v>
      </c>
    </row>
    <row r="68" spans="1:7" x14ac:dyDescent="0.25">
      <c r="A68" s="19">
        <v>900</v>
      </c>
      <c r="B68" s="21">
        <v>60</v>
      </c>
      <c r="C68" s="21">
        <v>10</v>
      </c>
      <c r="D68" s="24">
        <v>0</v>
      </c>
      <c r="E68" s="23" t="s">
        <v>52</v>
      </c>
      <c r="F68" s="23" t="s">
        <v>52</v>
      </c>
      <c r="G68" s="23" t="s">
        <v>52</v>
      </c>
    </row>
    <row r="69" spans="1:7" x14ac:dyDescent="0.25">
      <c r="A69" s="19">
        <v>900</v>
      </c>
      <c r="B69" s="21">
        <v>60</v>
      </c>
      <c r="C69" s="21">
        <v>20</v>
      </c>
      <c r="D69" s="24">
        <v>0</v>
      </c>
      <c r="E69" s="23" t="s">
        <v>52</v>
      </c>
      <c r="F69" s="23" t="s">
        <v>52</v>
      </c>
      <c r="G69" s="23" t="s">
        <v>52</v>
      </c>
    </row>
    <row r="70" spans="1:7" x14ac:dyDescent="0.25">
      <c r="A70" s="19">
        <v>900</v>
      </c>
      <c r="B70" s="21">
        <v>60</v>
      </c>
      <c r="C70" s="21">
        <v>30</v>
      </c>
      <c r="D70" s="24">
        <v>0</v>
      </c>
      <c r="E70" s="23" t="s">
        <v>52</v>
      </c>
      <c r="F70" s="23" t="s">
        <v>52</v>
      </c>
      <c r="G70" s="23" t="s">
        <v>52</v>
      </c>
    </row>
    <row r="71" spans="1:7" x14ac:dyDescent="0.25">
      <c r="A71" s="19">
        <v>900</v>
      </c>
      <c r="B71" s="21">
        <v>60</v>
      </c>
      <c r="C71" s="21">
        <v>40</v>
      </c>
      <c r="D71" s="24">
        <v>0</v>
      </c>
      <c r="E71" s="23" t="s">
        <v>52</v>
      </c>
      <c r="F71" s="23" t="s">
        <v>52</v>
      </c>
      <c r="G71" s="23" t="s">
        <v>52</v>
      </c>
    </row>
    <row r="72" spans="1:7" x14ac:dyDescent="0.25">
      <c r="A72" s="19">
        <v>900</v>
      </c>
      <c r="B72" s="21">
        <v>60</v>
      </c>
      <c r="C72" s="21">
        <v>50</v>
      </c>
      <c r="D72" s="24">
        <v>0</v>
      </c>
      <c r="E72" s="23" t="s">
        <v>52</v>
      </c>
      <c r="F72" s="23" t="s">
        <v>52</v>
      </c>
      <c r="G72" s="23" t="s">
        <v>52</v>
      </c>
    </row>
    <row r="73" spans="1:7" x14ac:dyDescent="0.25">
      <c r="A73" s="19">
        <v>900</v>
      </c>
      <c r="B73" s="21">
        <v>60</v>
      </c>
      <c r="C73" s="21">
        <v>60</v>
      </c>
      <c r="D73" s="24">
        <v>0</v>
      </c>
      <c r="E73" s="25">
        <v>0</v>
      </c>
      <c r="F73">
        <f>10*E73*4</f>
        <v>0</v>
      </c>
      <c r="G73">
        <f>((F73/$F$7)*(100))</f>
        <v>0</v>
      </c>
    </row>
    <row r="74" spans="1:7" x14ac:dyDescent="0.25">
      <c r="A74" s="19">
        <v>1200</v>
      </c>
      <c r="B74" s="19">
        <v>15</v>
      </c>
      <c r="C74" s="20">
        <v>10</v>
      </c>
      <c r="D74" s="24">
        <v>3.8471177944862153E-3</v>
      </c>
      <c r="E74" s="23" t="s">
        <v>52</v>
      </c>
      <c r="F74" s="23" t="s">
        <v>52</v>
      </c>
      <c r="G74" s="23" t="s">
        <v>52</v>
      </c>
    </row>
    <row r="75" spans="1:7" x14ac:dyDescent="0.25">
      <c r="A75" s="19">
        <v>1200</v>
      </c>
      <c r="B75" s="19">
        <v>15</v>
      </c>
      <c r="C75" s="20">
        <v>20</v>
      </c>
      <c r="D75" s="24">
        <v>4.2105263157894736E-3</v>
      </c>
      <c r="E75" s="23" t="s">
        <v>52</v>
      </c>
      <c r="F75" s="23" t="s">
        <v>52</v>
      </c>
      <c r="G75" s="23" t="s">
        <v>52</v>
      </c>
    </row>
    <row r="76" spans="1:7" x14ac:dyDescent="0.25">
      <c r="A76" s="19">
        <v>1200</v>
      </c>
      <c r="B76" s="19">
        <v>15</v>
      </c>
      <c r="C76" s="20">
        <v>30</v>
      </c>
      <c r="D76" s="24">
        <v>4.4736842105263155E-3</v>
      </c>
      <c r="E76" s="23" t="s">
        <v>52</v>
      </c>
      <c r="F76" s="23" t="s">
        <v>52</v>
      </c>
      <c r="G76" s="23" t="s">
        <v>52</v>
      </c>
    </row>
    <row r="77" spans="1:7" x14ac:dyDescent="0.25">
      <c r="A77" s="19">
        <v>1200</v>
      </c>
      <c r="B77" s="19">
        <v>15</v>
      </c>
      <c r="C77" s="20">
        <v>40</v>
      </c>
      <c r="D77" s="24">
        <v>4.6491228070175443E-3</v>
      </c>
      <c r="E77" s="23" t="s">
        <v>52</v>
      </c>
      <c r="F77" s="23" t="s">
        <v>52</v>
      </c>
      <c r="G77" s="23" t="s">
        <v>52</v>
      </c>
    </row>
    <row r="78" spans="1:7" x14ac:dyDescent="0.25">
      <c r="A78" s="19">
        <v>1200</v>
      </c>
      <c r="B78" s="19">
        <v>15</v>
      </c>
      <c r="C78" s="20">
        <v>50</v>
      </c>
      <c r="D78" s="24">
        <v>4.9122807017543861E-3</v>
      </c>
      <c r="E78" s="23" t="s">
        <v>52</v>
      </c>
      <c r="F78" s="23" t="s">
        <v>52</v>
      </c>
      <c r="G78" s="23" t="s">
        <v>52</v>
      </c>
    </row>
    <row r="79" spans="1:7" x14ac:dyDescent="0.25">
      <c r="A79" s="19">
        <v>1200</v>
      </c>
      <c r="B79" s="19">
        <v>15</v>
      </c>
      <c r="C79" s="20">
        <v>60</v>
      </c>
      <c r="D79" s="24">
        <v>5.2130325814536346E-3</v>
      </c>
      <c r="E79" s="24">
        <v>3.0000000000000001E-5</v>
      </c>
      <c r="F79">
        <f>10*E79*4</f>
        <v>1.2000000000000001E-3</v>
      </c>
      <c r="G79" s="23">
        <f>((F79/0.0028)*(100))</f>
        <v>42.857142857142861</v>
      </c>
    </row>
    <row r="80" spans="1:7" x14ac:dyDescent="0.25">
      <c r="A80" s="19">
        <v>1200</v>
      </c>
      <c r="B80" s="21">
        <v>30</v>
      </c>
      <c r="C80" s="21">
        <v>10</v>
      </c>
      <c r="D80" s="24">
        <v>2.4436090225563906E-3</v>
      </c>
      <c r="E80" s="23" t="s">
        <v>52</v>
      </c>
      <c r="F80" s="23" t="s">
        <v>52</v>
      </c>
      <c r="G80" s="23" t="s">
        <v>52</v>
      </c>
    </row>
    <row r="81" spans="1:7" x14ac:dyDescent="0.25">
      <c r="A81" s="19">
        <v>1200</v>
      </c>
      <c r="B81" s="21">
        <v>30</v>
      </c>
      <c r="C81" s="21">
        <v>20</v>
      </c>
      <c r="D81" s="24">
        <v>2.5563909774436087E-3</v>
      </c>
      <c r="E81" s="23" t="s">
        <v>52</v>
      </c>
      <c r="F81" s="23" t="s">
        <v>52</v>
      </c>
      <c r="G81" s="23" t="s">
        <v>52</v>
      </c>
    </row>
    <row r="82" spans="1:7" x14ac:dyDescent="0.25">
      <c r="A82" s="19">
        <v>1200</v>
      </c>
      <c r="B82" s="21">
        <v>30</v>
      </c>
      <c r="C82" s="21">
        <v>30</v>
      </c>
      <c r="D82" s="24">
        <v>2.6691729323308267E-3</v>
      </c>
      <c r="E82" s="23" t="s">
        <v>52</v>
      </c>
      <c r="F82" s="23" t="s">
        <v>52</v>
      </c>
      <c r="G82" s="23" t="s">
        <v>52</v>
      </c>
    </row>
    <row r="83" spans="1:7" x14ac:dyDescent="0.25">
      <c r="A83" s="19">
        <v>1200</v>
      </c>
      <c r="B83" s="21">
        <v>30</v>
      </c>
      <c r="C83" s="21">
        <v>40</v>
      </c>
      <c r="D83" s="24">
        <v>2.8070175438596489E-3</v>
      </c>
      <c r="E83" s="23" t="s">
        <v>52</v>
      </c>
      <c r="F83" s="23" t="s">
        <v>52</v>
      </c>
      <c r="G83" s="23" t="s">
        <v>52</v>
      </c>
    </row>
    <row r="84" spans="1:7" x14ac:dyDescent="0.25">
      <c r="A84" s="19">
        <v>1200</v>
      </c>
      <c r="B84" s="21">
        <v>30</v>
      </c>
      <c r="C84" s="21">
        <v>50</v>
      </c>
      <c r="D84" s="24">
        <v>2.9197994987468674E-3</v>
      </c>
      <c r="E84" s="23" t="s">
        <v>52</v>
      </c>
      <c r="F84" s="23" t="s">
        <v>52</v>
      </c>
      <c r="G84" s="23" t="s">
        <v>52</v>
      </c>
    </row>
    <row r="85" spans="1:7" x14ac:dyDescent="0.25">
      <c r="A85" s="19">
        <v>1200</v>
      </c>
      <c r="B85" s="21">
        <v>30</v>
      </c>
      <c r="C85" s="21">
        <v>60</v>
      </c>
      <c r="D85" s="24">
        <v>3.0451127819548871E-3</v>
      </c>
      <c r="E85" s="24">
        <v>1.0000000000000001E-5</v>
      </c>
      <c r="F85">
        <f>10*E85*4</f>
        <v>4.0000000000000002E-4</v>
      </c>
      <c r="G85" s="23">
        <f>((F85/0.0028)*(100))</f>
        <v>14.285714285714288</v>
      </c>
    </row>
    <row r="86" spans="1:7" x14ac:dyDescent="0.25">
      <c r="A86" s="19">
        <v>1200</v>
      </c>
      <c r="B86" s="21">
        <v>45</v>
      </c>
      <c r="C86" s="21">
        <v>10</v>
      </c>
      <c r="D86" s="24">
        <v>0</v>
      </c>
      <c r="E86" s="23" t="s">
        <v>52</v>
      </c>
      <c r="F86" s="23" t="s">
        <v>52</v>
      </c>
      <c r="G86" s="23" t="s">
        <v>52</v>
      </c>
    </row>
    <row r="87" spans="1:7" x14ac:dyDescent="0.25">
      <c r="A87" s="19">
        <v>1200</v>
      </c>
      <c r="B87" s="21">
        <v>45</v>
      </c>
      <c r="C87" s="21">
        <v>20</v>
      </c>
      <c r="D87" s="24">
        <v>0</v>
      </c>
      <c r="E87" s="23" t="s">
        <v>52</v>
      </c>
      <c r="F87" s="23" t="s">
        <v>52</v>
      </c>
      <c r="G87" s="23" t="s">
        <v>52</v>
      </c>
    </row>
    <row r="88" spans="1:7" x14ac:dyDescent="0.25">
      <c r="A88" s="19">
        <v>1200</v>
      </c>
      <c r="B88" s="21">
        <v>45</v>
      </c>
      <c r="C88" s="21">
        <v>30</v>
      </c>
      <c r="D88" s="24">
        <v>0</v>
      </c>
      <c r="E88" s="23" t="s">
        <v>52</v>
      </c>
      <c r="F88" s="23" t="s">
        <v>52</v>
      </c>
      <c r="G88" s="23" t="s">
        <v>52</v>
      </c>
    </row>
    <row r="89" spans="1:7" x14ac:dyDescent="0.25">
      <c r="A89" s="19">
        <v>1200</v>
      </c>
      <c r="B89" s="21">
        <v>45</v>
      </c>
      <c r="C89" s="21">
        <v>40</v>
      </c>
      <c r="D89" s="24">
        <v>0</v>
      </c>
      <c r="E89" s="23" t="s">
        <v>52</v>
      </c>
      <c r="F89" s="23" t="s">
        <v>52</v>
      </c>
      <c r="G89" s="23" t="s">
        <v>52</v>
      </c>
    </row>
    <row r="90" spans="1:7" x14ac:dyDescent="0.25">
      <c r="A90" s="19">
        <v>1200</v>
      </c>
      <c r="B90" s="21">
        <v>45</v>
      </c>
      <c r="C90" s="21">
        <v>50</v>
      </c>
      <c r="D90" s="24">
        <v>0</v>
      </c>
      <c r="E90" s="23" t="s">
        <v>52</v>
      </c>
      <c r="F90" s="23" t="s">
        <v>52</v>
      </c>
      <c r="G90" s="23" t="s">
        <v>52</v>
      </c>
    </row>
    <row r="91" spans="1:7" x14ac:dyDescent="0.25">
      <c r="A91" s="19">
        <v>1200</v>
      </c>
      <c r="B91" s="21">
        <v>45</v>
      </c>
      <c r="C91" s="21">
        <v>60</v>
      </c>
      <c r="D91" s="24">
        <v>0</v>
      </c>
      <c r="E91" s="24">
        <v>0</v>
      </c>
      <c r="F91">
        <f>10*E91*4</f>
        <v>0</v>
      </c>
      <c r="G91">
        <f>((F91/$F$7)*(100))</f>
        <v>0</v>
      </c>
    </row>
    <row r="92" spans="1:7" x14ac:dyDescent="0.25">
      <c r="A92" s="19">
        <v>1200</v>
      </c>
      <c r="B92" s="21">
        <v>60</v>
      </c>
      <c r="C92" s="21">
        <v>10</v>
      </c>
      <c r="D92" s="24">
        <v>0</v>
      </c>
      <c r="E92" s="23" t="s">
        <v>52</v>
      </c>
      <c r="F92" s="23" t="s">
        <v>52</v>
      </c>
      <c r="G92" s="23" t="s">
        <v>52</v>
      </c>
    </row>
    <row r="93" spans="1:7" x14ac:dyDescent="0.25">
      <c r="A93" s="19">
        <v>1200</v>
      </c>
      <c r="B93" s="21">
        <v>60</v>
      </c>
      <c r="C93" s="21">
        <v>20</v>
      </c>
      <c r="D93" s="24">
        <v>0</v>
      </c>
      <c r="E93" s="23" t="s">
        <v>52</v>
      </c>
      <c r="F93" s="23" t="s">
        <v>52</v>
      </c>
      <c r="G93" s="23" t="s">
        <v>52</v>
      </c>
    </row>
    <row r="94" spans="1:7" x14ac:dyDescent="0.25">
      <c r="A94" s="19">
        <v>1200</v>
      </c>
      <c r="B94" s="21">
        <v>60</v>
      </c>
      <c r="C94" s="21">
        <v>30</v>
      </c>
      <c r="D94" s="24">
        <v>0</v>
      </c>
      <c r="E94" s="23" t="s">
        <v>52</v>
      </c>
      <c r="F94" s="23" t="s">
        <v>52</v>
      </c>
      <c r="G94" s="23" t="s">
        <v>52</v>
      </c>
    </row>
    <row r="95" spans="1:7" x14ac:dyDescent="0.25">
      <c r="A95" s="19">
        <v>1200</v>
      </c>
      <c r="B95" s="21">
        <v>60</v>
      </c>
      <c r="C95" s="21">
        <v>40</v>
      </c>
      <c r="D95" s="24">
        <v>0</v>
      </c>
      <c r="E95" s="23" t="s">
        <v>52</v>
      </c>
      <c r="F95" s="23" t="s">
        <v>52</v>
      </c>
      <c r="G95" s="23" t="s">
        <v>52</v>
      </c>
    </row>
    <row r="96" spans="1:7" x14ac:dyDescent="0.25">
      <c r="A96" s="19">
        <v>1200</v>
      </c>
      <c r="B96" s="21">
        <v>60</v>
      </c>
      <c r="C96" s="21">
        <v>50</v>
      </c>
      <c r="D96" s="24">
        <v>0</v>
      </c>
      <c r="E96" s="23" t="s">
        <v>52</v>
      </c>
      <c r="F96" s="23" t="s">
        <v>52</v>
      </c>
      <c r="G96" s="23" t="s">
        <v>52</v>
      </c>
    </row>
    <row r="97" spans="1:7" x14ac:dyDescent="0.25">
      <c r="A97" s="19">
        <v>1200</v>
      </c>
      <c r="B97" s="21">
        <v>60</v>
      </c>
      <c r="C97" s="21">
        <v>60</v>
      </c>
      <c r="D97" s="24">
        <v>0</v>
      </c>
      <c r="E97" s="24">
        <v>0</v>
      </c>
      <c r="F97">
        <f>10*E97*4</f>
        <v>0</v>
      </c>
      <c r="G97">
        <f>((F97/$F$7)*(100))</f>
        <v>0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0598B-8691-4055-9248-6031DDD8C3A3}">
  <dimension ref="A1:W10"/>
  <sheetViews>
    <sheetView tabSelected="1" workbookViewId="0">
      <selection activeCell="G17" sqref="G17"/>
    </sheetView>
  </sheetViews>
  <sheetFormatPr baseColWidth="10" defaultRowHeight="15" x14ac:dyDescent="0.25"/>
  <sheetData>
    <row r="1" spans="1:23" ht="16.5" customHeight="1" x14ac:dyDescent="0.25">
      <c r="A1" s="11" t="s">
        <v>78</v>
      </c>
      <c r="B1" s="11" t="s">
        <v>79</v>
      </c>
      <c r="C1" s="11" t="s">
        <v>80</v>
      </c>
      <c r="D1" s="11" t="s">
        <v>81</v>
      </c>
      <c r="E1" s="11" t="s">
        <v>82</v>
      </c>
      <c r="F1" s="11" t="s">
        <v>83</v>
      </c>
      <c r="G1" s="11" t="s">
        <v>84</v>
      </c>
      <c r="H1" s="11" t="s">
        <v>85</v>
      </c>
      <c r="I1" s="11" t="s">
        <v>86</v>
      </c>
      <c r="J1" s="11" t="s">
        <v>87</v>
      </c>
      <c r="K1" s="11" t="s">
        <v>88</v>
      </c>
      <c r="L1" s="11" t="s">
        <v>89</v>
      </c>
      <c r="M1" s="11" t="s">
        <v>90</v>
      </c>
      <c r="N1" s="11" t="s">
        <v>91</v>
      </c>
      <c r="O1" s="11" t="s">
        <v>92</v>
      </c>
      <c r="P1" s="11" t="s">
        <v>93</v>
      </c>
      <c r="Q1" s="11" t="s">
        <v>94</v>
      </c>
      <c r="R1" s="11" t="s">
        <v>95</v>
      </c>
      <c r="S1" s="11" t="s">
        <v>96</v>
      </c>
      <c r="T1" s="11" t="s">
        <v>97</v>
      </c>
      <c r="U1" s="11" t="s">
        <v>98</v>
      </c>
      <c r="V1" s="11" t="s">
        <v>99</v>
      </c>
      <c r="W1" s="11" t="s">
        <v>100</v>
      </c>
    </row>
    <row r="2" spans="1:23" s="33" customFormat="1" x14ac:dyDescent="0.25">
      <c r="A2" s="32">
        <v>1</v>
      </c>
      <c r="B2" s="32">
        <v>0</v>
      </c>
      <c r="C2" s="32">
        <v>0</v>
      </c>
      <c r="D2" s="32">
        <f>((0.219*2.7*10000*100)/(2480*0.1*1000))</f>
        <v>2.3842741935483875</v>
      </c>
      <c r="E2" s="32">
        <f>((0.219*2.7*10000*100)/(2460*0.1*1000))</f>
        <v>2.4036585365853664</v>
      </c>
      <c r="F2" s="32">
        <f>((0.198*2.7*10000*100)/(3450*0.1*1000))</f>
        <v>1.5495652173913046</v>
      </c>
      <c r="G2" s="32">
        <f>((0.224*2.7*10000*100)/(2800*0.1*1000))</f>
        <v>2.16</v>
      </c>
      <c r="H2" s="32">
        <f>((0.222*2.7*10000*100)/(2560*0.1*1000))</f>
        <v>2.3414062499999999</v>
      </c>
      <c r="I2" s="32">
        <f>(((E2*1000)/(24))+((G2*1000)/(24))+((H2*1000)/(12)))/(100)</f>
        <v>3.8526962652439027</v>
      </c>
      <c r="J2" s="33">
        <f>(((0.014+0.0843)/(25.299))/((2/20)*(0.2/1)*(0.5/2.7)))*100</f>
        <v>104.90928495197439</v>
      </c>
      <c r="K2" s="33">
        <f>(((0.356+0.0182)/(29.26))/((3/20)*(0.5/7)))*100</f>
        <v>119.36204146730462</v>
      </c>
      <c r="L2" s="33">
        <v>100</v>
      </c>
      <c r="M2" s="33">
        <v>100</v>
      </c>
      <c r="N2" s="33">
        <v>100</v>
      </c>
      <c r="O2" s="33">
        <v>100</v>
      </c>
      <c r="P2" s="33">
        <v>100</v>
      </c>
      <c r="Q2" s="33">
        <v>100</v>
      </c>
      <c r="R2" s="33">
        <f>(54.52+54.55+54.96)/3</f>
        <v>54.676666666666669</v>
      </c>
      <c r="S2" s="33">
        <f>(11.15^2+40.6^2)^0.5</f>
        <v>42.103236217659088</v>
      </c>
      <c r="T2" s="32">
        <f>DEGREES(ATAN(40.6/11.15))</f>
        <v>74.643430694525748</v>
      </c>
      <c r="U2" s="32" t="s">
        <v>52</v>
      </c>
      <c r="V2" s="33">
        <f>((142.86*40.6)/(54.68))</f>
        <v>106.073811265545</v>
      </c>
      <c r="W2" s="33">
        <f>((0.605-0.049)/(0.605))*100</f>
        <v>91.900826446280988</v>
      </c>
    </row>
    <row r="3" spans="1:23" s="33" customFormat="1" x14ac:dyDescent="0.25">
      <c r="A3" s="32">
        <v>2</v>
      </c>
      <c r="B3" s="32">
        <v>0</v>
      </c>
      <c r="C3" s="32">
        <v>0</v>
      </c>
      <c r="D3" s="32">
        <f>((0.253*2.7*10000*100)/(2480*0.1*1000))</f>
        <v>2.7544354838709677</v>
      </c>
      <c r="E3" s="32">
        <f>((0.253*2.7*10000*100)/(2460*0.1*1000))</f>
        <v>2.776829268292683</v>
      </c>
      <c r="F3" s="32">
        <f>((0.23*2.7*10000*100)/(3450*0.1*1000))</f>
        <v>1.8000000000000003</v>
      </c>
      <c r="G3" s="32">
        <f>((0.258*2.7*10000*100)/(2800*0.1*1000))</f>
        <v>2.4878571428571434</v>
      </c>
      <c r="H3" s="32">
        <f>((0.256*2.7*10000*100)/(2560*0.1*1000))</f>
        <v>2.7</v>
      </c>
      <c r="I3" s="32">
        <f t="shared" ref="I3:I10" si="0">(((E3*1000)/(24))+((G3*1000)/(24))+((H3*1000)/(12)))/(100)</f>
        <v>4.4436193379790945</v>
      </c>
      <c r="J3" s="33">
        <f t="shared" ref="J3" si="1">(((0.014+0.0843)/(25.299))/((2/20)*(0.2/1)*(0.5/2.7)))*100</f>
        <v>104.90928495197439</v>
      </c>
      <c r="K3" s="33">
        <f t="shared" ref="K3" si="2">(((0.356+0.0182)/(29.26))/((3/20)*(0.5/7)))*100</f>
        <v>119.36204146730462</v>
      </c>
      <c r="L3" s="33">
        <v>100</v>
      </c>
      <c r="M3" s="33">
        <v>100</v>
      </c>
      <c r="N3" s="33">
        <v>100</v>
      </c>
      <c r="O3" s="33">
        <v>100</v>
      </c>
      <c r="P3" s="33">
        <v>100</v>
      </c>
      <c r="Q3" s="33">
        <v>100</v>
      </c>
      <c r="R3" s="33">
        <f>(54.13+51.48+48.52)/3</f>
        <v>51.376666666666665</v>
      </c>
      <c r="S3" s="33">
        <f>(13.03^2+38.96^2)^0.5</f>
        <v>41.081169652287166</v>
      </c>
      <c r="T3" s="32">
        <f>DEGREES(ATAN(38.96/13.03))</f>
        <v>71.507715722914</v>
      </c>
      <c r="U3" s="32" t="s">
        <v>52</v>
      </c>
      <c r="V3" s="33">
        <f>((142.86*38.96)/(51.38))</f>
        <v>108.32669521214481</v>
      </c>
      <c r="W3" s="33">
        <f>((0.605-0.068)/(0.605))*100</f>
        <v>88.760330578512381</v>
      </c>
    </row>
    <row r="4" spans="1:23" s="33" customFormat="1" x14ac:dyDescent="0.25">
      <c r="A4" s="32">
        <v>3</v>
      </c>
      <c r="B4" s="32">
        <v>0</v>
      </c>
      <c r="C4" s="32">
        <v>0</v>
      </c>
      <c r="D4" s="32">
        <f>((0.22*2.7*10000*100)/(2480*0.1*1000))</f>
        <v>2.395161290322581</v>
      </c>
      <c r="E4" s="32">
        <f>((0.22*2.7*10000*100)/(2460*0.1*1000))</f>
        <v>2.4146341463414638</v>
      </c>
      <c r="F4" s="32">
        <f>((0.199*2.7*10000*100)/(3450*0.1*1000))</f>
        <v>1.5573913043478265</v>
      </c>
      <c r="G4" s="32">
        <f>((0.223*2.7*10000*100)/(2800*0.1*1000))</f>
        <v>2.1503571428571431</v>
      </c>
      <c r="H4" s="32">
        <f>((0.222*2.7*10000*100)/(2560*0.1*1000))</f>
        <v>2.3414062499999999</v>
      </c>
      <c r="I4" s="32">
        <f t="shared" si="0"/>
        <v>3.8532515788327526</v>
      </c>
      <c r="J4" s="33">
        <f>(((0.015+0.0843)/(25.299))/((2/20)*(0.2/1)*(0.5/2.7)))*100</f>
        <v>105.97652081109923</v>
      </c>
      <c r="K4" s="33">
        <f>(((0.325+0.0182)/(29.26))/((3/20)*(0.5/7)))*100</f>
        <v>109.47368421052633</v>
      </c>
      <c r="L4" s="33">
        <v>100</v>
      </c>
      <c r="M4" s="33">
        <v>100</v>
      </c>
      <c r="N4" s="33">
        <v>100</v>
      </c>
      <c r="O4" s="33">
        <v>100</v>
      </c>
      <c r="P4" s="33">
        <v>100</v>
      </c>
      <c r="Q4" s="33">
        <v>100</v>
      </c>
      <c r="R4" s="33">
        <f>(54.54+50.28+44.24)/3</f>
        <v>49.686666666666667</v>
      </c>
      <c r="S4" s="33">
        <f>(12.02^2+39.33^2)^0.5</f>
        <v>41.125774156847186</v>
      </c>
      <c r="T4" s="32">
        <f>DEGREES(ATAN(39.33/12.02))</f>
        <v>73.005845773222561</v>
      </c>
      <c r="U4" s="32" t="s">
        <v>52</v>
      </c>
      <c r="V4" s="33">
        <f>((142.86*39.33)/(49.69))</f>
        <v>113.07473938418195</v>
      </c>
      <c r="W4" s="33">
        <f>((0.605-0.082)/(0.605))*100</f>
        <v>86.446280991735549</v>
      </c>
    </row>
    <row r="5" spans="1:23" s="33" customFormat="1" x14ac:dyDescent="0.25">
      <c r="A5" s="32">
        <v>1</v>
      </c>
      <c r="B5" s="32">
        <v>180</v>
      </c>
      <c r="C5" s="32">
        <v>85</v>
      </c>
      <c r="D5" s="32">
        <f>((0.27*2.7*10000*100)/(2480*0.1*1000))</f>
        <v>2.9395161290322585</v>
      </c>
      <c r="E5" s="32">
        <f>((0.27*2.7*10000*100)/(2460*0.1*1000))</f>
        <v>2.9634146341463419</v>
      </c>
      <c r="F5" s="32">
        <f>((0.243*2.7*10000*100)/(3450*0.1*1000))</f>
        <v>1.9017391304347826</v>
      </c>
      <c r="G5" s="32">
        <f>((0.279*2.7*10000*100)/(2800*0.1*1000))</f>
        <v>2.6903571428571431</v>
      </c>
      <c r="H5" s="32">
        <f>((0.274*2.7*10000*100)/(2560*0.1*1000))</f>
        <v>2.8898437500000003</v>
      </c>
      <c r="I5" s="32">
        <f t="shared" si="0"/>
        <v>4.7639413654181189</v>
      </c>
      <c r="J5" s="33">
        <f>(((0.019+0.0843)/(25.299))/((2/20)*(0.2/1)*(0.5/2.7)))*100</f>
        <v>110.24546424759869</v>
      </c>
      <c r="K5" s="33">
        <f>(((0.394+0.0182)/(29.26))/((3/20)*(0.5/7)))*100</f>
        <v>131.48325358851676</v>
      </c>
      <c r="L5" s="33">
        <v>0</v>
      </c>
      <c r="M5" s="33">
        <v>0</v>
      </c>
      <c r="N5" s="33">
        <f>((3/3))*(100)</f>
        <v>100</v>
      </c>
      <c r="O5" s="33">
        <f t="shared" ref="O5:P5" si="3">((3/3))*(100)</f>
        <v>100</v>
      </c>
      <c r="P5" s="33">
        <f t="shared" si="3"/>
        <v>100</v>
      </c>
      <c r="Q5" s="33">
        <f>((0.018/0.02))*(100)</f>
        <v>89.999999999999986</v>
      </c>
      <c r="R5" s="33">
        <f t="shared" ref="R5" si="4">(50.2+51.12+57.25)/3</f>
        <v>52.856666666666662</v>
      </c>
      <c r="S5" s="33">
        <f>(6.81^2+44.59^2)^0.5</f>
        <v>45.107030494148027</v>
      </c>
      <c r="T5" s="32">
        <f>DEGREES(ATAN(44.59/6.81))</f>
        <v>81.3166101451759</v>
      </c>
      <c r="U5" s="33">
        <f t="shared" ref="U5" si="5">((52.86-54.68)^2+(6.81-11.15)^2+(44.59-40.6)^2)^0.5</f>
        <v>6.1699351698376885</v>
      </c>
      <c r="V5" s="33">
        <f>((142.86*44.59)/(52.86))</f>
        <v>120.50940976163453</v>
      </c>
      <c r="W5" s="33">
        <f>((0.605-0.177)/(0.605))*100</f>
        <v>70.743801652892557</v>
      </c>
    </row>
    <row r="6" spans="1:23" s="33" customFormat="1" x14ac:dyDescent="0.25">
      <c r="A6" s="32">
        <v>2</v>
      </c>
      <c r="B6" s="32">
        <v>180</v>
      </c>
      <c r="C6" s="32">
        <v>85</v>
      </c>
      <c r="D6" s="32">
        <f>((0.197*2.7*10000*100)/(2480*0.1*1000))</f>
        <v>2.1447580645161288</v>
      </c>
      <c r="E6" s="32">
        <f>((0.197*2.7*10000*100)/(2460*0.1*1000))</f>
        <v>2.1621951219512194</v>
      </c>
      <c r="F6" s="32">
        <f>((0.175*2.7*10000*100)/(3450*0.1*1000))</f>
        <v>1.3695652173913044</v>
      </c>
      <c r="G6" s="32">
        <f>((0.204*2.7*10000*100)/(2800*0.1*1000))</f>
        <v>1.9671428571428571</v>
      </c>
      <c r="H6" s="32">
        <f>((0.2*2.7*10000*100)/(2560*0.1*1000))</f>
        <v>2.109375</v>
      </c>
      <c r="I6" s="32">
        <f t="shared" si="0"/>
        <v>3.4783699912891985</v>
      </c>
      <c r="J6" s="33">
        <f>(((0.03+0.0843)/(25.299))/((2/20)*(0.2/1)*(0.5/2.7)))*100</f>
        <v>121.98505869797222</v>
      </c>
      <c r="K6" s="33">
        <f>(((0.258+0.0182)/(29.26))/((3/20)*(0.5/7)))*100</f>
        <v>88.102073365231277</v>
      </c>
      <c r="L6" s="33">
        <v>0</v>
      </c>
      <c r="M6" s="33">
        <v>0</v>
      </c>
      <c r="N6" s="33">
        <f t="shared" ref="N6:P7" si="6">((3/3))*(100)</f>
        <v>100</v>
      </c>
      <c r="O6" s="33">
        <f t="shared" si="6"/>
        <v>100</v>
      </c>
      <c r="P6" s="33">
        <f t="shared" si="6"/>
        <v>100</v>
      </c>
      <c r="Q6" s="33">
        <f>((0.022/0.043))*(100)</f>
        <v>51.162790697674424</v>
      </c>
      <c r="R6" s="33">
        <f>(47.32+46.1+44.93)/3</f>
        <v>46.116666666666667</v>
      </c>
      <c r="S6" s="33">
        <f>(8.48^2+34.61^2)^0.5</f>
        <v>35.63372700125543</v>
      </c>
      <c r="T6" s="32">
        <f>DEGREES(ATAN(34.61/8.48))</f>
        <v>76.23284036822136</v>
      </c>
      <c r="U6" s="33">
        <f>((46.12-51.38)^2+(8.48-13.03)^2+(34.61-38.96)^2)^0.5</f>
        <v>8.2032066900694414</v>
      </c>
      <c r="V6" s="33">
        <f>((142.86*34.61)/(46.12))</f>
        <v>107.20695143104945</v>
      </c>
      <c r="W6" s="33">
        <f>((0.605-0.214)/(0.605))*100</f>
        <v>64.628099173553721</v>
      </c>
    </row>
    <row r="7" spans="1:23" s="33" customFormat="1" x14ac:dyDescent="0.25">
      <c r="A7" s="32">
        <v>3</v>
      </c>
      <c r="B7" s="32">
        <v>180</v>
      </c>
      <c r="C7" s="32">
        <v>85</v>
      </c>
      <c r="D7" s="32">
        <f>((0.151*2.7*10000*100)/(2480*0.1*1000))</f>
        <v>1.6439516129032259</v>
      </c>
      <c r="E7" s="32">
        <f>((0.151*2.7*10000*100)/(2460*0.1*1000))</f>
        <v>1.6573170731707316</v>
      </c>
      <c r="F7" s="32">
        <f>((0.133*2.7*10000*100)/(3450*0.1*1000))</f>
        <v>1.0408695652173914</v>
      </c>
      <c r="G7" s="32">
        <f>((0.158*2.7*10000*100)/(2800*0.1*1000))</f>
        <v>1.5235714285714286</v>
      </c>
      <c r="H7" s="32">
        <f>((0.153*2.7*10000*100)/(2560*0.1*1000))</f>
        <v>1.6136718750000001</v>
      </c>
      <c r="I7" s="32">
        <f t="shared" si="0"/>
        <v>2.6700967715592334</v>
      </c>
      <c r="J7" s="33">
        <f>(((0.03+0.0843)/(25.299))/((2/20)*(0.2/1)*(0.5/2.7)))*100</f>
        <v>121.98505869797222</v>
      </c>
      <c r="K7" s="33">
        <f>(((0.33+0.0182)/(29.26))/((3/20)*(0.5/7)))*100</f>
        <v>111.06858054226475</v>
      </c>
      <c r="L7" s="33">
        <v>0</v>
      </c>
      <c r="M7" s="33">
        <v>0</v>
      </c>
      <c r="N7" s="33">
        <f>((3/1.934))*(100)</f>
        <v>155.11892450879009</v>
      </c>
      <c r="O7" s="33">
        <f>((3/1.914))*(100)</f>
        <v>156.73981191222569</v>
      </c>
      <c r="P7" s="33">
        <f t="shared" si="6"/>
        <v>100</v>
      </c>
      <c r="Q7" s="33">
        <f>((0.015/0.025))*(100)</f>
        <v>60</v>
      </c>
      <c r="R7" s="33">
        <f>(53.8+46.58+52.55)/3</f>
        <v>50.976666666666667</v>
      </c>
      <c r="S7" s="33">
        <f>(7.63^2+45.31^2)^0.5</f>
        <v>45.947937929791806</v>
      </c>
      <c r="T7" s="32">
        <f>DEGREES(ATAN(45.31/7.63))</f>
        <v>80.441327328676749</v>
      </c>
      <c r="U7" s="33">
        <f>((50.98-49.69)^2+(7.63-12.02)^2+(45.31-39.33)^2)^0.5</f>
        <v>7.5297144700181056</v>
      </c>
      <c r="V7" s="33">
        <f>((142.86*45.31)/(50.98))</f>
        <v>126.97109846998826</v>
      </c>
      <c r="W7" s="33">
        <f>((0.605-0.097)/(0.605))*100</f>
        <v>83.966942148760339</v>
      </c>
    </row>
    <row r="8" spans="1:23" s="33" customFormat="1" x14ac:dyDescent="0.25">
      <c r="A8" s="32">
        <v>1</v>
      </c>
      <c r="B8" s="32">
        <v>45</v>
      </c>
      <c r="C8" s="32">
        <v>900</v>
      </c>
      <c r="D8" s="32">
        <f>((0.228*2.7*10000*100)/(2480*0.1*1000))</f>
        <v>2.4822580645161292</v>
      </c>
      <c r="E8" s="32">
        <f>((0.228*2.7*10000*100)/(2460*0.1*1000))</f>
        <v>2.5024390243902439</v>
      </c>
      <c r="F8" s="32">
        <f>((0.206*2.7*10000*100)/(3450*0.1*1000))</f>
        <v>1.6121739130434782</v>
      </c>
      <c r="G8" s="32">
        <f>((0.234*2.7*10000*100)/(2800*0.1*1000))</f>
        <v>2.2564285714285712</v>
      </c>
      <c r="H8" s="32">
        <f>((0.23*2.7*10000*100)/(2560*0.1*1000))</f>
        <v>2.4257812500000004</v>
      </c>
      <c r="I8" s="32">
        <f t="shared" si="0"/>
        <v>4.0043458732578401</v>
      </c>
      <c r="J8" s="33">
        <f>(((0.038+0.0843)/(25.299))/((2/20)*(0.2/1)*(0.5/2.7)))*100</f>
        <v>130.52294557097116</v>
      </c>
      <c r="K8" s="33">
        <f>(((0.362+0.0182)/(29.26))/((3/20)*(0.5/7)))*100</f>
        <v>121.27591706539076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f>(51.59+48.17)/2</f>
        <v>49.88</v>
      </c>
      <c r="S8" s="33">
        <f>(8.865^2+37.94^2)^0.5</f>
        <v>38.96192789121195</v>
      </c>
      <c r="T8" s="32">
        <f>DEGREES(ATAN(37.94/8.865))</f>
        <v>76.848315248749614</v>
      </c>
      <c r="U8" s="33">
        <f>((49.88-54.68)^2+(8.865-11.15)^2+(37.94-40.6)^2)^0.5</f>
        <v>5.9444785305357106</v>
      </c>
      <c r="V8" s="33">
        <f>((142.86*37.94)/(49.88))</f>
        <v>108.66295910184442</v>
      </c>
      <c r="W8" s="33">
        <f>((0.605-0.077)/(0.605))*100</f>
        <v>87.27272727272728</v>
      </c>
    </row>
    <row r="9" spans="1:23" s="33" customFormat="1" x14ac:dyDescent="0.25">
      <c r="A9" s="32">
        <v>2</v>
      </c>
      <c r="B9" s="32">
        <v>45</v>
      </c>
      <c r="C9" s="32">
        <v>900</v>
      </c>
      <c r="D9" s="32">
        <f>((0.21*2.7*10000*100)/(2480*0.1*1000))</f>
        <v>2.2862903225806455</v>
      </c>
      <c r="E9" s="32">
        <f>((0.21*2.7*10000*100)/(2460*0.1*1000))</f>
        <v>2.3048780487804881</v>
      </c>
      <c r="F9" s="32">
        <f>((0.188*2.7*10000*100)/(3450*0.1*1000))</f>
        <v>1.4713043478260872</v>
      </c>
      <c r="G9" s="32">
        <f>((0.216*2.7*10000*100)/(2800*0.1*1000))</f>
        <v>2.0828571428571432</v>
      </c>
      <c r="H9" s="32">
        <f>((0.212*2.7*10000*100)/(2560*0.1*1000))</f>
        <v>2.2359374999999999</v>
      </c>
      <c r="I9" s="32">
        <f t="shared" si="0"/>
        <v>3.6915042465156795</v>
      </c>
      <c r="J9" s="33">
        <f>(((0.021+0.0843)/(25.299))/((2/20)*(0.2/1)*(0.5/2.7)))*100</f>
        <v>112.37993596584846</v>
      </c>
      <c r="K9" s="33">
        <f>(((0.349+0.0182)/(29.26))/((3/20)*(0.5/7)))*100</f>
        <v>117.12918660287082</v>
      </c>
      <c r="L9" s="33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f>(57.66+52.09+47.66)/3</f>
        <v>52.47</v>
      </c>
      <c r="S9" s="33">
        <f>(9.05^2+35.985^2)^0.5</f>
        <v>37.105561914624062</v>
      </c>
      <c r="T9" s="32">
        <f>DEGREES(ATAN(35.985/9.05))</f>
        <v>75.88323764531043</v>
      </c>
      <c r="U9" s="33">
        <f>((49.87-51.38)^2+(9.05-13.03)^2+(35.985-38.96)^2)^0.5</f>
        <v>5.1933731812763098</v>
      </c>
      <c r="V9" s="33">
        <f>((142.86*35.985)/(49.87))</f>
        <v>103.08436133948267</v>
      </c>
      <c r="W9" s="33">
        <f>((0.605-0.088)/(0.605))*100</f>
        <v>85.454545454545467</v>
      </c>
    </row>
    <row r="10" spans="1:23" s="33" customFormat="1" x14ac:dyDescent="0.25">
      <c r="A10" s="32">
        <v>3</v>
      </c>
      <c r="B10" s="32">
        <v>45</v>
      </c>
      <c r="C10" s="32">
        <v>900</v>
      </c>
      <c r="D10" s="32">
        <f>((0.154*2.7*10000*100)/(2480*0.1*1000))</f>
        <v>1.6766129032258064</v>
      </c>
      <c r="E10" s="32">
        <f>((0.154*2.7*10000*100)/(2460*0.1*1000))</f>
        <v>1.6902439024390243</v>
      </c>
      <c r="F10" s="32">
        <f>((0.138*2.7*10000*100)/(3450*0.1*1000))</f>
        <v>1.08</v>
      </c>
      <c r="G10" s="32">
        <f>((0.157*2.7*10000*100)/(2800*0.1*1000))</f>
        <v>1.5139285714285717</v>
      </c>
      <c r="H10" s="32">
        <f>((0.155*2.7*10000*100)/(2560*0.1*1000))</f>
        <v>1.634765625</v>
      </c>
      <c r="I10" s="32">
        <f t="shared" si="0"/>
        <v>2.6973765516114985</v>
      </c>
      <c r="J10" s="33">
        <f>(((0.023+0.0843)/(25.299))/((2/20)*(0.2/1)*(0.5/2.7)))*100</f>
        <v>114.51440768409817</v>
      </c>
      <c r="K10" s="33">
        <f>(((0.278+0.0182)/(29.26))/((3/20)*(0.5/7)))*100</f>
        <v>94.481658692185036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f>(56.94+51.58+51.31)/3</f>
        <v>53.276666666666664</v>
      </c>
      <c r="S10" s="33">
        <f>(8.54^2+41.14^2)^0.5</f>
        <v>42.017034640726372</v>
      </c>
      <c r="T10" s="32">
        <f>DEGREES(ATAN(41.14/8.54))</f>
        <v>78.2728726212341</v>
      </c>
      <c r="U10" s="33">
        <f>((51.44-49.69)^2+(8.54-12.02)^2+(41.14-39.33)^2)^0.5</f>
        <v>4.2952299123562652</v>
      </c>
      <c r="V10" s="33">
        <f>((142.86*41.14)/(51.44))</f>
        <v>114.25467340590983</v>
      </c>
      <c r="W10" s="33">
        <f>((0.605-0.176)/(0.605))*100</f>
        <v>70.909090909090907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BN33"/>
  <sheetViews>
    <sheetView topLeftCell="AP1" zoomScale="80" zoomScaleNormal="80" workbookViewId="0">
      <selection activeCell="D13" sqref="D13"/>
    </sheetView>
  </sheetViews>
  <sheetFormatPr baseColWidth="10" defaultRowHeight="15" x14ac:dyDescent="0.25"/>
  <cols>
    <col min="2" max="2" width="14.28515625" bestFit="1" customWidth="1"/>
    <col min="5" max="5" width="14.28515625" bestFit="1" customWidth="1"/>
    <col min="8" max="8" width="14.28515625" bestFit="1" customWidth="1"/>
    <col min="9" max="9" width="14.28515625" customWidth="1"/>
    <col min="11" max="11" width="14.42578125" customWidth="1"/>
    <col min="12" max="12" width="13.28515625" customWidth="1"/>
    <col min="13" max="13" width="23" bestFit="1" customWidth="1"/>
    <col min="16" max="16" width="14.28515625" bestFit="1" customWidth="1"/>
    <col min="19" max="19" width="14.28515625" bestFit="1" customWidth="1"/>
    <col min="20" max="20" width="14.28515625" customWidth="1"/>
    <col min="24" max="24" width="14.28515625" bestFit="1" customWidth="1"/>
    <col min="27" max="27" width="14.28515625" bestFit="1" customWidth="1"/>
    <col min="30" max="30" width="14.28515625" bestFit="1" customWidth="1"/>
    <col min="31" max="31" width="14.28515625" customWidth="1"/>
    <col min="35" max="35" width="14.28515625" bestFit="1" customWidth="1"/>
    <col min="38" max="38" width="14.28515625" bestFit="1" customWidth="1"/>
    <col min="41" max="41" width="14.28515625" bestFit="1" customWidth="1"/>
    <col min="42" max="42" width="14.28515625" customWidth="1"/>
    <col min="46" max="46" width="14.28515625" bestFit="1" customWidth="1"/>
    <col min="48" max="48" width="17.42578125" customWidth="1"/>
    <col min="49" max="49" width="14.28515625" bestFit="1" customWidth="1"/>
    <col min="52" max="52" width="14.28515625" bestFit="1" customWidth="1"/>
    <col min="53" max="53" width="14.28515625" customWidth="1"/>
    <col min="55" max="55" width="25.85546875" customWidth="1"/>
    <col min="57" max="57" width="14.28515625" bestFit="1" customWidth="1"/>
    <col min="60" max="60" width="14.28515625" bestFit="1" customWidth="1"/>
    <col min="63" max="63" width="14.28515625" bestFit="1" customWidth="1"/>
    <col min="64" max="64" width="14.28515625" customWidth="1"/>
  </cols>
  <sheetData>
    <row r="3" spans="1:66" x14ac:dyDescent="0.25">
      <c r="B3" s="28" t="s">
        <v>38</v>
      </c>
      <c r="C3" s="28"/>
      <c r="D3" s="28"/>
      <c r="E3" s="28"/>
      <c r="F3" s="28"/>
      <c r="G3" s="28"/>
      <c r="H3" s="28"/>
      <c r="I3" s="28"/>
      <c r="J3" s="28"/>
      <c r="K3" s="28"/>
      <c r="M3" s="28" t="s">
        <v>39</v>
      </c>
      <c r="N3" s="28"/>
      <c r="O3" s="28"/>
      <c r="P3" s="28"/>
      <c r="Q3" s="28"/>
      <c r="R3" s="28"/>
      <c r="S3" s="28"/>
      <c r="T3" s="28"/>
      <c r="U3" s="28"/>
      <c r="V3" s="28"/>
      <c r="X3" s="28" t="s">
        <v>40</v>
      </c>
      <c r="Y3" s="28"/>
      <c r="Z3" s="28"/>
      <c r="AA3" s="28"/>
      <c r="AB3" s="28"/>
      <c r="AC3" s="28"/>
      <c r="AD3" s="28"/>
      <c r="AE3" s="28"/>
      <c r="AF3" s="28"/>
      <c r="AG3" s="28"/>
      <c r="AI3" s="28" t="s">
        <v>41</v>
      </c>
      <c r="AJ3" s="28"/>
      <c r="AK3" s="28"/>
      <c r="AL3" s="28"/>
      <c r="AM3" s="28"/>
      <c r="AN3" s="28"/>
      <c r="AO3" s="28"/>
      <c r="AP3" s="28"/>
      <c r="AQ3" s="28"/>
      <c r="AR3" s="28"/>
      <c r="AT3" s="28" t="s">
        <v>42</v>
      </c>
      <c r="AU3" s="28"/>
      <c r="AV3" s="28"/>
      <c r="AW3" s="28"/>
      <c r="AX3" s="28"/>
      <c r="AY3" s="28"/>
      <c r="AZ3" s="28"/>
      <c r="BA3" s="28"/>
      <c r="BB3" s="28"/>
      <c r="BC3" s="28"/>
      <c r="BE3" s="28" t="s">
        <v>43</v>
      </c>
      <c r="BF3" s="28"/>
      <c r="BG3" s="28"/>
      <c r="BH3" s="28"/>
      <c r="BI3" s="28"/>
      <c r="BJ3" s="28"/>
      <c r="BK3" s="28"/>
      <c r="BL3" s="28"/>
      <c r="BM3" s="28"/>
      <c r="BN3" s="28"/>
    </row>
    <row r="4" spans="1:66" x14ac:dyDescent="0.25">
      <c r="B4" s="28" t="s">
        <v>2</v>
      </c>
      <c r="C4" s="28"/>
      <c r="D4" s="28"/>
      <c r="E4" s="28" t="s">
        <v>3</v>
      </c>
      <c r="F4" s="28"/>
      <c r="G4" s="28"/>
      <c r="H4" s="28" t="s">
        <v>4</v>
      </c>
      <c r="I4" s="28"/>
      <c r="J4" s="28"/>
      <c r="K4" s="1" t="s">
        <v>33</v>
      </c>
      <c r="M4" s="28" t="s">
        <v>2</v>
      </c>
      <c r="N4" s="28"/>
      <c r="O4" s="28"/>
      <c r="P4" s="28" t="s">
        <v>3</v>
      </c>
      <c r="Q4" s="28"/>
      <c r="R4" s="28"/>
      <c r="S4" s="28" t="s">
        <v>4</v>
      </c>
      <c r="T4" s="28"/>
      <c r="U4" s="28"/>
      <c r="V4" s="9" t="s">
        <v>34</v>
      </c>
      <c r="X4" s="28" t="s">
        <v>2</v>
      </c>
      <c r="Y4" s="28"/>
      <c r="Z4" s="28"/>
      <c r="AA4" s="28" t="s">
        <v>3</v>
      </c>
      <c r="AB4" s="28"/>
      <c r="AC4" s="28"/>
      <c r="AD4" s="28" t="s">
        <v>4</v>
      </c>
      <c r="AE4" s="28"/>
      <c r="AF4" s="28"/>
      <c r="AG4" s="9" t="s">
        <v>34</v>
      </c>
      <c r="AI4" s="28" t="s">
        <v>2</v>
      </c>
      <c r="AJ4" s="28"/>
      <c r="AK4" s="28"/>
      <c r="AL4" s="28" t="s">
        <v>3</v>
      </c>
      <c r="AM4" s="28"/>
      <c r="AN4" s="28"/>
      <c r="AO4" s="28" t="s">
        <v>4</v>
      </c>
      <c r="AP4" s="28"/>
      <c r="AQ4" s="28"/>
      <c r="AR4" s="9" t="s">
        <v>34</v>
      </c>
      <c r="AT4" s="28" t="s">
        <v>2</v>
      </c>
      <c r="AU4" s="28"/>
      <c r="AV4" s="28"/>
      <c r="AW4" s="28" t="s">
        <v>3</v>
      </c>
      <c r="AX4" s="28"/>
      <c r="AY4" s="28"/>
      <c r="AZ4" s="28" t="s">
        <v>4</v>
      </c>
      <c r="BA4" s="28"/>
      <c r="BB4" s="28"/>
      <c r="BC4" s="1" t="s">
        <v>34</v>
      </c>
      <c r="BE4" s="28" t="s">
        <v>2</v>
      </c>
      <c r="BF4" s="28"/>
      <c r="BG4" s="28"/>
      <c r="BH4" s="28" t="s">
        <v>3</v>
      </c>
      <c r="BI4" s="28"/>
      <c r="BJ4" s="28"/>
      <c r="BK4" s="28" t="s">
        <v>4</v>
      </c>
      <c r="BL4" s="28"/>
      <c r="BM4" s="28"/>
      <c r="BN4" s="1" t="s">
        <v>34</v>
      </c>
    </row>
    <row r="5" spans="1:66" x14ac:dyDescent="0.25">
      <c r="B5" s="1" t="s">
        <v>1</v>
      </c>
      <c r="C5" s="1" t="s">
        <v>0</v>
      </c>
      <c r="D5" s="1" t="s">
        <v>32</v>
      </c>
      <c r="E5" s="1" t="s">
        <v>1</v>
      </c>
      <c r="F5" s="1" t="s">
        <v>0</v>
      </c>
      <c r="G5" s="1" t="s">
        <v>32</v>
      </c>
      <c r="H5" s="1" t="s">
        <v>1</v>
      </c>
      <c r="I5" s="1" t="s">
        <v>0</v>
      </c>
      <c r="J5" s="1" t="s">
        <v>32</v>
      </c>
      <c r="K5" s="1" t="s">
        <v>32</v>
      </c>
      <c r="M5" s="1" t="s">
        <v>1</v>
      </c>
      <c r="N5" s="1" t="s">
        <v>0</v>
      </c>
      <c r="O5" s="1" t="s">
        <v>32</v>
      </c>
      <c r="P5" s="1" t="s">
        <v>1</v>
      </c>
      <c r="Q5" s="1" t="s">
        <v>0</v>
      </c>
      <c r="R5" s="1" t="s">
        <v>32</v>
      </c>
      <c r="S5" s="1" t="s">
        <v>1</v>
      </c>
      <c r="T5" s="1" t="s">
        <v>0</v>
      </c>
      <c r="U5" s="1" t="s">
        <v>32</v>
      </c>
      <c r="V5" s="1" t="s">
        <v>32</v>
      </c>
      <c r="X5" s="1" t="s">
        <v>1</v>
      </c>
      <c r="Y5" s="1" t="s">
        <v>0</v>
      </c>
      <c r="Z5" s="1" t="s">
        <v>32</v>
      </c>
      <c r="AA5" s="1" t="s">
        <v>1</v>
      </c>
      <c r="AB5" s="1" t="s">
        <v>0</v>
      </c>
      <c r="AC5" s="1" t="s">
        <v>32</v>
      </c>
      <c r="AD5" s="1" t="s">
        <v>1</v>
      </c>
      <c r="AE5" s="1" t="s">
        <v>0</v>
      </c>
      <c r="AF5" s="1" t="s">
        <v>32</v>
      </c>
      <c r="AG5" s="1" t="s">
        <v>32</v>
      </c>
      <c r="AI5" s="1" t="s">
        <v>1</v>
      </c>
      <c r="AJ5" s="1" t="s">
        <v>0</v>
      </c>
      <c r="AK5" s="1" t="s">
        <v>32</v>
      </c>
      <c r="AL5" s="1" t="s">
        <v>1</v>
      </c>
      <c r="AM5" s="1" t="s">
        <v>0</v>
      </c>
      <c r="AN5" s="1" t="s">
        <v>32</v>
      </c>
      <c r="AO5" s="1" t="s">
        <v>1</v>
      </c>
      <c r="AP5" s="1" t="s">
        <v>0</v>
      </c>
      <c r="AQ5" s="1" t="s">
        <v>32</v>
      </c>
      <c r="AR5" s="1" t="s">
        <v>32</v>
      </c>
      <c r="AT5" s="1" t="s">
        <v>1</v>
      </c>
      <c r="AU5" s="1" t="s">
        <v>0</v>
      </c>
      <c r="AV5" s="1" t="s">
        <v>32</v>
      </c>
      <c r="AW5" s="1" t="s">
        <v>1</v>
      </c>
      <c r="AX5" s="1" t="s">
        <v>0</v>
      </c>
      <c r="AY5" s="1" t="s">
        <v>32</v>
      </c>
      <c r="AZ5" s="1" t="s">
        <v>1</v>
      </c>
      <c r="BA5" s="1" t="s">
        <v>0</v>
      </c>
      <c r="BB5" s="1" t="s">
        <v>32</v>
      </c>
      <c r="BC5" s="1" t="s">
        <v>32</v>
      </c>
      <c r="BE5" s="1" t="s">
        <v>1</v>
      </c>
      <c r="BF5" s="1" t="s">
        <v>0</v>
      </c>
      <c r="BG5" s="1" t="s">
        <v>32</v>
      </c>
      <c r="BH5" s="1" t="s">
        <v>1</v>
      </c>
      <c r="BI5" s="1" t="s">
        <v>0</v>
      </c>
      <c r="BJ5" s="1" t="s">
        <v>32</v>
      </c>
      <c r="BK5" s="1" t="s">
        <v>1</v>
      </c>
      <c r="BL5" s="1" t="s">
        <v>0</v>
      </c>
      <c r="BM5" s="1" t="s">
        <v>32</v>
      </c>
      <c r="BN5" s="1" t="s">
        <v>32</v>
      </c>
    </row>
    <row r="6" spans="1:66" x14ac:dyDescent="0.25">
      <c r="B6" s="2">
        <v>10</v>
      </c>
      <c r="C6" s="2">
        <v>5.3999999999999999E-2</v>
      </c>
      <c r="D6" s="2">
        <f t="shared" ref="D6:D11" si="0">((C6)/(26.6*1))</f>
        <v>2.0300751879699249E-3</v>
      </c>
      <c r="E6" s="2">
        <v>10</v>
      </c>
      <c r="F6" s="2">
        <v>7.6999999999999999E-2</v>
      </c>
      <c r="G6" s="2">
        <f t="shared" ref="G6:G11" si="1">((F6)/(26.6*1))</f>
        <v>2.8947368421052629E-3</v>
      </c>
      <c r="H6" s="2">
        <v>10</v>
      </c>
      <c r="I6" s="2">
        <v>2.9000000000000001E-2</v>
      </c>
      <c r="J6" s="2">
        <f t="shared" ref="J6:J11" si="2">((I6)/(26.6*1))</f>
        <v>1.0902255639097743E-3</v>
      </c>
      <c r="K6" s="15">
        <f t="shared" ref="K6:K11" si="3">((D6+G6+J6)/(3))</f>
        <v>2.0050125313283208E-3</v>
      </c>
      <c r="M6" s="2">
        <v>10</v>
      </c>
      <c r="N6" s="2">
        <v>1.2E-2</v>
      </c>
      <c r="O6" s="2">
        <f t="shared" ref="O6:O11" si="4">((N6)/(26.6*1))</f>
        <v>4.5112781954887219E-4</v>
      </c>
      <c r="P6" s="2">
        <v>10</v>
      </c>
      <c r="Q6" s="2">
        <v>3.9E-2</v>
      </c>
      <c r="R6" s="2">
        <f t="shared" ref="R6:R11" si="5">((Q6)/(26.6*1))</f>
        <v>1.4661654135338345E-3</v>
      </c>
      <c r="S6" s="2">
        <v>10</v>
      </c>
      <c r="T6" s="2">
        <v>4.2000000000000003E-2</v>
      </c>
      <c r="U6" s="2">
        <f t="shared" ref="U6:U11" si="6">((T6)/(26.6*1))</f>
        <v>1.5789473684210526E-3</v>
      </c>
      <c r="V6" s="15">
        <f t="shared" ref="V6:V11" si="7">((O6+R6+U6)/(3))</f>
        <v>1.1654135338345865E-3</v>
      </c>
      <c r="X6" s="2">
        <v>10</v>
      </c>
      <c r="Y6" s="2">
        <v>4.3999999999999997E-2</v>
      </c>
      <c r="Z6" s="2">
        <f t="shared" ref="Z6:Z11" si="8">((Y6)/(26.6*1))</f>
        <v>1.6541353383458645E-3</v>
      </c>
      <c r="AA6" s="2">
        <v>10</v>
      </c>
      <c r="AB6" s="2">
        <v>8.8999999999999996E-2</v>
      </c>
      <c r="AC6" s="2">
        <f t="shared" ref="AC6:AC11" si="9">((AB6)/(26.6*1))</f>
        <v>3.3458646616541352E-3</v>
      </c>
      <c r="AD6" s="2">
        <v>10</v>
      </c>
      <c r="AE6" s="2">
        <v>3.9E-2</v>
      </c>
      <c r="AF6" s="2">
        <f t="shared" ref="AF6:AF11" si="10">((AE6)/(26.6*1))</f>
        <v>1.4661654135338345E-3</v>
      </c>
      <c r="AG6" s="15">
        <f t="shared" ref="AG6:AG11" si="11">((Z6+AC6+AF6)/(3))</f>
        <v>2.1553884711779446E-3</v>
      </c>
      <c r="AI6" s="2">
        <v>10</v>
      </c>
      <c r="AJ6" s="2">
        <v>4.9000000000000002E-2</v>
      </c>
      <c r="AK6" s="2">
        <f t="shared" ref="AK6:AK11" si="12">((AJ6)/(26.6*1))</f>
        <v>1.8421052631578947E-3</v>
      </c>
      <c r="AL6" s="2">
        <v>10</v>
      </c>
      <c r="AM6" s="2">
        <v>8.4000000000000005E-2</v>
      </c>
      <c r="AN6" s="2">
        <f t="shared" ref="AN6:AN11" si="13">((AM6)/(26.6*1))</f>
        <v>3.1578947368421052E-3</v>
      </c>
      <c r="AO6" s="2">
        <v>10</v>
      </c>
      <c r="AP6" s="2">
        <v>6.6000000000000003E-2</v>
      </c>
      <c r="AQ6" s="2">
        <f t="shared" ref="AQ6:AQ11" si="14">((AP6)/(26.6*1))</f>
        <v>2.4812030075187972E-3</v>
      </c>
      <c r="AR6" s="15">
        <f t="shared" ref="AR6:AR11" si="15">((AK6+AN6+AQ6)/(3))</f>
        <v>2.4937343358395988E-3</v>
      </c>
      <c r="AT6" s="2">
        <v>10</v>
      </c>
      <c r="AU6" s="2">
        <v>7.8E-2</v>
      </c>
      <c r="AV6" s="2">
        <f t="shared" ref="AV6:AV11" si="16">((AU6)/(26.6*1))</f>
        <v>2.932330827067669E-3</v>
      </c>
      <c r="AW6" s="2">
        <v>10</v>
      </c>
      <c r="AX6" s="2">
        <v>4.7E-2</v>
      </c>
      <c r="AY6" s="2">
        <f t="shared" ref="AY6:AY11" si="17">((AX6)/(26.6*1))</f>
        <v>1.7669172932330826E-3</v>
      </c>
      <c r="AZ6" s="2">
        <v>10</v>
      </c>
      <c r="BA6" s="2">
        <v>7.5999999999999998E-2</v>
      </c>
      <c r="BB6" s="2">
        <f t="shared" ref="BB6:BB11" si="18">((BA6)/(26.6*1))</f>
        <v>2.8571428571428567E-3</v>
      </c>
      <c r="BC6" s="15">
        <f t="shared" ref="BC6:BC11" si="19">((AV6+AY6+BB6)/(3))</f>
        <v>2.5187969924812029E-3</v>
      </c>
      <c r="BE6" s="2">
        <v>10</v>
      </c>
      <c r="BF6" s="2">
        <v>4.2000000000000003E-2</v>
      </c>
      <c r="BG6" s="2">
        <f t="shared" ref="BG6:BG11" si="20">((BF6)/(26.6*1))</f>
        <v>1.5789473684210526E-3</v>
      </c>
      <c r="BH6" s="2">
        <v>10</v>
      </c>
      <c r="BI6" s="2">
        <v>5.6000000000000001E-2</v>
      </c>
      <c r="BJ6" s="2">
        <f t="shared" ref="BJ6:BJ11" si="21">((BI6)/(26.6*1))</f>
        <v>2.1052631578947368E-3</v>
      </c>
      <c r="BK6" s="2">
        <v>10</v>
      </c>
      <c r="BL6" s="2">
        <v>4.4999999999999998E-2</v>
      </c>
      <c r="BM6" s="2">
        <f t="shared" ref="BM6:BM11" si="22">((BL6)/(26.6*1))</f>
        <v>1.6917293233082705E-3</v>
      </c>
      <c r="BN6" s="15">
        <f t="shared" ref="BN6:BN11" si="23">((BG6+BJ6+BM6)/(3))</f>
        <v>1.7919799498746867E-3</v>
      </c>
    </row>
    <row r="7" spans="1:66" x14ac:dyDescent="0.25">
      <c r="B7" s="2">
        <v>20</v>
      </c>
      <c r="C7" s="2">
        <v>5.7000000000000002E-2</v>
      </c>
      <c r="D7" s="2">
        <f t="shared" si="0"/>
        <v>2.142857142857143E-3</v>
      </c>
      <c r="E7" s="2">
        <v>20</v>
      </c>
      <c r="F7" s="2">
        <v>7.5999999999999998E-2</v>
      </c>
      <c r="G7" s="2">
        <f t="shared" si="1"/>
        <v>2.8571428571428567E-3</v>
      </c>
      <c r="H7" s="2">
        <v>20</v>
      </c>
      <c r="I7" s="2">
        <v>0.03</v>
      </c>
      <c r="J7" s="2">
        <f t="shared" si="2"/>
        <v>1.1278195488721803E-3</v>
      </c>
      <c r="K7" s="15">
        <f t="shared" si="3"/>
        <v>2.0426065162907265E-3</v>
      </c>
      <c r="M7" s="2">
        <v>20</v>
      </c>
      <c r="N7" s="2">
        <v>1.2999999999999999E-2</v>
      </c>
      <c r="O7" s="2">
        <f t="shared" si="4"/>
        <v>4.8872180451127814E-4</v>
      </c>
      <c r="P7" s="2">
        <v>20</v>
      </c>
      <c r="Q7" s="2">
        <v>4.1000000000000002E-2</v>
      </c>
      <c r="R7" s="2">
        <f t="shared" si="5"/>
        <v>1.5413533834586466E-3</v>
      </c>
      <c r="S7" s="2">
        <v>20</v>
      </c>
      <c r="T7" s="2">
        <v>4.2999999999999997E-2</v>
      </c>
      <c r="U7" s="2">
        <f t="shared" si="6"/>
        <v>1.6165413533834583E-3</v>
      </c>
      <c r="V7" s="15">
        <f t="shared" si="7"/>
        <v>1.2155388471177945E-3</v>
      </c>
      <c r="X7" s="2">
        <v>20</v>
      </c>
      <c r="Y7" s="2">
        <v>4.2000000000000003E-2</v>
      </c>
      <c r="Z7" s="2">
        <f t="shared" si="8"/>
        <v>1.5789473684210526E-3</v>
      </c>
      <c r="AA7" s="2">
        <v>20</v>
      </c>
      <c r="AB7" s="2">
        <v>9.4E-2</v>
      </c>
      <c r="AC7" s="2">
        <f t="shared" si="9"/>
        <v>3.5338345864661651E-3</v>
      </c>
      <c r="AD7" s="2">
        <v>20</v>
      </c>
      <c r="AE7" s="2">
        <v>4.2000000000000003E-2</v>
      </c>
      <c r="AF7" s="2">
        <f t="shared" si="10"/>
        <v>1.5789473684210526E-3</v>
      </c>
      <c r="AG7" s="15">
        <f t="shared" si="11"/>
        <v>2.2305764411027569E-3</v>
      </c>
      <c r="AI7" s="2">
        <v>20</v>
      </c>
      <c r="AJ7" s="2">
        <v>4.8000000000000001E-2</v>
      </c>
      <c r="AK7" s="2">
        <f t="shared" si="12"/>
        <v>1.8045112781954887E-3</v>
      </c>
      <c r="AL7" s="2">
        <v>20</v>
      </c>
      <c r="AM7" s="2">
        <v>8.4000000000000005E-2</v>
      </c>
      <c r="AN7" s="2">
        <f t="shared" si="13"/>
        <v>3.1578947368421052E-3</v>
      </c>
      <c r="AO7" s="2">
        <v>20</v>
      </c>
      <c r="AP7" s="2">
        <v>7.0999999999999994E-2</v>
      </c>
      <c r="AQ7" s="2">
        <f t="shared" si="14"/>
        <v>2.6691729323308267E-3</v>
      </c>
      <c r="AR7" s="15">
        <f t="shared" si="15"/>
        <v>2.5438596491228066E-3</v>
      </c>
      <c r="AT7" s="2">
        <v>20</v>
      </c>
      <c r="AU7" s="2">
        <v>0.08</v>
      </c>
      <c r="AV7" s="2">
        <f t="shared" si="16"/>
        <v>3.0075187969924809E-3</v>
      </c>
      <c r="AW7" s="2">
        <v>20</v>
      </c>
      <c r="AX7" s="2">
        <v>5.5E-2</v>
      </c>
      <c r="AY7" s="2">
        <f t="shared" si="17"/>
        <v>2.0676691729323306E-3</v>
      </c>
      <c r="AZ7" s="2">
        <v>20</v>
      </c>
      <c r="BA7" s="2">
        <v>7.9000000000000001E-2</v>
      </c>
      <c r="BB7" s="2">
        <f t="shared" si="18"/>
        <v>2.9699248120300752E-3</v>
      </c>
      <c r="BC7" s="15">
        <f t="shared" si="19"/>
        <v>2.6817042606516288E-3</v>
      </c>
      <c r="BE7" s="2">
        <v>20</v>
      </c>
      <c r="BF7" s="2">
        <v>4.7E-2</v>
      </c>
      <c r="BG7" s="2">
        <f t="shared" si="20"/>
        <v>1.7669172932330826E-3</v>
      </c>
      <c r="BH7" s="2">
        <v>20</v>
      </c>
      <c r="BI7" s="2">
        <v>6.0999999999999999E-2</v>
      </c>
      <c r="BJ7" s="2">
        <f t="shared" si="21"/>
        <v>2.2932330827067668E-3</v>
      </c>
      <c r="BK7" s="2">
        <v>20</v>
      </c>
      <c r="BL7" s="2">
        <v>4.7E-2</v>
      </c>
      <c r="BM7" s="2">
        <f t="shared" si="22"/>
        <v>1.7669172932330826E-3</v>
      </c>
      <c r="BN7" s="15">
        <f t="shared" si="23"/>
        <v>1.9423558897243105E-3</v>
      </c>
    </row>
    <row r="8" spans="1:66" x14ac:dyDescent="0.25">
      <c r="B8" s="2">
        <v>30</v>
      </c>
      <c r="C8" s="2">
        <v>6.2E-2</v>
      </c>
      <c r="D8" s="2">
        <f t="shared" si="0"/>
        <v>2.3308270676691729E-3</v>
      </c>
      <c r="E8" s="2">
        <v>30</v>
      </c>
      <c r="F8" s="2">
        <v>7.5999999999999998E-2</v>
      </c>
      <c r="G8" s="2">
        <f t="shared" si="1"/>
        <v>2.8571428571428567E-3</v>
      </c>
      <c r="H8" s="2">
        <v>30</v>
      </c>
      <c r="I8" s="2">
        <v>3.1E-2</v>
      </c>
      <c r="J8" s="2">
        <f t="shared" si="2"/>
        <v>1.1654135338345865E-3</v>
      </c>
      <c r="K8" s="15">
        <f t="shared" si="3"/>
        <v>2.1177944862155389E-3</v>
      </c>
      <c r="M8" s="2">
        <v>30</v>
      </c>
      <c r="N8" s="2">
        <v>1.7000000000000001E-2</v>
      </c>
      <c r="O8" s="2">
        <f t="shared" si="4"/>
        <v>6.3909774436090227E-4</v>
      </c>
      <c r="P8" s="2">
        <v>30</v>
      </c>
      <c r="Q8" s="2">
        <v>4.2999999999999997E-2</v>
      </c>
      <c r="R8" s="2">
        <f t="shared" si="5"/>
        <v>1.6165413533834583E-3</v>
      </c>
      <c r="S8" s="2">
        <v>30</v>
      </c>
      <c r="T8" s="2">
        <v>4.2999999999999997E-2</v>
      </c>
      <c r="U8" s="2">
        <f t="shared" si="6"/>
        <v>1.6165413533834583E-3</v>
      </c>
      <c r="V8" s="15">
        <f t="shared" si="7"/>
        <v>1.2907268170426064E-3</v>
      </c>
      <c r="X8" s="2">
        <v>30</v>
      </c>
      <c r="Y8" s="2">
        <v>4.1000000000000002E-2</v>
      </c>
      <c r="Z8" s="2">
        <f t="shared" si="8"/>
        <v>1.5413533834586466E-3</v>
      </c>
      <c r="AA8" s="2">
        <v>30</v>
      </c>
      <c r="AB8" s="2">
        <v>0.1</v>
      </c>
      <c r="AC8" s="2">
        <f t="shared" si="9"/>
        <v>3.7593984962406013E-3</v>
      </c>
      <c r="AD8" s="2">
        <v>30</v>
      </c>
      <c r="AE8" s="2">
        <v>4.7E-2</v>
      </c>
      <c r="AF8" s="2">
        <f t="shared" si="10"/>
        <v>1.7669172932330826E-3</v>
      </c>
      <c r="AG8" s="15">
        <f t="shared" si="11"/>
        <v>2.3558897243107766E-3</v>
      </c>
      <c r="AI8" s="2">
        <v>30</v>
      </c>
      <c r="AJ8" s="2">
        <v>4.9000000000000002E-2</v>
      </c>
      <c r="AK8" s="2">
        <f t="shared" si="12"/>
        <v>1.8421052631578947E-3</v>
      </c>
      <c r="AL8" s="2">
        <v>30</v>
      </c>
      <c r="AM8" s="2">
        <v>8.1000000000000003E-2</v>
      </c>
      <c r="AN8" s="2">
        <f t="shared" si="13"/>
        <v>3.0451127819548871E-3</v>
      </c>
      <c r="AO8" s="2">
        <v>30</v>
      </c>
      <c r="AP8" s="2">
        <v>7.4999999999999997E-2</v>
      </c>
      <c r="AQ8" s="2">
        <f t="shared" si="14"/>
        <v>2.819548872180451E-3</v>
      </c>
      <c r="AR8" s="15">
        <f t="shared" si="15"/>
        <v>2.5689223057644111E-3</v>
      </c>
      <c r="AT8" s="2">
        <v>30</v>
      </c>
      <c r="AU8" s="2">
        <v>8.4000000000000005E-2</v>
      </c>
      <c r="AV8" s="2">
        <f t="shared" si="16"/>
        <v>3.1578947368421052E-3</v>
      </c>
      <c r="AW8" s="2">
        <v>30</v>
      </c>
      <c r="AX8" s="2">
        <v>6.8000000000000005E-2</v>
      </c>
      <c r="AY8" s="2">
        <f t="shared" si="17"/>
        <v>2.5563909774436091E-3</v>
      </c>
      <c r="AZ8" s="2">
        <v>30</v>
      </c>
      <c r="BA8" s="2">
        <v>7.9000000000000001E-2</v>
      </c>
      <c r="BB8" s="2">
        <f t="shared" si="18"/>
        <v>2.9699248120300752E-3</v>
      </c>
      <c r="BC8" s="15">
        <f t="shared" si="19"/>
        <v>2.8947368421052629E-3</v>
      </c>
      <c r="BE8" s="2">
        <v>30</v>
      </c>
      <c r="BF8" s="2">
        <v>5.1999999999999998E-2</v>
      </c>
      <c r="BG8" s="2">
        <f t="shared" si="20"/>
        <v>1.9548872180451126E-3</v>
      </c>
      <c r="BH8" s="2">
        <v>30</v>
      </c>
      <c r="BI8" s="2">
        <v>6.7000000000000004E-2</v>
      </c>
      <c r="BJ8" s="2">
        <f t="shared" si="21"/>
        <v>2.5187969924812029E-3</v>
      </c>
      <c r="BK8" s="2">
        <v>30</v>
      </c>
      <c r="BL8" s="2">
        <v>0.05</v>
      </c>
      <c r="BM8" s="2">
        <f t="shared" si="22"/>
        <v>1.8796992481203006E-3</v>
      </c>
      <c r="BN8" s="15">
        <f t="shared" si="23"/>
        <v>2.1177944862155389E-3</v>
      </c>
    </row>
    <row r="9" spans="1:66" x14ac:dyDescent="0.25">
      <c r="B9" s="2">
        <v>40</v>
      </c>
      <c r="C9" s="2">
        <v>6.6000000000000003E-2</v>
      </c>
      <c r="D9" s="2">
        <f t="shared" si="0"/>
        <v>2.4812030075187972E-3</v>
      </c>
      <c r="E9" s="2">
        <v>40</v>
      </c>
      <c r="F9" s="2">
        <v>7.8E-2</v>
      </c>
      <c r="G9" s="2">
        <f t="shared" si="1"/>
        <v>2.932330827067669E-3</v>
      </c>
      <c r="H9" s="2">
        <v>40</v>
      </c>
      <c r="I9" s="2">
        <v>3.3000000000000002E-2</v>
      </c>
      <c r="J9" s="2">
        <f t="shared" si="2"/>
        <v>1.2406015037593986E-3</v>
      </c>
      <c r="K9" s="15">
        <f t="shared" si="3"/>
        <v>2.2180451127819549E-3</v>
      </c>
      <c r="M9" s="2">
        <v>40</v>
      </c>
      <c r="N9" s="2">
        <v>0.02</v>
      </c>
      <c r="O9" s="2">
        <f t="shared" si="4"/>
        <v>7.5187969924812024E-4</v>
      </c>
      <c r="P9" s="2">
        <v>40</v>
      </c>
      <c r="Q9" s="2">
        <v>4.7E-2</v>
      </c>
      <c r="R9" s="2">
        <f t="shared" si="5"/>
        <v>1.7669172932330826E-3</v>
      </c>
      <c r="S9" s="2">
        <v>40</v>
      </c>
      <c r="T9" s="2">
        <v>4.3999999999999997E-2</v>
      </c>
      <c r="U9" s="2">
        <f t="shared" si="6"/>
        <v>1.6541353383458645E-3</v>
      </c>
      <c r="V9" s="15">
        <f t="shared" si="7"/>
        <v>1.3909774436090226E-3</v>
      </c>
      <c r="X9" s="2">
        <v>40</v>
      </c>
      <c r="Y9" s="2">
        <v>4.1000000000000002E-2</v>
      </c>
      <c r="Z9" s="2">
        <f t="shared" si="8"/>
        <v>1.5413533834586466E-3</v>
      </c>
      <c r="AA9" s="2">
        <v>40</v>
      </c>
      <c r="AB9" s="2">
        <v>0.105</v>
      </c>
      <c r="AC9" s="2">
        <f t="shared" si="9"/>
        <v>3.9473684210526308E-3</v>
      </c>
      <c r="AD9" s="2">
        <v>40</v>
      </c>
      <c r="AE9" s="2">
        <v>5.1999999999999998E-2</v>
      </c>
      <c r="AF9" s="2">
        <f t="shared" si="10"/>
        <v>1.9548872180451126E-3</v>
      </c>
      <c r="AG9" s="15">
        <f t="shared" si="11"/>
        <v>2.4812030075187963E-3</v>
      </c>
      <c r="AI9" s="2">
        <v>40</v>
      </c>
      <c r="AJ9" s="2">
        <v>5.0999999999999997E-2</v>
      </c>
      <c r="AK9" s="2">
        <f t="shared" si="12"/>
        <v>1.9172932330827066E-3</v>
      </c>
      <c r="AL9" s="2">
        <v>40</v>
      </c>
      <c r="AM9" s="2">
        <v>8.3000000000000004E-2</v>
      </c>
      <c r="AN9" s="2">
        <f t="shared" si="13"/>
        <v>3.1203007518796995E-3</v>
      </c>
      <c r="AO9" s="2">
        <v>40</v>
      </c>
      <c r="AP9" s="2">
        <v>0.08</v>
      </c>
      <c r="AQ9" s="2">
        <f t="shared" si="14"/>
        <v>3.0075187969924809E-3</v>
      </c>
      <c r="AR9" s="15">
        <f t="shared" si="15"/>
        <v>2.6817042606516288E-3</v>
      </c>
      <c r="AT9" s="2">
        <v>40</v>
      </c>
      <c r="AU9" s="2">
        <v>8.8999999999999996E-2</v>
      </c>
      <c r="AV9" s="2">
        <f t="shared" si="16"/>
        <v>3.3458646616541352E-3</v>
      </c>
      <c r="AW9" s="2">
        <v>40</v>
      </c>
      <c r="AX9" s="2">
        <v>8.1000000000000003E-2</v>
      </c>
      <c r="AY9" s="2">
        <f t="shared" si="17"/>
        <v>3.0451127819548871E-3</v>
      </c>
      <c r="AZ9" s="2">
        <v>40</v>
      </c>
      <c r="BA9" s="2">
        <v>0.08</v>
      </c>
      <c r="BB9" s="2">
        <f t="shared" si="18"/>
        <v>3.0075187969924809E-3</v>
      </c>
      <c r="BC9" s="15">
        <f t="shared" si="19"/>
        <v>3.1328320802005011E-3</v>
      </c>
      <c r="BE9" s="2">
        <v>40</v>
      </c>
      <c r="BF9" s="2">
        <v>5.7000000000000002E-2</v>
      </c>
      <c r="BG9" s="2">
        <f t="shared" si="20"/>
        <v>2.142857142857143E-3</v>
      </c>
      <c r="BH9" s="2">
        <v>40</v>
      </c>
      <c r="BI9" s="2">
        <v>7.1999999999999995E-2</v>
      </c>
      <c r="BJ9" s="2">
        <f t="shared" si="21"/>
        <v>2.7067669172932329E-3</v>
      </c>
      <c r="BK9" s="2">
        <v>40</v>
      </c>
      <c r="BL9" s="2">
        <v>5.5E-2</v>
      </c>
      <c r="BM9" s="2">
        <f t="shared" si="22"/>
        <v>2.0676691729323306E-3</v>
      </c>
      <c r="BN9" s="15">
        <f t="shared" si="23"/>
        <v>2.3057644110275693E-3</v>
      </c>
    </row>
    <row r="10" spans="1:66" x14ac:dyDescent="0.25">
      <c r="B10" s="2">
        <v>50</v>
      </c>
      <c r="C10" s="2">
        <v>6.7000000000000004E-2</v>
      </c>
      <c r="D10" s="2">
        <f t="shared" si="0"/>
        <v>2.5187969924812029E-3</v>
      </c>
      <c r="E10" s="2">
        <v>50</v>
      </c>
      <c r="F10" s="2">
        <v>8.2000000000000003E-2</v>
      </c>
      <c r="G10" s="2">
        <f t="shared" si="1"/>
        <v>3.0827067669172933E-3</v>
      </c>
      <c r="H10" s="2">
        <v>50</v>
      </c>
      <c r="I10" s="2">
        <v>3.5000000000000003E-2</v>
      </c>
      <c r="J10" s="2">
        <f t="shared" si="2"/>
        <v>1.3157894736842105E-3</v>
      </c>
      <c r="K10" s="15">
        <f t="shared" si="3"/>
        <v>2.3057644110275688E-3</v>
      </c>
      <c r="M10" s="2">
        <v>50</v>
      </c>
      <c r="N10" s="2">
        <v>2.3E-2</v>
      </c>
      <c r="O10" s="2">
        <f t="shared" si="4"/>
        <v>8.6466165413533831E-4</v>
      </c>
      <c r="P10" s="2">
        <v>50</v>
      </c>
      <c r="Q10" s="2">
        <v>5.0999999999999997E-2</v>
      </c>
      <c r="R10" s="2">
        <f t="shared" si="5"/>
        <v>1.9172932330827066E-3</v>
      </c>
      <c r="S10" s="2">
        <v>50</v>
      </c>
      <c r="T10" s="2">
        <v>4.5999999999999999E-2</v>
      </c>
      <c r="U10" s="2">
        <f t="shared" si="6"/>
        <v>1.7293233082706766E-3</v>
      </c>
      <c r="V10" s="15">
        <f t="shared" si="7"/>
        <v>1.5037593984962405E-3</v>
      </c>
      <c r="X10" s="2">
        <v>50</v>
      </c>
      <c r="Y10" s="2">
        <v>4.2999999999999997E-2</v>
      </c>
      <c r="Z10" s="2">
        <f t="shared" si="8"/>
        <v>1.6165413533834583E-3</v>
      </c>
      <c r="AA10" s="2">
        <v>50</v>
      </c>
      <c r="AB10" s="2">
        <v>0.112</v>
      </c>
      <c r="AC10" s="2">
        <f t="shared" si="9"/>
        <v>4.2105263157894736E-3</v>
      </c>
      <c r="AD10" s="2">
        <v>50</v>
      </c>
      <c r="AE10" s="2">
        <v>5.7000000000000002E-2</v>
      </c>
      <c r="AF10" s="2">
        <f t="shared" si="10"/>
        <v>2.142857142857143E-3</v>
      </c>
      <c r="AG10" s="15">
        <f t="shared" si="11"/>
        <v>2.6566416040100251E-3</v>
      </c>
      <c r="AI10" s="2">
        <v>50</v>
      </c>
      <c r="AJ10" s="2">
        <v>5.2999999999999999E-2</v>
      </c>
      <c r="AK10" s="2">
        <f t="shared" si="12"/>
        <v>1.9924812030075187E-3</v>
      </c>
      <c r="AL10" s="2">
        <v>50</v>
      </c>
      <c r="AM10" s="2">
        <v>8.6999999999999994E-2</v>
      </c>
      <c r="AN10" s="2">
        <f t="shared" si="13"/>
        <v>3.2706766917293228E-3</v>
      </c>
      <c r="AO10" s="2">
        <v>50</v>
      </c>
      <c r="AP10" s="2">
        <v>8.4000000000000005E-2</v>
      </c>
      <c r="AQ10" s="2">
        <f t="shared" si="14"/>
        <v>3.1578947368421052E-3</v>
      </c>
      <c r="AR10" s="15">
        <f t="shared" si="15"/>
        <v>2.8070175438596489E-3</v>
      </c>
      <c r="AT10" s="2">
        <v>50</v>
      </c>
      <c r="AU10" s="2">
        <v>9.8000000000000004E-2</v>
      </c>
      <c r="AV10" s="2">
        <f t="shared" si="16"/>
        <v>3.6842105263157894E-3</v>
      </c>
      <c r="AW10" s="2">
        <v>50</v>
      </c>
      <c r="AX10" s="2">
        <v>8.7999999999999995E-2</v>
      </c>
      <c r="AY10" s="2">
        <f t="shared" si="17"/>
        <v>3.308270676691729E-3</v>
      </c>
      <c r="AZ10" s="2">
        <v>50</v>
      </c>
      <c r="BA10" s="2">
        <v>8.1000000000000003E-2</v>
      </c>
      <c r="BB10" s="2">
        <f t="shared" si="18"/>
        <v>3.0451127819548871E-3</v>
      </c>
      <c r="BC10" s="15">
        <f t="shared" si="19"/>
        <v>3.3458646616541352E-3</v>
      </c>
      <c r="BE10" s="2">
        <v>50</v>
      </c>
      <c r="BF10" s="2">
        <v>6.2E-2</v>
      </c>
      <c r="BG10" s="2">
        <f t="shared" si="20"/>
        <v>2.3308270676691729E-3</v>
      </c>
      <c r="BH10" s="2">
        <v>50</v>
      </c>
      <c r="BI10" s="2">
        <v>7.5999999999999998E-2</v>
      </c>
      <c r="BJ10" s="2">
        <f t="shared" si="21"/>
        <v>2.8571428571428567E-3</v>
      </c>
      <c r="BK10" s="2">
        <v>50</v>
      </c>
      <c r="BL10" s="2">
        <v>0.06</v>
      </c>
      <c r="BM10" s="2">
        <f t="shared" si="22"/>
        <v>2.2556390977443606E-3</v>
      </c>
      <c r="BN10" s="15">
        <f t="shared" si="23"/>
        <v>2.4812030075187968E-3</v>
      </c>
    </row>
    <row r="11" spans="1:66" x14ac:dyDescent="0.25">
      <c r="B11" s="2">
        <v>60</v>
      </c>
      <c r="C11" s="2">
        <v>6.7000000000000004E-2</v>
      </c>
      <c r="D11" s="2">
        <f t="shared" si="0"/>
        <v>2.5187969924812029E-3</v>
      </c>
      <c r="E11" s="2">
        <v>60</v>
      </c>
      <c r="F11" s="2">
        <v>8.6999999999999994E-2</v>
      </c>
      <c r="G11" s="2">
        <f t="shared" si="1"/>
        <v>3.2706766917293228E-3</v>
      </c>
      <c r="H11" s="2">
        <v>60</v>
      </c>
      <c r="I11" s="2">
        <v>3.7999999999999999E-2</v>
      </c>
      <c r="J11" s="2">
        <f t="shared" si="2"/>
        <v>1.4285714285714284E-3</v>
      </c>
      <c r="K11" s="15">
        <f t="shared" si="3"/>
        <v>2.4060150375939848E-3</v>
      </c>
      <c r="M11" s="2">
        <v>60</v>
      </c>
      <c r="N11" s="2">
        <v>2.5999999999999999E-2</v>
      </c>
      <c r="O11" s="2">
        <f t="shared" si="4"/>
        <v>9.7744360902255628E-4</v>
      </c>
      <c r="P11" s="2">
        <v>60</v>
      </c>
      <c r="Q11" s="2">
        <v>5.5E-2</v>
      </c>
      <c r="R11" s="2">
        <f t="shared" si="5"/>
        <v>2.0676691729323306E-3</v>
      </c>
      <c r="S11" s="2">
        <v>60</v>
      </c>
      <c r="T11" s="2">
        <v>4.5999999999999999E-2</v>
      </c>
      <c r="U11" s="2">
        <f t="shared" si="6"/>
        <v>1.7293233082706766E-3</v>
      </c>
      <c r="V11" s="15">
        <f t="shared" si="7"/>
        <v>1.5914786967418547E-3</v>
      </c>
      <c r="X11" s="2">
        <v>60</v>
      </c>
      <c r="Y11" s="2">
        <v>4.3999999999999997E-2</v>
      </c>
      <c r="Z11" s="2">
        <f t="shared" si="8"/>
        <v>1.6541353383458645E-3</v>
      </c>
      <c r="AA11" s="2">
        <v>60</v>
      </c>
      <c r="AB11" s="2">
        <v>0.121</v>
      </c>
      <c r="AC11" s="2">
        <f t="shared" si="9"/>
        <v>4.5488721804511278E-3</v>
      </c>
      <c r="AD11" s="2">
        <v>60</v>
      </c>
      <c r="AE11" s="2">
        <v>6.3E-2</v>
      </c>
      <c r="AF11" s="2">
        <f t="shared" si="10"/>
        <v>2.3684210526315787E-3</v>
      </c>
      <c r="AG11" s="15">
        <f t="shared" si="11"/>
        <v>2.8571428571428567E-3</v>
      </c>
      <c r="AI11" s="2">
        <v>60</v>
      </c>
      <c r="AJ11" s="2">
        <v>5.1999999999999998E-2</v>
      </c>
      <c r="AK11" s="2">
        <f t="shared" si="12"/>
        <v>1.9548872180451126E-3</v>
      </c>
      <c r="AL11" s="2">
        <v>60</v>
      </c>
      <c r="AM11" s="2">
        <v>9.5000000000000001E-2</v>
      </c>
      <c r="AN11" s="2">
        <f t="shared" si="13"/>
        <v>3.5714285714285713E-3</v>
      </c>
      <c r="AO11" s="2">
        <v>60</v>
      </c>
      <c r="AP11" s="2">
        <v>8.7999999999999995E-2</v>
      </c>
      <c r="AQ11" s="2">
        <f t="shared" si="14"/>
        <v>3.308270676691729E-3</v>
      </c>
      <c r="AR11" s="15">
        <f t="shared" si="15"/>
        <v>2.9448621553884711E-3</v>
      </c>
      <c r="AT11" s="2">
        <v>60</v>
      </c>
      <c r="AU11" s="2">
        <v>0.11</v>
      </c>
      <c r="AV11" s="2">
        <f t="shared" si="16"/>
        <v>4.1353383458646613E-3</v>
      </c>
      <c r="AW11" s="2">
        <v>60</v>
      </c>
      <c r="AX11" s="2">
        <v>9.1999999999999998E-2</v>
      </c>
      <c r="AY11" s="2">
        <f t="shared" si="17"/>
        <v>3.4586466165413532E-3</v>
      </c>
      <c r="AZ11" s="2">
        <v>60</v>
      </c>
      <c r="BA11" s="2">
        <v>8.2000000000000003E-2</v>
      </c>
      <c r="BB11" s="2">
        <f t="shared" si="18"/>
        <v>3.0827067669172933E-3</v>
      </c>
      <c r="BC11" s="15">
        <f t="shared" si="19"/>
        <v>3.5588972431077688E-3</v>
      </c>
      <c r="BE11" s="2">
        <v>60</v>
      </c>
      <c r="BF11" s="2">
        <v>6.2E-2</v>
      </c>
      <c r="BG11" s="2">
        <f t="shared" si="20"/>
        <v>2.3308270676691729E-3</v>
      </c>
      <c r="BH11" s="2">
        <v>60</v>
      </c>
      <c r="BI11" s="2">
        <v>0.08</v>
      </c>
      <c r="BJ11" s="2">
        <f t="shared" si="21"/>
        <v>3.0075187969924809E-3</v>
      </c>
      <c r="BK11" s="2">
        <v>60</v>
      </c>
      <c r="BL11" s="2">
        <v>6.6000000000000003E-2</v>
      </c>
      <c r="BM11" s="2">
        <f t="shared" si="22"/>
        <v>2.4812030075187972E-3</v>
      </c>
      <c r="BN11" s="15">
        <f t="shared" si="23"/>
        <v>2.6065162907268173E-3</v>
      </c>
    </row>
    <row r="12" spans="1:66" ht="60" x14ac:dyDescent="0.25">
      <c r="B12" s="17" t="s">
        <v>50</v>
      </c>
      <c r="C12" s="4"/>
      <c r="D12" s="4">
        <f>(((10*D11)/(1000))*(1000))</f>
        <v>2.518796992481203E-2</v>
      </c>
      <c r="E12" s="1" t="s">
        <v>23</v>
      </c>
      <c r="F12" s="4"/>
      <c r="G12" s="4">
        <f>(((10*G11)/(1000))*(1000))</f>
        <v>3.2706766917293226E-2</v>
      </c>
      <c r="H12" s="1" t="s">
        <v>23</v>
      </c>
      <c r="I12" s="4"/>
      <c r="J12" s="4">
        <f>(((10*J11)/(1000))*(1000))</f>
        <v>1.4285714285714284E-2</v>
      </c>
      <c r="K12" s="4">
        <f>(((10*K11)/(1000))*(1000))</f>
        <v>2.4060150375939848E-2</v>
      </c>
      <c r="M12" s="1" t="s">
        <v>23</v>
      </c>
      <c r="N12" s="4"/>
      <c r="O12" s="4">
        <f>(((10*O11)/(1000))*(1000))</f>
        <v>9.7744360902255623E-3</v>
      </c>
      <c r="P12" s="1" t="s">
        <v>23</v>
      </c>
      <c r="Q12" s="4"/>
      <c r="R12" s="4">
        <f>(((10*R11)/(1000))*(1000))</f>
        <v>2.0676691729323307E-2</v>
      </c>
      <c r="S12" s="1" t="s">
        <v>23</v>
      </c>
      <c r="T12" s="4"/>
      <c r="U12" s="4">
        <f>(((10*U11)/(1000))*(1000))</f>
        <v>1.7293233082706767E-2</v>
      </c>
      <c r="V12" s="4">
        <f>(((10*V11)/(1000))*(1000))</f>
        <v>1.5914786967418548E-2</v>
      </c>
      <c r="X12" s="1" t="s">
        <v>23</v>
      </c>
      <c r="Y12" s="4"/>
      <c r="Z12" s="4">
        <f>(((10*Z11)/(1000))*(1000))</f>
        <v>1.6541353383458645E-2</v>
      </c>
      <c r="AA12" s="1" t="s">
        <v>23</v>
      </c>
      <c r="AB12" s="4"/>
      <c r="AC12" s="4">
        <f>(((10*AC11)/(1000))*(1000))</f>
        <v>4.548872180451128E-2</v>
      </c>
      <c r="AD12" s="1" t="s">
        <v>23</v>
      </c>
      <c r="AE12" s="4"/>
      <c r="AF12" s="4">
        <f>(((10*AF11)/(1000))*(1000))</f>
        <v>2.3684210526315787E-2</v>
      </c>
      <c r="AG12" s="4">
        <f>(((10*AG11)/(1000))*(1000))</f>
        <v>2.8571428571428567E-2</v>
      </c>
      <c r="AI12" s="1" t="s">
        <v>23</v>
      </c>
      <c r="AJ12" s="4"/>
      <c r="AK12" s="4">
        <f>(((10*AK11)/(1000))*(1000))</f>
        <v>1.9548872180451125E-2</v>
      </c>
      <c r="AL12" s="1" t="s">
        <v>23</v>
      </c>
      <c r="AM12" s="4"/>
      <c r="AN12" s="4">
        <f>(((10*AN11)/(1000))*(1000))</f>
        <v>3.5714285714285712E-2</v>
      </c>
      <c r="AO12" s="1" t="s">
        <v>23</v>
      </c>
      <c r="AP12" s="4"/>
      <c r="AQ12" s="4">
        <f>(((10*AQ11)/(1000))*(1000))</f>
        <v>3.308270676691729E-2</v>
      </c>
      <c r="AR12" s="4">
        <f>(((10*AR11)/(1000))*(1000))</f>
        <v>2.944862155388471E-2</v>
      </c>
      <c r="AT12" s="1" t="s">
        <v>23</v>
      </c>
      <c r="AU12" s="4"/>
      <c r="AV12" s="4">
        <f>(((10*AV11)/(1000))*(1000))</f>
        <v>4.1353383458646614E-2</v>
      </c>
      <c r="AW12" s="1" t="s">
        <v>23</v>
      </c>
      <c r="AX12" s="4"/>
      <c r="AY12" s="4">
        <f>(((10*AY11)/(1000))*(1000))</f>
        <v>3.4586466165413533E-2</v>
      </c>
      <c r="AZ12" s="1" t="s">
        <v>23</v>
      </c>
      <c r="BA12" s="4"/>
      <c r="BB12" s="4">
        <f>(((10*BB11)/(1000))*(1000))</f>
        <v>3.0827067669172932E-2</v>
      </c>
      <c r="BC12" s="4">
        <f>(((10*BC11)/(1000))*(1000))</f>
        <v>3.5588972431077691E-2</v>
      </c>
      <c r="BE12" s="1" t="s">
        <v>23</v>
      </c>
      <c r="BF12" s="4"/>
      <c r="BG12" s="4">
        <f>(((10*BG11)/(1000))*(1000))</f>
        <v>2.3308270676691729E-2</v>
      </c>
      <c r="BH12" s="1" t="s">
        <v>23</v>
      </c>
      <c r="BI12" s="4"/>
      <c r="BJ12" s="4">
        <f>(((10*BJ11)/(1000))*(1000))</f>
        <v>3.007518796992481E-2</v>
      </c>
      <c r="BK12" s="1" t="s">
        <v>23</v>
      </c>
      <c r="BL12" s="4"/>
      <c r="BM12" s="4">
        <f>(((10*BM11)/(1000))*(1000))</f>
        <v>2.4812030075187973E-2</v>
      </c>
      <c r="BN12" s="4">
        <f>(((10*BN11)/(1000))*(1000))</f>
        <v>2.6065162907268173E-2</v>
      </c>
    </row>
    <row r="13" spans="1:66" ht="45" x14ac:dyDescent="0.25">
      <c r="B13" s="17" t="s">
        <v>51</v>
      </c>
      <c r="C13" s="8"/>
      <c r="D13" s="8">
        <f>((D12/0.085)*(100))</f>
        <v>29.632905793896501</v>
      </c>
      <c r="E13" s="8"/>
      <c r="F13" s="8"/>
      <c r="G13" s="8">
        <f>((G12/0.085)*(100))</f>
        <v>38.478549314462619</v>
      </c>
      <c r="H13" s="8"/>
      <c r="I13" s="8"/>
      <c r="J13" s="8">
        <f>((J12/0.085)*(100))</f>
        <v>16.806722689075627</v>
      </c>
      <c r="K13" s="8">
        <f>((K12/0.085)*(100))</f>
        <v>28.306059265811584</v>
      </c>
      <c r="M13" s="17" t="s">
        <v>51</v>
      </c>
      <c r="N13" s="8"/>
      <c r="O13" s="8">
        <f>((O12/0.085)*(100))</f>
        <v>11.499336576735955</v>
      </c>
      <c r="P13" s="8"/>
      <c r="Q13" s="8"/>
      <c r="R13" s="8">
        <f>((R12/0.085)*(100))</f>
        <v>24.32551968155683</v>
      </c>
      <c r="S13" s="8"/>
      <c r="T13" s="8"/>
      <c r="U13" s="8">
        <f>((U12/0.085)*(100))</f>
        <v>20.344980097302077</v>
      </c>
      <c r="V13" s="8">
        <f>((V12/0.085)*(100))</f>
        <v>18.723278785198293</v>
      </c>
      <c r="X13" s="17" t="s">
        <v>51</v>
      </c>
      <c r="Y13" s="8"/>
      <c r="Z13" s="8">
        <f>((Z12/0.085)*(100))</f>
        <v>19.460415745245463</v>
      </c>
      <c r="AA13" s="8"/>
      <c r="AB13" s="8"/>
      <c r="AC13" s="8">
        <f>((AC12/0.085)*(100))</f>
        <v>53.516143299425032</v>
      </c>
      <c r="AD13" s="8"/>
      <c r="AE13" s="8"/>
      <c r="AF13" s="8">
        <f>((AF12/0.085)*(100))</f>
        <v>27.863777089783277</v>
      </c>
      <c r="AG13" s="8">
        <f>((AG12/0.085)*(100))</f>
        <v>33.613445378151255</v>
      </c>
      <c r="AI13" s="17" t="s">
        <v>51</v>
      </c>
      <c r="AJ13" s="8"/>
      <c r="AK13" s="8">
        <f>((AK12/0.085)*(100))</f>
        <v>22.998673153471909</v>
      </c>
      <c r="AL13" s="8"/>
      <c r="AM13" s="8"/>
      <c r="AN13" s="8">
        <f>((AN12/0.085)*(100))</f>
        <v>42.016806722689068</v>
      </c>
      <c r="AO13" s="8"/>
      <c r="AP13" s="8"/>
      <c r="AQ13" s="8">
        <f>((AQ12/0.085)*(100))</f>
        <v>38.920831490490926</v>
      </c>
      <c r="AR13" s="8">
        <f>((AR12/0.085)*(100))</f>
        <v>34.645437122217302</v>
      </c>
      <c r="AT13" s="17" t="s">
        <v>51</v>
      </c>
      <c r="AU13" s="8"/>
      <c r="AV13" s="8">
        <f>((AV12/0.085)*(100))</f>
        <v>48.651039363113661</v>
      </c>
      <c r="AW13" s="8"/>
      <c r="AX13" s="8"/>
      <c r="AY13" s="8">
        <f>((AY12/0.085)*(100))</f>
        <v>40.689960194604154</v>
      </c>
      <c r="AZ13" s="8"/>
      <c r="BA13" s="8"/>
      <c r="BB13" s="8">
        <f>((BB12/0.085)*(100))</f>
        <v>36.267138434321097</v>
      </c>
      <c r="BC13" s="8">
        <f>((BC12/0.085)*(100))</f>
        <v>41.869379330679635</v>
      </c>
      <c r="BE13" s="17" t="s">
        <v>51</v>
      </c>
      <c r="BF13" s="18"/>
      <c r="BG13" s="18">
        <f>((BG12/0.085)*(100))</f>
        <v>27.421494913754973</v>
      </c>
      <c r="BH13" s="18"/>
      <c r="BI13" s="18"/>
      <c r="BJ13" s="18">
        <f>((BJ12/0.085)*(100))</f>
        <v>35.382574082264476</v>
      </c>
      <c r="BK13" s="18"/>
      <c r="BL13" s="18"/>
      <c r="BM13" s="18">
        <f>((BM12/0.085)*(100))</f>
        <v>29.190623617868201</v>
      </c>
      <c r="BN13" s="18">
        <f>((BN12/0.085)*(100))</f>
        <v>30.664897537962553</v>
      </c>
    </row>
    <row r="14" spans="1:66" x14ac:dyDescent="0.25">
      <c r="K14" s="3"/>
      <c r="L14" s="3"/>
      <c r="M14" s="3"/>
    </row>
    <row r="15" spans="1:66" x14ac:dyDescent="0.25">
      <c r="K15" s="7"/>
      <c r="L15" s="7"/>
      <c r="M15" s="7"/>
    </row>
    <row r="16" spans="1:66" x14ac:dyDescent="0.25">
      <c r="A16" t="s">
        <v>26</v>
      </c>
      <c r="K16" s="6"/>
      <c r="L16" s="6"/>
      <c r="M16" s="6"/>
    </row>
    <row r="17" spans="1:13" x14ac:dyDescent="0.25">
      <c r="K17" s="6"/>
      <c r="L17" s="6"/>
      <c r="M17" s="6"/>
    </row>
    <row r="18" spans="1:13" x14ac:dyDescent="0.25">
      <c r="A18" t="s">
        <v>27</v>
      </c>
      <c r="K18" s="6"/>
      <c r="L18" s="6"/>
      <c r="M18" s="6"/>
    </row>
    <row r="19" spans="1:13" x14ac:dyDescent="0.25">
      <c r="A19" t="s">
        <v>28</v>
      </c>
      <c r="K19" s="6"/>
      <c r="L19" s="6"/>
      <c r="M19" s="6"/>
    </row>
    <row r="20" spans="1:13" x14ac:dyDescent="0.25">
      <c r="A20" t="s">
        <v>29</v>
      </c>
      <c r="K20" s="6"/>
      <c r="L20" s="6"/>
      <c r="M20" s="6"/>
    </row>
    <row r="21" spans="1:13" x14ac:dyDescent="0.25">
      <c r="A21" t="s">
        <v>30</v>
      </c>
      <c r="K21" s="6"/>
      <c r="L21" s="6"/>
      <c r="M21" s="6"/>
    </row>
    <row r="22" spans="1:13" x14ac:dyDescent="0.25">
      <c r="A22" t="s">
        <v>31</v>
      </c>
    </row>
    <row r="33" spans="1:1" x14ac:dyDescent="0.25">
      <c r="A33" s="3" t="s">
        <v>24</v>
      </c>
    </row>
  </sheetData>
  <mergeCells count="24">
    <mergeCell ref="AZ4:BB4"/>
    <mergeCell ref="BE4:BG4"/>
    <mergeCell ref="BH4:BJ4"/>
    <mergeCell ref="AI4:AK4"/>
    <mergeCell ref="AL4:AN4"/>
    <mergeCell ref="AO4:AQ4"/>
    <mergeCell ref="AT4:AV4"/>
    <mergeCell ref="AW4:AY4"/>
    <mergeCell ref="AT3:BC3"/>
    <mergeCell ref="BE3:BN3"/>
    <mergeCell ref="S4:U4"/>
    <mergeCell ref="B3:K3"/>
    <mergeCell ref="M3:V3"/>
    <mergeCell ref="X3:AG3"/>
    <mergeCell ref="AI3:AR3"/>
    <mergeCell ref="B4:D4"/>
    <mergeCell ref="E4:G4"/>
    <mergeCell ref="H4:J4"/>
    <mergeCell ref="M4:O4"/>
    <mergeCell ref="P4:R4"/>
    <mergeCell ref="BK4:BM4"/>
    <mergeCell ref="X4:Z4"/>
    <mergeCell ref="AA4:AC4"/>
    <mergeCell ref="AD4:AF4"/>
  </mergeCells>
  <pageMargins left="0.7" right="0.7" top="0.75" bottom="0.75" header="0.3" footer="0.3"/>
  <pageSetup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BN33"/>
  <sheetViews>
    <sheetView topLeftCell="BB10" zoomScaleNormal="100" workbookViewId="0">
      <selection activeCell="BI16" sqref="BI16"/>
    </sheetView>
  </sheetViews>
  <sheetFormatPr baseColWidth="10" defaultRowHeight="15" x14ac:dyDescent="0.25"/>
  <cols>
    <col min="2" max="2" width="14.28515625" bestFit="1" customWidth="1"/>
    <col min="5" max="5" width="14.28515625" bestFit="1" customWidth="1"/>
    <col min="8" max="8" width="14.28515625" bestFit="1" customWidth="1"/>
    <col min="9" max="9" width="14.28515625" customWidth="1"/>
    <col min="11" max="11" width="13.28515625" bestFit="1" customWidth="1"/>
    <col min="12" max="12" width="13.28515625" customWidth="1"/>
    <col min="13" max="13" width="23" bestFit="1" customWidth="1"/>
    <col min="16" max="16" width="14.28515625" bestFit="1" customWidth="1"/>
    <col min="19" max="19" width="14.28515625" bestFit="1" customWidth="1"/>
    <col min="20" max="20" width="14.28515625" customWidth="1"/>
    <col min="24" max="24" width="14.28515625" bestFit="1" customWidth="1"/>
    <col min="27" max="27" width="14.28515625" bestFit="1" customWidth="1"/>
    <col min="30" max="30" width="14.28515625" bestFit="1" customWidth="1"/>
    <col min="31" max="31" width="14.28515625" customWidth="1"/>
    <col min="35" max="35" width="14.28515625" bestFit="1" customWidth="1"/>
    <col min="38" max="38" width="14.28515625" bestFit="1" customWidth="1"/>
    <col min="41" max="41" width="14.28515625" bestFit="1" customWidth="1"/>
    <col min="42" max="42" width="14.28515625" customWidth="1"/>
    <col min="46" max="46" width="14.28515625" bestFit="1" customWidth="1"/>
    <col min="48" max="48" width="17.42578125" customWidth="1"/>
    <col min="49" max="49" width="14.28515625" bestFit="1" customWidth="1"/>
    <col min="52" max="52" width="14.28515625" bestFit="1" customWidth="1"/>
    <col min="53" max="53" width="14.28515625" customWidth="1"/>
    <col min="55" max="55" width="25.85546875" customWidth="1"/>
    <col min="57" max="57" width="14.28515625" bestFit="1" customWidth="1"/>
    <col min="60" max="60" width="14.28515625" bestFit="1" customWidth="1"/>
    <col min="63" max="63" width="14.28515625" bestFit="1" customWidth="1"/>
    <col min="64" max="64" width="14.28515625" customWidth="1"/>
  </cols>
  <sheetData>
    <row r="3" spans="1:66" x14ac:dyDescent="0.25">
      <c r="B3" s="28" t="s">
        <v>5</v>
      </c>
      <c r="C3" s="28"/>
      <c r="D3" s="28"/>
      <c r="E3" s="28"/>
      <c r="F3" s="28"/>
      <c r="G3" s="28"/>
      <c r="H3" s="28"/>
      <c r="I3" s="28"/>
      <c r="J3" s="28"/>
      <c r="K3" s="28"/>
      <c r="M3" s="28" t="s">
        <v>6</v>
      </c>
      <c r="N3" s="28"/>
      <c r="O3" s="28"/>
      <c r="P3" s="28"/>
      <c r="Q3" s="28"/>
      <c r="R3" s="28"/>
      <c r="S3" s="28"/>
      <c r="T3" s="28"/>
      <c r="U3" s="28"/>
      <c r="V3" s="28"/>
      <c r="X3" s="28" t="s">
        <v>7</v>
      </c>
      <c r="Y3" s="28"/>
      <c r="Z3" s="28"/>
      <c r="AA3" s="28"/>
      <c r="AB3" s="28"/>
      <c r="AC3" s="28"/>
      <c r="AD3" s="28"/>
      <c r="AE3" s="28"/>
      <c r="AF3" s="28"/>
      <c r="AG3" s="28"/>
      <c r="AI3" s="28" t="s">
        <v>8</v>
      </c>
      <c r="AJ3" s="28"/>
      <c r="AK3" s="28"/>
      <c r="AL3" s="28"/>
      <c r="AM3" s="28"/>
      <c r="AN3" s="28"/>
      <c r="AO3" s="28"/>
      <c r="AP3" s="28"/>
      <c r="AQ3" s="28"/>
      <c r="AR3" s="28"/>
      <c r="AT3" s="28" t="s">
        <v>9</v>
      </c>
      <c r="AU3" s="28"/>
      <c r="AV3" s="28"/>
      <c r="AW3" s="28"/>
      <c r="AX3" s="28"/>
      <c r="AY3" s="28"/>
      <c r="AZ3" s="28"/>
      <c r="BA3" s="28"/>
      <c r="BB3" s="28"/>
      <c r="BC3" s="28"/>
      <c r="BE3" s="28" t="s">
        <v>10</v>
      </c>
      <c r="BF3" s="28"/>
      <c r="BG3" s="28"/>
      <c r="BH3" s="28"/>
      <c r="BI3" s="28"/>
      <c r="BJ3" s="28"/>
      <c r="BK3" s="28"/>
      <c r="BL3" s="28"/>
      <c r="BM3" s="28"/>
      <c r="BN3" s="28"/>
    </row>
    <row r="4" spans="1:66" x14ac:dyDescent="0.25">
      <c r="B4" s="28" t="s">
        <v>2</v>
      </c>
      <c r="C4" s="28"/>
      <c r="D4" s="28"/>
      <c r="E4" s="28" t="s">
        <v>3</v>
      </c>
      <c r="F4" s="28"/>
      <c r="G4" s="28"/>
      <c r="H4" s="28" t="s">
        <v>4</v>
      </c>
      <c r="I4" s="28"/>
      <c r="J4" s="28"/>
      <c r="K4" s="1" t="s">
        <v>33</v>
      </c>
      <c r="M4" s="28" t="s">
        <v>2</v>
      </c>
      <c r="N4" s="28"/>
      <c r="O4" s="28"/>
      <c r="P4" s="28" t="s">
        <v>3</v>
      </c>
      <c r="Q4" s="28"/>
      <c r="R4" s="28"/>
      <c r="S4" s="28" t="s">
        <v>4</v>
      </c>
      <c r="T4" s="28"/>
      <c r="U4" s="28"/>
      <c r="V4" s="9" t="s">
        <v>34</v>
      </c>
      <c r="X4" s="28" t="s">
        <v>2</v>
      </c>
      <c r="Y4" s="28"/>
      <c r="Z4" s="28"/>
      <c r="AA4" s="28" t="s">
        <v>3</v>
      </c>
      <c r="AB4" s="28"/>
      <c r="AC4" s="28"/>
      <c r="AD4" s="28" t="s">
        <v>4</v>
      </c>
      <c r="AE4" s="28"/>
      <c r="AF4" s="28"/>
      <c r="AG4" s="9" t="s">
        <v>34</v>
      </c>
      <c r="AI4" s="28" t="s">
        <v>2</v>
      </c>
      <c r="AJ4" s="28"/>
      <c r="AK4" s="28"/>
      <c r="AL4" s="28" t="s">
        <v>3</v>
      </c>
      <c r="AM4" s="28"/>
      <c r="AN4" s="28"/>
      <c r="AO4" s="28" t="s">
        <v>4</v>
      </c>
      <c r="AP4" s="28"/>
      <c r="AQ4" s="28"/>
      <c r="AR4" s="9" t="s">
        <v>34</v>
      </c>
      <c r="AT4" s="28" t="s">
        <v>2</v>
      </c>
      <c r="AU4" s="28"/>
      <c r="AV4" s="28"/>
      <c r="AW4" s="28" t="s">
        <v>3</v>
      </c>
      <c r="AX4" s="28"/>
      <c r="AY4" s="28"/>
      <c r="AZ4" s="28" t="s">
        <v>4</v>
      </c>
      <c r="BA4" s="28"/>
      <c r="BB4" s="28"/>
      <c r="BC4" s="1" t="s">
        <v>34</v>
      </c>
      <c r="BE4" s="28" t="s">
        <v>2</v>
      </c>
      <c r="BF4" s="28"/>
      <c r="BG4" s="28"/>
      <c r="BH4" s="28" t="s">
        <v>3</v>
      </c>
      <c r="BI4" s="28"/>
      <c r="BJ4" s="28"/>
      <c r="BK4" s="28" t="s">
        <v>4</v>
      </c>
      <c r="BL4" s="28"/>
      <c r="BM4" s="28"/>
      <c r="BN4" s="1" t="s">
        <v>34</v>
      </c>
    </row>
    <row r="5" spans="1:66" x14ac:dyDescent="0.25">
      <c r="B5" s="1" t="s">
        <v>1</v>
      </c>
      <c r="C5" s="1" t="s">
        <v>0</v>
      </c>
      <c r="D5" s="1" t="s">
        <v>32</v>
      </c>
      <c r="E5" s="1" t="s">
        <v>1</v>
      </c>
      <c r="F5" s="1" t="s">
        <v>0</v>
      </c>
      <c r="G5" s="1" t="s">
        <v>32</v>
      </c>
      <c r="H5" s="1" t="s">
        <v>1</v>
      </c>
      <c r="I5" s="1" t="s">
        <v>0</v>
      </c>
      <c r="J5" s="1" t="s">
        <v>32</v>
      </c>
      <c r="K5" s="1" t="s">
        <v>32</v>
      </c>
      <c r="M5" s="1" t="s">
        <v>1</v>
      </c>
      <c r="N5" s="1" t="s">
        <v>0</v>
      </c>
      <c r="O5" s="1" t="s">
        <v>32</v>
      </c>
      <c r="P5" s="1" t="s">
        <v>1</v>
      </c>
      <c r="Q5" s="1" t="s">
        <v>0</v>
      </c>
      <c r="R5" s="1" t="s">
        <v>32</v>
      </c>
      <c r="S5" s="1" t="s">
        <v>1</v>
      </c>
      <c r="T5" s="1" t="s">
        <v>0</v>
      </c>
      <c r="U5" s="1" t="s">
        <v>32</v>
      </c>
      <c r="V5" s="1" t="s">
        <v>32</v>
      </c>
      <c r="X5" s="1" t="s">
        <v>1</v>
      </c>
      <c r="Y5" s="1" t="s">
        <v>0</v>
      </c>
      <c r="Z5" s="1" t="s">
        <v>32</v>
      </c>
      <c r="AA5" s="1" t="s">
        <v>1</v>
      </c>
      <c r="AB5" s="1" t="s">
        <v>0</v>
      </c>
      <c r="AC5" s="1" t="s">
        <v>32</v>
      </c>
      <c r="AD5" s="1" t="s">
        <v>1</v>
      </c>
      <c r="AE5" s="1" t="s">
        <v>0</v>
      </c>
      <c r="AF5" s="1" t="s">
        <v>32</v>
      </c>
      <c r="AG5" s="1" t="s">
        <v>32</v>
      </c>
      <c r="AI5" s="1" t="s">
        <v>1</v>
      </c>
      <c r="AJ5" s="1" t="s">
        <v>0</v>
      </c>
      <c r="AK5" s="1" t="s">
        <v>32</v>
      </c>
      <c r="AL5" s="1" t="s">
        <v>1</v>
      </c>
      <c r="AM5" s="1" t="s">
        <v>0</v>
      </c>
      <c r="AN5" s="1" t="s">
        <v>32</v>
      </c>
      <c r="AO5" s="1" t="s">
        <v>1</v>
      </c>
      <c r="AP5" s="1" t="s">
        <v>0</v>
      </c>
      <c r="AQ5" s="1" t="s">
        <v>32</v>
      </c>
      <c r="AR5" s="1" t="s">
        <v>32</v>
      </c>
      <c r="AT5" s="1" t="s">
        <v>1</v>
      </c>
      <c r="AU5" s="1" t="s">
        <v>0</v>
      </c>
      <c r="AV5" s="1" t="s">
        <v>32</v>
      </c>
      <c r="AW5" s="1" t="s">
        <v>1</v>
      </c>
      <c r="AX5" s="1" t="s">
        <v>0</v>
      </c>
      <c r="AY5" s="1" t="s">
        <v>32</v>
      </c>
      <c r="AZ5" s="1" t="s">
        <v>1</v>
      </c>
      <c r="BA5" s="1" t="s">
        <v>0</v>
      </c>
      <c r="BB5" s="1" t="s">
        <v>32</v>
      </c>
      <c r="BC5" s="1" t="s">
        <v>32</v>
      </c>
      <c r="BE5" s="1" t="s">
        <v>1</v>
      </c>
      <c r="BF5" s="1" t="s">
        <v>0</v>
      </c>
      <c r="BG5" s="1" t="s">
        <v>32</v>
      </c>
      <c r="BH5" s="1" t="s">
        <v>1</v>
      </c>
      <c r="BI5" s="1" t="s">
        <v>0</v>
      </c>
      <c r="BJ5" s="1" t="s">
        <v>32</v>
      </c>
      <c r="BK5" s="1" t="s">
        <v>1</v>
      </c>
      <c r="BL5" s="1" t="s">
        <v>0</v>
      </c>
      <c r="BM5" s="1" t="s">
        <v>32</v>
      </c>
      <c r="BN5" s="1" t="s">
        <v>32</v>
      </c>
    </row>
    <row r="6" spans="1:66" x14ac:dyDescent="0.25">
      <c r="B6" s="2">
        <v>10</v>
      </c>
      <c r="C6" s="2">
        <v>4.2999999999999997E-2</v>
      </c>
      <c r="D6" s="2">
        <f t="shared" ref="D6:D11" si="0">((C6)/(26.6*1))</f>
        <v>1.6165413533834583E-3</v>
      </c>
      <c r="E6" s="2">
        <v>10</v>
      </c>
      <c r="F6" s="2">
        <v>1.0999999999999999E-2</v>
      </c>
      <c r="G6" s="2">
        <f t="shared" ref="G6:G11" si="1">((F6)/(26.6*1))</f>
        <v>4.1353383458646613E-4</v>
      </c>
      <c r="H6" s="2">
        <v>10</v>
      </c>
      <c r="I6" s="2">
        <v>7.9000000000000001E-2</v>
      </c>
      <c r="J6" s="2">
        <f t="shared" ref="J6:J11" si="2">((I6)/(26.6*1))</f>
        <v>2.9699248120300752E-3</v>
      </c>
      <c r="K6" s="15">
        <f t="shared" ref="K6:K11" si="3">((D6+G6+J6)/(3))</f>
        <v>1.6666666666666663E-3</v>
      </c>
      <c r="M6" s="2">
        <v>10</v>
      </c>
      <c r="N6" s="2">
        <v>3.4000000000000002E-2</v>
      </c>
      <c r="O6" s="2">
        <f t="shared" ref="O6:O11" si="4">((N6)/(26.6*1))</f>
        <v>1.2781954887218045E-3</v>
      </c>
      <c r="P6" s="2">
        <v>10</v>
      </c>
      <c r="Q6" s="2">
        <v>2.1000000000000001E-2</v>
      </c>
      <c r="R6" s="2">
        <f t="shared" ref="R6:R11" si="5">((Q6)/(26.6*1))</f>
        <v>7.894736842105263E-4</v>
      </c>
      <c r="S6" s="2">
        <v>10</v>
      </c>
      <c r="T6" s="2">
        <v>2.1000000000000001E-2</v>
      </c>
      <c r="U6" s="2">
        <f t="shared" ref="U6:U11" si="6">((T6)/(26.6*1))</f>
        <v>7.894736842105263E-4</v>
      </c>
      <c r="V6" s="15">
        <f t="shared" ref="V6:V11" si="7">((O6+R6+U6)/(3))</f>
        <v>9.5238095238095249E-4</v>
      </c>
      <c r="X6" s="2">
        <v>10</v>
      </c>
      <c r="Y6" s="2">
        <v>3.3000000000000002E-2</v>
      </c>
      <c r="Z6" s="2">
        <f t="shared" ref="Z6:Z11" si="8">((Y6)/(26.6*1))</f>
        <v>1.2406015037593986E-3</v>
      </c>
      <c r="AA6" s="2">
        <v>10</v>
      </c>
      <c r="AB6" s="2">
        <v>1.4999999999999999E-2</v>
      </c>
      <c r="AC6" s="2">
        <f t="shared" ref="AC6:AC11" si="9">((AB6)/(26.6*1))</f>
        <v>5.6390977443609015E-4</v>
      </c>
      <c r="AD6" s="2">
        <v>10</v>
      </c>
      <c r="AE6" s="2">
        <v>3.3000000000000002E-2</v>
      </c>
      <c r="AF6" s="2">
        <f t="shared" ref="AF6:AF11" si="10">((AE6)/(26.6*1))</f>
        <v>1.2406015037593986E-3</v>
      </c>
      <c r="AG6" s="15">
        <f t="shared" ref="AG6:AG11" si="11">((Z6+AC6+AF6)/(3))</f>
        <v>1.0150375939849624E-3</v>
      </c>
      <c r="AI6" s="2">
        <v>10</v>
      </c>
      <c r="AJ6" s="2">
        <v>4.0000000000000001E-3</v>
      </c>
      <c r="AK6" s="2">
        <f t="shared" ref="AK6:AK11" si="12">((AJ6)/(26.6*1))</f>
        <v>1.5037593984962405E-4</v>
      </c>
      <c r="AL6" s="2">
        <v>10</v>
      </c>
      <c r="AM6" s="2">
        <v>8.0000000000000002E-3</v>
      </c>
      <c r="AN6" s="2">
        <f t="shared" ref="AN6:AN11" si="13">((AM6)/(26.6*1))</f>
        <v>3.0075187969924811E-4</v>
      </c>
      <c r="AO6" s="2">
        <v>10</v>
      </c>
      <c r="AP6" s="2">
        <v>8.9999999999999993E-3</v>
      </c>
      <c r="AQ6" s="2">
        <f t="shared" ref="AQ6:AQ11" si="14">((AP6)/(26.6*1))</f>
        <v>3.3834586466165411E-4</v>
      </c>
      <c r="AR6" s="15">
        <f t="shared" ref="AR6:AR11" si="15">((AK6+AN6+AQ6)/(3))</f>
        <v>2.631578947368421E-4</v>
      </c>
      <c r="AT6" s="2">
        <v>10</v>
      </c>
      <c r="AU6" s="2">
        <v>6.0000000000000001E-3</v>
      </c>
      <c r="AV6" s="2">
        <f t="shared" ref="AV6:AV11" si="16">((AU6)/(26.6*1))</f>
        <v>2.2556390977443609E-4</v>
      </c>
      <c r="AW6" s="2">
        <v>10</v>
      </c>
      <c r="AX6" s="2">
        <v>0.01</v>
      </c>
      <c r="AY6" s="2">
        <f t="shared" ref="AY6:AY11" si="17">((AX6)/(26.6*1))</f>
        <v>3.7593984962406012E-4</v>
      </c>
      <c r="AZ6" s="2">
        <v>10</v>
      </c>
      <c r="BA6" s="2">
        <v>8.0000000000000002E-3</v>
      </c>
      <c r="BB6" s="2">
        <f t="shared" ref="BB6:BB11" si="18">((BA6)/(26.6*1))</f>
        <v>3.0075187969924811E-4</v>
      </c>
      <c r="BC6" s="14">
        <f t="shared" ref="BC6:BC11" si="19">((AV6+AY6+BB6)/(3))</f>
        <v>3.0075187969924811E-4</v>
      </c>
      <c r="BE6" s="2">
        <v>10</v>
      </c>
      <c r="BF6" s="2">
        <v>6.0000000000000001E-3</v>
      </c>
      <c r="BG6" s="2">
        <f t="shared" ref="BG6:BG11" si="20">((BF6)/(26.6*1))</f>
        <v>2.2556390977443609E-4</v>
      </c>
      <c r="BH6" s="2">
        <v>10</v>
      </c>
      <c r="BI6" s="2">
        <v>5.0000000000000001E-3</v>
      </c>
      <c r="BJ6" s="2">
        <f t="shared" ref="BJ6:BJ11" si="21">((BI6)/(26.6*1))</f>
        <v>1.8796992481203006E-4</v>
      </c>
      <c r="BK6" s="2">
        <v>10</v>
      </c>
      <c r="BL6" s="2">
        <v>0.01</v>
      </c>
      <c r="BM6" s="2">
        <f t="shared" ref="BM6:BM11" si="22">((BL6)/(26.6*1))</f>
        <v>3.7593984962406012E-4</v>
      </c>
      <c r="BN6" s="14">
        <f t="shared" ref="BN6:BN11" si="23">((BG6+BJ6+BM6)/(3))</f>
        <v>2.631578947368421E-4</v>
      </c>
    </row>
    <row r="7" spans="1:66" x14ac:dyDescent="0.25">
      <c r="B7" s="2">
        <v>20</v>
      </c>
      <c r="C7" s="2">
        <v>0.05</v>
      </c>
      <c r="D7" s="2">
        <f t="shared" si="0"/>
        <v>1.8796992481203006E-3</v>
      </c>
      <c r="E7" s="2">
        <v>20</v>
      </c>
      <c r="F7" s="2">
        <v>1.4999999999999999E-2</v>
      </c>
      <c r="G7" s="2">
        <f t="shared" si="1"/>
        <v>5.6390977443609015E-4</v>
      </c>
      <c r="H7" s="2">
        <v>20</v>
      </c>
      <c r="I7" s="2">
        <v>8.6999999999999994E-2</v>
      </c>
      <c r="J7" s="2">
        <f t="shared" si="2"/>
        <v>3.2706766917293228E-3</v>
      </c>
      <c r="K7" s="15">
        <f t="shared" si="3"/>
        <v>1.9047619047619045E-3</v>
      </c>
      <c r="M7" s="2">
        <v>20</v>
      </c>
      <c r="N7" s="2">
        <v>0.04</v>
      </c>
      <c r="O7" s="2">
        <f t="shared" si="4"/>
        <v>1.5037593984962405E-3</v>
      </c>
      <c r="P7" s="2">
        <v>20</v>
      </c>
      <c r="Q7" s="2">
        <v>2.7E-2</v>
      </c>
      <c r="R7" s="2">
        <f t="shared" si="5"/>
        <v>1.0150375939849624E-3</v>
      </c>
      <c r="S7" s="2">
        <v>20</v>
      </c>
      <c r="T7" s="2">
        <v>0.03</v>
      </c>
      <c r="U7" s="2">
        <f t="shared" si="6"/>
        <v>1.1278195488721803E-3</v>
      </c>
      <c r="V7" s="15">
        <f t="shared" si="7"/>
        <v>1.2155388471177945E-3</v>
      </c>
      <c r="X7" s="2">
        <v>20</v>
      </c>
      <c r="Y7" s="2">
        <v>3.5999999999999997E-2</v>
      </c>
      <c r="Z7" s="2">
        <f t="shared" si="8"/>
        <v>1.3533834586466164E-3</v>
      </c>
      <c r="AA7" s="2">
        <v>20</v>
      </c>
      <c r="AB7" s="2">
        <v>1.9E-2</v>
      </c>
      <c r="AC7" s="2">
        <f t="shared" si="9"/>
        <v>7.1428571428571418E-4</v>
      </c>
      <c r="AD7" s="2">
        <v>20</v>
      </c>
      <c r="AE7" s="2">
        <v>4.1000000000000002E-2</v>
      </c>
      <c r="AF7" s="2">
        <f t="shared" si="10"/>
        <v>1.5413533834586466E-3</v>
      </c>
      <c r="AG7" s="15">
        <f t="shared" si="11"/>
        <v>1.2030075187969924E-3</v>
      </c>
      <c r="AI7" s="2">
        <v>20</v>
      </c>
      <c r="AJ7" s="2">
        <v>1.0999999999999999E-2</v>
      </c>
      <c r="AK7" s="2">
        <f t="shared" si="12"/>
        <v>4.1353383458646613E-4</v>
      </c>
      <c r="AL7" s="2">
        <v>20</v>
      </c>
      <c r="AM7" s="2">
        <v>1.2999999999999999E-2</v>
      </c>
      <c r="AN7" s="2">
        <f t="shared" si="13"/>
        <v>4.8872180451127814E-4</v>
      </c>
      <c r="AO7" s="2">
        <v>20</v>
      </c>
      <c r="AP7" s="2">
        <v>1.0999999999999999E-2</v>
      </c>
      <c r="AQ7" s="2">
        <f t="shared" si="14"/>
        <v>4.1353383458646613E-4</v>
      </c>
      <c r="AR7" s="15">
        <f t="shared" si="15"/>
        <v>4.3859649122807008E-4</v>
      </c>
      <c r="AT7" s="2">
        <v>20</v>
      </c>
      <c r="AU7" s="2">
        <v>0.01</v>
      </c>
      <c r="AV7" s="2">
        <f t="shared" si="16"/>
        <v>3.7593984962406012E-4</v>
      </c>
      <c r="AW7" s="2">
        <v>20</v>
      </c>
      <c r="AX7" s="2">
        <v>1.2999999999999999E-2</v>
      </c>
      <c r="AY7" s="2">
        <f t="shared" si="17"/>
        <v>4.8872180451127814E-4</v>
      </c>
      <c r="AZ7" s="2">
        <v>20</v>
      </c>
      <c r="BA7" s="2">
        <v>8.9999999999999993E-3</v>
      </c>
      <c r="BB7" s="2">
        <f t="shared" si="18"/>
        <v>3.3834586466165411E-4</v>
      </c>
      <c r="BC7" s="14">
        <f t="shared" si="19"/>
        <v>4.0100250626566407E-4</v>
      </c>
      <c r="BE7" s="2">
        <v>20</v>
      </c>
      <c r="BF7" s="2">
        <v>8.0000000000000002E-3</v>
      </c>
      <c r="BG7" s="2">
        <f t="shared" si="20"/>
        <v>3.0075187969924811E-4</v>
      </c>
      <c r="BH7" s="2">
        <v>20</v>
      </c>
      <c r="BI7" s="2">
        <v>6.0000000000000001E-3</v>
      </c>
      <c r="BJ7" s="2">
        <f t="shared" si="21"/>
        <v>2.2556390977443609E-4</v>
      </c>
      <c r="BK7" s="2">
        <v>20</v>
      </c>
      <c r="BL7" s="2">
        <v>1.0999999999999999E-2</v>
      </c>
      <c r="BM7" s="2">
        <f t="shared" si="22"/>
        <v>4.1353383458646613E-4</v>
      </c>
      <c r="BN7" s="14">
        <f t="shared" si="23"/>
        <v>3.1328320802005011E-4</v>
      </c>
    </row>
    <row r="8" spans="1:66" x14ac:dyDescent="0.25">
      <c r="B8" s="2">
        <v>30</v>
      </c>
      <c r="C8" s="2">
        <v>6.5000000000000002E-2</v>
      </c>
      <c r="D8" s="2">
        <f t="shared" si="0"/>
        <v>2.443609022556391E-3</v>
      </c>
      <c r="E8" s="2">
        <v>30</v>
      </c>
      <c r="F8" s="2">
        <v>1.7999999999999999E-2</v>
      </c>
      <c r="G8" s="2">
        <f t="shared" si="1"/>
        <v>6.7669172932330822E-4</v>
      </c>
      <c r="H8" s="2">
        <v>30</v>
      </c>
      <c r="I8" s="2">
        <v>9.7000000000000003E-2</v>
      </c>
      <c r="J8" s="2">
        <f t="shared" si="2"/>
        <v>3.6466165413533832E-3</v>
      </c>
      <c r="K8" s="15">
        <f t="shared" si="3"/>
        <v>2.255639097744361E-3</v>
      </c>
      <c r="M8" s="2">
        <v>30</v>
      </c>
      <c r="N8" s="2">
        <v>4.7E-2</v>
      </c>
      <c r="O8" s="2">
        <f t="shared" si="4"/>
        <v>1.7669172932330826E-3</v>
      </c>
      <c r="P8" s="2">
        <v>30</v>
      </c>
      <c r="Q8" s="2">
        <v>3.3000000000000002E-2</v>
      </c>
      <c r="R8" s="2">
        <f t="shared" si="5"/>
        <v>1.2406015037593986E-3</v>
      </c>
      <c r="S8" s="2">
        <v>30</v>
      </c>
      <c r="T8" s="2">
        <v>3.9E-2</v>
      </c>
      <c r="U8" s="2">
        <f t="shared" si="6"/>
        <v>1.4661654135338345E-3</v>
      </c>
      <c r="V8" s="15">
        <f t="shared" si="7"/>
        <v>1.4912280701754384E-3</v>
      </c>
      <c r="X8" s="2">
        <v>30</v>
      </c>
      <c r="Y8" s="2">
        <v>0.04</v>
      </c>
      <c r="Z8" s="2">
        <f t="shared" si="8"/>
        <v>1.5037593984962405E-3</v>
      </c>
      <c r="AA8" s="2">
        <v>30</v>
      </c>
      <c r="AB8" s="2">
        <v>2.5000000000000001E-2</v>
      </c>
      <c r="AC8" s="2">
        <f t="shared" si="9"/>
        <v>9.3984962406015032E-4</v>
      </c>
      <c r="AD8" s="2">
        <v>30</v>
      </c>
      <c r="AE8" s="2">
        <v>5.0999999999999997E-2</v>
      </c>
      <c r="AF8" s="2">
        <f t="shared" si="10"/>
        <v>1.9172932330827066E-3</v>
      </c>
      <c r="AG8" s="15">
        <f t="shared" si="11"/>
        <v>1.4536340852130325E-3</v>
      </c>
      <c r="AI8" s="2">
        <v>30</v>
      </c>
      <c r="AJ8" s="2">
        <v>2.1000000000000001E-2</v>
      </c>
      <c r="AK8" s="2">
        <f t="shared" si="12"/>
        <v>7.894736842105263E-4</v>
      </c>
      <c r="AL8" s="2">
        <v>30</v>
      </c>
      <c r="AM8" s="2">
        <v>1.7000000000000001E-2</v>
      </c>
      <c r="AN8" s="2">
        <f t="shared" si="13"/>
        <v>6.3909774436090227E-4</v>
      </c>
      <c r="AO8" s="2">
        <v>30</v>
      </c>
      <c r="AP8" s="2">
        <v>1.7999999999999999E-2</v>
      </c>
      <c r="AQ8" s="2">
        <f t="shared" si="14"/>
        <v>6.7669172932330822E-4</v>
      </c>
      <c r="AR8" s="15">
        <f t="shared" si="15"/>
        <v>7.0175438596491223E-4</v>
      </c>
      <c r="AT8" s="2">
        <v>30</v>
      </c>
      <c r="AU8" s="2">
        <v>1.2999999999999999E-2</v>
      </c>
      <c r="AV8" s="2">
        <f t="shared" si="16"/>
        <v>4.8872180451127814E-4</v>
      </c>
      <c r="AW8" s="2">
        <v>30</v>
      </c>
      <c r="AX8" s="2">
        <v>1.4E-2</v>
      </c>
      <c r="AY8" s="2">
        <f t="shared" si="17"/>
        <v>5.263157894736842E-4</v>
      </c>
      <c r="AZ8" s="2">
        <v>30</v>
      </c>
      <c r="BA8" s="2">
        <v>1.2E-2</v>
      </c>
      <c r="BB8" s="2">
        <f t="shared" si="18"/>
        <v>4.5112781954887219E-4</v>
      </c>
      <c r="BC8" s="14">
        <f t="shared" si="19"/>
        <v>4.8872180451127814E-4</v>
      </c>
      <c r="BE8" s="2">
        <v>30</v>
      </c>
      <c r="BF8" s="2">
        <v>1.2E-2</v>
      </c>
      <c r="BG8" s="2">
        <f t="shared" si="20"/>
        <v>4.5112781954887219E-4</v>
      </c>
      <c r="BH8" s="2">
        <v>30</v>
      </c>
      <c r="BI8" s="2">
        <v>1.2E-2</v>
      </c>
      <c r="BJ8" s="2">
        <f t="shared" si="21"/>
        <v>4.5112781954887219E-4</v>
      </c>
      <c r="BK8" s="2">
        <v>30</v>
      </c>
      <c r="BL8" s="2">
        <v>1.2E-2</v>
      </c>
      <c r="BM8" s="2">
        <f t="shared" si="22"/>
        <v>4.5112781954887219E-4</v>
      </c>
      <c r="BN8" s="14">
        <f t="shared" si="23"/>
        <v>4.5112781954887213E-4</v>
      </c>
    </row>
    <row r="9" spans="1:66" x14ac:dyDescent="0.25">
      <c r="B9" s="2">
        <v>40</v>
      </c>
      <c r="C9" s="2">
        <v>7.8E-2</v>
      </c>
      <c r="D9" s="2">
        <f t="shared" si="0"/>
        <v>2.932330827067669E-3</v>
      </c>
      <c r="E9" s="2">
        <v>40</v>
      </c>
      <c r="F9" s="2">
        <v>2.1999999999999999E-2</v>
      </c>
      <c r="G9" s="2">
        <f t="shared" si="1"/>
        <v>8.2706766917293225E-4</v>
      </c>
      <c r="H9" s="2">
        <v>40</v>
      </c>
      <c r="I9" s="2">
        <v>0.109</v>
      </c>
      <c r="J9" s="2">
        <f t="shared" si="2"/>
        <v>4.0977443609022555E-3</v>
      </c>
      <c r="K9" s="15">
        <f t="shared" si="3"/>
        <v>2.6190476190476194E-3</v>
      </c>
      <c r="M9" s="2">
        <v>40</v>
      </c>
      <c r="N9" s="2">
        <v>5.2999999999999999E-2</v>
      </c>
      <c r="O9" s="2">
        <f t="shared" si="4"/>
        <v>1.9924812030075187E-3</v>
      </c>
      <c r="P9" s="2">
        <v>40</v>
      </c>
      <c r="Q9" s="2">
        <v>3.9E-2</v>
      </c>
      <c r="R9" s="2">
        <f t="shared" si="5"/>
        <v>1.4661654135338345E-3</v>
      </c>
      <c r="S9" s="2">
        <v>40</v>
      </c>
      <c r="T9" s="2">
        <v>4.4999999999999998E-2</v>
      </c>
      <c r="U9" s="2">
        <f t="shared" si="6"/>
        <v>1.6917293233082705E-3</v>
      </c>
      <c r="V9" s="15">
        <f t="shared" si="7"/>
        <v>1.7167919799498746E-3</v>
      </c>
      <c r="X9" s="2">
        <v>40</v>
      </c>
      <c r="Y9" s="2">
        <v>4.4999999999999998E-2</v>
      </c>
      <c r="Z9" s="2">
        <f t="shared" si="8"/>
        <v>1.6917293233082705E-3</v>
      </c>
      <c r="AA9" s="2">
        <v>40</v>
      </c>
      <c r="AB9" s="2">
        <v>3.1E-2</v>
      </c>
      <c r="AC9" s="2">
        <f t="shared" si="9"/>
        <v>1.1654135338345865E-3</v>
      </c>
      <c r="AD9" s="2">
        <v>40</v>
      </c>
      <c r="AE9" s="2">
        <v>6.0999999999999999E-2</v>
      </c>
      <c r="AF9" s="2">
        <f t="shared" si="10"/>
        <v>2.2932330827067668E-3</v>
      </c>
      <c r="AG9" s="15">
        <f t="shared" si="11"/>
        <v>1.7167919799498746E-3</v>
      </c>
      <c r="AI9" s="2">
        <v>40</v>
      </c>
      <c r="AJ9" s="2">
        <v>2.5999999999999999E-2</v>
      </c>
      <c r="AK9" s="2">
        <f t="shared" si="12"/>
        <v>9.7744360902255628E-4</v>
      </c>
      <c r="AL9" s="2">
        <v>40</v>
      </c>
      <c r="AM9" s="2">
        <v>2.1000000000000001E-2</v>
      </c>
      <c r="AN9" s="2">
        <f t="shared" si="13"/>
        <v>7.894736842105263E-4</v>
      </c>
      <c r="AO9" s="2">
        <v>40</v>
      </c>
      <c r="AP9" s="2">
        <v>2.1999999999999999E-2</v>
      </c>
      <c r="AQ9" s="2">
        <f t="shared" si="14"/>
        <v>8.2706766917293225E-4</v>
      </c>
      <c r="AR9" s="15">
        <f t="shared" si="15"/>
        <v>8.6466165413533831E-4</v>
      </c>
      <c r="AT9" s="2">
        <v>40</v>
      </c>
      <c r="AU9" s="2">
        <v>1.7000000000000001E-2</v>
      </c>
      <c r="AV9" s="2">
        <f t="shared" si="16"/>
        <v>6.3909774436090227E-4</v>
      </c>
      <c r="AW9" s="2">
        <v>40</v>
      </c>
      <c r="AX9" s="2">
        <v>1.2999999999999999E-2</v>
      </c>
      <c r="AY9" s="2">
        <f t="shared" si="17"/>
        <v>4.8872180451127814E-4</v>
      </c>
      <c r="AZ9" s="2">
        <v>40</v>
      </c>
      <c r="BA9" s="2">
        <v>1.4E-2</v>
      </c>
      <c r="BB9" s="2">
        <f t="shared" si="18"/>
        <v>5.263157894736842E-4</v>
      </c>
      <c r="BC9" s="14">
        <f t="shared" si="19"/>
        <v>5.513784461152882E-4</v>
      </c>
      <c r="BE9" s="2">
        <v>40</v>
      </c>
      <c r="BF9" s="2">
        <v>1.4E-2</v>
      </c>
      <c r="BG9" s="2">
        <f t="shared" si="20"/>
        <v>5.263157894736842E-4</v>
      </c>
      <c r="BH9" s="2">
        <v>40</v>
      </c>
      <c r="BI9" s="2">
        <v>0.02</v>
      </c>
      <c r="BJ9" s="2">
        <f t="shared" si="21"/>
        <v>7.5187969924812024E-4</v>
      </c>
      <c r="BK9" s="2">
        <v>40</v>
      </c>
      <c r="BL9" s="2">
        <v>1.7000000000000001E-2</v>
      </c>
      <c r="BM9" s="2">
        <f t="shared" si="22"/>
        <v>6.3909774436090227E-4</v>
      </c>
      <c r="BN9" s="14">
        <f t="shared" si="23"/>
        <v>6.3909774436090227E-4</v>
      </c>
    </row>
    <row r="10" spans="1:66" x14ac:dyDescent="0.25">
      <c r="B10" s="2">
        <v>50</v>
      </c>
      <c r="C10" s="2">
        <v>9.1999999999999998E-2</v>
      </c>
      <c r="D10" s="2">
        <f t="shared" si="0"/>
        <v>3.4586466165413532E-3</v>
      </c>
      <c r="E10" s="2">
        <v>50</v>
      </c>
      <c r="F10" s="2">
        <v>2.4E-2</v>
      </c>
      <c r="G10" s="2">
        <f t="shared" si="1"/>
        <v>9.0225563909774437E-4</v>
      </c>
      <c r="H10" s="2">
        <v>50</v>
      </c>
      <c r="I10" s="2">
        <v>0.122</v>
      </c>
      <c r="J10" s="2">
        <f t="shared" si="2"/>
        <v>4.5864661654135335E-3</v>
      </c>
      <c r="K10" s="15">
        <f t="shared" si="3"/>
        <v>2.9824561403508768E-3</v>
      </c>
      <c r="M10" s="2">
        <v>50</v>
      </c>
      <c r="N10" s="2">
        <v>6.0999999999999999E-2</v>
      </c>
      <c r="O10" s="2">
        <f t="shared" si="4"/>
        <v>2.2932330827067668E-3</v>
      </c>
      <c r="P10" s="2">
        <v>50</v>
      </c>
      <c r="Q10" s="2">
        <v>4.3999999999999997E-2</v>
      </c>
      <c r="R10" s="2">
        <f t="shared" si="5"/>
        <v>1.6541353383458645E-3</v>
      </c>
      <c r="S10" s="2">
        <v>50</v>
      </c>
      <c r="T10" s="2">
        <v>4.9000000000000002E-2</v>
      </c>
      <c r="U10" s="2">
        <f t="shared" si="6"/>
        <v>1.8421052631578947E-3</v>
      </c>
      <c r="V10" s="15">
        <f t="shared" si="7"/>
        <v>1.9298245614035089E-3</v>
      </c>
      <c r="X10" s="2">
        <v>50</v>
      </c>
      <c r="Y10" s="2">
        <v>4.9000000000000002E-2</v>
      </c>
      <c r="Z10" s="2">
        <f t="shared" si="8"/>
        <v>1.8421052631578947E-3</v>
      </c>
      <c r="AA10" s="2">
        <v>50</v>
      </c>
      <c r="AB10" s="2">
        <v>3.6999999999999998E-2</v>
      </c>
      <c r="AC10" s="2">
        <f t="shared" si="9"/>
        <v>1.3909774436090224E-3</v>
      </c>
      <c r="AD10" s="2">
        <v>50</v>
      </c>
      <c r="AE10" s="2">
        <v>7.1999999999999995E-2</v>
      </c>
      <c r="AF10" s="2">
        <f t="shared" si="10"/>
        <v>2.7067669172932329E-3</v>
      </c>
      <c r="AG10" s="15">
        <f t="shared" si="11"/>
        <v>1.9799498746867167E-3</v>
      </c>
      <c r="AI10" s="2">
        <v>50</v>
      </c>
      <c r="AJ10" s="2">
        <v>3.1E-2</v>
      </c>
      <c r="AK10" s="2">
        <f t="shared" si="12"/>
        <v>1.1654135338345865E-3</v>
      </c>
      <c r="AL10" s="2">
        <v>50</v>
      </c>
      <c r="AM10" s="2">
        <v>2.5999999999999999E-2</v>
      </c>
      <c r="AN10" s="2">
        <f t="shared" si="13"/>
        <v>9.7744360902255628E-4</v>
      </c>
      <c r="AO10" s="2">
        <v>50</v>
      </c>
      <c r="AP10" s="2">
        <v>2.5000000000000001E-2</v>
      </c>
      <c r="AQ10" s="2">
        <f t="shared" si="14"/>
        <v>9.3984962406015032E-4</v>
      </c>
      <c r="AR10" s="15">
        <f t="shared" si="15"/>
        <v>1.0275689223057643E-3</v>
      </c>
      <c r="AT10" s="2">
        <v>50</v>
      </c>
      <c r="AU10" s="2">
        <v>0.02</v>
      </c>
      <c r="AV10" s="2">
        <f t="shared" si="16"/>
        <v>7.5187969924812024E-4</v>
      </c>
      <c r="AW10" s="2">
        <v>50</v>
      </c>
      <c r="AX10" s="2">
        <v>1.4E-2</v>
      </c>
      <c r="AY10" s="2">
        <f t="shared" si="17"/>
        <v>5.263157894736842E-4</v>
      </c>
      <c r="AZ10" s="2">
        <v>50</v>
      </c>
      <c r="BA10" s="2">
        <v>1.0999999999999999E-2</v>
      </c>
      <c r="BB10" s="2">
        <f t="shared" si="18"/>
        <v>4.1353383458646613E-4</v>
      </c>
      <c r="BC10" s="14">
        <f t="shared" si="19"/>
        <v>5.6390977443609026E-4</v>
      </c>
      <c r="BE10" s="2">
        <v>50</v>
      </c>
      <c r="BF10" s="2">
        <v>1.4999999999999999E-2</v>
      </c>
      <c r="BG10" s="2">
        <f t="shared" si="20"/>
        <v>5.6390977443609015E-4</v>
      </c>
      <c r="BH10" s="2">
        <v>50</v>
      </c>
      <c r="BI10" s="2">
        <v>2.1999999999999999E-2</v>
      </c>
      <c r="BJ10" s="2">
        <f t="shared" si="21"/>
        <v>8.2706766917293225E-4</v>
      </c>
      <c r="BK10" s="2">
        <v>50</v>
      </c>
      <c r="BL10" s="2">
        <v>2.3E-2</v>
      </c>
      <c r="BM10" s="2">
        <f t="shared" si="22"/>
        <v>8.6466165413533831E-4</v>
      </c>
      <c r="BN10" s="14">
        <f t="shared" si="23"/>
        <v>7.5187969924812024E-4</v>
      </c>
    </row>
    <row r="11" spans="1:66" x14ac:dyDescent="0.25">
      <c r="B11" s="2">
        <v>60</v>
      </c>
      <c r="C11" s="2">
        <v>0.106</v>
      </c>
      <c r="D11" s="2">
        <f t="shared" si="0"/>
        <v>3.9849624060150374E-3</v>
      </c>
      <c r="E11" s="2">
        <v>60</v>
      </c>
      <c r="F11" s="2">
        <v>2.7E-2</v>
      </c>
      <c r="G11" s="2">
        <f t="shared" si="1"/>
        <v>1.0150375939849624E-3</v>
      </c>
      <c r="H11" s="2">
        <v>60</v>
      </c>
      <c r="I11" s="2">
        <v>0.13900000000000001</v>
      </c>
      <c r="J11" s="2">
        <f t="shared" si="2"/>
        <v>5.2255639097744363E-3</v>
      </c>
      <c r="K11" s="15">
        <f t="shared" si="3"/>
        <v>3.4085213032581455E-3</v>
      </c>
      <c r="M11" s="2">
        <v>60</v>
      </c>
      <c r="N11" s="2">
        <v>6.7000000000000004E-2</v>
      </c>
      <c r="O11" s="2">
        <f t="shared" si="4"/>
        <v>2.5187969924812029E-3</v>
      </c>
      <c r="P11" s="2">
        <v>60</v>
      </c>
      <c r="Q11" s="2">
        <v>4.9000000000000002E-2</v>
      </c>
      <c r="R11" s="2">
        <f t="shared" si="5"/>
        <v>1.8421052631578947E-3</v>
      </c>
      <c r="S11" s="2">
        <v>60</v>
      </c>
      <c r="T11" s="2">
        <v>5.2999999999999999E-2</v>
      </c>
      <c r="U11" s="2">
        <f t="shared" si="6"/>
        <v>1.9924812030075187E-3</v>
      </c>
      <c r="V11" s="15">
        <f t="shared" si="7"/>
        <v>2.1177944862155389E-3</v>
      </c>
      <c r="X11" s="2">
        <v>60</v>
      </c>
      <c r="Y11" s="2">
        <v>5.5E-2</v>
      </c>
      <c r="Z11" s="2">
        <f t="shared" si="8"/>
        <v>2.0676691729323306E-3</v>
      </c>
      <c r="AA11" s="2">
        <v>60</v>
      </c>
      <c r="AB11" s="2">
        <v>4.3999999999999997E-2</v>
      </c>
      <c r="AC11" s="2">
        <f t="shared" si="9"/>
        <v>1.6541353383458645E-3</v>
      </c>
      <c r="AD11" s="2">
        <v>60</v>
      </c>
      <c r="AE11" s="2">
        <v>8.1000000000000003E-2</v>
      </c>
      <c r="AF11" s="2">
        <f t="shared" si="10"/>
        <v>3.0451127819548871E-3</v>
      </c>
      <c r="AG11" s="15">
        <f t="shared" si="11"/>
        <v>2.255639097744361E-3</v>
      </c>
      <c r="AI11" s="2">
        <v>60</v>
      </c>
      <c r="AJ11" s="2">
        <v>3.5000000000000003E-2</v>
      </c>
      <c r="AK11" s="2">
        <f t="shared" si="12"/>
        <v>1.3157894736842105E-3</v>
      </c>
      <c r="AL11" s="2">
        <v>60</v>
      </c>
      <c r="AM11" s="2">
        <v>0.03</v>
      </c>
      <c r="AN11" s="2">
        <f t="shared" si="13"/>
        <v>1.1278195488721803E-3</v>
      </c>
      <c r="AO11" s="2">
        <v>60</v>
      </c>
      <c r="AP11" s="2">
        <v>3.3000000000000002E-2</v>
      </c>
      <c r="AQ11" s="2">
        <f t="shared" si="14"/>
        <v>1.2406015037593986E-3</v>
      </c>
      <c r="AR11" s="15">
        <f t="shared" si="15"/>
        <v>1.2280701754385965E-3</v>
      </c>
      <c r="AT11" s="2">
        <v>60</v>
      </c>
      <c r="AU11" s="2">
        <v>2.1999999999999999E-2</v>
      </c>
      <c r="AV11" s="2">
        <f t="shared" si="16"/>
        <v>8.2706766917293225E-4</v>
      </c>
      <c r="AW11" s="2">
        <v>60</v>
      </c>
      <c r="AX11" s="2">
        <v>1.6E-2</v>
      </c>
      <c r="AY11" s="2">
        <f t="shared" si="17"/>
        <v>6.0150375939849621E-4</v>
      </c>
      <c r="AZ11" s="2">
        <v>60</v>
      </c>
      <c r="BA11" s="2">
        <v>1.2999999999999999E-2</v>
      </c>
      <c r="BB11" s="2">
        <f t="shared" si="18"/>
        <v>4.8872180451127814E-4</v>
      </c>
      <c r="BC11" s="14">
        <f t="shared" si="19"/>
        <v>6.3909774436090216E-4</v>
      </c>
      <c r="BE11" s="2">
        <v>60</v>
      </c>
      <c r="BF11" s="2">
        <v>1.7000000000000001E-2</v>
      </c>
      <c r="BG11" s="2">
        <f t="shared" si="20"/>
        <v>6.3909774436090227E-4</v>
      </c>
      <c r="BH11" s="2">
        <v>60</v>
      </c>
      <c r="BI11" s="2">
        <v>2.3E-2</v>
      </c>
      <c r="BJ11" s="2">
        <f t="shared" si="21"/>
        <v>8.6466165413533831E-4</v>
      </c>
      <c r="BK11" s="2">
        <v>60</v>
      </c>
      <c r="BL11" s="2">
        <v>2.8000000000000001E-2</v>
      </c>
      <c r="BM11" s="2">
        <f t="shared" si="22"/>
        <v>1.0526315789473684E-3</v>
      </c>
      <c r="BN11" s="14">
        <f t="shared" si="23"/>
        <v>8.5213032581453636E-4</v>
      </c>
    </row>
    <row r="12" spans="1:66" ht="45" x14ac:dyDescent="0.25">
      <c r="B12" s="17" t="s">
        <v>50</v>
      </c>
      <c r="C12" s="4"/>
      <c r="D12" s="4">
        <f>(((10*D11)/(1000))*(1000))</f>
        <v>3.9849624060150371E-2</v>
      </c>
      <c r="E12" s="1" t="s">
        <v>23</v>
      </c>
      <c r="F12" s="4"/>
      <c r="G12" s="4">
        <f>(((10*G11)/(1000))*(1000))</f>
        <v>1.0150375939849625E-2</v>
      </c>
      <c r="H12" s="1" t="s">
        <v>23</v>
      </c>
      <c r="I12" s="4"/>
      <c r="J12" s="4">
        <f>(((10*J11)/(1000))*(1000))</f>
        <v>5.2255639097744361E-2</v>
      </c>
      <c r="K12" s="4">
        <f>(((10*K11)/(1000))*(1000))</f>
        <v>3.4085213032581455E-2</v>
      </c>
      <c r="M12" s="1" t="s">
        <v>23</v>
      </c>
      <c r="N12" s="4"/>
      <c r="O12" s="4">
        <f>(((10*O11)/(1000))*(1000))</f>
        <v>2.518796992481203E-2</v>
      </c>
      <c r="P12" s="1" t="s">
        <v>23</v>
      </c>
      <c r="Q12" s="4"/>
      <c r="R12" s="4">
        <f>(((10*R11)/(1000))*(1000))</f>
        <v>1.8421052631578946E-2</v>
      </c>
      <c r="S12" s="1" t="s">
        <v>23</v>
      </c>
      <c r="T12" s="4"/>
      <c r="U12" s="4">
        <f>(((10*U11)/(1000))*(1000))</f>
        <v>1.9924812030075185E-2</v>
      </c>
      <c r="V12" s="4">
        <f>(((10*V11)/(1000))*(1000))</f>
        <v>2.1177944862155389E-2</v>
      </c>
      <c r="X12" s="1" t="s">
        <v>23</v>
      </c>
      <c r="Y12" s="4"/>
      <c r="Z12" s="4">
        <f>(((10*Z11)/(1000))*(1000))</f>
        <v>2.0676691729323307E-2</v>
      </c>
      <c r="AA12" s="1" t="s">
        <v>23</v>
      </c>
      <c r="AB12" s="4"/>
      <c r="AC12" s="4">
        <f>(((10*AC11)/(1000))*(1000))</f>
        <v>1.6541353383458645E-2</v>
      </c>
      <c r="AD12" s="1" t="s">
        <v>23</v>
      </c>
      <c r="AE12" s="4"/>
      <c r="AF12" s="4">
        <f>(((10*AF11)/(1000))*(1000))</f>
        <v>3.0451127819548871E-2</v>
      </c>
      <c r="AG12" s="4">
        <f>(((10*AG11)/(1000))*(1000))</f>
        <v>2.2556390977443611E-2</v>
      </c>
      <c r="AI12" s="1" t="s">
        <v>23</v>
      </c>
      <c r="AJ12" s="4"/>
      <c r="AK12" s="4">
        <f>(((10*AK11)/(1000))*(1000))</f>
        <v>1.3157894736842105E-2</v>
      </c>
      <c r="AL12" s="1" t="s">
        <v>23</v>
      </c>
      <c r="AM12" s="4"/>
      <c r="AN12" s="4">
        <f>(((10*AN11)/(1000))*(1000))</f>
        <v>1.1278195488721804E-2</v>
      </c>
      <c r="AO12" s="1" t="s">
        <v>23</v>
      </c>
      <c r="AP12" s="4"/>
      <c r="AQ12" s="4">
        <f>(((10*AQ11)/(1000))*(1000))</f>
        <v>1.2406015037593986E-2</v>
      </c>
      <c r="AR12" s="4">
        <f>(((10*AR11)/(1000))*(1000))</f>
        <v>1.2280701754385965E-2</v>
      </c>
      <c r="AT12" s="1" t="s">
        <v>23</v>
      </c>
      <c r="AU12" s="4"/>
      <c r="AV12" s="4">
        <f>(((10*AV11)/(1000))*(1000))</f>
        <v>8.2706766917293225E-3</v>
      </c>
      <c r="AW12" s="1" t="s">
        <v>23</v>
      </c>
      <c r="AX12" s="4"/>
      <c r="AY12" s="4">
        <f>(((10*AY11)/(1000))*(1000))</f>
        <v>6.0150375939849619E-3</v>
      </c>
      <c r="AZ12" s="1" t="s">
        <v>23</v>
      </c>
      <c r="BA12" s="4"/>
      <c r="BB12" s="4">
        <f>(((10*BB11)/(1000))*(1000))</f>
        <v>4.8872180451127812E-3</v>
      </c>
      <c r="BC12" s="4">
        <f>(((10*BC11)/(1000))*(1000))</f>
        <v>6.3909774436090219E-3</v>
      </c>
      <c r="BE12" s="1" t="s">
        <v>23</v>
      </c>
      <c r="BF12" s="4"/>
      <c r="BG12" s="4">
        <f>(((10*BG11)/(1000))*(1000))</f>
        <v>6.3909774436090227E-3</v>
      </c>
      <c r="BH12" s="1" t="s">
        <v>23</v>
      </c>
      <c r="BI12" s="4"/>
      <c r="BJ12" s="4">
        <f>(((10*BJ11)/(1000))*(1000))</f>
        <v>8.6466165413533833E-3</v>
      </c>
      <c r="BK12" s="1" t="s">
        <v>23</v>
      </c>
      <c r="BL12" s="4"/>
      <c r="BM12" s="4">
        <f>(((10*BM11)/(1000))*(1000))</f>
        <v>1.0526315789473684E-2</v>
      </c>
      <c r="BN12" s="4">
        <f>(((10*BN11)/(1000))*(1000))</f>
        <v>8.5213032581453636E-3</v>
      </c>
    </row>
    <row r="13" spans="1:66" ht="30" x14ac:dyDescent="0.25">
      <c r="B13" s="17" t="s">
        <v>51</v>
      </c>
      <c r="C13" s="8"/>
      <c r="D13" s="8">
        <f>((D12/0.085)*(100))</f>
        <v>46.881910659000432</v>
      </c>
      <c r="E13" s="8"/>
      <c r="F13" s="8"/>
      <c r="G13" s="8">
        <f>((G12/0.085)*(100))</f>
        <v>11.941618752764263</v>
      </c>
      <c r="H13" s="8"/>
      <c r="I13" s="8"/>
      <c r="J13" s="8">
        <f>((J12/0.085)*(100))</f>
        <v>61.477222467934531</v>
      </c>
      <c r="K13" s="8">
        <f>((K12/0.085)*(100))</f>
        <v>40.100250626566414</v>
      </c>
      <c r="M13" s="17" t="s">
        <v>51</v>
      </c>
      <c r="N13" s="8"/>
      <c r="O13" s="8">
        <f>((O12/0.085)*(100))</f>
        <v>29.632905793896501</v>
      </c>
      <c r="P13" s="8"/>
      <c r="Q13" s="8"/>
      <c r="R13" s="8">
        <f>((R12/0.085)*(100))</f>
        <v>21.671826625386995</v>
      </c>
      <c r="S13" s="8"/>
      <c r="T13" s="8"/>
      <c r="U13" s="8">
        <f>((U12/0.085)*(100))</f>
        <v>23.440955329500216</v>
      </c>
      <c r="V13" s="8">
        <f>((V12/0.085)*(100))</f>
        <v>24.915229249594574</v>
      </c>
      <c r="X13" s="17" t="s">
        <v>51</v>
      </c>
      <c r="Y13" s="8"/>
      <c r="Z13" s="8">
        <f>((Z12/0.085)*(100))</f>
        <v>24.32551968155683</v>
      </c>
      <c r="AA13" s="8"/>
      <c r="AB13" s="8"/>
      <c r="AC13" s="8">
        <f>((AC12/0.085)*(100))</f>
        <v>19.460415745245463</v>
      </c>
      <c r="AD13" s="8"/>
      <c r="AE13" s="8"/>
      <c r="AF13" s="8">
        <f>((AF12/0.085)*(100))</f>
        <v>35.824856258292783</v>
      </c>
      <c r="AG13" s="8">
        <f>((AG12/0.085)*(100))</f>
        <v>26.536930561698362</v>
      </c>
      <c r="AI13" s="17" t="s">
        <v>51</v>
      </c>
      <c r="AJ13" s="8"/>
      <c r="AK13" s="8">
        <f>((AK12/0.085)*(100))</f>
        <v>15.47987616099071</v>
      </c>
      <c r="AL13" s="8"/>
      <c r="AM13" s="8"/>
      <c r="AN13" s="8">
        <f>((AN12/0.085)*(100))</f>
        <v>13.268465280849179</v>
      </c>
      <c r="AO13" s="8"/>
      <c r="AP13" s="8"/>
      <c r="AQ13" s="8">
        <f>((AQ12/0.085)*(100))</f>
        <v>14.595311808934101</v>
      </c>
      <c r="AR13" s="8">
        <f>((AR12/0.085)*(100))</f>
        <v>14.447884416924664</v>
      </c>
      <c r="AT13" s="17" t="s">
        <v>51</v>
      </c>
      <c r="AU13" s="8"/>
      <c r="AV13" s="8">
        <f>((AV12/0.085)*(100))</f>
        <v>9.7302078726227315</v>
      </c>
      <c r="AW13" s="8"/>
      <c r="AX13" s="8"/>
      <c r="AY13" s="8">
        <f>((AY12/0.085)*(100))</f>
        <v>7.0765148164528959</v>
      </c>
      <c r="AZ13" s="8"/>
      <c r="BA13" s="8"/>
      <c r="BB13" s="8">
        <f>((BB12/0.085)*(100))</f>
        <v>5.7496682883679773</v>
      </c>
      <c r="BC13" s="8">
        <f>((BC12/0.085)*(100))</f>
        <v>7.5187969924812013</v>
      </c>
      <c r="BE13" s="17" t="s">
        <v>51</v>
      </c>
      <c r="BF13" s="8"/>
      <c r="BG13" s="8">
        <f>((BG12/0.085)*(100))</f>
        <v>7.518796992481203</v>
      </c>
      <c r="BH13" s="8"/>
      <c r="BI13" s="8"/>
      <c r="BJ13" s="8">
        <f>((BJ12/0.085)*(100))</f>
        <v>10.172490048651039</v>
      </c>
      <c r="BK13" s="8"/>
      <c r="BL13" s="8"/>
      <c r="BM13" s="8">
        <f>((BM12/0.085)*(100))</f>
        <v>12.383900928792569</v>
      </c>
      <c r="BN13" s="8">
        <f>((BN12/0.085)*(100))</f>
        <v>10.025062656641603</v>
      </c>
    </row>
    <row r="14" spans="1:66" x14ac:dyDescent="0.25">
      <c r="K14" s="3"/>
      <c r="L14" s="3"/>
      <c r="M14" s="3"/>
    </row>
    <row r="15" spans="1:66" x14ac:dyDescent="0.25">
      <c r="K15" s="7"/>
      <c r="L15" s="7"/>
      <c r="M15" s="7"/>
    </row>
    <row r="16" spans="1:66" x14ac:dyDescent="0.25">
      <c r="A16" t="s">
        <v>26</v>
      </c>
      <c r="K16" s="6"/>
      <c r="L16" s="6"/>
      <c r="M16" s="6"/>
    </row>
    <row r="17" spans="1:13" x14ac:dyDescent="0.25">
      <c r="K17" s="6"/>
      <c r="L17" s="6"/>
      <c r="M17" s="6"/>
    </row>
    <row r="18" spans="1:13" x14ac:dyDescent="0.25">
      <c r="A18" t="s">
        <v>27</v>
      </c>
      <c r="K18" s="6"/>
      <c r="L18" s="6"/>
      <c r="M18" s="6"/>
    </row>
    <row r="19" spans="1:13" x14ac:dyDescent="0.25">
      <c r="A19" t="s">
        <v>28</v>
      </c>
      <c r="K19" s="6"/>
      <c r="L19" s="6"/>
      <c r="M19" s="6"/>
    </row>
    <row r="20" spans="1:13" x14ac:dyDescent="0.25">
      <c r="A20" t="s">
        <v>29</v>
      </c>
      <c r="K20" s="6"/>
      <c r="L20" s="6"/>
      <c r="M20" s="6"/>
    </row>
    <row r="21" spans="1:13" x14ac:dyDescent="0.25">
      <c r="A21" t="s">
        <v>30</v>
      </c>
      <c r="K21" s="6"/>
      <c r="L21" s="6"/>
      <c r="M21" s="6"/>
    </row>
    <row r="22" spans="1:13" x14ac:dyDescent="0.25">
      <c r="A22" t="s">
        <v>31</v>
      </c>
    </row>
    <row r="33" spans="1:1" x14ac:dyDescent="0.25">
      <c r="A33" s="3" t="s">
        <v>24</v>
      </c>
    </row>
  </sheetData>
  <mergeCells count="24">
    <mergeCell ref="AI4:AK4"/>
    <mergeCell ref="AL4:AN4"/>
    <mergeCell ref="H4:J4"/>
    <mergeCell ref="S4:U4"/>
    <mergeCell ref="B3:K3"/>
    <mergeCell ref="M3:V3"/>
    <mergeCell ref="X3:AG3"/>
    <mergeCell ref="AI3:AR3"/>
    <mergeCell ref="AT3:BC3"/>
    <mergeCell ref="BE3:BN3"/>
    <mergeCell ref="B4:D4"/>
    <mergeCell ref="E4:G4"/>
    <mergeCell ref="M4:O4"/>
    <mergeCell ref="P4:R4"/>
    <mergeCell ref="X4:Z4"/>
    <mergeCell ref="AZ4:BB4"/>
    <mergeCell ref="BK4:BM4"/>
    <mergeCell ref="AT4:AV4"/>
    <mergeCell ref="AW4:AY4"/>
    <mergeCell ref="BE4:BG4"/>
    <mergeCell ref="BH4:BJ4"/>
    <mergeCell ref="AD4:AF4"/>
    <mergeCell ref="AO4:AQ4"/>
    <mergeCell ref="AA4:AC4"/>
  </mergeCells>
  <pageMargins left="0.7" right="0.7" top="0.75" bottom="0.75" header="0.3" footer="0.3"/>
  <pageSetup orientation="portrait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BN31"/>
  <sheetViews>
    <sheetView topLeftCell="BB4" workbookViewId="0">
      <selection activeCell="BK16" sqref="BK16"/>
    </sheetView>
  </sheetViews>
  <sheetFormatPr baseColWidth="10" defaultRowHeight="15" x14ac:dyDescent="0.25"/>
  <cols>
    <col min="2" max="2" width="14.28515625" bestFit="1" customWidth="1"/>
    <col min="5" max="5" width="14.28515625" bestFit="1" customWidth="1"/>
    <col min="8" max="8" width="14.28515625" bestFit="1" customWidth="1"/>
    <col min="9" max="9" width="14.28515625" customWidth="1"/>
    <col min="13" max="13" width="14.28515625" bestFit="1" customWidth="1"/>
    <col min="14" max="14" width="13.5703125" bestFit="1" customWidth="1"/>
    <col min="15" max="15" width="13.5703125" customWidth="1"/>
    <col min="16" max="16" width="14.28515625" bestFit="1" customWidth="1"/>
    <col min="19" max="19" width="14.28515625" bestFit="1" customWidth="1"/>
    <col min="20" max="20" width="14.28515625" customWidth="1"/>
    <col min="24" max="24" width="14.28515625" bestFit="1" customWidth="1"/>
    <col min="27" max="27" width="14.28515625" bestFit="1" customWidth="1"/>
    <col min="30" max="30" width="14.28515625" bestFit="1" customWidth="1"/>
    <col min="31" max="31" width="14.28515625" customWidth="1"/>
    <col min="35" max="35" width="14.28515625" bestFit="1" customWidth="1"/>
    <col min="38" max="38" width="14.28515625" bestFit="1" customWidth="1"/>
    <col min="41" max="41" width="14.28515625" bestFit="1" customWidth="1"/>
    <col min="42" max="42" width="14.28515625" customWidth="1"/>
    <col min="46" max="46" width="14.28515625" bestFit="1" customWidth="1"/>
    <col min="49" max="49" width="14.28515625" bestFit="1" customWidth="1"/>
    <col min="52" max="52" width="14.28515625" bestFit="1" customWidth="1"/>
    <col min="53" max="53" width="14.28515625" customWidth="1"/>
    <col min="55" max="55" width="20.5703125" customWidth="1"/>
    <col min="57" max="57" width="14.28515625" bestFit="1" customWidth="1"/>
    <col min="60" max="60" width="14.28515625" bestFit="1" customWidth="1"/>
    <col min="63" max="63" width="14.28515625" bestFit="1" customWidth="1"/>
    <col min="64" max="64" width="14.28515625" customWidth="1"/>
    <col min="66" max="66" width="14.85546875" customWidth="1"/>
  </cols>
  <sheetData>
    <row r="3" spans="1:66" x14ac:dyDescent="0.25">
      <c r="B3" s="28" t="s">
        <v>11</v>
      </c>
      <c r="C3" s="28"/>
      <c r="D3" s="28"/>
      <c r="E3" s="28"/>
      <c r="F3" s="28"/>
      <c r="G3" s="28"/>
      <c r="H3" s="28"/>
      <c r="I3" s="28"/>
      <c r="J3" s="28"/>
      <c r="K3" s="28"/>
      <c r="M3" s="28" t="s">
        <v>12</v>
      </c>
      <c r="N3" s="28"/>
      <c r="O3" s="28"/>
      <c r="P3" s="28"/>
      <c r="Q3" s="28"/>
      <c r="R3" s="28"/>
      <c r="S3" s="28"/>
      <c r="T3" s="28"/>
      <c r="U3" s="28"/>
      <c r="V3" s="28"/>
      <c r="X3" s="28" t="s">
        <v>13</v>
      </c>
      <c r="Y3" s="28"/>
      <c r="Z3" s="28"/>
      <c r="AA3" s="28"/>
      <c r="AB3" s="28"/>
      <c r="AC3" s="28"/>
      <c r="AD3" s="28"/>
      <c r="AE3" s="28"/>
      <c r="AF3" s="28"/>
      <c r="AG3" s="28"/>
      <c r="AI3" s="28" t="s">
        <v>14</v>
      </c>
      <c r="AJ3" s="28"/>
      <c r="AK3" s="28"/>
      <c r="AL3" s="28"/>
      <c r="AM3" s="28"/>
      <c r="AN3" s="28"/>
      <c r="AO3" s="28"/>
      <c r="AP3" s="28"/>
      <c r="AQ3" s="28"/>
      <c r="AR3" s="28"/>
      <c r="AT3" s="28" t="s">
        <v>15</v>
      </c>
      <c r="AU3" s="28"/>
      <c r="AV3" s="28"/>
      <c r="AW3" s="28"/>
      <c r="AX3" s="28"/>
      <c r="AY3" s="28"/>
      <c r="AZ3" s="28"/>
      <c r="BA3" s="28"/>
      <c r="BB3" s="28"/>
      <c r="BC3" s="28"/>
      <c r="BE3" s="28" t="s">
        <v>16</v>
      </c>
      <c r="BF3" s="28"/>
      <c r="BG3" s="28"/>
      <c r="BH3" s="28"/>
      <c r="BI3" s="28"/>
      <c r="BJ3" s="28"/>
      <c r="BK3" s="28"/>
      <c r="BL3" s="28"/>
      <c r="BM3" s="28"/>
      <c r="BN3" s="28"/>
    </row>
    <row r="4" spans="1:66" x14ac:dyDescent="0.25">
      <c r="B4" s="28" t="s">
        <v>2</v>
      </c>
      <c r="C4" s="28"/>
      <c r="D4" s="28"/>
      <c r="E4" s="28" t="s">
        <v>3</v>
      </c>
      <c r="F4" s="28"/>
      <c r="G4" s="28"/>
      <c r="H4" s="28" t="s">
        <v>4</v>
      </c>
      <c r="I4" s="28"/>
      <c r="J4" s="28"/>
      <c r="K4" s="9" t="s">
        <v>33</v>
      </c>
      <c r="M4" s="29" t="s">
        <v>2</v>
      </c>
      <c r="N4" s="30"/>
      <c r="O4" s="31"/>
      <c r="P4" s="29" t="s">
        <v>3</v>
      </c>
      <c r="Q4" s="30"/>
      <c r="R4" s="31"/>
      <c r="S4" s="28" t="s">
        <v>4</v>
      </c>
      <c r="T4" s="28"/>
      <c r="U4" s="28"/>
      <c r="V4" s="9" t="s">
        <v>33</v>
      </c>
      <c r="X4" s="29" t="s">
        <v>2</v>
      </c>
      <c r="Y4" s="30"/>
      <c r="Z4" s="31"/>
      <c r="AA4" s="29" t="s">
        <v>3</v>
      </c>
      <c r="AB4" s="30"/>
      <c r="AC4" s="31"/>
      <c r="AD4" s="28" t="s">
        <v>4</v>
      </c>
      <c r="AE4" s="28"/>
      <c r="AF4" s="28"/>
      <c r="AG4" s="9" t="s">
        <v>33</v>
      </c>
      <c r="AI4" s="29" t="s">
        <v>2</v>
      </c>
      <c r="AJ4" s="30"/>
      <c r="AK4" s="31"/>
      <c r="AL4" s="29" t="s">
        <v>3</v>
      </c>
      <c r="AM4" s="30"/>
      <c r="AN4" s="31"/>
      <c r="AO4" s="28" t="s">
        <v>4</v>
      </c>
      <c r="AP4" s="28"/>
      <c r="AQ4" s="28"/>
      <c r="AR4" s="9" t="s">
        <v>33</v>
      </c>
      <c r="AT4" s="29" t="s">
        <v>2</v>
      </c>
      <c r="AU4" s="30"/>
      <c r="AV4" s="31"/>
      <c r="AW4" s="29" t="s">
        <v>3</v>
      </c>
      <c r="AX4" s="30"/>
      <c r="AY4" s="31"/>
      <c r="AZ4" s="28" t="s">
        <v>4</v>
      </c>
      <c r="BA4" s="28"/>
      <c r="BB4" s="28"/>
      <c r="BC4" s="9" t="s">
        <v>33</v>
      </c>
      <c r="BE4" s="28" t="s">
        <v>2</v>
      </c>
      <c r="BF4" s="28"/>
      <c r="BG4" s="28"/>
      <c r="BH4" s="28" t="s">
        <v>3</v>
      </c>
      <c r="BI4" s="28"/>
      <c r="BJ4" s="28"/>
      <c r="BK4" s="28" t="s">
        <v>4</v>
      </c>
      <c r="BL4" s="28"/>
      <c r="BM4" s="28"/>
      <c r="BN4" s="9" t="s">
        <v>33</v>
      </c>
    </row>
    <row r="5" spans="1:66" x14ac:dyDescent="0.25">
      <c r="B5" s="1" t="s">
        <v>1</v>
      </c>
      <c r="C5" s="1" t="s">
        <v>0</v>
      </c>
      <c r="D5" s="1" t="s">
        <v>32</v>
      </c>
      <c r="E5" s="1" t="s">
        <v>1</v>
      </c>
      <c r="F5" s="1" t="s">
        <v>0</v>
      </c>
      <c r="G5" s="1" t="s">
        <v>32</v>
      </c>
      <c r="H5" s="1" t="s">
        <v>1</v>
      </c>
      <c r="I5" s="1" t="s">
        <v>0</v>
      </c>
      <c r="J5" s="1" t="s">
        <v>32</v>
      </c>
      <c r="K5" s="1" t="s">
        <v>32</v>
      </c>
      <c r="M5" s="1" t="s">
        <v>1</v>
      </c>
      <c r="N5" s="1" t="s">
        <v>0</v>
      </c>
      <c r="O5" s="1" t="s">
        <v>32</v>
      </c>
      <c r="P5" s="1" t="s">
        <v>1</v>
      </c>
      <c r="Q5" s="1" t="s">
        <v>0</v>
      </c>
      <c r="R5" s="1" t="s">
        <v>32</v>
      </c>
      <c r="S5" s="1" t="s">
        <v>1</v>
      </c>
      <c r="T5" s="1" t="s">
        <v>0</v>
      </c>
      <c r="U5" s="1" t="s">
        <v>32</v>
      </c>
      <c r="V5" s="1" t="s">
        <v>32</v>
      </c>
      <c r="X5" s="1" t="s">
        <v>1</v>
      </c>
      <c r="Y5" s="1" t="s">
        <v>0</v>
      </c>
      <c r="Z5" s="1" t="s">
        <v>32</v>
      </c>
      <c r="AA5" s="1" t="s">
        <v>1</v>
      </c>
      <c r="AB5" s="1" t="s">
        <v>0</v>
      </c>
      <c r="AC5" s="1" t="s">
        <v>32</v>
      </c>
      <c r="AD5" s="1" t="s">
        <v>1</v>
      </c>
      <c r="AE5" s="1" t="s">
        <v>0</v>
      </c>
      <c r="AF5" s="1" t="s">
        <v>32</v>
      </c>
      <c r="AG5" s="1" t="s">
        <v>32</v>
      </c>
      <c r="AI5" s="1" t="s">
        <v>1</v>
      </c>
      <c r="AJ5" s="1" t="s">
        <v>0</v>
      </c>
      <c r="AK5" s="1" t="s">
        <v>32</v>
      </c>
      <c r="AL5" s="1" t="s">
        <v>1</v>
      </c>
      <c r="AM5" s="1" t="s">
        <v>0</v>
      </c>
      <c r="AN5" s="1" t="s">
        <v>32</v>
      </c>
      <c r="AO5" s="1" t="s">
        <v>1</v>
      </c>
      <c r="AP5" s="1" t="s">
        <v>0</v>
      </c>
      <c r="AQ5" s="1" t="s">
        <v>32</v>
      </c>
      <c r="AR5" s="1" t="s">
        <v>32</v>
      </c>
      <c r="AT5" s="1" t="s">
        <v>1</v>
      </c>
      <c r="AU5" s="1" t="s">
        <v>0</v>
      </c>
      <c r="AV5" s="1" t="s">
        <v>32</v>
      </c>
      <c r="AW5" s="1" t="s">
        <v>1</v>
      </c>
      <c r="AX5" s="1" t="s">
        <v>0</v>
      </c>
      <c r="AY5" s="1" t="s">
        <v>32</v>
      </c>
      <c r="AZ5" s="1" t="s">
        <v>1</v>
      </c>
      <c r="BA5" s="1" t="s">
        <v>0</v>
      </c>
      <c r="BB5" s="1" t="s">
        <v>32</v>
      </c>
      <c r="BC5" s="1" t="s">
        <v>32</v>
      </c>
      <c r="BE5" s="1" t="s">
        <v>1</v>
      </c>
      <c r="BF5" s="1" t="s">
        <v>0</v>
      </c>
      <c r="BG5" s="1" t="s">
        <v>32</v>
      </c>
      <c r="BH5" s="1" t="s">
        <v>1</v>
      </c>
      <c r="BI5" s="1" t="s">
        <v>0</v>
      </c>
      <c r="BJ5" s="1" t="s">
        <v>32</v>
      </c>
      <c r="BK5" s="1" t="s">
        <v>1</v>
      </c>
      <c r="BL5" s="1" t="s">
        <v>0</v>
      </c>
      <c r="BM5" s="1" t="s">
        <v>32</v>
      </c>
      <c r="BN5" s="1" t="s">
        <v>32</v>
      </c>
    </row>
    <row r="6" spans="1:66" x14ac:dyDescent="0.25">
      <c r="B6" s="2">
        <v>10</v>
      </c>
      <c r="C6" s="2">
        <v>0.06</v>
      </c>
      <c r="D6" s="2">
        <f t="shared" ref="D6:D11" si="0">((C6)/(26.6*1))</f>
        <v>2.2556390977443606E-3</v>
      </c>
      <c r="E6" s="2">
        <v>10</v>
      </c>
      <c r="F6" s="2">
        <v>8.6999999999999994E-2</v>
      </c>
      <c r="G6" s="2">
        <f t="shared" ref="G6:G11" si="1">((F6)/(26.6*1))</f>
        <v>3.2706766917293228E-3</v>
      </c>
      <c r="H6" s="2">
        <v>10</v>
      </c>
      <c r="I6" s="2">
        <v>2.9000000000000001E-2</v>
      </c>
      <c r="J6" s="2">
        <f t="shared" ref="J6:J11" si="2">((I6)/(26.6*1))</f>
        <v>1.0902255639097743E-3</v>
      </c>
      <c r="K6" s="15">
        <f t="shared" ref="K6:K11" si="3">((D6+G6+J6)/(3))</f>
        <v>2.2055137844611524E-3</v>
      </c>
      <c r="M6" s="2">
        <v>10</v>
      </c>
      <c r="N6" s="2">
        <v>3.5000000000000003E-2</v>
      </c>
      <c r="O6" s="2">
        <f t="shared" ref="O6:O11" si="4">((N6)/(26.6*1))</f>
        <v>1.3157894736842105E-3</v>
      </c>
      <c r="P6" s="2">
        <v>10</v>
      </c>
      <c r="Q6" s="2">
        <v>0.01</v>
      </c>
      <c r="R6" s="2">
        <f t="shared" ref="R6:R11" si="5">((Q6)/(26.6*1))</f>
        <v>3.7593984962406012E-4</v>
      </c>
      <c r="S6" s="2">
        <v>10</v>
      </c>
      <c r="T6" s="2">
        <v>1.0999999999999999E-2</v>
      </c>
      <c r="U6" s="2">
        <f t="shared" ref="U6:U11" si="6">((T6)/(26.6*1))</f>
        <v>4.1353383458646613E-4</v>
      </c>
      <c r="V6" s="14">
        <f t="shared" ref="V6:V11" si="7">((O6+R6+U6)/(3))</f>
        <v>7.0175438596491223E-4</v>
      </c>
      <c r="X6" s="2">
        <v>10</v>
      </c>
      <c r="Y6" s="2">
        <v>3.7999999999999999E-2</v>
      </c>
      <c r="Z6" s="2">
        <f t="shared" ref="Z6:Z11" si="8">((Y6)/(26.6*1))</f>
        <v>1.4285714285714284E-3</v>
      </c>
      <c r="AA6" s="2">
        <v>10</v>
      </c>
      <c r="AB6" s="2">
        <v>0.02</v>
      </c>
      <c r="AC6" s="2">
        <f t="shared" ref="AC6:AC11" si="9">((AB6)/(26.6*1))</f>
        <v>7.5187969924812024E-4</v>
      </c>
      <c r="AD6" s="2">
        <v>10</v>
      </c>
      <c r="AE6" s="2">
        <v>3.3000000000000002E-2</v>
      </c>
      <c r="AF6" s="2">
        <f t="shared" ref="AF6:AF11" si="10">((AE6)/(26.6*1))</f>
        <v>1.2406015037593986E-3</v>
      </c>
      <c r="AG6" s="15">
        <f t="shared" ref="AG6:AG11" si="11">((Z6+AC6+AF6)/(3))</f>
        <v>1.1403508771929824E-3</v>
      </c>
      <c r="AI6" s="2">
        <v>10</v>
      </c>
      <c r="AJ6" s="2">
        <v>8.0000000000000002E-3</v>
      </c>
      <c r="AK6" s="2">
        <f t="shared" ref="AK6:AK11" si="12">((AJ6)/(26.6*1))</f>
        <v>3.0075187969924811E-4</v>
      </c>
      <c r="AL6" s="2">
        <v>10</v>
      </c>
      <c r="AM6" s="2">
        <v>6.0000000000000001E-3</v>
      </c>
      <c r="AN6" s="2">
        <f t="shared" ref="AN6:AN11" si="13">((AM6)/(26.6*1))</f>
        <v>2.2556390977443609E-4</v>
      </c>
      <c r="AO6" s="2">
        <v>10</v>
      </c>
      <c r="AP6" s="2">
        <v>0.01</v>
      </c>
      <c r="AQ6" s="2">
        <f t="shared" ref="AQ6:AQ11" si="14">((AP6)/(26.6*1))</f>
        <v>3.7593984962406012E-4</v>
      </c>
      <c r="AR6" s="14">
        <f t="shared" ref="AR6:AR11" si="15">((AK6+AN6+AQ6)/(3))</f>
        <v>3.0075187969924811E-4</v>
      </c>
      <c r="AT6" s="2">
        <v>10</v>
      </c>
      <c r="AU6" s="2">
        <v>5.0000000000000001E-3</v>
      </c>
      <c r="AV6" s="2">
        <f t="shared" ref="AV6:AV11" si="16">((AU6)/(26.6*1))</f>
        <v>1.8796992481203006E-4</v>
      </c>
      <c r="AW6" s="2">
        <v>10</v>
      </c>
      <c r="AX6" s="2">
        <v>0</v>
      </c>
      <c r="AY6" s="2">
        <f t="shared" ref="AY6:AY11" si="17">((AX6)/(26.6*1))</f>
        <v>0</v>
      </c>
      <c r="AZ6" s="2">
        <v>10</v>
      </c>
      <c r="BA6" s="2">
        <v>2E-3</v>
      </c>
      <c r="BB6" s="2">
        <f t="shared" ref="BB6:BB11" si="18">((BA6)/(26.6*1))</f>
        <v>7.5187969924812026E-5</v>
      </c>
      <c r="BC6" s="2">
        <f t="shared" ref="BC6:BC11" si="19">((AV6+AY6+BB6)/(3))</f>
        <v>8.7719298245614029E-5</v>
      </c>
      <c r="BE6" s="2">
        <v>10</v>
      </c>
      <c r="BF6" s="2">
        <v>0</v>
      </c>
      <c r="BG6" s="2">
        <f t="shared" ref="BG6:BG11" si="20">((BF6)/(26.6*1))</f>
        <v>0</v>
      </c>
      <c r="BH6" s="2">
        <v>10</v>
      </c>
      <c r="BI6" s="2">
        <v>8.0000000000000002E-3</v>
      </c>
      <c r="BJ6" s="2">
        <f t="shared" ref="BJ6:BJ11" si="21">((BI6)/(26.6*1))</f>
        <v>3.0075187969924811E-4</v>
      </c>
      <c r="BK6" s="2">
        <v>10</v>
      </c>
      <c r="BL6" s="2">
        <v>0</v>
      </c>
      <c r="BM6" s="2">
        <f t="shared" ref="BM6:BM11" si="22">((BL6)/(26.6*1))</f>
        <v>0</v>
      </c>
      <c r="BN6" s="2">
        <f t="shared" ref="BN6:BN11" si="23">((BG6+BJ6+BM6)/(3))</f>
        <v>1.0025062656641603E-4</v>
      </c>
    </row>
    <row r="7" spans="1:66" x14ac:dyDescent="0.25">
      <c r="B7" s="2">
        <v>20</v>
      </c>
      <c r="C7" s="2">
        <v>6.5000000000000002E-2</v>
      </c>
      <c r="D7" s="2">
        <f t="shared" si="0"/>
        <v>2.443609022556391E-3</v>
      </c>
      <c r="E7" s="2">
        <v>20</v>
      </c>
      <c r="F7" s="2">
        <v>9.2999999999999999E-2</v>
      </c>
      <c r="G7" s="2">
        <f t="shared" si="1"/>
        <v>3.496240601503759E-3</v>
      </c>
      <c r="H7" s="2">
        <v>20</v>
      </c>
      <c r="I7" s="2">
        <v>3.4000000000000002E-2</v>
      </c>
      <c r="J7" s="2">
        <f t="shared" si="2"/>
        <v>1.2781954887218045E-3</v>
      </c>
      <c r="K7" s="15">
        <f t="shared" si="3"/>
        <v>2.4060150375939848E-3</v>
      </c>
      <c r="M7" s="2">
        <v>20</v>
      </c>
      <c r="N7" s="2">
        <v>0.04</v>
      </c>
      <c r="O7" s="2">
        <f t="shared" si="4"/>
        <v>1.5037593984962405E-3</v>
      </c>
      <c r="P7" s="2">
        <v>20</v>
      </c>
      <c r="Q7" s="2">
        <v>1.2999999999999999E-2</v>
      </c>
      <c r="R7" s="2">
        <f t="shared" si="5"/>
        <v>4.8872180451127814E-4</v>
      </c>
      <c r="S7" s="2">
        <v>20</v>
      </c>
      <c r="T7" s="2">
        <v>1.2999999999999999E-2</v>
      </c>
      <c r="U7" s="2">
        <f t="shared" si="6"/>
        <v>4.8872180451127814E-4</v>
      </c>
      <c r="V7" s="14">
        <f t="shared" si="7"/>
        <v>8.2706766917293225E-4</v>
      </c>
      <c r="X7" s="2">
        <v>20</v>
      </c>
      <c r="Y7" s="2">
        <v>4.2000000000000003E-2</v>
      </c>
      <c r="Z7" s="2">
        <f t="shared" si="8"/>
        <v>1.5789473684210526E-3</v>
      </c>
      <c r="AA7" s="2">
        <v>20</v>
      </c>
      <c r="AB7" s="2">
        <v>2.1999999999999999E-2</v>
      </c>
      <c r="AC7" s="2">
        <f t="shared" si="9"/>
        <v>8.2706766917293225E-4</v>
      </c>
      <c r="AD7" s="2">
        <v>20</v>
      </c>
      <c r="AE7" s="2">
        <v>3.5000000000000003E-2</v>
      </c>
      <c r="AF7" s="2">
        <f t="shared" si="10"/>
        <v>1.3157894736842105E-3</v>
      </c>
      <c r="AG7" s="15">
        <f t="shared" si="11"/>
        <v>1.2406015037593986E-3</v>
      </c>
      <c r="AI7" s="2">
        <v>20</v>
      </c>
      <c r="AJ7" s="2">
        <v>0.01</v>
      </c>
      <c r="AK7" s="2">
        <f t="shared" si="12"/>
        <v>3.7593984962406012E-4</v>
      </c>
      <c r="AL7" s="2">
        <v>20</v>
      </c>
      <c r="AM7" s="2">
        <v>8.9999999999999993E-3</v>
      </c>
      <c r="AN7" s="2">
        <f t="shared" si="13"/>
        <v>3.3834586466165411E-4</v>
      </c>
      <c r="AO7" s="2">
        <v>20</v>
      </c>
      <c r="AP7" s="2">
        <v>1.0999999999999999E-2</v>
      </c>
      <c r="AQ7" s="2">
        <f t="shared" si="14"/>
        <v>4.1353383458646613E-4</v>
      </c>
      <c r="AR7" s="14">
        <f t="shared" si="15"/>
        <v>3.7593984962406012E-4</v>
      </c>
      <c r="AT7" s="2">
        <v>20</v>
      </c>
      <c r="AU7" s="2">
        <v>5.0000000000000001E-3</v>
      </c>
      <c r="AV7" s="2">
        <f t="shared" si="16"/>
        <v>1.8796992481203006E-4</v>
      </c>
      <c r="AW7" s="2">
        <v>20</v>
      </c>
      <c r="AX7" s="2">
        <v>0</v>
      </c>
      <c r="AY7" s="2">
        <f t="shared" si="17"/>
        <v>0</v>
      </c>
      <c r="AZ7" s="2">
        <v>20</v>
      </c>
      <c r="BA7" s="2">
        <v>2E-3</v>
      </c>
      <c r="BB7" s="2">
        <f t="shared" si="18"/>
        <v>7.5187969924812026E-5</v>
      </c>
      <c r="BC7" s="2">
        <f t="shared" si="19"/>
        <v>8.7719298245614029E-5</v>
      </c>
      <c r="BE7" s="2">
        <v>20</v>
      </c>
      <c r="BF7" s="2">
        <v>0</v>
      </c>
      <c r="BG7" s="2">
        <f t="shared" si="20"/>
        <v>0</v>
      </c>
      <c r="BH7" s="2">
        <v>20</v>
      </c>
      <c r="BI7" s="2">
        <v>8.0000000000000002E-3</v>
      </c>
      <c r="BJ7" s="2">
        <f t="shared" si="21"/>
        <v>3.0075187969924811E-4</v>
      </c>
      <c r="BK7" s="2">
        <v>20</v>
      </c>
      <c r="BL7" s="2">
        <v>0</v>
      </c>
      <c r="BM7" s="2">
        <f t="shared" si="22"/>
        <v>0</v>
      </c>
      <c r="BN7" s="2">
        <f t="shared" si="23"/>
        <v>1.0025062656641603E-4</v>
      </c>
    </row>
    <row r="8" spans="1:66" x14ac:dyDescent="0.25">
      <c r="B8" s="2">
        <v>30</v>
      </c>
      <c r="C8" s="2">
        <v>7.0000000000000007E-2</v>
      </c>
      <c r="D8" s="2">
        <f t="shared" si="0"/>
        <v>2.631578947368421E-3</v>
      </c>
      <c r="E8" s="2">
        <v>30</v>
      </c>
      <c r="F8" s="2">
        <v>0.1</v>
      </c>
      <c r="G8" s="2">
        <f t="shared" si="1"/>
        <v>3.7593984962406013E-3</v>
      </c>
      <c r="H8" s="2">
        <v>30</v>
      </c>
      <c r="I8" s="2">
        <v>3.9E-2</v>
      </c>
      <c r="J8" s="2">
        <f t="shared" si="2"/>
        <v>1.4661654135338345E-3</v>
      </c>
      <c r="K8" s="15">
        <f t="shared" si="3"/>
        <v>2.6190476190476185E-3</v>
      </c>
      <c r="M8" s="2">
        <v>30</v>
      </c>
      <c r="N8" s="2">
        <v>4.4999999999999998E-2</v>
      </c>
      <c r="O8" s="2">
        <f t="shared" si="4"/>
        <v>1.6917293233082705E-3</v>
      </c>
      <c r="P8" s="2">
        <v>30</v>
      </c>
      <c r="Q8" s="2">
        <v>1.6E-2</v>
      </c>
      <c r="R8" s="2">
        <f t="shared" si="5"/>
        <v>6.0150375939849621E-4</v>
      </c>
      <c r="S8" s="2">
        <v>30</v>
      </c>
      <c r="T8" s="2">
        <v>1.4999999999999999E-2</v>
      </c>
      <c r="U8" s="2">
        <f t="shared" si="6"/>
        <v>5.6390977443609015E-4</v>
      </c>
      <c r="V8" s="14">
        <f t="shared" si="7"/>
        <v>9.5238095238095227E-4</v>
      </c>
      <c r="X8" s="2">
        <v>30</v>
      </c>
      <c r="Y8" s="2">
        <v>4.5999999999999999E-2</v>
      </c>
      <c r="Z8" s="2">
        <f t="shared" si="8"/>
        <v>1.7293233082706766E-3</v>
      </c>
      <c r="AA8" s="2">
        <v>30</v>
      </c>
      <c r="AB8" s="2">
        <v>2.5000000000000001E-2</v>
      </c>
      <c r="AC8" s="2">
        <f t="shared" si="9"/>
        <v>9.3984962406015032E-4</v>
      </c>
      <c r="AD8" s="2">
        <v>30</v>
      </c>
      <c r="AE8" s="2">
        <v>3.9E-2</v>
      </c>
      <c r="AF8" s="2">
        <f t="shared" si="10"/>
        <v>1.4661654135338345E-3</v>
      </c>
      <c r="AG8" s="15">
        <f t="shared" si="11"/>
        <v>1.3784461152882208E-3</v>
      </c>
      <c r="AI8" s="2">
        <v>30</v>
      </c>
      <c r="AJ8" s="2">
        <v>1.0999999999999999E-2</v>
      </c>
      <c r="AK8" s="2">
        <f t="shared" si="12"/>
        <v>4.1353383458646613E-4</v>
      </c>
      <c r="AL8" s="2">
        <v>30</v>
      </c>
      <c r="AM8" s="2">
        <v>1.0999999999999999E-2</v>
      </c>
      <c r="AN8" s="2">
        <f t="shared" si="13"/>
        <v>4.1353383458646613E-4</v>
      </c>
      <c r="AO8" s="2">
        <v>30</v>
      </c>
      <c r="AP8" s="2">
        <v>1.2999999999999999E-2</v>
      </c>
      <c r="AQ8" s="2">
        <f t="shared" si="14"/>
        <v>4.8872180451127814E-4</v>
      </c>
      <c r="AR8" s="14">
        <f t="shared" si="15"/>
        <v>4.3859649122807008E-4</v>
      </c>
      <c r="AT8" s="2">
        <v>30</v>
      </c>
      <c r="AU8" s="2">
        <v>5.0000000000000001E-3</v>
      </c>
      <c r="AV8" s="2">
        <f t="shared" si="16"/>
        <v>1.8796992481203006E-4</v>
      </c>
      <c r="AW8" s="2">
        <v>30</v>
      </c>
      <c r="AX8" s="2">
        <v>0</v>
      </c>
      <c r="AY8" s="2">
        <f t="shared" si="17"/>
        <v>0</v>
      </c>
      <c r="AZ8" s="2">
        <v>30</v>
      </c>
      <c r="BA8" s="2">
        <v>2E-3</v>
      </c>
      <c r="BB8" s="2">
        <f t="shared" si="18"/>
        <v>7.5187969924812026E-5</v>
      </c>
      <c r="BC8" s="2">
        <f t="shared" si="19"/>
        <v>8.7719298245614029E-5</v>
      </c>
      <c r="BE8" s="2">
        <v>30</v>
      </c>
      <c r="BF8" s="2">
        <v>0</v>
      </c>
      <c r="BG8" s="2">
        <f t="shared" si="20"/>
        <v>0</v>
      </c>
      <c r="BH8" s="2">
        <v>30</v>
      </c>
      <c r="BI8" s="2">
        <v>8.9999999999999993E-3</v>
      </c>
      <c r="BJ8" s="2">
        <f t="shared" si="21"/>
        <v>3.3834586466165411E-4</v>
      </c>
      <c r="BK8" s="2">
        <v>30</v>
      </c>
      <c r="BL8" s="2">
        <v>0</v>
      </c>
      <c r="BM8" s="2">
        <f t="shared" si="22"/>
        <v>0</v>
      </c>
      <c r="BN8" s="2">
        <f t="shared" si="23"/>
        <v>1.1278195488721803E-4</v>
      </c>
    </row>
    <row r="9" spans="1:66" x14ac:dyDescent="0.25">
      <c r="B9" s="2">
        <v>40</v>
      </c>
      <c r="C9" s="2">
        <v>7.4999999999999997E-2</v>
      </c>
      <c r="D9" s="2">
        <f t="shared" si="0"/>
        <v>2.819548872180451E-3</v>
      </c>
      <c r="E9" s="2">
        <v>40</v>
      </c>
      <c r="F9" s="2">
        <v>0.107</v>
      </c>
      <c r="G9" s="2">
        <f t="shared" si="1"/>
        <v>4.0225563909774432E-3</v>
      </c>
      <c r="H9" s="2">
        <v>40</v>
      </c>
      <c r="I9" s="2">
        <v>4.5999999999999999E-2</v>
      </c>
      <c r="J9" s="2">
        <f t="shared" si="2"/>
        <v>1.7293233082706766E-3</v>
      </c>
      <c r="K9" s="15">
        <f t="shared" si="3"/>
        <v>2.8571428571428567E-3</v>
      </c>
      <c r="M9" s="2">
        <v>40</v>
      </c>
      <c r="N9" s="2">
        <v>4.9000000000000002E-2</v>
      </c>
      <c r="O9" s="2">
        <f t="shared" si="4"/>
        <v>1.8421052631578947E-3</v>
      </c>
      <c r="P9" s="2">
        <v>40</v>
      </c>
      <c r="Q9" s="2">
        <v>2.1000000000000001E-2</v>
      </c>
      <c r="R9" s="2">
        <f t="shared" si="5"/>
        <v>7.894736842105263E-4</v>
      </c>
      <c r="S9" s="2">
        <v>40</v>
      </c>
      <c r="T9" s="2">
        <v>1.9E-2</v>
      </c>
      <c r="U9" s="2">
        <f t="shared" si="6"/>
        <v>7.1428571428571418E-4</v>
      </c>
      <c r="V9" s="14">
        <f t="shared" si="7"/>
        <v>1.1152882205513785E-3</v>
      </c>
      <c r="X9" s="2">
        <v>40</v>
      </c>
      <c r="Y9" s="2">
        <v>5.0999999999999997E-2</v>
      </c>
      <c r="Z9" s="2">
        <f t="shared" si="8"/>
        <v>1.9172932330827066E-3</v>
      </c>
      <c r="AA9" s="2">
        <v>40</v>
      </c>
      <c r="AB9" s="2">
        <v>2.7E-2</v>
      </c>
      <c r="AC9" s="2">
        <f t="shared" si="9"/>
        <v>1.0150375939849624E-3</v>
      </c>
      <c r="AD9" s="2">
        <v>40</v>
      </c>
      <c r="AE9" s="2">
        <v>4.1000000000000002E-2</v>
      </c>
      <c r="AF9" s="2">
        <f t="shared" si="10"/>
        <v>1.5413533834586466E-3</v>
      </c>
      <c r="AG9" s="15">
        <f t="shared" si="11"/>
        <v>1.4912280701754384E-3</v>
      </c>
      <c r="AI9" s="2">
        <v>40</v>
      </c>
      <c r="AJ9" s="2">
        <v>1.2999999999999999E-2</v>
      </c>
      <c r="AK9" s="2">
        <f t="shared" si="12"/>
        <v>4.8872180451127814E-4</v>
      </c>
      <c r="AL9" s="2">
        <v>40</v>
      </c>
      <c r="AM9" s="2">
        <v>1.2999999999999999E-2</v>
      </c>
      <c r="AN9" s="2">
        <f t="shared" si="13"/>
        <v>4.8872180451127814E-4</v>
      </c>
      <c r="AO9" s="2">
        <v>40</v>
      </c>
      <c r="AP9" s="2">
        <v>1.4999999999999999E-2</v>
      </c>
      <c r="AQ9" s="2">
        <f t="shared" si="14"/>
        <v>5.6390977443609015E-4</v>
      </c>
      <c r="AR9" s="14">
        <f t="shared" si="15"/>
        <v>5.1378446115288214E-4</v>
      </c>
      <c r="AT9" s="2">
        <v>40</v>
      </c>
      <c r="AU9" s="2">
        <v>5.0000000000000001E-3</v>
      </c>
      <c r="AV9" s="2">
        <f t="shared" si="16"/>
        <v>1.8796992481203006E-4</v>
      </c>
      <c r="AW9" s="2">
        <v>40</v>
      </c>
      <c r="AX9" s="2">
        <v>0</v>
      </c>
      <c r="AY9" s="2">
        <f t="shared" si="17"/>
        <v>0</v>
      </c>
      <c r="AZ9" s="2">
        <v>40</v>
      </c>
      <c r="BA9" s="2">
        <v>3.0000000000000001E-3</v>
      </c>
      <c r="BB9" s="2">
        <f t="shared" si="18"/>
        <v>1.1278195488721805E-4</v>
      </c>
      <c r="BC9" s="2">
        <f t="shared" si="19"/>
        <v>1.0025062656641603E-4</v>
      </c>
      <c r="BE9" s="2">
        <v>40</v>
      </c>
      <c r="BF9" s="2">
        <v>0</v>
      </c>
      <c r="BG9" s="2">
        <f t="shared" si="20"/>
        <v>0</v>
      </c>
      <c r="BH9" s="2">
        <v>40</v>
      </c>
      <c r="BI9" s="2">
        <v>8.9999999999999993E-3</v>
      </c>
      <c r="BJ9" s="2">
        <f t="shared" si="21"/>
        <v>3.3834586466165411E-4</v>
      </c>
      <c r="BK9" s="2">
        <v>40</v>
      </c>
      <c r="BL9" s="2">
        <v>0</v>
      </c>
      <c r="BM9" s="2">
        <f t="shared" si="22"/>
        <v>0</v>
      </c>
      <c r="BN9" s="2">
        <f t="shared" si="23"/>
        <v>1.1278195488721803E-4</v>
      </c>
    </row>
    <row r="10" spans="1:66" x14ac:dyDescent="0.25">
      <c r="B10" s="2">
        <v>50</v>
      </c>
      <c r="C10" s="2">
        <v>7.9000000000000001E-2</v>
      </c>
      <c r="D10" s="2">
        <f t="shared" si="0"/>
        <v>2.9699248120300752E-3</v>
      </c>
      <c r="E10" s="2">
        <v>50</v>
      </c>
      <c r="F10" s="2">
        <v>0.115</v>
      </c>
      <c r="G10" s="2">
        <f t="shared" si="1"/>
        <v>4.3233082706766917E-3</v>
      </c>
      <c r="H10" s="2">
        <v>50</v>
      </c>
      <c r="I10" s="2">
        <v>5.1999999999999998E-2</v>
      </c>
      <c r="J10" s="2">
        <f t="shared" si="2"/>
        <v>1.9548872180451126E-3</v>
      </c>
      <c r="K10" s="15">
        <f t="shared" si="3"/>
        <v>3.0827067669172929E-3</v>
      </c>
      <c r="M10" s="2">
        <v>50</v>
      </c>
      <c r="N10" s="2">
        <v>5.5E-2</v>
      </c>
      <c r="O10" s="2">
        <f t="shared" si="4"/>
        <v>2.0676691729323306E-3</v>
      </c>
      <c r="P10" s="2">
        <v>50</v>
      </c>
      <c r="Q10" s="2">
        <v>2.5000000000000001E-2</v>
      </c>
      <c r="R10" s="2">
        <f t="shared" si="5"/>
        <v>9.3984962406015032E-4</v>
      </c>
      <c r="S10" s="2">
        <v>50</v>
      </c>
      <c r="T10" s="2">
        <v>2.3E-2</v>
      </c>
      <c r="U10" s="2">
        <f t="shared" si="6"/>
        <v>8.6466165413533831E-4</v>
      </c>
      <c r="V10" s="14">
        <f t="shared" si="7"/>
        <v>1.2907268170426064E-3</v>
      </c>
      <c r="X10" s="2">
        <v>50</v>
      </c>
      <c r="Y10" s="2">
        <v>5.6000000000000001E-2</v>
      </c>
      <c r="Z10" s="2">
        <f t="shared" si="8"/>
        <v>2.1052631578947368E-3</v>
      </c>
      <c r="AA10" s="2">
        <v>50</v>
      </c>
      <c r="AB10" s="2">
        <v>0.03</v>
      </c>
      <c r="AC10" s="2">
        <f t="shared" si="9"/>
        <v>1.1278195488721803E-3</v>
      </c>
      <c r="AD10" s="2">
        <v>50</v>
      </c>
      <c r="AE10" s="2">
        <v>4.2000000000000003E-2</v>
      </c>
      <c r="AF10" s="2">
        <f t="shared" si="10"/>
        <v>1.5789473684210526E-3</v>
      </c>
      <c r="AG10" s="15">
        <f t="shared" si="11"/>
        <v>1.6040100250626565E-3</v>
      </c>
      <c r="AI10" s="2">
        <v>50</v>
      </c>
      <c r="AJ10" s="2">
        <v>1.6E-2</v>
      </c>
      <c r="AK10" s="2">
        <f t="shared" si="12"/>
        <v>6.0150375939849621E-4</v>
      </c>
      <c r="AL10" s="2">
        <v>50</v>
      </c>
      <c r="AM10" s="2">
        <v>1.4E-2</v>
      </c>
      <c r="AN10" s="2">
        <f t="shared" si="13"/>
        <v>5.263157894736842E-4</v>
      </c>
      <c r="AO10" s="2">
        <v>50</v>
      </c>
      <c r="AP10" s="2">
        <v>1.7000000000000001E-2</v>
      </c>
      <c r="AQ10" s="2">
        <f t="shared" si="14"/>
        <v>6.3909774436090227E-4</v>
      </c>
      <c r="AR10" s="14">
        <f t="shared" si="15"/>
        <v>5.8897243107769416E-4</v>
      </c>
      <c r="AT10" s="2">
        <v>50</v>
      </c>
      <c r="AU10" s="2">
        <v>5.0000000000000001E-3</v>
      </c>
      <c r="AV10" s="2">
        <f t="shared" si="16"/>
        <v>1.8796992481203006E-4</v>
      </c>
      <c r="AW10" s="2">
        <v>50</v>
      </c>
      <c r="AX10" s="2">
        <v>0</v>
      </c>
      <c r="AY10" s="2">
        <f t="shared" si="17"/>
        <v>0</v>
      </c>
      <c r="AZ10" s="2">
        <v>50</v>
      </c>
      <c r="BA10" s="2">
        <v>3.0000000000000001E-3</v>
      </c>
      <c r="BB10" s="2">
        <f t="shared" si="18"/>
        <v>1.1278195488721805E-4</v>
      </c>
      <c r="BC10" s="2">
        <f t="shared" si="19"/>
        <v>1.0025062656641603E-4</v>
      </c>
      <c r="BE10" s="2">
        <v>50</v>
      </c>
      <c r="BF10" s="2">
        <v>0</v>
      </c>
      <c r="BG10" s="2">
        <f t="shared" si="20"/>
        <v>0</v>
      </c>
      <c r="BH10" s="2">
        <v>50</v>
      </c>
      <c r="BI10" s="2">
        <v>8.9999999999999993E-3</v>
      </c>
      <c r="BJ10" s="2">
        <f t="shared" si="21"/>
        <v>3.3834586466165411E-4</v>
      </c>
      <c r="BK10" s="2">
        <v>50</v>
      </c>
      <c r="BL10" s="2">
        <v>0</v>
      </c>
      <c r="BM10" s="2">
        <f t="shared" si="22"/>
        <v>0</v>
      </c>
      <c r="BN10" s="2">
        <f t="shared" si="23"/>
        <v>1.1278195488721803E-4</v>
      </c>
    </row>
    <row r="11" spans="1:66" x14ac:dyDescent="0.25">
      <c r="B11" s="2">
        <v>60</v>
      </c>
      <c r="C11" s="2">
        <v>8.5000000000000006E-2</v>
      </c>
      <c r="D11" s="2">
        <f t="shared" si="0"/>
        <v>3.1954887218045114E-3</v>
      </c>
      <c r="E11" s="2">
        <v>60</v>
      </c>
      <c r="F11" s="2">
        <v>0.123</v>
      </c>
      <c r="G11" s="2">
        <f t="shared" si="1"/>
        <v>4.6240601503759393E-3</v>
      </c>
      <c r="H11" s="2">
        <v>60</v>
      </c>
      <c r="I11" s="2">
        <v>5.8000000000000003E-2</v>
      </c>
      <c r="J11" s="2">
        <f t="shared" si="2"/>
        <v>2.1804511278195487E-3</v>
      </c>
      <c r="K11" s="15">
        <f t="shared" si="3"/>
        <v>3.3333333333333327E-3</v>
      </c>
      <c r="M11" s="2">
        <v>60</v>
      </c>
      <c r="N11" s="2">
        <v>0.06</v>
      </c>
      <c r="O11" s="2">
        <f t="shared" si="4"/>
        <v>2.2556390977443606E-3</v>
      </c>
      <c r="P11" s="2">
        <v>60</v>
      </c>
      <c r="Q11" s="2">
        <v>2.9000000000000001E-2</v>
      </c>
      <c r="R11" s="2">
        <f t="shared" si="5"/>
        <v>1.0902255639097743E-3</v>
      </c>
      <c r="S11" s="2">
        <v>60</v>
      </c>
      <c r="T11" s="2">
        <v>2.8000000000000001E-2</v>
      </c>
      <c r="U11" s="2">
        <f t="shared" si="6"/>
        <v>1.0526315789473684E-3</v>
      </c>
      <c r="V11" s="14">
        <f t="shared" si="7"/>
        <v>1.4661654135338343E-3</v>
      </c>
      <c r="X11" s="2">
        <v>60</v>
      </c>
      <c r="Y11" s="2">
        <v>6.2E-2</v>
      </c>
      <c r="Z11" s="2">
        <f t="shared" si="8"/>
        <v>2.3308270676691729E-3</v>
      </c>
      <c r="AA11" s="2">
        <v>60</v>
      </c>
      <c r="AB11" s="2">
        <v>3.4000000000000002E-2</v>
      </c>
      <c r="AC11" s="2">
        <f t="shared" si="9"/>
        <v>1.2781954887218045E-3</v>
      </c>
      <c r="AD11" s="2">
        <v>60</v>
      </c>
      <c r="AE11" s="2">
        <v>4.4999999999999998E-2</v>
      </c>
      <c r="AF11" s="2">
        <f t="shared" si="10"/>
        <v>1.6917293233082705E-3</v>
      </c>
      <c r="AG11" s="15">
        <f t="shared" si="11"/>
        <v>1.7669172932330826E-3</v>
      </c>
      <c r="AI11" s="2">
        <v>60</v>
      </c>
      <c r="AJ11" s="2">
        <v>1.7000000000000001E-2</v>
      </c>
      <c r="AK11" s="2">
        <f t="shared" si="12"/>
        <v>6.3909774436090227E-4</v>
      </c>
      <c r="AL11" s="2">
        <v>60</v>
      </c>
      <c r="AM11" s="2">
        <v>1.6E-2</v>
      </c>
      <c r="AN11" s="2">
        <f t="shared" si="13"/>
        <v>6.0150375939849621E-4</v>
      </c>
      <c r="AO11" s="2">
        <v>60</v>
      </c>
      <c r="AP11" s="2">
        <v>1.7999999999999999E-2</v>
      </c>
      <c r="AQ11" s="2">
        <f t="shared" si="14"/>
        <v>6.7669172932330822E-4</v>
      </c>
      <c r="AR11" s="14">
        <f t="shared" si="15"/>
        <v>6.3909774436090216E-4</v>
      </c>
      <c r="AT11" s="2">
        <v>60</v>
      </c>
      <c r="AU11" s="2">
        <v>5.0000000000000001E-3</v>
      </c>
      <c r="AV11" s="2">
        <f t="shared" si="16"/>
        <v>1.8796992481203006E-4</v>
      </c>
      <c r="AW11" s="2">
        <v>60</v>
      </c>
      <c r="AX11" s="2">
        <v>0</v>
      </c>
      <c r="AY11" s="2">
        <f t="shared" si="17"/>
        <v>0</v>
      </c>
      <c r="AZ11" s="2">
        <v>60</v>
      </c>
      <c r="BA11" s="2">
        <v>3.0000000000000001E-3</v>
      </c>
      <c r="BB11" s="2">
        <f t="shared" si="18"/>
        <v>1.1278195488721805E-4</v>
      </c>
      <c r="BC11" s="2">
        <f t="shared" si="19"/>
        <v>1.0025062656641603E-4</v>
      </c>
      <c r="BE11" s="2">
        <v>60</v>
      </c>
      <c r="BF11" s="2">
        <v>0</v>
      </c>
      <c r="BG11" s="2">
        <f t="shared" si="20"/>
        <v>0</v>
      </c>
      <c r="BH11" s="2">
        <v>60</v>
      </c>
      <c r="BI11" s="2">
        <v>8.9999999999999993E-3</v>
      </c>
      <c r="BJ11" s="2">
        <f t="shared" si="21"/>
        <v>3.3834586466165411E-4</v>
      </c>
      <c r="BK11" s="2">
        <v>60</v>
      </c>
      <c r="BL11" s="2">
        <v>0</v>
      </c>
      <c r="BM11" s="2">
        <f t="shared" si="22"/>
        <v>0</v>
      </c>
      <c r="BN11" s="2">
        <f t="shared" si="23"/>
        <v>1.1278195488721803E-4</v>
      </c>
    </row>
    <row r="12" spans="1:66" ht="45" x14ac:dyDescent="0.25">
      <c r="B12" s="17" t="s">
        <v>50</v>
      </c>
      <c r="C12" s="4"/>
      <c r="D12" s="4">
        <f>(((10*D11)/(1000))*(1000))</f>
        <v>3.1954887218045111E-2</v>
      </c>
      <c r="E12" s="1" t="s">
        <v>23</v>
      </c>
      <c r="F12" s="4"/>
      <c r="G12" s="4">
        <f>(((10*G11)/(1000))*(1000))</f>
        <v>4.6240601503759395E-2</v>
      </c>
      <c r="H12" s="1" t="s">
        <v>23</v>
      </c>
      <c r="I12" s="4"/>
      <c r="J12" s="4">
        <f>(((10*J11)/(1000))*(1000))</f>
        <v>2.1804511278195486E-2</v>
      </c>
      <c r="K12" s="4">
        <f>(((10*K11)/(1000))*(1000))</f>
        <v>3.3333333333333326E-2</v>
      </c>
      <c r="M12" s="1" t="s">
        <v>23</v>
      </c>
      <c r="N12" s="4"/>
      <c r="O12" s="4">
        <f>(((10*O11)/(1000))*(1000))</f>
        <v>2.2556390977443608E-2</v>
      </c>
      <c r="P12" s="1" t="s">
        <v>23</v>
      </c>
      <c r="Q12" s="4"/>
      <c r="R12" s="4">
        <f>(((10*R11)/(1000))*(1000))</f>
        <v>1.0902255639097743E-2</v>
      </c>
      <c r="S12" s="1" t="s">
        <v>23</v>
      </c>
      <c r="T12" s="4"/>
      <c r="U12" s="4">
        <f>(((10*U11)/(1000))*(1000))</f>
        <v>1.0526315789473684E-2</v>
      </c>
      <c r="V12" s="4">
        <f>(((10*V11)/(1000))*(1000))</f>
        <v>1.4661654135338343E-2</v>
      </c>
      <c r="X12" s="1" t="s">
        <v>23</v>
      </c>
      <c r="Y12" s="4"/>
      <c r="Z12" s="4">
        <f>(((10*Z11)/(1000))*(1000))</f>
        <v>2.3308270676691729E-2</v>
      </c>
      <c r="AA12" s="1" t="s">
        <v>23</v>
      </c>
      <c r="AB12" s="4"/>
      <c r="AC12" s="4">
        <f>(((10*AC11)/(1000))*(1000))</f>
        <v>1.2781954887218045E-2</v>
      </c>
      <c r="AD12" s="1" t="s">
        <v>23</v>
      </c>
      <c r="AE12" s="4"/>
      <c r="AF12" s="4">
        <f>(((10*AF11)/(1000))*(1000))</f>
        <v>1.6917293233082706E-2</v>
      </c>
      <c r="AG12" s="4">
        <f>(((10*AG11)/(1000))*(1000))</f>
        <v>1.7669172932330827E-2</v>
      </c>
      <c r="AI12" s="1" t="s">
        <v>23</v>
      </c>
      <c r="AJ12" s="4"/>
      <c r="AK12" s="4">
        <f>(((10*AK11)/(1000))*(1000))</f>
        <v>6.3909774436090227E-3</v>
      </c>
      <c r="AL12" s="1" t="s">
        <v>23</v>
      </c>
      <c r="AM12" s="4"/>
      <c r="AN12" s="4">
        <f>(((10*AN11)/(1000))*(1000))</f>
        <v>6.0150375939849619E-3</v>
      </c>
      <c r="AO12" s="1" t="s">
        <v>23</v>
      </c>
      <c r="AP12" s="4"/>
      <c r="AQ12" s="4">
        <f>(((10*AQ11)/(1000))*(1000))</f>
        <v>6.7669172932330827E-3</v>
      </c>
      <c r="AR12" s="4">
        <f>(((10*AR11)/(1000))*(1000))</f>
        <v>6.3909774436090219E-3</v>
      </c>
      <c r="AT12" s="1" t="s">
        <v>23</v>
      </c>
      <c r="AU12" s="4"/>
      <c r="AV12" s="4">
        <f>(((10*AV11)/(1000))*(1000))</f>
        <v>1.8796992481203006E-3</v>
      </c>
      <c r="AW12" s="1" t="s">
        <v>23</v>
      </c>
      <c r="AX12" s="4"/>
      <c r="AY12" s="4">
        <f>(((10*AY11)/(1000))*(1000))</f>
        <v>0</v>
      </c>
      <c r="AZ12" s="1" t="s">
        <v>23</v>
      </c>
      <c r="BA12" s="4"/>
      <c r="BB12" s="4">
        <f>(((10*BB11)/(1000))*(1000))</f>
        <v>1.1278195488721805E-3</v>
      </c>
      <c r="BC12" s="4">
        <f>(((10*BC11)/(1000))*(1000))</f>
        <v>1.0025062656641604E-3</v>
      </c>
      <c r="BE12" s="1" t="s">
        <v>23</v>
      </c>
      <c r="BF12" s="4"/>
      <c r="BG12" s="4">
        <f>(((10*BG11)/(1000))*(1000))</f>
        <v>0</v>
      </c>
      <c r="BH12" s="1" t="s">
        <v>23</v>
      </c>
      <c r="BI12" s="4"/>
      <c r="BJ12" s="4">
        <f>(((10*BJ11)/(1000))*(1000))</f>
        <v>3.3834586466165413E-3</v>
      </c>
      <c r="BK12" s="1" t="s">
        <v>23</v>
      </c>
      <c r="BL12" s="1"/>
      <c r="BM12" s="4">
        <f>(((10*BM11)/(1000))*(1000))</f>
        <v>0</v>
      </c>
      <c r="BN12" s="4">
        <f>(((10*BN11)/(1000))*(1000))</f>
        <v>1.1278195488721803E-3</v>
      </c>
    </row>
    <row r="13" spans="1:66" ht="30" x14ac:dyDescent="0.25">
      <c r="B13" s="17" t="s">
        <v>51</v>
      </c>
      <c r="C13" s="8"/>
      <c r="D13" s="8">
        <f>((D12/0.085)*(100))</f>
        <v>37.593984962406012</v>
      </c>
      <c r="E13" s="8"/>
      <c r="F13" s="8"/>
      <c r="G13" s="8">
        <f>((G12/0.085)*(100))</f>
        <v>54.400707651481639</v>
      </c>
      <c r="H13" s="8"/>
      <c r="I13" s="8"/>
      <c r="J13" s="8">
        <f>((J12/0.085)*(100))</f>
        <v>25.652366209641748</v>
      </c>
      <c r="K13" s="8">
        <f>((K12/0.085)*(100))</f>
        <v>39.215686274509792</v>
      </c>
      <c r="M13" s="17" t="s">
        <v>51</v>
      </c>
      <c r="N13" s="8"/>
      <c r="O13" s="8">
        <f>((O12/0.085)*(100))</f>
        <v>26.536930561698359</v>
      </c>
      <c r="P13" s="8"/>
      <c r="Q13" s="8"/>
      <c r="R13" s="8">
        <f>((R12/0.085)*(100))</f>
        <v>12.826183104820874</v>
      </c>
      <c r="S13" s="8"/>
      <c r="T13" s="8"/>
      <c r="U13" s="8">
        <f>((U12/0.085)*(100))</f>
        <v>12.383900928792569</v>
      </c>
      <c r="V13" s="8">
        <f>((V12/0.085)*(100))</f>
        <v>17.249004865103931</v>
      </c>
      <c r="X13" s="17" t="s">
        <v>51</v>
      </c>
      <c r="Y13" s="8"/>
      <c r="Z13" s="8">
        <f>((Z12/0.085)*(100))</f>
        <v>27.421494913754973</v>
      </c>
      <c r="AA13" s="8"/>
      <c r="AB13" s="8"/>
      <c r="AC13" s="8">
        <f>((AC12/0.085)*(100))</f>
        <v>15.037593984962406</v>
      </c>
      <c r="AD13" s="8"/>
      <c r="AE13" s="8"/>
      <c r="AF13" s="8">
        <f>((AF12/0.085)*(100))</f>
        <v>19.90269792127377</v>
      </c>
      <c r="AG13" s="8">
        <f>((AG12/0.085)*(100))</f>
        <v>20.787262273330384</v>
      </c>
      <c r="AI13" s="17" t="s">
        <v>51</v>
      </c>
      <c r="AJ13" s="8"/>
      <c r="AK13" s="8">
        <f>((AK12/0.085)*(100))</f>
        <v>7.518796992481203</v>
      </c>
      <c r="AL13" s="8"/>
      <c r="AM13" s="8"/>
      <c r="AN13" s="8">
        <f>((AN12/0.085)*(100))</f>
        <v>7.0765148164528959</v>
      </c>
      <c r="AO13" s="8"/>
      <c r="AP13" s="8"/>
      <c r="AQ13" s="8">
        <f>((AQ12/0.085)*(100))</f>
        <v>7.9610791685095075</v>
      </c>
      <c r="AR13" s="8">
        <f>((AR12/0.085)*(100))</f>
        <v>7.5187969924812013</v>
      </c>
      <c r="AT13" s="17" t="s">
        <v>51</v>
      </c>
      <c r="AU13" s="8"/>
      <c r="AV13" s="8">
        <f>((AV12/0.085)*(100))</f>
        <v>2.2114108801415298</v>
      </c>
      <c r="AW13" s="8"/>
      <c r="AX13" s="8"/>
      <c r="AY13" s="8">
        <f>((AY12/0.085)*(100))</f>
        <v>0</v>
      </c>
      <c r="AZ13" s="8"/>
      <c r="BA13" s="8"/>
      <c r="BB13" s="8">
        <f>((BB12/0.085)*(100))</f>
        <v>1.326846528084918</v>
      </c>
      <c r="BC13" s="8">
        <f>((BC12/0.085)*(100))</f>
        <v>1.1794191360754829</v>
      </c>
      <c r="BE13" s="17" t="s">
        <v>51</v>
      </c>
      <c r="BF13" s="8"/>
      <c r="BG13" s="8">
        <f>((BG12/0.085)*(100))</f>
        <v>0</v>
      </c>
      <c r="BH13" s="8"/>
      <c r="BI13" s="8"/>
      <c r="BJ13" s="8">
        <f>((BJ12/0.085)*(100))</f>
        <v>3.9805395842547537</v>
      </c>
      <c r="BK13" s="8"/>
      <c r="BL13" s="8"/>
      <c r="BM13" s="8">
        <f>((BM12/0.085)*(100))</f>
        <v>0</v>
      </c>
      <c r="BN13" s="8">
        <f>((BN12/0.085)*(100))</f>
        <v>1.326846528084918</v>
      </c>
    </row>
    <row r="16" spans="1:66" x14ac:dyDescent="0.25">
      <c r="A16" t="s">
        <v>26</v>
      </c>
    </row>
    <row r="17" spans="1:15" x14ac:dyDescent="0.25">
      <c r="M17" s="3"/>
      <c r="N17" s="3"/>
      <c r="O17" s="3"/>
    </row>
    <row r="18" spans="1:15" x14ac:dyDescent="0.25">
      <c r="A18" t="s">
        <v>27</v>
      </c>
      <c r="M18" s="5"/>
      <c r="N18" s="5"/>
      <c r="O18" s="5"/>
    </row>
    <row r="19" spans="1:15" x14ac:dyDescent="0.25">
      <c r="A19" t="s">
        <v>28</v>
      </c>
      <c r="M19" s="6"/>
      <c r="N19" s="6"/>
      <c r="O19" s="6"/>
    </row>
    <row r="20" spans="1:15" x14ac:dyDescent="0.25">
      <c r="A20" t="s">
        <v>29</v>
      </c>
      <c r="M20" s="6"/>
      <c r="N20" s="6"/>
      <c r="O20" s="6"/>
    </row>
    <row r="21" spans="1:15" x14ac:dyDescent="0.25">
      <c r="A21" t="s">
        <v>30</v>
      </c>
      <c r="M21" s="6"/>
      <c r="N21" s="6"/>
      <c r="O21" s="6"/>
    </row>
    <row r="22" spans="1:15" x14ac:dyDescent="0.25">
      <c r="A22" t="s">
        <v>31</v>
      </c>
      <c r="M22" s="6"/>
      <c r="N22" s="6"/>
      <c r="O22" s="6"/>
    </row>
    <row r="23" spans="1:15" x14ac:dyDescent="0.25">
      <c r="M23" s="6"/>
      <c r="N23" s="6"/>
      <c r="O23" s="6"/>
    </row>
    <row r="24" spans="1:15" x14ac:dyDescent="0.25">
      <c r="M24" s="6"/>
      <c r="N24" s="6"/>
      <c r="O24" s="6"/>
    </row>
    <row r="31" spans="1:15" x14ac:dyDescent="0.25">
      <c r="A31" s="3" t="s">
        <v>24</v>
      </c>
    </row>
  </sheetData>
  <mergeCells count="24">
    <mergeCell ref="X3:AG3"/>
    <mergeCell ref="AI3:AR3"/>
    <mergeCell ref="AT3:BC3"/>
    <mergeCell ref="BE3:BN3"/>
    <mergeCell ref="AD4:AF4"/>
    <mergeCell ref="AO4:AQ4"/>
    <mergeCell ref="X4:Z4"/>
    <mergeCell ref="AA4:AC4"/>
    <mergeCell ref="AI4:AK4"/>
    <mergeCell ref="AL4:AN4"/>
    <mergeCell ref="AZ4:BB4"/>
    <mergeCell ref="BK4:BM4"/>
    <mergeCell ref="AT4:AV4"/>
    <mergeCell ref="AW4:AY4"/>
    <mergeCell ref="BE4:BG4"/>
    <mergeCell ref="BH4:BJ4"/>
    <mergeCell ref="B4:D4"/>
    <mergeCell ref="E4:G4"/>
    <mergeCell ref="B3:K3"/>
    <mergeCell ref="M3:V3"/>
    <mergeCell ref="M4:O4"/>
    <mergeCell ref="P4:R4"/>
    <mergeCell ref="H4:J4"/>
    <mergeCell ref="S4:U4"/>
  </mergeCells>
  <pageMargins left="0.7" right="0.7" top="0.75" bottom="0.75" header="0.3" footer="0.3"/>
  <pageSetup orientation="portrait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BN31"/>
  <sheetViews>
    <sheetView topLeftCell="AH1" workbookViewId="0">
      <selection activeCell="L28" sqref="L28"/>
    </sheetView>
  </sheetViews>
  <sheetFormatPr baseColWidth="10" defaultRowHeight="15" x14ac:dyDescent="0.25"/>
  <cols>
    <col min="2" max="2" width="14.28515625" bestFit="1" customWidth="1"/>
    <col min="5" max="5" width="14.28515625" bestFit="1" customWidth="1"/>
    <col min="8" max="8" width="14.28515625" bestFit="1" customWidth="1"/>
    <col min="9" max="9" width="14.28515625" customWidth="1"/>
    <col min="13" max="13" width="14.28515625" bestFit="1" customWidth="1"/>
    <col min="14" max="14" width="13.5703125" bestFit="1" customWidth="1"/>
    <col min="15" max="15" width="13.5703125" customWidth="1"/>
    <col min="16" max="16" width="14.28515625" bestFit="1" customWidth="1"/>
    <col min="19" max="19" width="14.28515625" bestFit="1" customWidth="1"/>
    <col min="20" max="20" width="14.28515625" customWidth="1"/>
    <col min="24" max="24" width="14.28515625" bestFit="1" customWidth="1"/>
    <col min="27" max="27" width="14.28515625" bestFit="1" customWidth="1"/>
    <col min="30" max="30" width="14.28515625" bestFit="1" customWidth="1"/>
    <col min="31" max="31" width="14.28515625" customWidth="1"/>
    <col min="35" max="35" width="14.28515625" bestFit="1" customWidth="1"/>
    <col min="38" max="38" width="14.28515625" bestFit="1" customWidth="1"/>
    <col min="41" max="41" width="14.28515625" bestFit="1" customWidth="1"/>
    <col min="42" max="42" width="14.28515625" customWidth="1"/>
    <col min="46" max="46" width="14.28515625" bestFit="1" customWidth="1"/>
    <col min="49" max="49" width="14.28515625" bestFit="1" customWidth="1"/>
    <col min="52" max="52" width="14.28515625" bestFit="1" customWidth="1"/>
    <col min="53" max="53" width="14.28515625" customWidth="1"/>
    <col min="55" max="55" width="20.5703125" customWidth="1"/>
    <col min="57" max="57" width="14.28515625" bestFit="1" customWidth="1"/>
    <col min="60" max="60" width="14.28515625" bestFit="1" customWidth="1"/>
    <col min="63" max="63" width="14.28515625" bestFit="1" customWidth="1"/>
    <col min="64" max="64" width="14.28515625" customWidth="1"/>
    <col min="66" max="66" width="14.85546875" customWidth="1"/>
  </cols>
  <sheetData>
    <row r="3" spans="1:66" x14ac:dyDescent="0.25">
      <c r="B3" s="28" t="s">
        <v>17</v>
      </c>
      <c r="C3" s="28"/>
      <c r="D3" s="28"/>
      <c r="E3" s="28"/>
      <c r="F3" s="28"/>
      <c r="G3" s="28"/>
      <c r="H3" s="28"/>
      <c r="I3" s="28"/>
      <c r="J3" s="28"/>
      <c r="K3" s="28"/>
      <c r="M3" s="28" t="s">
        <v>18</v>
      </c>
      <c r="N3" s="28"/>
      <c r="O3" s="28"/>
      <c r="P3" s="28"/>
      <c r="Q3" s="28"/>
      <c r="R3" s="28"/>
      <c r="S3" s="28"/>
      <c r="T3" s="28"/>
      <c r="U3" s="28"/>
      <c r="V3" s="28"/>
      <c r="X3" s="28" t="s">
        <v>19</v>
      </c>
      <c r="Y3" s="28"/>
      <c r="Z3" s="28"/>
      <c r="AA3" s="28"/>
      <c r="AB3" s="28"/>
      <c r="AC3" s="28"/>
      <c r="AD3" s="28"/>
      <c r="AE3" s="28"/>
      <c r="AF3" s="28"/>
      <c r="AG3" s="28"/>
      <c r="AI3" s="28" t="s">
        <v>20</v>
      </c>
      <c r="AJ3" s="28"/>
      <c r="AK3" s="28"/>
      <c r="AL3" s="28"/>
      <c r="AM3" s="28"/>
      <c r="AN3" s="28"/>
      <c r="AO3" s="28"/>
      <c r="AP3" s="28"/>
      <c r="AQ3" s="28"/>
      <c r="AR3" s="28"/>
      <c r="AT3" s="28" t="s">
        <v>21</v>
      </c>
      <c r="AU3" s="28"/>
      <c r="AV3" s="28"/>
      <c r="AW3" s="28"/>
      <c r="AX3" s="28"/>
      <c r="AY3" s="28"/>
      <c r="AZ3" s="28"/>
      <c r="BA3" s="28"/>
      <c r="BB3" s="28"/>
      <c r="BC3" s="28"/>
      <c r="BE3" s="28" t="s">
        <v>22</v>
      </c>
      <c r="BF3" s="28"/>
      <c r="BG3" s="28"/>
      <c r="BH3" s="28"/>
      <c r="BI3" s="28"/>
      <c r="BJ3" s="28"/>
      <c r="BK3" s="28"/>
      <c r="BL3" s="28"/>
      <c r="BM3" s="28"/>
      <c r="BN3" s="28"/>
    </row>
    <row r="4" spans="1:66" x14ac:dyDescent="0.25">
      <c r="B4" s="28" t="s">
        <v>2</v>
      </c>
      <c r="C4" s="28"/>
      <c r="D4" s="28"/>
      <c r="E4" s="28" t="s">
        <v>3</v>
      </c>
      <c r="F4" s="28"/>
      <c r="G4" s="28"/>
      <c r="H4" s="28" t="s">
        <v>4</v>
      </c>
      <c r="I4" s="28"/>
      <c r="J4" s="28"/>
      <c r="K4" s="9" t="s">
        <v>33</v>
      </c>
      <c r="M4" s="29" t="s">
        <v>2</v>
      </c>
      <c r="N4" s="30"/>
      <c r="O4" s="31"/>
      <c r="P4" s="29" t="s">
        <v>3</v>
      </c>
      <c r="Q4" s="30"/>
      <c r="R4" s="31"/>
      <c r="S4" s="28" t="s">
        <v>4</v>
      </c>
      <c r="T4" s="28"/>
      <c r="U4" s="28"/>
      <c r="V4" s="9" t="s">
        <v>33</v>
      </c>
      <c r="X4" s="29" t="s">
        <v>2</v>
      </c>
      <c r="Y4" s="30"/>
      <c r="Z4" s="31"/>
      <c r="AA4" s="29" t="s">
        <v>3</v>
      </c>
      <c r="AB4" s="30"/>
      <c r="AC4" s="31"/>
      <c r="AD4" s="28" t="s">
        <v>4</v>
      </c>
      <c r="AE4" s="28"/>
      <c r="AF4" s="28"/>
      <c r="AG4" s="9" t="s">
        <v>33</v>
      </c>
      <c r="AI4" s="29" t="s">
        <v>2</v>
      </c>
      <c r="AJ4" s="30"/>
      <c r="AK4" s="31"/>
      <c r="AL4" s="29" t="s">
        <v>3</v>
      </c>
      <c r="AM4" s="30"/>
      <c r="AN4" s="31"/>
      <c r="AO4" s="28" t="s">
        <v>4</v>
      </c>
      <c r="AP4" s="28"/>
      <c r="AQ4" s="28"/>
      <c r="AR4" s="9" t="s">
        <v>33</v>
      </c>
      <c r="AT4" s="29" t="s">
        <v>2</v>
      </c>
      <c r="AU4" s="30"/>
      <c r="AV4" s="31"/>
      <c r="AW4" s="29" t="s">
        <v>3</v>
      </c>
      <c r="AX4" s="30"/>
      <c r="AY4" s="31"/>
      <c r="AZ4" s="28" t="s">
        <v>4</v>
      </c>
      <c r="BA4" s="28"/>
      <c r="BB4" s="28"/>
      <c r="BC4" s="9" t="s">
        <v>33</v>
      </c>
      <c r="BE4" s="28" t="s">
        <v>2</v>
      </c>
      <c r="BF4" s="28"/>
      <c r="BG4" s="28"/>
      <c r="BH4" s="28" t="s">
        <v>3</v>
      </c>
      <c r="BI4" s="28"/>
      <c r="BJ4" s="28"/>
      <c r="BK4" s="28" t="s">
        <v>4</v>
      </c>
      <c r="BL4" s="28"/>
      <c r="BM4" s="28"/>
      <c r="BN4" s="9" t="s">
        <v>33</v>
      </c>
    </row>
    <row r="5" spans="1:66" x14ac:dyDescent="0.25">
      <c r="B5" s="1" t="s">
        <v>1</v>
      </c>
      <c r="C5" s="1" t="s">
        <v>0</v>
      </c>
      <c r="D5" s="1" t="s">
        <v>32</v>
      </c>
      <c r="E5" s="1" t="s">
        <v>1</v>
      </c>
      <c r="F5" s="1" t="s">
        <v>0</v>
      </c>
      <c r="G5" s="1" t="s">
        <v>32</v>
      </c>
      <c r="H5" s="1" t="s">
        <v>1</v>
      </c>
      <c r="I5" s="1" t="s">
        <v>0</v>
      </c>
      <c r="J5" s="1" t="s">
        <v>32</v>
      </c>
      <c r="K5" s="1" t="s">
        <v>32</v>
      </c>
      <c r="M5" s="1" t="s">
        <v>1</v>
      </c>
      <c r="N5" s="1" t="s">
        <v>0</v>
      </c>
      <c r="O5" s="1" t="s">
        <v>32</v>
      </c>
      <c r="P5" s="1" t="s">
        <v>1</v>
      </c>
      <c r="Q5" s="1" t="s">
        <v>0</v>
      </c>
      <c r="R5" s="1" t="s">
        <v>32</v>
      </c>
      <c r="S5" s="1" t="s">
        <v>1</v>
      </c>
      <c r="T5" s="1" t="s">
        <v>0</v>
      </c>
      <c r="U5" s="1" t="s">
        <v>32</v>
      </c>
      <c r="V5" s="1" t="s">
        <v>32</v>
      </c>
      <c r="X5" s="1" t="s">
        <v>1</v>
      </c>
      <c r="Y5" s="1" t="s">
        <v>0</v>
      </c>
      <c r="Z5" s="1" t="s">
        <v>32</v>
      </c>
      <c r="AA5" s="1" t="s">
        <v>1</v>
      </c>
      <c r="AB5" s="1" t="s">
        <v>0</v>
      </c>
      <c r="AC5" s="1" t="s">
        <v>32</v>
      </c>
      <c r="AD5" s="1" t="s">
        <v>1</v>
      </c>
      <c r="AE5" s="1" t="s">
        <v>0</v>
      </c>
      <c r="AF5" s="1" t="s">
        <v>32</v>
      </c>
      <c r="AG5" s="1" t="s">
        <v>32</v>
      </c>
      <c r="AI5" s="1" t="s">
        <v>1</v>
      </c>
      <c r="AJ5" s="1" t="s">
        <v>0</v>
      </c>
      <c r="AK5" s="1" t="s">
        <v>32</v>
      </c>
      <c r="AL5" s="1" t="s">
        <v>1</v>
      </c>
      <c r="AM5" s="1" t="s">
        <v>0</v>
      </c>
      <c r="AN5" s="1" t="s">
        <v>32</v>
      </c>
      <c r="AO5" s="1" t="s">
        <v>1</v>
      </c>
      <c r="AP5" s="1" t="s">
        <v>0</v>
      </c>
      <c r="AQ5" s="1" t="s">
        <v>32</v>
      </c>
      <c r="AR5" s="1" t="s">
        <v>32</v>
      </c>
      <c r="AT5" s="1" t="s">
        <v>1</v>
      </c>
      <c r="AU5" s="1" t="s">
        <v>0</v>
      </c>
      <c r="AV5" s="1" t="s">
        <v>32</v>
      </c>
      <c r="AW5" s="1" t="s">
        <v>1</v>
      </c>
      <c r="AX5" s="1" t="s">
        <v>0</v>
      </c>
      <c r="AY5" s="1" t="s">
        <v>32</v>
      </c>
      <c r="AZ5" s="1" t="s">
        <v>1</v>
      </c>
      <c r="BA5" s="1" t="s">
        <v>0</v>
      </c>
      <c r="BB5" s="1" t="s">
        <v>32</v>
      </c>
      <c r="BC5" s="1" t="s">
        <v>32</v>
      </c>
      <c r="BE5" s="1" t="s">
        <v>1</v>
      </c>
      <c r="BF5" s="1" t="s">
        <v>0</v>
      </c>
      <c r="BG5" s="1" t="s">
        <v>32</v>
      </c>
      <c r="BH5" s="1" t="s">
        <v>1</v>
      </c>
      <c r="BI5" s="1" t="s">
        <v>0</v>
      </c>
      <c r="BJ5" s="1" t="s">
        <v>32</v>
      </c>
      <c r="BK5" s="1" t="s">
        <v>1</v>
      </c>
      <c r="BL5" s="1" t="s">
        <v>0</v>
      </c>
      <c r="BM5" s="1" t="s">
        <v>32</v>
      </c>
      <c r="BN5" s="1" t="s">
        <v>32</v>
      </c>
    </row>
    <row r="6" spans="1:66" x14ac:dyDescent="0.25">
      <c r="B6" s="2">
        <v>10</v>
      </c>
      <c r="C6" s="2">
        <v>0.13600000000000001</v>
      </c>
      <c r="D6" s="2">
        <f t="shared" ref="D6:D11" si="0">((C6)/(26.6*1))</f>
        <v>5.1127819548872182E-3</v>
      </c>
      <c r="E6" s="2">
        <v>10</v>
      </c>
      <c r="F6" s="2">
        <v>6.7000000000000004E-2</v>
      </c>
      <c r="G6" s="2">
        <f t="shared" ref="G6:G11" si="1">((F6)/(26.6*1))</f>
        <v>2.5187969924812029E-3</v>
      </c>
      <c r="H6" s="2">
        <v>10</v>
      </c>
      <c r="I6" s="2">
        <v>0.15</v>
      </c>
      <c r="J6" s="2">
        <f t="shared" ref="J6:J11" si="2">((I6)/(26.6*1))</f>
        <v>5.6390977443609019E-3</v>
      </c>
      <c r="K6" s="15">
        <f t="shared" ref="K6:K11" si="3">((D6+G6+J6)/(3))</f>
        <v>4.4235588972431081E-3</v>
      </c>
      <c r="M6" s="2">
        <v>10</v>
      </c>
      <c r="N6" s="2">
        <v>5.6000000000000001E-2</v>
      </c>
      <c r="O6" s="2">
        <f t="shared" ref="O6:O11" si="4">((N6)/(26.6*1))</f>
        <v>2.1052631578947368E-3</v>
      </c>
      <c r="P6" s="2">
        <v>10</v>
      </c>
      <c r="Q6" s="2">
        <v>4.3999999999999997E-2</v>
      </c>
      <c r="R6" s="2">
        <f t="shared" ref="R6:R11" si="5">((Q6)/(26.6*1))</f>
        <v>1.6541353383458645E-3</v>
      </c>
      <c r="S6" s="2">
        <v>10</v>
      </c>
      <c r="T6" s="2">
        <v>2.9000000000000001E-2</v>
      </c>
      <c r="U6" s="2">
        <f t="shared" ref="U6:U11" si="6">((T6)/(26.6*1))</f>
        <v>1.0902255639097743E-3</v>
      </c>
      <c r="V6" s="14">
        <f t="shared" ref="V6:V11" si="7">((O6+R6+U6)/(3))</f>
        <v>1.6165413533834585E-3</v>
      </c>
      <c r="X6" s="2">
        <v>10</v>
      </c>
      <c r="Y6" s="2">
        <v>3.3000000000000002E-2</v>
      </c>
      <c r="Z6" s="2">
        <f t="shared" ref="Z6:Z11" si="8">((Y6)/(26.6*1))</f>
        <v>1.2406015037593986E-3</v>
      </c>
      <c r="AA6" s="2">
        <v>10</v>
      </c>
      <c r="AB6" s="2">
        <v>6.9000000000000006E-2</v>
      </c>
      <c r="AC6" s="2">
        <f t="shared" ref="AC6:AC11" si="9">((AB6)/(26.6*1))</f>
        <v>2.5939849624060153E-3</v>
      </c>
      <c r="AD6" s="2">
        <v>10</v>
      </c>
      <c r="AE6" s="2">
        <v>4.4999999999999998E-2</v>
      </c>
      <c r="AF6" s="2">
        <f t="shared" ref="AF6:AF11" si="10">((AE6)/(26.6*1))</f>
        <v>1.6917293233082705E-3</v>
      </c>
      <c r="AG6" s="14">
        <f t="shared" ref="AG6:AG11" si="11">((Z6+AC6+AF6)/(3))</f>
        <v>1.8421052631578947E-3</v>
      </c>
      <c r="AI6" s="2">
        <v>10</v>
      </c>
      <c r="AJ6" s="2">
        <v>4.9000000000000002E-2</v>
      </c>
      <c r="AK6" s="2">
        <f t="shared" ref="AK6:AK11" si="12">((AJ6)/(26.6*1))</f>
        <v>1.8421052631578947E-3</v>
      </c>
      <c r="AL6" s="2">
        <v>10</v>
      </c>
      <c r="AM6" s="2">
        <v>7.9000000000000001E-2</v>
      </c>
      <c r="AN6" s="2">
        <f t="shared" ref="AN6:AN11" si="13">((AM6)/(26.6*1))</f>
        <v>2.9699248120300752E-3</v>
      </c>
      <c r="AO6" s="2">
        <v>10</v>
      </c>
      <c r="AP6" s="2">
        <v>4.7E-2</v>
      </c>
      <c r="AQ6" s="2">
        <f t="shared" ref="AQ6:AQ11" si="14">((AP6)/(26.6*1))</f>
        <v>1.7669172932330826E-3</v>
      </c>
      <c r="AR6" s="14">
        <f t="shared" ref="AR6:AR11" si="15">((AK6+AN6+AQ6)/(3))</f>
        <v>2.1929824561403508E-3</v>
      </c>
      <c r="AT6" s="2">
        <v>10</v>
      </c>
      <c r="AU6" s="2">
        <v>5.0999999999999997E-2</v>
      </c>
      <c r="AV6" s="2">
        <f t="shared" ref="AV6:AV11" si="16">((AU6)/(26.6*1))</f>
        <v>1.9172932330827066E-3</v>
      </c>
      <c r="AW6" s="2">
        <v>10</v>
      </c>
      <c r="AX6" s="2">
        <v>2.4E-2</v>
      </c>
      <c r="AY6" s="2">
        <f t="shared" ref="AY6:AY11" si="17">((AX6)/(26.6*1))</f>
        <v>9.0225563909774437E-4</v>
      </c>
      <c r="AZ6" s="2">
        <v>10</v>
      </c>
      <c r="BA6" s="2">
        <v>4.4999999999999998E-2</v>
      </c>
      <c r="BB6" s="2">
        <f t="shared" ref="BB6:BB11" si="18">((BA6)/(26.6*1))</f>
        <v>1.6917293233082705E-3</v>
      </c>
      <c r="BC6" s="13">
        <f t="shared" ref="BC6:BC11" si="19">((AV6+AY6+BB6)/(3))</f>
        <v>1.5037593984962405E-3</v>
      </c>
      <c r="BE6" s="2">
        <v>10</v>
      </c>
      <c r="BF6" s="2">
        <v>4.5999999999999999E-2</v>
      </c>
      <c r="BG6" s="2">
        <f t="shared" ref="BG6:BG11" si="20">((BF6)/(26.6*1))</f>
        <v>1.7293233082706766E-3</v>
      </c>
      <c r="BH6" s="2">
        <v>10</v>
      </c>
      <c r="BI6" s="2">
        <v>6.0000000000000001E-3</v>
      </c>
      <c r="BJ6" s="2">
        <f t="shared" ref="BJ6:BJ11" si="21">((BI6)/(26.6*1))</f>
        <v>2.2556390977443609E-4</v>
      </c>
      <c r="BK6" s="2">
        <v>10</v>
      </c>
      <c r="BL6" s="2">
        <v>4.2000000000000003E-2</v>
      </c>
      <c r="BM6" s="2">
        <f t="shared" ref="BM6:BM11" si="22">((BL6)/(26.6*1))</f>
        <v>1.5789473684210526E-3</v>
      </c>
      <c r="BN6" s="13">
        <f t="shared" ref="BN6:BN11" si="23">((BG6+BJ6+BM6)/(3))</f>
        <v>1.1779448621553883E-3</v>
      </c>
    </row>
    <row r="7" spans="1:66" x14ac:dyDescent="0.25">
      <c r="B7" s="2">
        <v>20</v>
      </c>
      <c r="C7" s="2">
        <v>0.14799999999999999</v>
      </c>
      <c r="D7" s="2">
        <f t="shared" si="0"/>
        <v>5.5639097744360896E-3</v>
      </c>
      <c r="E7" s="2">
        <v>20</v>
      </c>
      <c r="F7" s="2">
        <v>6.7000000000000004E-2</v>
      </c>
      <c r="G7" s="2">
        <f t="shared" si="1"/>
        <v>2.5187969924812029E-3</v>
      </c>
      <c r="H7" s="2">
        <v>20</v>
      </c>
      <c r="I7" s="2">
        <v>0.156</v>
      </c>
      <c r="J7" s="2">
        <f t="shared" si="2"/>
        <v>5.8646616541353381E-3</v>
      </c>
      <c r="K7" s="15">
        <f t="shared" si="3"/>
        <v>4.6491228070175434E-3</v>
      </c>
      <c r="M7" s="2">
        <v>20</v>
      </c>
      <c r="N7" s="2">
        <v>5.7000000000000002E-2</v>
      </c>
      <c r="O7" s="2">
        <f t="shared" si="4"/>
        <v>2.142857142857143E-3</v>
      </c>
      <c r="P7" s="2">
        <v>20</v>
      </c>
      <c r="Q7" s="2">
        <v>4.7E-2</v>
      </c>
      <c r="R7" s="2">
        <f t="shared" si="5"/>
        <v>1.7669172932330826E-3</v>
      </c>
      <c r="S7" s="2">
        <v>20</v>
      </c>
      <c r="T7" s="2">
        <v>0.03</v>
      </c>
      <c r="U7" s="2">
        <f t="shared" si="6"/>
        <v>1.1278195488721803E-3</v>
      </c>
      <c r="V7" s="14">
        <f t="shared" si="7"/>
        <v>1.6791979949874688E-3</v>
      </c>
      <c r="X7" s="2">
        <v>20</v>
      </c>
      <c r="Y7" s="2">
        <v>3.4000000000000002E-2</v>
      </c>
      <c r="Z7" s="2">
        <f t="shared" si="8"/>
        <v>1.2781954887218045E-3</v>
      </c>
      <c r="AA7" s="2">
        <v>20</v>
      </c>
      <c r="AB7" s="2">
        <v>7.0000000000000007E-2</v>
      </c>
      <c r="AC7" s="2">
        <f t="shared" si="9"/>
        <v>2.631578947368421E-3</v>
      </c>
      <c r="AD7" s="2">
        <v>20</v>
      </c>
      <c r="AE7" s="2">
        <v>4.4999999999999998E-2</v>
      </c>
      <c r="AF7" s="2">
        <f t="shared" si="10"/>
        <v>1.6917293233082705E-3</v>
      </c>
      <c r="AG7" s="14">
        <f t="shared" si="11"/>
        <v>1.8671679197994988E-3</v>
      </c>
      <c r="AI7" s="2">
        <v>20</v>
      </c>
      <c r="AJ7" s="2">
        <v>0.05</v>
      </c>
      <c r="AK7" s="2">
        <f t="shared" si="12"/>
        <v>1.8796992481203006E-3</v>
      </c>
      <c r="AL7" s="2">
        <v>20</v>
      </c>
      <c r="AM7" s="2">
        <v>8.1000000000000003E-2</v>
      </c>
      <c r="AN7" s="2">
        <f t="shared" si="13"/>
        <v>3.0451127819548871E-3</v>
      </c>
      <c r="AO7" s="2">
        <v>20</v>
      </c>
      <c r="AP7" s="2">
        <v>4.8000000000000001E-2</v>
      </c>
      <c r="AQ7" s="2">
        <f t="shared" si="14"/>
        <v>1.8045112781954887E-3</v>
      </c>
      <c r="AR7" s="14">
        <f t="shared" si="15"/>
        <v>2.243107769423559E-3</v>
      </c>
      <c r="AT7" s="2">
        <v>20</v>
      </c>
      <c r="AU7" s="2">
        <v>5.0999999999999997E-2</v>
      </c>
      <c r="AV7" s="2">
        <f t="shared" si="16"/>
        <v>1.9172932330827066E-3</v>
      </c>
      <c r="AW7" s="2">
        <v>20</v>
      </c>
      <c r="AX7" s="2">
        <v>2.4E-2</v>
      </c>
      <c r="AY7" s="2">
        <f t="shared" si="17"/>
        <v>9.0225563909774437E-4</v>
      </c>
      <c r="AZ7" s="2">
        <v>20</v>
      </c>
      <c r="BA7" s="2">
        <v>4.4999999999999998E-2</v>
      </c>
      <c r="BB7" s="2">
        <f t="shared" si="18"/>
        <v>1.6917293233082705E-3</v>
      </c>
      <c r="BC7" s="13">
        <f t="shared" si="19"/>
        <v>1.5037593984962405E-3</v>
      </c>
      <c r="BE7" s="2">
        <v>20</v>
      </c>
      <c r="BF7" s="2">
        <v>4.5999999999999999E-2</v>
      </c>
      <c r="BG7" s="2">
        <f t="shared" si="20"/>
        <v>1.7293233082706766E-3</v>
      </c>
      <c r="BH7" s="2">
        <v>20</v>
      </c>
      <c r="BI7" s="2">
        <v>6.0000000000000001E-3</v>
      </c>
      <c r="BJ7" s="2">
        <f t="shared" si="21"/>
        <v>2.2556390977443609E-4</v>
      </c>
      <c r="BK7" s="2">
        <v>20</v>
      </c>
      <c r="BL7" s="2">
        <v>4.2000000000000003E-2</v>
      </c>
      <c r="BM7" s="2">
        <f t="shared" si="22"/>
        <v>1.5789473684210526E-3</v>
      </c>
      <c r="BN7" s="13">
        <f t="shared" si="23"/>
        <v>1.1779448621553883E-3</v>
      </c>
    </row>
    <row r="8" spans="1:66" x14ac:dyDescent="0.25">
      <c r="B8" s="2">
        <v>30</v>
      </c>
      <c r="C8" s="2">
        <v>0.16</v>
      </c>
      <c r="D8" s="2">
        <f t="shared" si="0"/>
        <v>6.0150375939849619E-3</v>
      </c>
      <c r="E8" s="2">
        <v>30</v>
      </c>
      <c r="F8" s="2">
        <v>6.9000000000000006E-2</v>
      </c>
      <c r="G8" s="2">
        <f t="shared" si="1"/>
        <v>2.5939849624060153E-3</v>
      </c>
      <c r="H8" s="2">
        <v>30</v>
      </c>
      <c r="I8" s="2">
        <v>0.16400000000000001</v>
      </c>
      <c r="J8" s="2">
        <f t="shared" si="2"/>
        <v>6.1654135338345866E-3</v>
      </c>
      <c r="K8" s="15">
        <f t="shared" si="3"/>
        <v>4.9248120300751886E-3</v>
      </c>
      <c r="M8" s="2">
        <v>30</v>
      </c>
      <c r="N8" s="2">
        <v>5.7000000000000002E-2</v>
      </c>
      <c r="O8" s="2">
        <f t="shared" si="4"/>
        <v>2.142857142857143E-3</v>
      </c>
      <c r="P8" s="2">
        <v>30</v>
      </c>
      <c r="Q8" s="2">
        <v>4.9000000000000002E-2</v>
      </c>
      <c r="R8" s="2">
        <f t="shared" si="5"/>
        <v>1.8421052631578947E-3</v>
      </c>
      <c r="S8" s="2">
        <v>30</v>
      </c>
      <c r="T8" s="2">
        <v>2.9000000000000001E-2</v>
      </c>
      <c r="U8" s="2">
        <f t="shared" si="6"/>
        <v>1.0902255639097743E-3</v>
      </c>
      <c r="V8" s="14">
        <f t="shared" si="7"/>
        <v>1.6917293233082705E-3</v>
      </c>
      <c r="X8" s="2">
        <v>30</v>
      </c>
      <c r="Y8" s="2">
        <v>3.5000000000000003E-2</v>
      </c>
      <c r="Z8" s="2">
        <f t="shared" si="8"/>
        <v>1.3157894736842105E-3</v>
      </c>
      <c r="AA8" s="2">
        <v>30</v>
      </c>
      <c r="AB8" s="2">
        <v>6.9000000000000006E-2</v>
      </c>
      <c r="AC8" s="2">
        <f t="shared" si="9"/>
        <v>2.5939849624060153E-3</v>
      </c>
      <c r="AD8" s="2">
        <v>30</v>
      </c>
      <c r="AE8" s="2">
        <v>4.4999999999999998E-2</v>
      </c>
      <c r="AF8" s="2">
        <f t="shared" si="10"/>
        <v>1.6917293233082705E-3</v>
      </c>
      <c r="AG8" s="14">
        <f t="shared" si="11"/>
        <v>1.8671679197994988E-3</v>
      </c>
      <c r="AI8" s="2">
        <v>30</v>
      </c>
      <c r="AJ8" s="2">
        <v>0.05</v>
      </c>
      <c r="AK8" s="2">
        <f t="shared" si="12"/>
        <v>1.8796992481203006E-3</v>
      </c>
      <c r="AL8" s="2">
        <v>30</v>
      </c>
      <c r="AM8" s="2">
        <v>8.1000000000000003E-2</v>
      </c>
      <c r="AN8" s="2">
        <f t="shared" si="13"/>
        <v>3.0451127819548871E-3</v>
      </c>
      <c r="AO8" s="2">
        <v>30</v>
      </c>
      <c r="AP8" s="2">
        <v>4.8000000000000001E-2</v>
      </c>
      <c r="AQ8" s="2">
        <f t="shared" si="14"/>
        <v>1.8045112781954887E-3</v>
      </c>
      <c r="AR8" s="14">
        <f t="shared" si="15"/>
        <v>2.243107769423559E-3</v>
      </c>
      <c r="AT8" s="2">
        <v>30</v>
      </c>
      <c r="AU8" s="2">
        <v>5.0999999999999997E-2</v>
      </c>
      <c r="AV8" s="2">
        <f t="shared" si="16"/>
        <v>1.9172932330827066E-3</v>
      </c>
      <c r="AW8" s="2">
        <v>30</v>
      </c>
      <c r="AX8" s="2">
        <v>2.4E-2</v>
      </c>
      <c r="AY8" s="2">
        <f t="shared" si="17"/>
        <v>9.0225563909774437E-4</v>
      </c>
      <c r="AZ8" s="2">
        <v>30</v>
      </c>
      <c r="BA8" s="2">
        <v>4.4999999999999998E-2</v>
      </c>
      <c r="BB8" s="2">
        <f t="shared" si="18"/>
        <v>1.6917293233082705E-3</v>
      </c>
      <c r="BC8" s="13">
        <f t="shared" si="19"/>
        <v>1.5037593984962405E-3</v>
      </c>
      <c r="BE8" s="2">
        <v>30</v>
      </c>
      <c r="BF8" s="2">
        <v>4.5999999999999999E-2</v>
      </c>
      <c r="BG8" s="2">
        <f t="shared" si="20"/>
        <v>1.7293233082706766E-3</v>
      </c>
      <c r="BH8" s="2">
        <v>30</v>
      </c>
      <c r="BI8" s="2">
        <v>6.0000000000000001E-3</v>
      </c>
      <c r="BJ8" s="2">
        <f t="shared" si="21"/>
        <v>2.2556390977443609E-4</v>
      </c>
      <c r="BK8" s="2">
        <v>30</v>
      </c>
      <c r="BL8" s="2">
        <v>4.2000000000000003E-2</v>
      </c>
      <c r="BM8" s="2">
        <f t="shared" si="22"/>
        <v>1.5789473684210526E-3</v>
      </c>
      <c r="BN8" s="13">
        <f t="shared" si="23"/>
        <v>1.1779448621553883E-3</v>
      </c>
    </row>
    <row r="9" spans="1:66" x14ac:dyDescent="0.25">
      <c r="B9" s="2">
        <v>40</v>
      </c>
      <c r="C9" s="2">
        <v>0.17499999999999999</v>
      </c>
      <c r="D9" s="2">
        <f t="shared" si="0"/>
        <v>6.5789473684210523E-3</v>
      </c>
      <c r="E9" s="2">
        <v>40</v>
      </c>
      <c r="F9" s="2">
        <v>0.08</v>
      </c>
      <c r="G9" s="2">
        <f t="shared" si="1"/>
        <v>3.0075187969924809E-3</v>
      </c>
      <c r="H9" s="2">
        <v>40</v>
      </c>
      <c r="I9" s="2">
        <v>0.17599999999999999</v>
      </c>
      <c r="J9" s="2">
        <f t="shared" si="2"/>
        <v>6.616541353383458E-3</v>
      </c>
      <c r="K9" s="15">
        <f t="shared" si="3"/>
        <v>5.4010025062656633E-3</v>
      </c>
      <c r="M9" s="2">
        <v>40</v>
      </c>
      <c r="N9" s="2">
        <v>5.8000000000000003E-2</v>
      </c>
      <c r="O9" s="2">
        <f t="shared" si="4"/>
        <v>2.1804511278195487E-3</v>
      </c>
      <c r="P9" s="2">
        <v>40</v>
      </c>
      <c r="Q9" s="2">
        <v>5.1999999999999998E-2</v>
      </c>
      <c r="R9" s="2">
        <f t="shared" si="5"/>
        <v>1.9548872180451126E-3</v>
      </c>
      <c r="S9" s="2">
        <v>40</v>
      </c>
      <c r="T9" s="2">
        <v>2.9000000000000001E-2</v>
      </c>
      <c r="U9" s="2">
        <f t="shared" si="6"/>
        <v>1.0902255639097743E-3</v>
      </c>
      <c r="V9" s="14">
        <f t="shared" si="7"/>
        <v>1.7418546365914785E-3</v>
      </c>
      <c r="X9" s="2">
        <v>40</v>
      </c>
      <c r="Y9" s="2">
        <v>3.5999999999999997E-2</v>
      </c>
      <c r="Z9" s="2">
        <f t="shared" si="8"/>
        <v>1.3533834586466164E-3</v>
      </c>
      <c r="AA9" s="2">
        <v>40</v>
      </c>
      <c r="AB9" s="2">
        <v>7.0000000000000007E-2</v>
      </c>
      <c r="AC9" s="2">
        <f t="shared" si="9"/>
        <v>2.631578947368421E-3</v>
      </c>
      <c r="AD9" s="2">
        <v>40</v>
      </c>
      <c r="AE9" s="2">
        <v>4.5999999999999999E-2</v>
      </c>
      <c r="AF9" s="2">
        <f t="shared" si="10"/>
        <v>1.7293233082706766E-3</v>
      </c>
      <c r="AG9" s="14">
        <f t="shared" si="11"/>
        <v>1.9047619047619048E-3</v>
      </c>
      <c r="AI9" s="2">
        <v>40</v>
      </c>
      <c r="AJ9" s="2">
        <v>5.0999999999999997E-2</v>
      </c>
      <c r="AK9" s="2">
        <f t="shared" si="12"/>
        <v>1.9172932330827066E-3</v>
      </c>
      <c r="AL9" s="2">
        <v>40</v>
      </c>
      <c r="AM9" s="2">
        <v>7.9000000000000001E-2</v>
      </c>
      <c r="AN9" s="2">
        <f t="shared" si="13"/>
        <v>2.9699248120300752E-3</v>
      </c>
      <c r="AO9" s="2">
        <v>40</v>
      </c>
      <c r="AP9" s="2">
        <v>4.9000000000000002E-2</v>
      </c>
      <c r="AQ9" s="2">
        <f t="shared" si="14"/>
        <v>1.8421052631578947E-3</v>
      </c>
      <c r="AR9" s="14">
        <f t="shared" si="15"/>
        <v>2.243107769423559E-3</v>
      </c>
      <c r="AT9" s="2">
        <v>40</v>
      </c>
      <c r="AU9" s="2">
        <v>5.0999999999999997E-2</v>
      </c>
      <c r="AV9" s="2">
        <f t="shared" si="16"/>
        <v>1.9172932330827066E-3</v>
      </c>
      <c r="AW9" s="2">
        <v>40</v>
      </c>
      <c r="AX9" s="2">
        <v>2.4E-2</v>
      </c>
      <c r="AY9" s="2">
        <f t="shared" si="17"/>
        <v>9.0225563909774437E-4</v>
      </c>
      <c r="AZ9" s="2">
        <v>40</v>
      </c>
      <c r="BA9" s="2">
        <v>4.4999999999999998E-2</v>
      </c>
      <c r="BB9" s="2">
        <f t="shared" si="18"/>
        <v>1.6917293233082705E-3</v>
      </c>
      <c r="BC9" s="13">
        <f t="shared" si="19"/>
        <v>1.5037593984962405E-3</v>
      </c>
      <c r="BE9" s="2">
        <v>40</v>
      </c>
      <c r="BF9" s="2">
        <v>4.5999999999999999E-2</v>
      </c>
      <c r="BG9" s="2">
        <f t="shared" si="20"/>
        <v>1.7293233082706766E-3</v>
      </c>
      <c r="BH9" s="2">
        <v>40</v>
      </c>
      <c r="BI9" s="2">
        <v>6.0000000000000001E-3</v>
      </c>
      <c r="BJ9" s="2">
        <f t="shared" si="21"/>
        <v>2.2556390977443609E-4</v>
      </c>
      <c r="BK9" s="2">
        <v>40</v>
      </c>
      <c r="BL9" s="2">
        <v>4.2000000000000003E-2</v>
      </c>
      <c r="BM9" s="2">
        <f t="shared" si="22"/>
        <v>1.5789473684210526E-3</v>
      </c>
      <c r="BN9" s="13">
        <f t="shared" si="23"/>
        <v>1.1779448621553883E-3</v>
      </c>
    </row>
    <row r="10" spans="1:66" x14ac:dyDescent="0.25">
      <c r="B10" s="2">
        <v>50</v>
      </c>
      <c r="C10" s="2">
        <v>0.191</v>
      </c>
      <c r="D10" s="2">
        <f t="shared" si="0"/>
        <v>7.1804511278195484E-3</v>
      </c>
      <c r="E10" s="2">
        <v>50</v>
      </c>
      <c r="F10" s="2">
        <v>0.09</v>
      </c>
      <c r="G10" s="2">
        <f t="shared" si="1"/>
        <v>3.3834586466165409E-3</v>
      </c>
      <c r="H10" s="2">
        <v>50</v>
      </c>
      <c r="I10" s="2">
        <v>0.188</v>
      </c>
      <c r="J10" s="2">
        <f t="shared" si="2"/>
        <v>7.0676691729323303E-3</v>
      </c>
      <c r="K10" s="15">
        <f t="shared" si="3"/>
        <v>5.8771929824561406E-3</v>
      </c>
      <c r="M10" s="2">
        <v>50</v>
      </c>
      <c r="N10" s="2">
        <v>5.8999999999999997E-2</v>
      </c>
      <c r="O10" s="2">
        <f t="shared" si="4"/>
        <v>2.2180451127819549E-3</v>
      </c>
      <c r="P10" s="2">
        <v>50</v>
      </c>
      <c r="Q10" s="2">
        <v>5.3999999999999999E-2</v>
      </c>
      <c r="R10" s="2">
        <f t="shared" si="5"/>
        <v>2.0300751879699249E-3</v>
      </c>
      <c r="S10" s="2">
        <v>50</v>
      </c>
      <c r="T10" s="2">
        <v>3.1E-2</v>
      </c>
      <c r="U10" s="2">
        <f t="shared" si="6"/>
        <v>1.1654135338345865E-3</v>
      </c>
      <c r="V10" s="14">
        <f t="shared" si="7"/>
        <v>1.8045112781954885E-3</v>
      </c>
      <c r="X10" s="2">
        <v>50</v>
      </c>
      <c r="Y10" s="2">
        <v>3.5000000000000003E-2</v>
      </c>
      <c r="Z10" s="2">
        <f t="shared" si="8"/>
        <v>1.3157894736842105E-3</v>
      </c>
      <c r="AA10" s="2">
        <v>50</v>
      </c>
      <c r="AB10" s="2">
        <v>7.0999999999999994E-2</v>
      </c>
      <c r="AC10" s="2">
        <f t="shared" si="9"/>
        <v>2.6691729323308267E-3</v>
      </c>
      <c r="AD10" s="2">
        <v>50</v>
      </c>
      <c r="AE10" s="2">
        <v>4.7E-2</v>
      </c>
      <c r="AF10" s="2">
        <f t="shared" si="10"/>
        <v>1.7669172932330826E-3</v>
      </c>
      <c r="AG10" s="14">
        <f t="shared" si="11"/>
        <v>1.9172932330827066E-3</v>
      </c>
      <c r="AI10" s="2">
        <v>50</v>
      </c>
      <c r="AJ10" s="2">
        <v>5.0999999999999997E-2</v>
      </c>
      <c r="AK10" s="2">
        <f t="shared" si="12"/>
        <v>1.9172932330827066E-3</v>
      </c>
      <c r="AL10" s="2">
        <v>50</v>
      </c>
      <c r="AM10" s="2">
        <v>7.8E-2</v>
      </c>
      <c r="AN10" s="2">
        <f t="shared" si="13"/>
        <v>2.932330827067669E-3</v>
      </c>
      <c r="AO10" s="2">
        <v>50</v>
      </c>
      <c r="AP10" s="2">
        <v>0.05</v>
      </c>
      <c r="AQ10" s="2">
        <f t="shared" si="14"/>
        <v>1.8796992481203006E-3</v>
      </c>
      <c r="AR10" s="14">
        <f t="shared" si="15"/>
        <v>2.2431077694235585E-3</v>
      </c>
      <c r="AT10" s="2">
        <v>50</v>
      </c>
      <c r="AU10" s="2">
        <v>5.0999999999999997E-2</v>
      </c>
      <c r="AV10" s="2">
        <f t="shared" si="16"/>
        <v>1.9172932330827066E-3</v>
      </c>
      <c r="AW10" s="2">
        <v>50</v>
      </c>
      <c r="AX10" s="2">
        <v>2.4E-2</v>
      </c>
      <c r="AY10" s="2">
        <f t="shared" si="17"/>
        <v>9.0225563909774437E-4</v>
      </c>
      <c r="AZ10" s="2">
        <v>50</v>
      </c>
      <c r="BA10" s="2">
        <v>4.4999999999999998E-2</v>
      </c>
      <c r="BB10" s="2">
        <f t="shared" si="18"/>
        <v>1.6917293233082705E-3</v>
      </c>
      <c r="BC10" s="13">
        <f t="shared" si="19"/>
        <v>1.5037593984962405E-3</v>
      </c>
      <c r="BE10" s="2">
        <v>50</v>
      </c>
      <c r="BF10" s="2">
        <v>4.5999999999999999E-2</v>
      </c>
      <c r="BG10" s="2">
        <f t="shared" si="20"/>
        <v>1.7293233082706766E-3</v>
      </c>
      <c r="BH10" s="2">
        <v>50</v>
      </c>
      <c r="BI10" s="2">
        <v>6.0000000000000001E-3</v>
      </c>
      <c r="BJ10" s="2">
        <f t="shared" si="21"/>
        <v>2.2556390977443609E-4</v>
      </c>
      <c r="BK10" s="2">
        <v>50</v>
      </c>
      <c r="BL10" s="2">
        <v>4.2000000000000003E-2</v>
      </c>
      <c r="BM10" s="2">
        <f t="shared" si="22"/>
        <v>1.5789473684210526E-3</v>
      </c>
      <c r="BN10" s="13">
        <f t="shared" si="23"/>
        <v>1.1779448621553883E-3</v>
      </c>
    </row>
    <row r="11" spans="1:66" x14ac:dyDescent="0.25">
      <c r="B11" s="2">
        <v>60</v>
      </c>
      <c r="C11" s="2">
        <v>0.21</v>
      </c>
      <c r="D11" s="2">
        <f t="shared" si="0"/>
        <v>7.8947368421052617E-3</v>
      </c>
      <c r="E11" s="2">
        <v>60</v>
      </c>
      <c r="F11" s="2">
        <v>9.1999999999999998E-2</v>
      </c>
      <c r="G11" s="2">
        <f t="shared" si="1"/>
        <v>3.4586466165413532E-3</v>
      </c>
      <c r="H11" s="2">
        <v>60</v>
      </c>
      <c r="I11" s="2">
        <v>0.20499999999999999</v>
      </c>
      <c r="J11" s="2">
        <f t="shared" si="2"/>
        <v>7.7067669172932321E-3</v>
      </c>
      <c r="K11" s="15">
        <f t="shared" si="3"/>
        <v>6.3533834586466153E-3</v>
      </c>
      <c r="M11" s="2">
        <v>60</v>
      </c>
      <c r="N11" s="2">
        <v>5.8999999999999997E-2</v>
      </c>
      <c r="O11" s="2">
        <f t="shared" si="4"/>
        <v>2.2180451127819549E-3</v>
      </c>
      <c r="P11" s="2">
        <v>60</v>
      </c>
      <c r="Q11" s="2">
        <v>5.6000000000000001E-2</v>
      </c>
      <c r="R11" s="2">
        <f t="shared" si="5"/>
        <v>2.1052631578947368E-3</v>
      </c>
      <c r="S11" s="2">
        <v>60</v>
      </c>
      <c r="T11" s="2">
        <v>3.2000000000000001E-2</v>
      </c>
      <c r="U11" s="2">
        <f t="shared" si="6"/>
        <v>1.2030075187969924E-3</v>
      </c>
      <c r="V11" s="14">
        <f t="shared" si="7"/>
        <v>1.8421052631578947E-3</v>
      </c>
      <c r="X11" s="2">
        <v>60</v>
      </c>
      <c r="Y11" s="2">
        <v>3.5999999999999997E-2</v>
      </c>
      <c r="Z11" s="2">
        <f t="shared" si="8"/>
        <v>1.3533834586466164E-3</v>
      </c>
      <c r="AA11" s="2">
        <v>60</v>
      </c>
      <c r="AB11" s="2">
        <v>7.1999999999999995E-2</v>
      </c>
      <c r="AC11" s="2">
        <f t="shared" si="9"/>
        <v>2.7067669172932329E-3</v>
      </c>
      <c r="AD11" s="2">
        <v>60</v>
      </c>
      <c r="AE11" s="2">
        <v>4.9000000000000002E-2</v>
      </c>
      <c r="AF11" s="2">
        <f t="shared" si="10"/>
        <v>1.8421052631578947E-3</v>
      </c>
      <c r="AG11" s="14">
        <f t="shared" si="11"/>
        <v>1.9674185463659146E-3</v>
      </c>
      <c r="AI11" s="2">
        <v>60</v>
      </c>
      <c r="AJ11" s="2">
        <v>5.0999999999999997E-2</v>
      </c>
      <c r="AK11" s="2">
        <f t="shared" si="12"/>
        <v>1.9172932330827066E-3</v>
      </c>
      <c r="AL11" s="2">
        <v>60</v>
      </c>
      <c r="AM11" s="2">
        <v>7.8E-2</v>
      </c>
      <c r="AN11" s="2">
        <f t="shared" si="13"/>
        <v>2.932330827067669E-3</v>
      </c>
      <c r="AO11" s="2">
        <v>60</v>
      </c>
      <c r="AP11" s="2">
        <v>0.05</v>
      </c>
      <c r="AQ11" s="2">
        <f t="shared" si="14"/>
        <v>1.8796992481203006E-3</v>
      </c>
      <c r="AR11" s="14">
        <f t="shared" si="15"/>
        <v>2.2431077694235585E-3</v>
      </c>
      <c r="AT11" s="2">
        <v>60</v>
      </c>
      <c r="AU11" s="2">
        <v>5.0999999999999997E-2</v>
      </c>
      <c r="AV11" s="2">
        <f t="shared" si="16"/>
        <v>1.9172932330827066E-3</v>
      </c>
      <c r="AW11" s="2">
        <v>60</v>
      </c>
      <c r="AX11" s="2">
        <v>2.4E-2</v>
      </c>
      <c r="AY11" s="2">
        <f t="shared" si="17"/>
        <v>9.0225563909774437E-4</v>
      </c>
      <c r="AZ11" s="2">
        <v>60</v>
      </c>
      <c r="BA11" s="2">
        <v>4.4999999999999998E-2</v>
      </c>
      <c r="BB11" s="2">
        <f t="shared" si="18"/>
        <v>1.6917293233082705E-3</v>
      </c>
      <c r="BC11" s="13">
        <f t="shared" si="19"/>
        <v>1.5037593984962405E-3</v>
      </c>
      <c r="BE11" s="2">
        <v>60</v>
      </c>
      <c r="BF11" s="2">
        <v>4.5999999999999999E-2</v>
      </c>
      <c r="BG11" s="2">
        <f t="shared" si="20"/>
        <v>1.7293233082706766E-3</v>
      </c>
      <c r="BH11" s="2">
        <v>60</v>
      </c>
      <c r="BI11" s="2">
        <v>6.0000000000000001E-3</v>
      </c>
      <c r="BJ11" s="2">
        <f t="shared" si="21"/>
        <v>2.2556390977443609E-4</v>
      </c>
      <c r="BK11" s="2">
        <v>60</v>
      </c>
      <c r="BL11" s="2">
        <v>4.2000000000000003E-2</v>
      </c>
      <c r="BM11" s="2">
        <f t="shared" si="22"/>
        <v>1.5789473684210526E-3</v>
      </c>
      <c r="BN11" s="13">
        <f t="shared" si="23"/>
        <v>1.1779448621553883E-3</v>
      </c>
    </row>
    <row r="12" spans="1:66" ht="45" x14ac:dyDescent="0.25">
      <c r="B12" s="17" t="s">
        <v>50</v>
      </c>
      <c r="C12" s="4"/>
      <c r="D12" s="4">
        <f>(((10*D11)/(1000))*(1000))</f>
        <v>7.8947368421052613E-2</v>
      </c>
      <c r="E12" s="1" t="s">
        <v>23</v>
      </c>
      <c r="F12" s="4"/>
      <c r="G12" s="4">
        <f>(((10*G11)/(1000))*(1000))</f>
        <v>3.4586466165413533E-2</v>
      </c>
      <c r="H12" s="1" t="s">
        <v>23</v>
      </c>
      <c r="I12" s="4"/>
      <c r="J12" s="4">
        <f>(((10*J11)/(1000))*(1000))</f>
        <v>7.7067669172932327E-2</v>
      </c>
      <c r="K12" s="4">
        <f>(((10*K11)/(1000))*(1000))</f>
        <v>6.3533834586466151E-2</v>
      </c>
      <c r="M12" s="1" t="s">
        <v>23</v>
      </c>
      <c r="N12" s="4"/>
      <c r="O12" s="4">
        <f>(((10*O11)/(1000))*(1000))</f>
        <v>2.218045112781955E-2</v>
      </c>
      <c r="P12" s="1" t="s">
        <v>23</v>
      </c>
      <c r="Q12" s="4"/>
      <c r="R12" s="4">
        <f>(((10*R11)/(1000))*(1000))</f>
        <v>2.1052631578947368E-2</v>
      </c>
      <c r="S12" s="1" t="s">
        <v>23</v>
      </c>
      <c r="T12" s="4"/>
      <c r="U12" s="4">
        <f>(((10*U11)/(1000))*(1000))</f>
        <v>1.2030075187969924E-2</v>
      </c>
      <c r="V12" s="4">
        <f>(((10*V11)/(1000))*(1000))</f>
        <v>1.8421052631578946E-2</v>
      </c>
      <c r="X12" s="1" t="s">
        <v>23</v>
      </c>
      <c r="Y12" s="4"/>
      <c r="Z12" s="4">
        <f>(((10*Z11)/(1000))*(1000))</f>
        <v>1.3533834586466165E-2</v>
      </c>
      <c r="AA12" s="1" t="s">
        <v>23</v>
      </c>
      <c r="AB12" s="4"/>
      <c r="AC12" s="4">
        <f>(((10*AC11)/(1000))*(1000))</f>
        <v>2.7067669172932331E-2</v>
      </c>
      <c r="AD12" s="1" t="s">
        <v>23</v>
      </c>
      <c r="AE12" s="4"/>
      <c r="AF12" s="4">
        <f>(((10*AF11)/(1000))*(1000))</f>
        <v>1.8421052631578946E-2</v>
      </c>
      <c r="AG12" s="4">
        <f>(((10*AG11)/(1000))*(1000))</f>
        <v>1.9674185463659146E-2</v>
      </c>
      <c r="AI12" s="1" t="s">
        <v>23</v>
      </c>
      <c r="AJ12" s="4"/>
      <c r="AK12" s="4">
        <f>(((10*AK11)/(1000))*(1000))</f>
        <v>1.9172932330827067E-2</v>
      </c>
      <c r="AL12" s="1" t="s">
        <v>23</v>
      </c>
      <c r="AM12" s="4"/>
      <c r="AN12" s="4">
        <f>(((10*AN11)/(1000))*(1000))</f>
        <v>2.9323308270676689E-2</v>
      </c>
      <c r="AO12" s="1" t="s">
        <v>23</v>
      </c>
      <c r="AP12" s="4"/>
      <c r="AQ12" s="4">
        <f>(((10*AQ11)/(1000))*(1000))</f>
        <v>1.8796992481203006E-2</v>
      </c>
      <c r="AR12" s="4">
        <f>(((10*AR11)/(1000))*(1000))</f>
        <v>2.2431077694235586E-2</v>
      </c>
      <c r="AT12" s="1" t="s">
        <v>23</v>
      </c>
      <c r="AU12" s="4"/>
      <c r="AV12" s="4">
        <f>(((10*AV11)/(1000))*(1000))</f>
        <v>1.9172932330827067E-2</v>
      </c>
      <c r="AW12" s="1" t="s">
        <v>23</v>
      </c>
      <c r="AX12" s="4"/>
      <c r="AY12" s="4">
        <f>(((10*AY11)/(1000))*(1000))</f>
        <v>9.0225563909774441E-3</v>
      </c>
      <c r="AZ12" s="1" t="s">
        <v>23</v>
      </c>
      <c r="BA12" s="4"/>
      <c r="BB12" s="4">
        <f>(((10*BB11)/(1000))*(1000))</f>
        <v>1.6917293233082706E-2</v>
      </c>
      <c r="BC12" s="4">
        <f>(((10*BC11)/(1000))*(1000))</f>
        <v>1.5037593984962405E-2</v>
      </c>
      <c r="BE12" s="1" t="s">
        <v>23</v>
      </c>
      <c r="BF12" s="4"/>
      <c r="BG12" s="4">
        <f>(((10*BG11)/(1000))*(1000))</f>
        <v>1.7293233082706767E-2</v>
      </c>
      <c r="BH12" s="1" t="s">
        <v>23</v>
      </c>
      <c r="BI12" s="4"/>
      <c r="BJ12" s="4">
        <f>(((10*BJ11)/(1000))*(1000))</f>
        <v>2.255639097744361E-3</v>
      </c>
      <c r="BK12" s="1" t="s">
        <v>23</v>
      </c>
      <c r="BL12" s="1"/>
      <c r="BM12" s="4">
        <f>(((10*BM11)/(1000))*(1000))</f>
        <v>1.5789473684210527E-2</v>
      </c>
      <c r="BN12" s="4">
        <f>(((10*BN11)/(1000))*(1000))</f>
        <v>1.1779448621553883E-2</v>
      </c>
    </row>
    <row r="13" spans="1:66" ht="30" x14ac:dyDescent="0.25">
      <c r="B13" s="17" t="s">
        <v>51</v>
      </c>
      <c r="C13" s="8"/>
      <c r="D13" s="8">
        <f>((D12/0.085)*(100))</f>
        <v>92.879256965944251</v>
      </c>
      <c r="E13" s="8"/>
      <c r="F13" s="8"/>
      <c r="G13" s="8">
        <f>((G12/0.085)*(100))</f>
        <v>40.689960194604154</v>
      </c>
      <c r="H13" s="8"/>
      <c r="I13" s="8"/>
      <c r="J13" s="8">
        <f>((J12/0.085)*(100))</f>
        <v>90.667846085802722</v>
      </c>
      <c r="K13" s="8">
        <f>((K12/0.085)*(100))</f>
        <v>74.745687748783709</v>
      </c>
      <c r="M13" s="17" t="s">
        <v>51</v>
      </c>
      <c r="N13" s="8"/>
      <c r="O13" s="8">
        <f>((O12/0.085)*(100))</f>
        <v>26.094648385670055</v>
      </c>
      <c r="P13" s="8"/>
      <c r="Q13" s="8"/>
      <c r="R13" s="8">
        <f>((R12/0.085)*(100))</f>
        <v>24.767801857585138</v>
      </c>
      <c r="S13" s="8"/>
      <c r="T13" s="8"/>
      <c r="U13" s="8">
        <f>((U12/0.085)*(100))</f>
        <v>14.153029632905792</v>
      </c>
      <c r="V13" s="8">
        <f>((V12/0.085)*(100))</f>
        <v>21.671826625386995</v>
      </c>
      <c r="X13" s="17" t="s">
        <v>51</v>
      </c>
      <c r="Y13" s="8"/>
      <c r="Z13" s="8">
        <f>((Z12/0.085)*(100))</f>
        <v>15.922158337019015</v>
      </c>
      <c r="AA13" s="8"/>
      <c r="AB13" s="8"/>
      <c r="AC13" s="8">
        <f>((AC12/0.085)*(100))</f>
        <v>31.84431667403803</v>
      </c>
      <c r="AD13" s="8"/>
      <c r="AE13" s="8"/>
      <c r="AF13" s="8">
        <f>((AF12/0.085)*(100))</f>
        <v>21.671826625386995</v>
      </c>
      <c r="AG13" s="8">
        <f>((AG12/0.085)*(100))</f>
        <v>23.146100545481346</v>
      </c>
      <c r="AI13" s="17" t="s">
        <v>51</v>
      </c>
      <c r="AJ13" s="8"/>
      <c r="AK13" s="8">
        <f>((AK12/0.085)*(100))</f>
        <v>22.556390977443609</v>
      </c>
      <c r="AL13" s="8"/>
      <c r="AM13" s="8"/>
      <c r="AN13" s="8">
        <f>((AN12/0.085)*(100))</f>
        <v>34.498009730207869</v>
      </c>
      <c r="AO13" s="8"/>
      <c r="AP13" s="8"/>
      <c r="AQ13" s="8">
        <f>((AQ12/0.085)*(100))</f>
        <v>22.114108801415298</v>
      </c>
      <c r="AR13" s="8">
        <f>((AR12/0.085)*(100))</f>
        <v>26.389503169688922</v>
      </c>
      <c r="AT13" s="17" t="s">
        <v>51</v>
      </c>
      <c r="AU13" s="8"/>
      <c r="AV13" s="8">
        <f>((AV12/0.085)*(100))</f>
        <v>22.556390977443609</v>
      </c>
      <c r="AW13" s="8"/>
      <c r="AX13" s="8"/>
      <c r="AY13" s="8">
        <f>((AY12/0.085)*(100))</f>
        <v>10.614772224679344</v>
      </c>
      <c r="AZ13" s="8"/>
      <c r="BA13" s="8"/>
      <c r="BB13" s="8">
        <f>((BB12/0.085)*(100))</f>
        <v>19.90269792127377</v>
      </c>
      <c r="BC13" s="8">
        <f>((BC12/0.085)*(100))</f>
        <v>17.691287041132238</v>
      </c>
      <c r="BE13" s="17" t="s">
        <v>51</v>
      </c>
      <c r="BF13" s="8"/>
      <c r="BG13" s="8">
        <f>((BG12/0.085)*(100))</f>
        <v>20.344980097302077</v>
      </c>
      <c r="BH13" s="8"/>
      <c r="BI13" s="8"/>
      <c r="BJ13" s="8">
        <f>((BJ12/0.085)*(100))</f>
        <v>2.653693056169836</v>
      </c>
      <c r="BK13" s="8"/>
      <c r="BL13" s="8"/>
      <c r="BM13" s="8">
        <f>((BM12/0.085)*(100))</f>
        <v>18.575851393188852</v>
      </c>
      <c r="BN13" s="8">
        <f>((BN12/0.085)*(100))</f>
        <v>13.85817484888692</v>
      </c>
    </row>
    <row r="16" spans="1:66" x14ac:dyDescent="0.25">
      <c r="A16" t="s">
        <v>26</v>
      </c>
    </row>
    <row r="17" spans="1:15" x14ac:dyDescent="0.25">
      <c r="M17" s="3"/>
      <c r="N17" s="3"/>
      <c r="O17" s="3"/>
    </row>
    <row r="18" spans="1:15" x14ac:dyDescent="0.25">
      <c r="A18" t="s">
        <v>27</v>
      </c>
      <c r="M18" s="5"/>
      <c r="N18" s="5"/>
      <c r="O18" s="5"/>
    </row>
    <row r="19" spans="1:15" x14ac:dyDescent="0.25">
      <c r="A19" t="s">
        <v>28</v>
      </c>
      <c r="M19" s="6"/>
      <c r="N19" s="6"/>
      <c r="O19" s="6"/>
    </row>
    <row r="20" spans="1:15" x14ac:dyDescent="0.25">
      <c r="A20" t="s">
        <v>29</v>
      </c>
      <c r="M20" s="6"/>
      <c r="N20" s="6"/>
      <c r="O20" s="6"/>
    </row>
    <row r="21" spans="1:15" x14ac:dyDescent="0.25">
      <c r="A21" t="s">
        <v>30</v>
      </c>
      <c r="M21" s="6"/>
      <c r="N21" s="6"/>
      <c r="O21" s="6"/>
    </row>
    <row r="22" spans="1:15" x14ac:dyDescent="0.25">
      <c r="A22" t="s">
        <v>31</v>
      </c>
      <c r="M22" s="6"/>
      <c r="N22" s="6"/>
      <c r="O22" s="6"/>
    </row>
    <row r="23" spans="1:15" x14ac:dyDescent="0.25">
      <c r="M23" s="6"/>
      <c r="N23" s="6"/>
      <c r="O23" s="6"/>
    </row>
    <row r="24" spans="1:15" x14ac:dyDescent="0.25">
      <c r="M24" s="6"/>
      <c r="N24" s="6"/>
      <c r="O24" s="6"/>
    </row>
    <row r="31" spans="1:15" x14ac:dyDescent="0.25">
      <c r="A31" s="3" t="s">
        <v>24</v>
      </c>
    </row>
  </sheetData>
  <mergeCells count="24">
    <mergeCell ref="AZ4:BB4"/>
    <mergeCell ref="BE4:BG4"/>
    <mergeCell ref="BH4:BJ4"/>
    <mergeCell ref="AI4:AK4"/>
    <mergeCell ref="AL4:AN4"/>
    <mergeCell ref="AO4:AQ4"/>
    <mergeCell ref="AT4:AV4"/>
    <mergeCell ref="AW4:AY4"/>
    <mergeCell ref="AT3:BC3"/>
    <mergeCell ref="BE3:BN3"/>
    <mergeCell ref="S4:U4"/>
    <mergeCell ref="B3:K3"/>
    <mergeCell ref="M3:V3"/>
    <mergeCell ref="X3:AG3"/>
    <mergeCell ref="AI3:AR3"/>
    <mergeCell ref="B4:D4"/>
    <mergeCell ref="E4:G4"/>
    <mergeCell ref="H4:J4"/>
    <mergeCell ref="M4:O4"/>
    <mergeCell ref="P4:R4"/>
    <mergeCell ref="BK4:BM4"/>
    <mergeCell ref="X4:Z4"/>
    <mergeCell ref="AA4:AC4"/>
    <mergeCell ref="AD4:AF4"/>
  </mergeCells>
  <pageMargins left="0.7" right="0.7" top="0.75" bottom="0.75" header="0.3" footer="0.3"/>
  <pageSetup orientation="portrait" horizontalDpi="360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BN31"/>
  <sheetViews>
    <sheetView topLeftCell="M10" workbookViewId="0">
      <selection activeCell="AE6" sqref="AE6:AE11"/>
    </sheetView>
  </sheetViews>
  <sheetFormatPr baseColWidth="10" defaultRowHeight="15" x14ac:dyDescent="0.25"/>
  <cols>
    <col min="2" max="2" width="14.28515625" bestFit="1" customWidth="1"/>
    <col min="5" max="5" width="14.28515625" bestFit="1" customWidth="1"/>
    <col min="8" max="8" width="14.28515625" bestFit="1" customWidth="1"/>
    <col min="9" max="9" width="14.28515625" customWidth="1"/>
    <col min="13" max="13" width="14.28515625" bestFit="1" customWidth="1"/>
    <col min="14" max="14" width="13.5703125" bestFit="1" customWidth="1"/>
    <col min="15" max="15" width="13.5703125" customWidth="1"/>
    <col min="16" max="16" width="14.28515625" bestFit="1" customWidth="1"/>
    <col min="19" max="19" width="14.28515625" bestFit="1" customWidth="1"/>
    <col min="20" max="20" width="14.28515625" customWidth="1"/>
    <col min="22" max="22" width="20.85546875" customWidth="1"/>
    <col min="24" max="24" width="14.28515625" bestFit="1" customWidth="1"/>
    <col min="27" max="27" width="14.28515625" bestFit="1" customWidth="1"/>
    <col min="30" max="30" width="14.28515625" bestFit="1" customWidth="1"/>
    <col min="31" max="31" width="14.28515625" customWidth="1"/>
    <col min="33" max="33" width="14.42578125" customWidth="1"/>
    <col min="35" max="35" width="14.28515625" bestFit="1" customWidth="1"/>
    <col min="38" max="38" width="14.28515625" bestFit="1" customWidth="1"/>
    <col min="41" max="41" width="14.28515625" bestFit="1" customWidth="1"/>
    <col min="42" max="42" width="14.28515625" customWidth="1"/>
    <col min="46" max="46" width="14.28515625" bestFit="1" customWidth="1"/>
    <col min="49" max="49" width="14.28515625" bestFit="1" customWidth="1"/>
    <col min="52" max="52" width="14.28515625" bestFit="1" customWidth="1"/>
    <col min="53" max="53" width="14.28515625" customWidth="1"/>
    <col min="55" max="55" width="20.5703125" customWidth="1"/>
    <col min="57" max="57" width="14.28515625" bestFit="1" customWidth="1"/>
    <col min="60" max="60" width="14.28515625" bestFit="1" customWidth="1"/>
    <col min="63" max="63" width="14.28515625" bestFit="1" customWidth="1"/>
    <col min="64" max="64" width="14.28515625" customWidth="1"/>
    <col min="66" max="66" width="14.85546875" customWidth="1"/>
  </cols>
  <sheetData>
    <row r="3" spans="1:66" x14ac:dyDescent="0.25">
      <c r="B3" s="28" t="s">
        <v>44</v>
      </c>
      <c r="C3" s="28"/>
      <c r="D3" s="28"/>
      <c r="E3" s="28"/>
      <c r="F3" s="28"/>
      <c r="G3" s="28"/>
      <c r="H3" s="28"/>
      <c r="I3" s="28"/>
      <c r="J3" s="28"/>
      <c r="K3" s="28"/>
      <c r="M3" s="28" t="s">
        <v>45</v>
      </c>
      <c r="N3" s="28"/>
      <c r="O3" s="28"/>
      <c r="P3" s="28"/>
      <c r="Q3" s="28"/>
      <c r="R3" s="28"/>
      <c r="S3" s="28"/>
      <c r="T3" s="28"/>
      <c r="U3" s="28"/>
      <c r="V3" s="28"/>
      <c r="X3" s="28" t="s">
        <v>46</v>
      </c>
      <c r="Y3" s="28"/>
      <c r="Z3" s="28"/>
      <c r="AA3" s="28"/>
      <c r="AB3" s="28"/>
      <c r="AC3" s="28"/>
      <c r="AD3" s="28"/>
      <c r="AE3" s="28"/>
      <c r="AF3" s="28"/>
      <c r="AG3" s="28"/>
      <c r="AI3" s="28" t="s">
        <v>47</v>
      </c>
      <c r="AJ3" s="28"/>
      <c r="AK3" s="28"/>
      <c r="AL3" s="28"/>
      <c r="AM3" s="28"/>
      <c r="AN3" s="28"/>
      <c r="AO3" s="28"/>
      <c r="AP3" s="28"/>
      <c r="AQ3" s="28"/>
      <c r="AR3" s="28"/>
      <c r="AT3" s="28" t="s">
        <v>48</v>
      </c>
      <c r="AU3" s="28"/>
      <c r="AV3" s="28"/>
      <c r="AW3" s="28"/>
      <c r="AX3" s="28"/>
      <c r="AY3" s="28"/>
      <c r="AZ3" s="28"/>
      <c r="BA3" s="28"/>
      <c r="BB3" s="28"/>
      <c r="BC3" s="28"/>
      <c r="BE3" s="28" t="s">
        <v>49</v>
      </c>
      <c r="BF3" s="28"/>
      <c r="BG3" s="28"/>
      <c r="BH3" s="28"/>
      <c r="BI3" s="28"/>
      <c r="BJ3" s="28"/>
      <c r="BK3" s="28"/>
      <c r="BL3" s="28"/>
      <c r="BM3" s="28"/>
      <c r="BN3" s="28"/>
    </row>
    <row r="4" spans="1:66" x14ac:dyDescent="0.25">
      <c r="B4" s="28" t="s">
        <v>2</v>
      </c>
      <c r="C4" s="28"/>
      <c r="D4" s="28"/>
      <c r="E4" s="28" t="s">
        <v>3</v>
      </c>
      <c r="F4" s="28"/>
      <c r="G4" s="28"/>
      <c r="H4" s="28" t="s">
        <v>4</v>
      </c>
      <c r="I4" s="28"/>
      <c r="J4" s="28"/>
      <c r="K4" s="9" t="s">
        <v>33</v>
      </c>
      <c r="M4" s="29" t="s">
        <v>2</v>
      </c>
      <c r="N4" s="30"/>
      <c r="O4" s="31"/>
      <c r="P4" s="29" t="s">
        <v>3</v>
      </c>
      <c r="Q4" s="30"/>
      <c r="R4" s="31"/>
      <c r="S4" s="28" t="s">
        <v>4</v>
      </c>
      <c r="T4" s="28"/>
      <c r="U4" s="28"/>
      <c r="V4" s="9" t="s">
        <v>33</v>
      </c>
      <c r="X4" s="29" t="s">
        <v>2</v>
      </c>
      <c r="Y4" s="30"/>
      <c r="Z4" s="31"/>
      <c r="AA4" s="29" t="s">
        <v>3</v>
      </c>
      <c r="AB4" s="30"/>
      <c r="AC4" s="31"/>
      <c r="AD4" s="28" t="s">
        <v>4</v>
      </c>
      <c r="AE4" s="28"/>
      <c r="AF4" s="28"/>
      <c r="AG4" s="9" t="s">
        <v>33</v>
      </c>
      <c r="AI4" s="29" t="s">
        <v>2</v>
      </c>
      <c r="AJ4" s="30"/>
      <c r="AK4" s="31"/>
      <c r="AL4" s="29" t="s">
        <v>3</v>
      </c>
      <c r="AM4" s="30"/>
      <c r="AN4" s="31"/>
      <c r="AO4" s="28" t="s">
        <v>4</v>
      </c>
      <c r="AP4" s="28"/>
      <c r="AQ4" s="28"/>
      <c r="AR4" s="9" t="s">
        <v>33</v>
      </c>
      <c r="AT4" s="29" t="s">
        <v>2</v>
      </c>
      <c r="AU4" s="30"/>
      <c r="AV4" s="31"/>
      <c r="AW4" s="29" t="s">
        <v>3</v>
      </c>
      <c r="AX4" s="30"/>
      <c r="AY4" s="31"/>
      <c r="AZ4" s="28" t="s">
        <v>4</v>
      </c>
      <c r="BA4" s="28"/>
      <c r="BB4" s="28"/>
      <c r="BC4" s="9" t="s">
        <v>33</v>
      </c>
      <c r="BE4" s="28" t="s">
        <v>2</v>
      </c>
      <c r="BF4" s="28"/>
      <c r="BG4" s="28"/>
      <c r="BH4" s="28" t="s">
        <v>3</v>
      </c>
      <c r="BI4" s="28"/>
      <c r="BJ4" s="28"/>
      <c r="BK4" s="28" t="s">
        <v>4</v>
      </c>
      <c r="BL4" s="28"/>
      <c r="BM4" s="28"/>
      <c r="BN4" s="9" t="s">
        <v>33</v>
      </c>
    </row>
    <row r="5" spans="1:66" x14ac:dyDescent="0.25">
      <c r="B5" s="1" t="s">
        <v>1</v>
      </c>
      <c r="C5" s="1" t="s">
        <v>0</v>
      </c>
      <c r="D5" s="1" t="s">
        <v>32</v>
      </c>
      <c r="E5" s="1" t="s">
        <v>1</v>
      </c>
      <c r="F5" s="1" t="s">
        <v>0</v>
      </c>
      <c r="G5" s="1" t="s">
        <v>32</v>
      </c>
      <c r="H5" s="1" t="s">
        <v>1</v>
      </c>
      <c r="I5" s="1" t="s">
        <v>0</v>
      </c>
      <c r="J5" s="1" t="s">
        <v>32</v>
      </c>
      <c r="K5" s="1" t="s">
        <v>32</v>
      </c>
      <c r="M5" s="1" t="s">
        <v>1</v>
      </c>
      <c r="N5" s="1" t="s">
        <v>0</v>
      </c>
      <c r="O5" s="1" t="s">
        <v>32</v>
      </c>
      <c r="P5" s="1" t="s">
        <v>1</v>
      </c>
      <c r="Q5" s="1" t="s">
        <v>0</v>
      </c>
      <c r="R5" s="1" t="s">
        <v>32</v>
      </c>
      <c r="S5" s="1" t="s">
        <v>1</v>
      </c>
      <c r="T5" s="1" t="s">
        <v>0</v>
      </c>
      <c r="U5" s="1" t="s">
        <v>32</v>
      </c>
      <c r="V5" s="1" t="s">
        <v>32</v>
      </c>
      <c r="X5" s="1" t="s">
        <v>1</v>
      </c>
      <c r="Y5" s="1" t="s">
        <v>0</v>
      </c>
      <c r="Z5" s="1" t="s">
        <v>32</v>
      </c>
      <c r="AA5" s="1" t="s">
        <v>1</v>
      </c>
      <c r="AB5" s="1" t="s">
        <v>0</v>
      </c>
      <c r="AC5" s="1" t="s">
        <v>32</v>
      </c>
      <c r="AD5" s="1" t="s">
        <v>1</v>
      </c>
      <c r="AE5" s="1" t="s">
        <v>0</v>
      </c>
      <c r="AF5" s="1" t="s">
        <v>32</v>
      </c>
      <c r="AG5" s="1" t="s">
        <v>32</v>
      </c>
      <c r="AI5" s="1" t="s">
        <v>1</v>
      </c>
      <c r="AJ5" s="1" t="s">
        <v>0</v>
      </c>
      <c r="AK5" s="1" t="s">
        <v>32</v>
      </c>
      <c r="AL5" s="1" t="s">
        <v>1</v>
      </c>
      <c r="AM5" s="1" t="s">
        <v>0</v>
      </c>
      <c r="AN5" s="1" t="s">
        <v>32</v>
      </c>
      <c r="AO5" s="1" t="s">
        <v>1</v>
      </c>
      <c r="AP5" s="1" t="s">
        <v>0</v>
      </c>
      <c r="AQ5" s="1" t="s">
        <v>32</v>
      </c>
      <c r="AR5" s="1" t="s">
        <v>32</v>
      </c>
      <c r="AT5" s="1" t="s">
        <v>1</v>
      </c>
      <c r="AU5" s="1" t="s">
        <v>0</v>
      </c>
      <c r="AV5" s="1" t="s">
        <v>32</v>
      </c>
      <c r="AW5" s="1" t="s">
        <v>1</v>
      </c>
      <c r="AX5" s="1" t="s">
        <v>0</v>
      </c>
      <c r="AY5" s="1" t="s">
        <v>32</v>
      </c>
      <c r="AZ5" s="1" t="s">
        <v>1</v>
      </c>
      <c r="BA5" s="1" t="s">
        <v>0</v>
      </c>
      <c r="BB5" s="1" t="s">
        <v>32</v>
      </c>
      <c r="BC5" s="1" t="s">
        <v>32</v>
      </c>
      <c r="BE5" s="1" t="s">
        <v>1</v>
      </c>
      <c r="BF5" s="1" t="s">
        <v>0</v>
      </c>
      <c r="BG5" s="1" t="s">
        <v>32</v>
      </c>
      <c r="BH5" s="1" t="s">
        <v>1</v>
      </c>
      <c r="BI5" s="1" t="s">
        <v>0</v>
      </c>
      <c r="BJ5" s="1" t="s">
        <v>32</v>
      </c>
      <c r="BK5" s="1" t="s">
        <v>1</v>
      </c>
      <c r="BL5" s="1" t="s">
        <v>0</v>
      </c>
      <c r="BM5" s="1" t="s">
        <v>32</v>
      </c>
      <c r="BN5" s="1" t="s">
        <v>32</v>
      </c>
    </row>
    <row r="6" spans="1:66" x14ac:dyDescent="0.25">
      <c r="B6" s="2">
        <v>10</v>
      </c>
      <c r="C6" s="2">
        <v>2E-3</v>
      </c>
      <c r="D6" s="2">
        <f t="shared" ref="D6:D11" si="0">((C6)/(26.6*1))</f>
        <v>7.5187969924812026E-5</v>
      </c>
      <c r="E6" s="2">
        <v>10</v>
      </c>
      <c r="F6" s="2">
        <v>8.9999999999999993E-3</v>
      </c>
      <c r="G6" s="2">
        <f t="shared" ref="G6:G11" si="1">((F6)/(26.6*1))</f>
        <v>3.3834586466165411E-4</v>
      </c>
      <c r="H6" s="2">
        <v>10</v>
      </c>
      <c r="I6" s="2">
        <v>4.0000000000000001E-3</v>
      </c>
      <c r="J6" s="2">
        <f t="shared" ref="J6:J11" si="2">((I6)/(26.6*1))</f>
        <v>1.5037593984962405E-4</v>
      </c>
      <c r="K6" s="14">
        <f t="shared" ref="K6:K11" si="3">((D6+G6+J6)/(3))</f>
        <v>1.8796992481203006E-4</v>
      </c>
      <c r="M6" s="2">
        <v>10</v>
      </c>
      <c r="N6" s="2">
        <v>5.2999999999999999E-2</v>
      </c>
      <c r="O6" s="2">
        <f t="shared" ref="O6:O11" si="4">((N6)/(26.6*1))</f>
        <v>1.9924812030075187E-3</v>
      </c>
      <c r="P6" s="2">
        <v>10</v>
      </c>
      <c r="Q6" s="2">
        <v>7.1999999999999995E-2</v>
      </c>
      <c r="R6" s="2">
        <f t="shared" ref="R6:R11" si="5">((Q6)/(26.6*1))</f>
        <v>2.7067669172932329E-3</v>
      </c>
      <c r="S6" s="2">
        <v>10</v>
      </c>
      <c r="T6" s="2">
        <v>1.7999999999999999E-2</v>
      </c>
      <c r="U6" s="2">
        <f t="shared" ref="U6:U11" si="6">((T6)/(26.6*1))</f>
        <v>6.7669172932330822E-4</v>
      </c>
      <c r="V6" s="14">
        <f t="shared" ref="V6:V11" si="7">((O6+R6+U6)/(3))</f>
        <v>1.7919799498746867E-3</v>
      </c>
      <c r="X6" s="2">
        <v>10</v>
      </c>
      <c r="Y6" s="2">
        <v>0</v>
      </c>
      <c r="Z6" s="2">
        <f t="shared" ref="Z6:Z11" si="8">((Y6)/(26.6*1))</f>
        <v>0</v>
      </c>
      <c r="AA6" s="2">
        <v>10</v>
      </c>
      <c r="AB6" s="2">
        <v>0</v>
      </c>
      <c r="AC6" s="2">
        <f t="shared" ref="AC6:AC11" si="9">((AB6)/(26.6*1))</f>
        <v>0</v>
      </c>
      <c r="AD6" s="2">
        <v>10</v>
      </c>
      <c r="AE6" s="2">
        <v>0</v>
      </c>
      <c r="AF6" s="2">
        <f t="shared" ref="AF6:AF11" si="10">((AE6)/(26.6*1))</f>
        <v>0</v>
      </c>
      <c r="AG6" s="12">
        <f t="shared" ref="AG6:AG11" si="11">((Z6+AC6+AF6)/(3))</f>
        <v>0</v>
      </c>
      <c r="AI6" s="2">
        <v>10</v>
      </c>
      <c r="AJ6" s="2">
        <v>0</v>
      </c>
      <c r="AK6" s="2">
        <f t="shared" ref="AK6:AK11" si="12">((AJ6)/(26.6*1))</f>
        <v>0</v>
      </c>
      <c r="AL6" s="2">
        <v>10</v>
      </c>
      <c r="AM6" s="2">
        <v>0</v>
      </c>
      <c r="AN6" s="2">
        <f t="shared" ref="AN6:AN11" si="13">((AM6)/(26.6*1))</f>
        <v>0</v>
      </c>
      <c r="AO6" s="2">
        <v>10</v>
      </c>
      <c r="AP6" s="2">
        <v>0</v>
      </c>
      <c r="AQ6" s="2">
        <f t="shared" ref="AQ6:AQ11" si="14">((AP6)/(26.6*1))</f>
        <v>0</v>
      </c>
      <c r="AR6" s="14">
        <f t="shared" ref="AR6:AR11" si="15">((AK6+AN6+AQ6)/(3))</f>
        <v>0</v>
      </c>
      <c r="AT6" s="2">
        <v>10</v>
      </c>
      <c r="AU6" s="2">
        <v>0</v>
      </c>
      <c r="AV6" s="2">
        <f t="shared" ref="AV6:AV11" si="16">((AU6)/(26.6*1))</f>
        <v>0</v>
      </c>
      <c r="AW6" s="2">
        <v>10</v>
      </c>
      <c r="AX6" s="2">
        <v>0</v>
      </c>
      <c r="AY6" s="2">
        <f t="shared" ref="AY6:AY11" si="17">((AX6)/(26.6*1))</f>
        <v>0</v>
      </c>
      <c r="AZ6" s="2">
        <v>10</v>
      </c>
      <c r="BA6" s="2">
        <v>0</v>
      </c>
      <c r="BB6" s="2">
        <f t="shared" ref="BB6:BB11" si="18">((BA6)/(26.6*1))</f>
        <v>0</v>
      </c>
      <c r="BC6" s="2">
        <f t="shared" ref="BC6:BC11" si="19">((AV6+AY6+BB6)/(3))</f>
        <v>0</v>
      </c>
      <c r="BE6" s="2">
        <v>10</v>
      </c>
      <c r="BF6" s="2">
        <v>0</v>
      </c>
      <c r="BG6" s="2">
        <f t="shared" ref="BG6:BG11" si="20">((BF6)/(26.6*1))</f>
        <v>0</v>
      </c>
      <c r="BH6" s="2">
        <v>10</v>
      </c>
      <c r="BI6" s="2">
        <v>0</v>
      </c>
      <c r="BJ6" s="2">
        <f t="shared" ref="BJ6:BJ11" si="21">((BI6)/(26.6*1))</f>
        <v>0</v>
      </c>
      <c r="BK6" s="2">
        <v>10</v>
      </c>
      <c r="BL6" s="2">
        <v>0</v>
      </c>
      <c r="BM6" s="2">
        <f t="shared" ref="BM6:BM11" si="22">((BL6)/(26.6*1))</f>
        <v>0</v>
      </c>
      <c r="BN6" s="2">
        <f t="shared" ref="BN6:BN11" si="23">((BG6+BJ6+BM6)/(3))</f>
        <v>0</v>
      </c>
    </row>
    <row r="7" spans="1:66" x14ac:dyDescent="0.25">
      <c r="B7" s="2">
        <v>20</v>
      </c>
      <c r="C7" s="2">
        <v>3.0000000000000001E-3</v>
      </c>
      <c r="D7" s="2">
        <f t="shared" si="0"/>
        <v>1.1278195488721805E-4</v>
      </c>
      <c r="E7" s="2">
        <v>20</v>
      </c>
      <c r="F7" s="2">
        <v>1.2E-2</v>
      </c>
      <c r="G7" s="2">
        <f t="shared" si="1"/>
        <v>4.5112781954887219E-4</v>
      </c>
      <c r="H7" s="2">
        <v>20</v>
      </c>
      <c r="I7" s="2">
        <v>4.0000000000000001E-3</v>
      </c>
      <c r="J7" s="2">
        <f t="shared" si="2"/>
        <v>1.5037593984962405E-4</v>
      </c>
      <c r="K7" s="14">
        <f t="shared" si="3"/>
        <v>2.380952380952381E-4</v>
      </c>
      <c r="M7" s="2">
        <v>20</v>
      </c>
      <c r="N7" s="2">
        <v>5.5E-2</v>
      </c>
      <c r="O7" s="2">
        <f t="shared" si="4"/>
        <v>2.0676691729323306E-3</v>
      </c>
      <c r="P7" s="2">
        <v>20</v>
      </c>
      <c r="Q7" s="2">
        <v>7.2999999999999995E-2</v>
      </c>
      <c r="R7" s="2">
        <f t="shared" si="5"/>
        <v>2.7443609022556386E-3</v>
      </c>
      <c r="S7" s="2">
        <v>20</v>
      </c>
      <c r="T7" s="2">
        <v>1.7999999999999999E-2</v>
      </c>
      <c r="U7" s="2">
        <f t="shared" si="6"/>
        <v>6.7669172932330822E-4</v>
      </c>
      <c r="V7" s="14">
        <f t="shared" si="7"/>
        <v>1.8295739348370924E-3</v>
      </c>
      <c r="X7" s="2">
        <v>20</v>
      </c>
      <c r="Y7" s="2">
        <v>0</v>
      </c>
      <c r="Z7" s="2">
        <f t="shared" si="8"/>
        <v>0</v>
      </c>
      <c r="AA7" s="2">
        <v>20</v>
      </c>
      <c r="AB7" s="2">
        <v>0</v>
      </c>
      <c r="AC7" s="2">
        <f t="shared" si="9"/>
        <v>0</v>
      </c>
      <c r="AD7" s="2">
        <v>20</v>
      </c>
      <c r="AE7" s="2">
        <v>0</v>
      </c>
      <c r="AF7" s="2">
        <f t="shared" si="10"/>
        <v>0</v>
      </c>
      <c r="AG7" s="12">
        <f t="shared" si="11"/>
        <v>0</v>
      </c>
      <c r="AI7" s="2">
        <v>20</v>
      </c>
      <c r="AJ7" s="2">
        <v>0</v>
      </c>
      <c r="AK7" s="2">
        <f t="shared" si="12"/>
        <v>0</v>
      </c>
      <c r="AL7" s="2">
        <v>20</v>
      </c>
      <c r="AM7" s="2">
        <v>0</v>
      </c>
      <c r="AN7" s="2">
        <f t="shared" si="13"/>
        <v>0</v>
      </c>
      <c r="AO7" s="2">
        <v>20</v>
      </c>
      <c r="AP7" s="2">
        <v>0</v>
      </c>
      <c r="AQ7" s="2">
        <f t="shared" si="14"/>
        <v>0</v>
      </c>
      <c r="AR7" s="14">
        <f t="shared" si="15"/>
        <v>0</v>
      </c>
      <c r="AT7" s="2">
        <v>20</v>
      </c>
      <c r="AU7" s="2">
        <v>0</v>
      </c>
      <c r="AV7" s="2">
        <f t="shared" si="16"/>
        <v>0</v>
      </c>
      <c r="AW7" s="2">
        <v>20</v>
      </c>
      <c r="AX7" s="2">
        <v>0</v>
      </c>
      <c r="AY7" s="2">
        <f t="shared" si="17"/>
        <v>0</v>
      </c>
      <c r="AZ7" s="2">
        <v>20</v>
      </c>
      <c r="BA7" s="2">
        <v>0</v>
      </c>
      <c r="BB7" s="2">
        <f t="shared" si="18"/>
        <v>0</v>
      </c>
      <c r="BC7" s="2">
        <f t="shared" si="19"/>
        <v>0</v>
      </c>
      <c r="BE7" s="2">
        <v>20</v>
      </c>
      <c r="BF7" s="2">
        <v>0</v>
      </c>
      <c r="BG7" s="2">
        <f t="shared" si="20"/>
        <v>0</v>
      </c>
      <c r="BH7" s="2">
        <v>20</v>
      </c>
      <c r="BI7" s="2">
        <v>0</v>
      </c>
      <c r="BJ7" s="2">
        <f t="shared" si="21"/>
        <v>0</v>
      </c>
      <c r="BK7" s="2">
        <v>20</v>
      </c>
      <c r="BL7" s="2">
        <v>0</v>
      </c>
      <c r="BM7" s="2">
        <f t="shared" si="22"/>
        <v>0</v>
      </c>
      <c r="BN7" s="2">
        <f t="shared" si="23"/>
        <v>0</v>
      </c>
    </row>
    <row r="8" spans="1:66" x14ac:dyDescent="0.25">
      <c r="B8" s="2">
        <v>30</v>
      </c>
      <c r="C8" s="2">
        <v>4.0000000000000001E-3</v>
      </c>
      <c r="D8" s="2">
        <f t="shared" si="0"/>
        <v>1.5037593984962405E-4</v>
      </c>
      <c r="E8" s="2">
        <v>30</v>
      </c>
      <c r="F8" s="2">
        <v>1.4999999999999999E-2</v>
      </c>
      <c r="G8" s="2">
        <f t="shared" si="1"/>
        <v>5.6390977443609015E-4</v>
      </c>
      <c r="H8" s="2">
        <v>30</v>
      </c>
      <c r="I8" s="2">
        <v>4.0000000000000001E-3</v>
      </c>
      <c r="J8" s="2">
        <f t="shared" si="2"/>
        <v>1.5037593984962405E-4</v>
      </c>
      <c r="K8" s="14">
        <f t="shared" si="3"/>
        <v>2.8822055137844605E-4</v>
      </c>
      <c r="M8" s="2">
        <v>30</v>
      </c>
      <c r="N8" s="2">
        <v>5.6000000000000001E-2</v>
      </c>
      <c r="O8" s="2">
        <f t="shared" si="4"/>
        <v>2.1052631578947368E-3</v>
      </c>
      <c r="P8" s="2">
        <v>30</v>
      </c>
      <c r="Q8" s="2">
        <v>7.2999999999999995E-2</v>
      </c>
      <c r="R8" s="2">
        <f t="shared" si="5"/>
        <v>2.7443609022556386E-3</v>
      </c>
      <c r="S8" s="2">
        <v>30</v>
      </c>
      <c r="T8" s="2">
        <v>1.7999999999999999E-2</v>
      </c>
      <c r="U8" s="2">
        <f t="shared" si="6"/>
        <v>6.7669172932330822E-4</v>
      </c>
      <c r="V8" s="14">
        <f t="shared" si="7"/>
        <v>1.8421052631578947E-3</v>
      </c>
      <c r="X8" s="2">
        <v>30</v>
      </c>
      <c r="Y8" s="2">
        <v>0</v>
      </c>
      <c r="Z8" s="2">
        <f t="shared" si="8"/>
        <v>0</v>
      </c>
      <c r="AA8" s="2">
        <v>30</v>
      </c>
      <c r="AB8" s="2">
        <v>0</v>
      </c>
      <c r="AC8" s="2">
        <f t="shared" si="9"/>
        <v>0</v>
      </c>
      <c r="AD8" s="2">
        <v>30</v>
      </c>
      <c r="AE8" s="2">
        <v>0</v>
      </c>
      <c r="AF8" s="2">
        <f t="shared" si="10"/>
        <v>0</v>
      </c>
      <c r="AG8" s="12">
        <f t="shared" si="11"/>
        <v>0</v>
      </c>
      <c r="AI8" s="2">
        <v>30</v>
      </c>
      <c r="AJ8" s="2">
        <v>0</v>
      </c>
      <c r="AK8" s="2">
        <f t="shared" si="12"/>
        <v>0</v>
      </c>
      <c r="AL8" s="2">
        <v>30</v>
      </c>
      <c r="AM8" s="2">
        <v>0</v>
      </c>
      <c r="AN8" s="2">
        <f t="shared" si="13"/>
        <v>0</v>
      </c>
      <c r="AO8" s="2">
        <v>30</v>
      </c>
      <c r="AP8" s="2">
        <v>0</v>
      </c>
      <c r="AQ8" s="2">
        <f t="shared" si="14"/>
        <v>0</v>
      </c>
      <c r="AR8" s="14">
        <f t="shared" si="15"/>
        <v>0</v>
      </c>
      <c r="AT8" s="2">
        <v>30</v>
      </c>
      <c r="AU8" s="2">
        <v>0</v>
      </c>
      <c r="AV8" s="2">
        <f t="shared" si="16"/>
        <v>0</v>
      </c>
      <c r="AW8" s="2">
        <v>30</v>
      </c>
      <c r="AX8" s="2">
        <v>0</v>
      </c>
      <c r="AY8" s="2">
        <f t="shared" si="17"/>
        <v>0</v>
      </c>
      <c r="AZ8" s="2">
        <v>30</v>
      </c>
      <c r="BA8" s="2">
        <v>0</v>
      </c>
      <c r="BB8" s="2">
        <f t="shared" si="18"/>
        <v>0</v>
      </c>
      <c r="BC8" s="2">
        <f t="shared" si="19"/>
        <v>0</v>
      </c>
      <c r="BE8" s="2">
        <v>30</v>
      </c>
      <c r="BF8" s="2">
        <v>0</v>
      </c>
      <c r="BG8" s="2">
        <f t="shared" si="20"/>
        <v>0</v>
      </c>
      <c r="BH8" s="2">
        <v>30</v>
      </c>
      <c r="BI8" s="2">
        <v>0</v>
      </c>
      <c r="BJ8" s="2">
        <f t="shared" si="21"/>
        <v>0</v>
      </c>
      <c r="BK8" s="2">
        <v>30</v>
      </c>
      <c r="BL8" s="2">
        <v>0</v>
      </c>
      <c r="BM8" s="2">
        <f t="shared" si="22"/>
        <v>0</v>
      </c>
      <c r="BN8" s="2">
        <f t="shared" si="23"/>
        <v>0</v>
      </c>
    </row>
    <row r="9" spans="1:66" x14ac:dyDescent="0.25">
      <c r="B9" s="2">
        <v>40</v>
      </c>
      <c r="C9" s="2">
        <v>5.0000000000000001E-3</v>
      </c>
      <c r="D9" s="2">
        <f t="shared" si="0"/>
        <v>1.8796992481203006E-4</v>
      </c>
      <c r="E9" s="2">
        <v>40</v>
      </c>
      <c r="F9" s="2">
        <v>1.7999999999999999E-2</v>
      </c>
      <c r="G9" s="2">
        <f t="shared" si="1"/>
        <v>6.7669172932330822E-4</v>
      </c>
      <c r="H9" s="2">
        <v>40</v>
      </c>
      <c r="I9" s="2">
        <v>4.0000000000000001E-3</v>
      </c>
      <c r="J9" s="2">
        <f t="shared" si="2"/>
        <v>1.5037593984962405E-4</v>
      </c>
      <c r="K9" s="14">
        <f t="shared" si="3"/>
        <v>3.3834586466165417E-4</v>
      </c>
      <c r="M9" s="2">
        <v>40</v>
      </c>
      <c r="N9" s="2">
        <v>5.8999999999999997E-2</v>
      </c>
      <c r="O9" s="2">
        <f t="shared" si="4"/>
        <v>2.2180451127819549E-3</v>
      </c>
      <c r="P9" s="2">
        <v>40</v>
      </c>
      <c r="Q9" s="2">
        <v>7.2999999999999995E-2</v>
      </c>
      <c r="R9" s="2">
        <f t="shared" si="5"/>
        <v>2.7443609022556386E-3</v>
      </c>
      <c r="S9" s="2">
        <v>40</v>
      </c>
      <c r="T9" s="2">
        <v>1.9E-2</v>
      </c>
      <c r="U9" s="2">
        <f t="shared" si="6"/>
        <v>7.1428571428571418E-4</v>
      </c>
      <c r="V9" s="14">
        <f t="shared" si="7"/>
        <v>1.8922305764411025E-3</v>
      </c>
      <c r="X9" s="2">
        <v>40</v>
      </c>
      <c r="Y9" s="2">
        <v>0</v>
      </c>
      <c r="Z9" s="2">
        <f t="shared" si="8"/>
        <v>0</v>
      </c>
      <c r="AA9" s="2">
        <v>40</v>
      </c>
      <c r="AB9" s="2">
        <v>0</v>
      </c>
      <c r="AC9" s="2">
        <f t="shared" si="9"/>
        <v>0</v>
      </c>
      <c r="AD9" s="2">
        <v>40</v>
      </c>
      <c r="AE9" s="2">
        <v>0</v>
      </c>
      <c r="AF9" s="2">
        <f t="shared" si="10"/>
        <v>0</v>
      </c>
      <c r="AG9" s="12">
        <f t="shared" si="11"/>
        <v>0</v>
      </c>
      <c r="AI9" s="2">
        <v>40</v>
      </c>
      <c r="AJ9" s="2">
        <v>0</v>
      </c>
      <c r="AK9" s="2">
        <f t="shared" si="12"/>
        <v>0</v>
      </c>
      <c r="AL9" s="2">
        <v>40</v>
      </c>
      <c r="AM9" s="2">
        <v>0</v>
      </c>
      <c r="AN9" s="2">
        <f t="shared" si="13"/>
        <v>0</v>
      </c>
      <c r="AO9" s="2">
        <v>40</v>
      </c>
      <c r="AP9" s="2">
        <v>0</v>
      </c>
      <c r="AQ9" s="2">
        <f t="shared" si="14"/>
        <v>0</v>
      </c>
      <c r="AR9" s="14">
        <f t="shared" si="15"/>
        <v>0</v>
      </c>
      <c r="AT9" s="2">
        <v>40</v>
      </c>
      <c r="AU9" s="2">
        <v>0</v>
      </c>
      <c r="AV9" s="2">
        <f t="shared" si="16"/>
        <v>0</v>
      </c>
      <c r="AW9" s="2">
        <v>40</v>
      </c>
      <c r="AX9" s="2">
        <v>0</v>
      </c>
      <c r="AY9" s="2">
        <f t="shared" si="17"/>
        <v>0</v>
      </c>
      <c r="AZ9" s="2">
        <v>40</v>
      </c>
      <c r="BA9" s="2">
        <v>0</v>
      </c>
      <c r="BB9" s="2">
        <f t="shared" si="18"/>
        <v>0</v>
      </c>
      <c r="BC9" s="2">
        <f t="shared" si="19"/>
        <v>0</v>
      </c>
      <c r="BE9" s="2">
        <v>40</v>
      </c>
      <c r="BF9" s="2">
        <v>0</v>
      </c>
      <c r="BG9" s="2">
        <f t="shared" si="20"/>
        <v>0</v>
      </c>
      <c r="BH9" s="2">
        <v>40</v>
      </c>
      <c r="BI9" s="2">
        <v>0</v>
      </c>
      <c r="BJ9" s="2">
        <f t="shared" si="21"/>
        <v>0</v>
      </c>
      <c r="BK9" s="2">
        <v>40</v>
      </c>
      <c r="BL9" s="2">
        <v>0</v>
      </c>
      <c r="BM9" s="2">
        <f t="shared" si="22"/>
        <v>0</v>
      </c>
      <c r="BN9" s="2">
        <f t="shared" si="23"/>
        <v>0</v>
      </c>
    </row>
    <row r="10" spans="1:66" x14ac:dyDescent="0.25">
      <c r="B10" s="2">
        <v>50</v>
      </c>
      <c r="C10" s="2">
        <v>6.0000000000000001E-3</v>
      </c>
      <c r="D10" s="2">
        <f t="shared" si="0"/>
        <v>2.2556390977443609E-4</v>
      </c>
      <c r="E10" s="2">
        <v>50</v>
      </c>
      <c r="F10" s="2">
        <v>2.1999999999999999E-2</v>
      </c>
      <c r="G10" s="2">
        <f t="shared" si="1"/>
        <v>8.2706766917293225E-4</v>
      </c>
      <c r="H10" s="2">
        <v>50</v>
      </c>
      <c r="I10" s="2">
        <v>4.0000000000000001E-3</v>
      </c>
      <c r="J10" s="2">
        <f t="shared" si="2"/>
        <v>1.5037593984962405E-4</v>
      </c>
      <c r="K10" s="14">
        <f t="shared" si="3"/>
        <v>4.0100250626566412E-4</v>
      </c>
      <c r="M10" s="2">
        <v>50</v>
      </c>
      <c r="N10" s="2">
        <v>6.3E-2</v>
      </c>
      <c r="O10" s="2">
        <f t="shared" si="4"/>
        <v>2.3684210526315787E-3</v>
      </c>
      <c r="P10" s="2">
        <v>50</v>
      </c>
      <c r="Q10" s="2">
        <v>7.3999999999999996E-2</v>
      </c>
      <c r="R10" s="2">
        <f t="shared" si="5"/>
        <v>2.7819548872180448E-3</v>
      </c>
      <c r="S10" s="2">
        <v>50</v>
      </c>
      <c r="T10" s="2">
        <v>1.9E-2</v>
      </c>
      <c r="U10" s="2">
        <f t="shared" si="6"/>
        <v>7.1428571428571418E-4</v>
      </c>
      <c r="V10" s="14">
        <f t="shared" si="7"/>
        <v>1.9548872180451126E-3</v>
      </c>
      <c r="X10" s="2">
        <v>50</v>
      </c>
      <c r="Y10" s="2">
        <v>0</v>
      </c>
      <c r="Z10" s="2">
        <f t="shared" si="8"/>
        <v>0</v>
      </c>
      <c r="AA10" s="2">
        <v>50</v>
      </c>
      <c r="AB10" s="2">
        <v>0</v>
      </c>
      <c r="AC10" s="2">
        <f t="shared" si="9"/>
        <v>0</v>
      </c>
      <c r="AD10" s="2">
        <v>50</v>
      </c>
      <c r="AE10" s="2">
        <v>0</v>
      </c>
      <c r="AF10" s="2">
        <f t="shared" si="10"/>
        <v>0</v>
      </c>
      <c r="AG10" s="12">
        <f t="shared" si="11"/>
        <v>0</v>
      </c>
      <c r="AI10" s="2">
        <v>50</v>
      </c>
      <c r="AJ10" s="2">
        <v>0</v>
      </c>
      <c r="AK10" s="2">
        <f t="shared" si="12"/>
        <v>0</v>
      </c>
      <c r="AL10" s="2">
        <v>50</v>
      </c>
      <c r="AM10" s="2">
        <v>0</v>
      </c>
      <c r="AN10" s="2">
        <f t="shared" si="13"/>
        <v>0</v>
      </c>
      <c r="AO10" s="2">
        <v>50</v>
      </c>
      <c r="AP10" s="2">
        <v>0</v>
      </c>
      <c r="AQ10" s="2">
        <f t="shared" si="14"/>
        <v>0</v>
      </c>
      <c r="AR10" s="14">
        <f t="shared" si="15"/>
        <v>0</v>
      </c>
      <c r="AT10" s="2">
        <v>50</v>
      </c>
      <c r="AU10" s="2">
        <v>0</v>
      </c>
      <c r="AV10" s="2">
        <f t="shared" si="16"/>
        <v>0</v>
      </c>
      <c r="AW10" s="2">
        <v>50</v>
      </c>
      <c r="AX10" s="2">
        <v>0</v>
      </c>
      <c r="AY10" s="2">
        <f t="shared" si="17"/>
        <v>0</v>
      </c>
      <c r="AZ10" s="2">
        <v>50</v>
      </c>
      <c r="BA10" s="2">
        <v>0</v>
      </c>
      <c r="BB10" s="2">
        <f t="shared" si="18"/>
        <v>0</v>
      </c>
      <c r="BC10" s="2">
        <f t="shared" si="19"/>
        <v>0</v>
      </c>
      <c r="BE10" s="2">
        <v>50</v>
      </c>
      <c r="BF10" s="2">
        <v>0</v>
      </c>
      <c r="BG10" s="2">
        <f t="shared" si="20"/>
        <v>0</v>
      </c>
      <c r="BH10" s="2">
        <v>50</v>
      </c>
      <c r="BI10" s="2">
        <v>0</v>
      </c>
      <c r="BJ10" s="2">
        <f t="shared" si="21"/>
        <v>0</v>
      </c>
      <c r="BK10" s="2">
        <v>50</v>
      </c>
      <c r="BL10" s="2">
        <v>0</v>
      </c>
      <c r="BM10" s="2">
        <f t="shared" si="22"/>
        <v>0</v>
      </c>
      <c r="BN10" s="2">
        <f t="shared" si="23"/>
        <v>0</v>
      </c>
    </row>
    <row r="11" spans="1:66" x14ac:dyDescent="0.25">
      <c r="B11" s="2">
        <v>60</v>
      </c>
      <c r="C11" s="2">
        <v>7.0000000000000001E-3</v>
      </c>
      <c r="D11" s="2">
        <f t="shared" si="0"/>
        <v>2.631578947368421E-4</v>
      </c>
      <c r="E11" s="2">
        <v>60</v>
      </c>
      <c r="F11" s="2">
        <v>2.5999999999999999E-2</v>
      </c>
      <c r="G11" s="2">
        <f t="shared" si="1"/>
        <v>9.7744360902255628E-4</v>
      </c>
      <c r="H11" s="2">
        <v>60</v>
      </c>
      <c r="I11" s="2">
        <v>4.0000000000000001E-3</v>
      </c>
      <c r="J11" s="2">
        <f t="shared" si="2"/>
        <v>1.5037593984962405E-4</v>
      </c>
      <c r="K11" s="14">
        <f t="shared" si="3"/>
        <v>4.6365914786967413E-4</v>
      </c>
      <c r="M11" s="2">
        <v>60</v>
      </c>
      <c r="N11" s="2">
        <v>6.5000000000000002E-2</v>
      </c>
      <c r="O11" s="2">
        <f t="shared" si="4"/>
        <v>2.443609022556391E-3</v>
      </c>
      <c r="P11" s="2">
        <v>60</v>
      </c>
      <c r="Q11" s="2">
        <v>7.4999999999999997E-2</v>
      </c>
      <c r="R11" s="2">
        <f t="shared" si="5"/>
        <v>2.819548872180451E-3</v>
      </c>
      <c r="S11" s="2">
        <v>60</v>
      </c>
      <c r="T11" s="4">
        <v>7.0000000000000007E-2</v>
      </c>
      <c r="U11" s="2">
        <f t="shared" si="6"/>
        <v>2.631578947368421E-3</v>
      </c>
      <c r="V11" s="16">
        <f t="shared" si="7"/>
        <v>2.631578947368421E-3</v>
      </c>
      <c r="X11" s="2">
        <v>60</v>
      </c>
      <c r="Y11" s="2">
        <v>0</v>
      </c>
      <c r="Z11" s="2">
        <f t="shared" si="8"/>
        <v>0</v>
      </c>
      <c r="AA11" s="2">
        <v>60</v>
      </c>
      <c r="AB11" s="2">
        <v>0</v>
      </c>
      <c r="AC11" s="2">
        <f t="shared" si="9"/>
        <v>0</v>
      </c>
      <c r="AD11" s="2">
        <v>60</v>
      </c>
      <c r="AE11" s="2">
        <v>0</v>
      </c>
      <c r="AF11" s="2">
        <f t="shared" si="10"/>
        <v>0</v>
      </c>
      <c r="AG11" s="12">
        <f t="shared" si="11"/>
        <v>0</v>
      </c>
      <c r="AI11" s="2">
        <v>60</v>
      </c>
      <c r="AJ11" s="2">
        <v>0</v>
      </c>
      <c r="AK11" s="2">
        <f t="shared" si="12"/>
        <v>0</v>
      </c>
      <c r="AL11" s="2">
        <v>60</v>
      </c>
      <c r="AM11" s="2">
        <v>0</v>
      </c>
      <c r="AN11" s="2">
        <f t="shared" si="13"/>
        <v>0</v>
      </c>
      <c r="AO11" s="2">
        <v>60</v>
      </c>
      <c r="AP11" s="2">
        <v>0</v>
      </c>
      <c r="AQ11" s="2">
        <f t="shared" si="14"/>
        <v>0</v>
      </c>
      <c r="AR11" s="14">
        <f t="shared" si="15"/>
        <v>0</v>
      </c>
      <c r="AT11" s="2">
        <v>60</v>
      </c>
      <c r="AU11" s="2">
        <v>0</v>
      </c>
      <c r="AV11" s="2">
        <f t="shared" si="16"/>
        <v>0</v>
      </c>
      <c r="AW11" s="2">
        <v>60</v>
      </c>
      <c r="AX11" s="2">
        <v>0</v>
      </c>
      <c r="AY11" s="2">
        <f t="shared" si="17"/>
        <v>0</v>
      </c>
      <c r="AZ11" s="2">
        <v>60</v>
      </c>
      <c r="BA11" s="2">
        <v>0</v>
      </c>
      <c r="BB11" s="2">
        <f t="shared" si="18"/>
        <v>0</v>
      </c>
      <c r="BC11" s="2">
        <f t="shared" si="19"/>
        <v>0</v>
      </c>
      <c r="BE11" s="2">
        <v>60</v>
      </c>
      <c r="BF11" s="2">
        <v>0</v>
      </c>
      <c r="BG11" s="2">
        <f t="shared" si="20"/>
        <v>0</v>
      </c>
      <c r="BH11" s="2">
        <v>60</v>
      </c>
      <c r="BI11" s="2">
        <v>0</v>
      </c>
      <c r="BJ11" s="2">
        <f t="shared" si="21"/>
        <v>0</v>
      </c>
      <c r="BK11" s="2">
        <v>60</v>
      </c>
      <c r="BL11" s="2">
        <v>0</v>
      </c>
      <c r="BM11" s="2">
        <f t="shared" si="22"/>
        <v>0</v>
      </c>
      <c r="BN11" s="2">
        <f t="shared" si="23"/>
        <v>0</v>
      </c>
    </row>
    <row r="12" spans="1:66" ht="45" x14ac:dyDescent="0.25">
      <c r="B12" s="17" t="s">
        <v>50</v>
      </c>
      <c r="C12" s="4"/>
      <c r="D12" s="4">
        <f>(((10*D11)/(1000))*(1000))</f>
        <v>2.631578947368421E-3</v>
      </c>
      <c r="E12" s="1" t="s">
        <v>23</v>
      </c>
      <c r="F12" s="4">
        <f>(((F11-F6)*(0.02+3.48)*(1))/((1)*(26.6)*(0.02)))</f>
        <v>0.1118421052631579</v>
      </c>
      <c r="G12" s="4">
        <f>(((10*G11)/(1000))*(1000))</f>
        <v>9.7744360902255623E-3</v>
      </c>
      <c r="H12" s="1" t="s">
        <v>23</v>
      </c>
      <c r="I12" s="4"/>
      <c r="J12" s="4">
        <f>(((10*J11)/(1000))*(1000))</f>
        <v>1.5037593984962405E-3</v>
      </c>
      <c r="K12" s="4">
        <f>(((10*K11)/(1000))*(1000))</f>
        <v>4.6365914786967409E-3</v>
      </c>
      <c r="M12" s="1" t="s">
        <v>23</v>
      </c>
      <c r="N12" s="4"/>
      <c r="O12" s="4">
        <f>(((10*O11)/(1000))*(1000))</f>
        <v>2.4436090225563908E-2</v>
      </c>
      <c r="P12" s="1" t="s">
        <v>23</v>
      </c>
      <c r="Q12" s="4"/>
      <c r="R12" s="4">
        <f>(((10*R11)/(1000))*(1000))</f>
        <v>2.819548872180451E-2</v>
      </c>
      <c r="S12" s="1" t="s">
        <v>23</v>
      </c>
      <c r="T12" s="4"/>
      <c r="U12" s="4">
        <f>(((10*U11)/(1000))*(1000))</f>
        <v>2.6315789473684209E-2</v>
      </c>
      <c r="V12" s="4">
        <f>(((10*V11)/(1000))*(1000))</f>
        <v>2.6315789473684209E-2</v>
      </c>
      <c r="X12" s="1" t="s">
        <v>23</v>
      </c>
      <c r="Y12" s="4"/>
      <c r="Z12" s="4">
        <f>(((10*Z11)/(1000))*(1000))</f>
        <v>0</v>
      </c>
      <c r="AA12" s="1" t="s">
        <v>23</v>
      </c>
      <c r="AB12" s="4"/>
      <c r="AC12" s="4">
        <f>(((10*AC11)/(1000))*(1000))</f>
        <v>0</v>
      </c>
      <c r="AD12" s="1" t="s">
        <v>23</v>
      </c>
      <c r="AE12" s="4"/>
      <c r="AF12" s="4">
        <f>(((10*AF11)/(1000))*(1000))</f>
        <v>0</v>
      </c>
      <c r="AG12" s="4">
        <f>(((10*AG11)/(1000))*(1000))</f>
        <v>0</v>
      </c>
      <c r="AI12" s="1" t="s">
        <v>23</v>
      </c>
      <c r="AJ12" s="4"/>
      <c r="AK12" s="4">
        <f>(((10*AK11)/(1000))*(1000))</f>
        <v>0</v>
      </c>
      <c r="AL12" s="1" t="s">
        <v>23</v>
      </c>
      <c r="AM12" s="4"/>
      <c r="AN12" s="4">
        <f>(((10*AN11)/(1000))*(1000))</f>
        <v>0</v>
      </c>
      <c r="AO12" s="1" t="s">
        <v>23</v>
      </c>
      <c r="AP12" s="4"/>
      <c r="AQ12" s="4">
        <f>(((10*AQ11)/(1000))*(1000))</f>
        <v>0</v>
      </c>
      <c r="AR12" s="4">
        <f>(((10*AR11)/(1000))*(1000))</f>
        <v>0</v>
      </c>
      <c r="AT12" s="1" t="s">
        <v>23</v>
      </c>
      <c r="AU12" s="4"/>
      <c r="AV12" s="4">
        <f>(((10*AV11)/(1000))*(1000))</f>
        <v>0</v>
      </c>
      <c r="AW12" s="1" t="s">
        <v>23</v>
      </c>
      <c r="AX12" s="4"/>
      <c r="AY12" s="4">
        <f>(((10*AY11)/(1000))*(1000))</f>
        <v>0</v>
      </c>
      <c r="AZ12" s="1" t="s">
        <v>23</v>
      </c>
      <c r="BA12" s="4"/>
      <c r="BB12" s="4">
        <f>(((10*BB11)/(1000))*(1000))</f>
        <v>0</v>
      </c>
      <c r="BC12" s="4">
        <f>(((10*BC11)/(1000))*(1000))</f>
        <v>0</v>
      </c>
      <c r="BE12" s="1" t="s">
        <v>23</v>
      </c>
      <c r="BF12" s="4">
        <f>(((10*BF11)/(1000))*(1000))</f>
        <v>0</v>
      </c>
      <c r="BG12" s="4"/>
      <c r="BH12" s="1" t="s">
        <v>23</v>
      </c>
      <c r="BI12" s="4"/>
      <c r="BJ12" s="4">
        <f>(((10*BJ11)/(1000))*(1000))</f>
        <v>0</v>
      </c>
      <c r="BK12" s="1" t="s">
        <v>23</v>
      </c>
      <c r="BL12" s="1"/>
      <c r="BM12" s="4">
        <f>(((10*BM11)/(1000))*(1000))</f>
        <v>0</v>
      </c>
      <c r="BN12" s="4">
        <f>(((10*BN11)/(1000))*(1000))</f>
        <v>0</v>
      </c>
    </row>
    <row r="13" spans="1:66" ht="30" x14ac:dyDescent="0.25">
      <c r="B13" s="17" t="s">
        <v>51</v>
      </c>
      <c r="C13" s="8"/>
      <c r="D13" s="8">
        <f>((D12/0.085)*(100))</f>
        <v>3.0959752321981422</v>
      </c>
      <c r="E13" s="8"/>
      <c r="F13" s="8"/>
      <c r="G13" s="8">
        <f>((G12/0.085)*(100))</f>
        <v>11.499336576735955</v>
      </c>
      <c r="H13" s="8"/>
      <c r="I13" s="8"/>
      <c r="J13" s="8">
        <f>((J12/0.085)*(100))</f>
        <v>1.769128704113224</v>
      </c>
      <c r="K13" s="8">
        <f>((K12/0.085)*(100))</f>
        <v>5.4548135043491062</v>
      </c>
      <c r="M13" s="17" t="s">
        <v>51</v>
      </c>
      <c r="N13" s="8"/>
      <c r="O13" s="8">
        <f>((O12/0.085)*(100))</f>
        <v>28.748341441839891</v>
      </c>
      <c r="P13" s="8"/>
      <c r="Q13" s="8"/>
      <c r="R13" s="8">
        <f>((R12/0.085)*(100))</f>
        <v>33.171163202122948</v>
      </c>
      <c r="S13" s="8"/>
      <c r="T13" s="8"/>
      <c r="U13" s="8">
        <f>((U12/0.085)*(100))</f>
        <v>30.959752321981419</v>
      </c>
      <c r="V13" s="8">
        <f>((V12/0.085)*(100))</f>
        <v>30.959752321981419</v>
      </c>
      <c r="X13" s="17" t="s">
        <v>51</v>
      </c>
      <c r="Y13" s="8"/>
      <c r="Z13" s="8">
        <f>((Z12/0.085)*(100))</f>
        <v>0</v>
      </c>
      <c r="AA13" s="8"/>
      <c r="AB13" s="8"/>
      <c r="AC13" s="8">
        <f>((AC12/0.085)*(100))</f>
        <v>0</v>
      </c>
      <c r="AD13" s="8"/>
      <c r="AE13" s="8"/>
      <c r="AF13" s="8">
        <f>((AF12/0.085)*(100))</f>
        <v>0</v>
      </c>
      <c r="AG13" s="8">
        <f>((AG12/0.085)*(100))</f>
        <v>0</v>
      </c>
      <c r="AI13" s="17" t="s">
        <v>51</v>
      </c>
      <c r="AJ13" s="8"/>
      <c r="AK13" s="8">
        <f>((AK12/0.085)*(100))</f>
        <v>0</v>
      </c>
      <c r="AL13" s="8"/>
      <c r="AM13" s="8"/>
      <c r="AN13" s="8">
        <f>((AN12/0.085)*(100))</f>
        <v>0</v>
      </c>
      <c r="AO13" s="8"/>
      <c r="AP13" s="8"/>
      <c r="AQ13" s="8">
        <f>((AQ12/0.085)*(100))</f>
        <v>0</v>
      </c>
      <c r="AR13" s="8">
        <f>((AR12/0.085)*(100))</f>
        <v>0</v>
      </c>
      <c r="AT13" s="17" t="s">
        <v>51</v>
      </c>
      <c r="AU13" s="8"/>
      <c r="AV13" s="8">
        <f>((AV12/0.085)*(100))</f>
        <v>0</v>
      </c>
      <c r="AW13" s="8"/>
      <c r="AX13" s="8"/>
      <c r="AY13" s="8">
        <f>((AY12/0.085)*(100))</f>
        <v>0</v>
      </c>
      <c r="AZ13" s="8"/>
      <c r="BA13" s="8"/>
      <c r="BB13" s="8">
        <f>((BB12/0.085)*(100))</f>
        <v>0</v>
      </c>
      <c r="BC13" s="8">
        <f>((BC12/0.085)*(100))</f>
        <v>0</v>
      </c>
      <c r="BE13" s="17" t="s">
        <v>51</v>
      </c>
      <c r="BF13" s="8"/>
      <c r="BG13" s="8">
        <f>((BG12/0.085)*(100))</f>
        <v>0</v>
      </c>
      <c r="BH13" s="8"/>
      <c r="BI13" s="8"/>
      <c r="BJ13" s="8">
        <f>((BJ12/0.085)*(100))</f>
        <v>0</v>
      </c>
      <c r="BK13" s="8"/>
      <c r="BL13" s="8"/>
      <c r="BM13" s="8">
        <f>((BM12/0.085)*(100))</f>
        <v>0</v>
      </c>
      <c r="BN13" s="8">
        <f>((BN12/0.085)*(100))</f>
        <v>0</v>
      </c>
    </row>
    <row r="16" spans="1:66" x14ac:dyDescent="0.25">
      <c r="A16" t="s">
        <v>26</v>
      </c>
    </row>
    <row r="17" spans="1:15" x14ac:dyDescent="0.25">
      <c r="M17" s="3"/>
      <c r="N17" s="3"/>
      <c r="O17" s="3"/>
    </row>
    <row r="18" spans="1:15" x14ac:dyDescent="0.25">
      <c r="A18" t="s">
        <v>27</v>
      </c>
      <c r="M18" s="5"/>
      <c r="N18" s="5"/>
      <c r="O18" s="5"/>
    </row>
    <row r="19" spans="1:15" x14ac:dyDescent="0.25">
      <c r="A19" t="s">
        <v>28</v>
      </c>
      <c r="M19" s="6"/>
      <c r="N19" s="6"/>
      <c r="O19" s="6"/>
    </row>
    <row r="20" spans="1:15" x14ac:dyDescent="0.25">
      <c r="A20" t="s">
        <v>29</v>
      </c>
      <c r="M20" s="6"/>
      <c r="N20" s="6"/>
      <c r="O20" s="6"/>
    </row>
    <row r="21" spans="1:15" x14ac:dyDescent="0.25">
      <c r="A21" t="s">
        <v>30</v>
      </c>
      <c r="M21" s="6"/>
      <c r="N21" s="6"/>
      <c r="O21" s="6"/>
    </row>
    <row r="22" spans="1:15" x14ac:dyDescent="0.25">
      <c r="A22" t="s">
        <v>31</v>
      </c>
      <c r="M22" s="6"/>
      <c r="N22" s="6"/>
      <c r="O22" s="6"/>
    </row>
    <row r="23" spans="1:15" x14ac:dyDescent="0.25">
      <c r="M23" s="6"/>
      <c r="N23" s="6"/>
      <c r="O23" s="6"/>
    </row>
    <row r="24" spans="1:15" x14ac:dyDescent="0.25">
      <c r="M24" s="6"/>
      <c r="N24" s="6"/>
      <c r="O24" s="6"/>
    </row>
    <row r="31" spans="1:15" x14ac:dyDescent="0.25">
      <c r="A31" s="3" t="s">
        <v>24</v>
      </c>
    </row>
  </sheetData>
  <mergeCells count="24">
    <mergeCell ref="AZ4:BB4"/>
    <mergeCell ref="BE4:BG4"/>
    <mergeCell ref="BH4:BJ4"/>
    <mergeCell ref="AI4:AK4"/>
    <mergeCell ref="AL4:AN4"/>
    <mergeCell ref="AO4:AQ4"/>
    <mergeCell ref="AT4:AV4"/>
    <mergeCell ref="AW4:AY4"/>
    <mergeCell ref="AT3:BC3"/>
    <mergeCell ref="BE3:BN3"/>
    <mergeCell ref="S4:U4"/>
    <mergeCell ref="B3:K3"/>
    <mergeCell ref="M3:V3"/>
    <mergeCell ref="X3:AG3"/>
    <mergeCell ref="AI3:AR3"/>
    <mergeCell ref="B4:D4"/>
    <mergeCell ref="E4:G4"/>
    <mergeCell ref="H4:J4"/>
    <mergeCell ref="M4:O4"/>
    <mergeCell ref="P4:R4"/>
    <mergeCell ref="BK4:BM4"/>
    <mergeCell ref="X4:Z4"/>
    <mergeCell ref="AA4:AC4"/>
    <mergeCell ref="AD4:AF4"/>
  </mergeCells>
  <pageMargins left="0.7" right="0.7" top="0.75" bottom="0.75" header="0.3" footer="0.3"/>
  <pageSetup orientation="portrait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AR33"/>
  <sheetViews>
    <sheetView topLeftCell="AB13" zoomScale="90" zoomScaleNormal="90" workbookViewId="0">
      <selection activeCell="M24" sqref="M24"/>
    </sheetView>
  </sheetViews>
  <sheetFormatPr baseColWidth="10" defaultRowHeight="15" x14ac:dyDescent="0.25"/>
  <cols>
    <col min="2" max="2" width="14.28515625" bestFit="1" customWidth="1"/>
    <col min="5" max="5" width="14.28515625" bestFit="1" customWidth="1"/>
    <col min="8" max="8" width="14.28515625" bestFit="1" customWidth="1"/>
    <col min="9" max="9" width="14.28515625" customWidth="1"/>
    <col min="11" max="11" width="14.42578125" customWidth="1"/>
    <col min="12" max="12" width="13.28515625" customWidth="1"/>
    <col min="13" max="13" width="23" bestFit="1" customWidth="1"/>
    <col min="16" max="16" width="14.28515625" bestFit="1" customWidth="1"/>
    <col min="19" max="19" width="14.28515625" bestFit="1" customWidth="1"/>
    <col min="20" max="20" width="14.28515625" customWidth="1"/>
    <col min="24" max="24" width="14.28515625" bestFit="1" customWidth="1"/>
    <col min="27" max="27" width="14.28515625" bestFit="1" customWidth="1"/>
    <col min="30" max="30" width="14.28515625" bestFit="1" customWidth="1"/>
    <col min="31" max="31" width="14.28515625" customWidth="1"/>
    <col min="35" max="35" width="14.28515625" bestFit="1" customWidth="1"/>
    <col min="38" max="38" width="14.28515625" bestFit="1" customWidth="1"/>
    <col min="41" max="41" width="14.28515625" bestFit="1" customWidth="1"/>
    <col min="42" max="42" width="14.28515625" customWidth="1"/>
  </cols>
  <sheetData>
    <row r="3" spans="1:44" x14ac:dyDescent="0.25">
      <c r="B3" s="28" t="s">
        <v>56</v>
      </c>
      <c r="C3" s="28"/>
      <c r="D3" s="28"/>
      <c r="E3" s="28"/>
      <c r="F3" s="28"/>
      <c r="G3" s="28"/>
      <c r="H3" s="28"/>
      <c r="I3" s="28"/>
      <c r="J3" s="28"/>
      <c r="K3" s="28"/>
      <c r="M3" s="28" t="s">
        <v>57</v>
      </c>
      <c r="N3" s="28"/>
      <c r="O3" s="28"/>
      <c r="P3" s="28"/>
      <c r="Q3" s="28"/>
      <c r="R3" s="28"/>
      <c r="S3" s="28"/>
      <c r="T3" s="28"/>
      <c r="U3" s="28"/>
      <c r="V3" s="28"/>
      <c r="X3" s="28" t="s">
        <v>58</v>
      </c>
      <c r="Y3" s="28"/>
      <c r="Z3" s="28"/>
      <c r="AA3" s="28"/>
      <c r="AB3" s="28"/>
      <c r="AC3" s="28"/>
      <c r="AD3" s="28"/>
      <c r="AE3" s="28"/>
      <c r="AF3" s="28"/>
      <c r="AG3" s="28"/>
      <c r="AI3" s="28" t="s">
        <v>59</v>
      </c>
      <c r="AJ3" s="28"/>
      <c r="AK3" s="28"/>
      <c r="AL3" s="28"/>
      <c r="AM3" s="28"/>
      <c r="AN3" s="28"/>
      <c r="AO3" s="28"/>
      <c r="AP3" s="28"/>
      <c r="AQ3" s="28"/>
      <c r="AR3" s="28"/>
    </row>
    <row r="4" spans="1:44" x14ac:dyDescent="0.25">
      <c r="B4" s="28" t="s">
        <v>2</v>
      </c>
      <c r="C4" s="28"/>
      <c r="D4" s="28"/>
      <c r="E4" s="28" t="s">
        <v>3</v>
      </c>
      <c r="F4" s="28"/>
      <c r="G4" s="28"/>
      <c r="H4" s="28" t="s">
        <v>4</v>
      </c>
      <c r="I4" s="28"/>
      <c r="J4" s="28"/>
      <c r="K4" s="1" t="s">
        <v>33</v>
      </c>
      <c r="M4" s="28" t="s">
        <v>2</v>
      </c>
      <c r="N4" s="28"/>
      <c r="O4" s="28"/>
      <c r="P4" s="28" t="s">
        <v>3</v>
      </c>
      <c r="Q4" s="28"/>
      <c r="R4" s="28"/>
      <c r="S4" s="28" t="s">
        <v>4</v>
      </c>
      <c r="T4" s="28"/>
      <c r="U4" s="28"/>
      <c r="V4" s="9" t="s">
        <v>34</v>
      </c>
      <c r="X4" s="28" t="s">
        <v>2</v>
      </c>
      <c r="Y4" s="28"/>
      <c r="Z4" s="28"/>
      <c r="AA4" s="28" t="s">
        <v>3</v>
      </c>
      <c r="AB4" s="28"/>
      <c r="AC4" s="28"/>
      <c r="AD4" s="28" t="s">
        <v>4</v>
      </c>
      <c r="AE4" s="28"/>
      <c r="AF4" s="28"/>
      <c r="AG4" s="9" t="s">
        <v>34</v>
      </c>
      <c r="AI4" s="28" t="s">
        <v>2</v>
      </c>
      <c r="AJ4" s="28"/>
      <c r="AK4" s="28"/>
      <c r="AL4" s="28" t="s">
        <v>3</v>
      </c>
      <c r="AM4" s="28"/>
      <c r="AN4" s="28"/>
      <c r="AO4" s="28" t="s">
        <v>4</v>
      </c>
      <c r="AP4" s="28"/>
      <c r="AQ4" s="28"/>
      <c r="AR4" s="9" t="s">
        <v>34</v>
      </c>
    </row>
    <row r="5" spans="1:44" x14ac:dyDescent="0.25">
      <c r="B5" s="1" t="s">
        <v>1</v>
      </c>
      <c r="C5" s="1" t="s">
        <v>0</v>
      </c>
      <c r="D5" s="1" t="s">
        <v>32</v>
      </c>
      <c r="E5" s="1" t="s">
        <v>1</v>
      </c>
      <c r="F5" s="1" t="s">
        <v>0</v>
      </c>
      <c r="G5" s="1" t="s">
        <v>32</v>
      </c>
      <c r="H5" s="1" t="s">
        <v>1</v>
      </c>
      <c r="I5" s="1" t="s">
        <v>0</v>
      </c>
      <c r="J5" s="1" t="s">
        <v>32</v>
      </c>
      <c r="K5" s="1" t="s">
        <v>32</v>
      </c>
      <c r="M5" s="1" t="s">
        <v>1</v>
      </c>
      <c r="N5" s="1" t="s">
        <v>0</v>
      </c>
      <c r="O5" s="1" t="s">
        <v>32</v>
      </c>
      <c r="P5" s="1" t="s">
        <v>1</v>
      </c>
      <c r="Q5" s="1" t="s">
        <v>0</v>
      </c>
      <c r="R5" s="1" t="s">
        <v>32</v>
      </c>
      <c r="S5" s="1" t="s">
        <v>1</v>
      </c>
      <c r="T5" s="1" t="s">
        <v>0</v>
      </c>
      <c r="U5" s="1" t="s">
        <v>32</v>
      </c>
      <c r="V5" s="1" t="s">
        <v>32</v>
      </c>
      <c r="X5" s="1" t="s">
        <v>1</v>
      </c>
      <c r="Y5" s="1" t="s">
        <v>0</v>
      </c>
      <c r="Z5" s="1" t="s">
        <v>32</v>
      </c>
      <c r="AA5" s="1" t="s">
        <v>1</v>
      </c>
      <c r="AB5" s="1" t="s">
        <v>0</v>
      </c>
      <c r="AC5" s="1" t="s">
        <v>32</v>
      </c>
      <c r="AD5" s="1" t="s">
        <v>1</v>
      </c>
      <c r="AE5" s="1" t="s">
        <v>0</v>
      </c>
      <c r="AF5" s="1" t="s">
        <v>32</v>
      </c>
      <c r="AG5" s="1" t="s">
        <v>32</v>
      </c>
      <c r="AI5" s="1" t="s">
        <v>1</v>
      </c>
      <c r="AJ5" s="1" t="s">
        <v>0</v>
      </c>
      <c r="AK5" s="1" t="s">
        <v>32</v>
      </c>
      <c r="AL5" s="1" t="s">
        <v>1</v>
      </c>
      <c r="AM5" s="1" t="s">
        <v>0</v>
      </c>
      <c r="AN5" s="1" t="s">
        <v>32</v>
      </c>
      <c r="AO5" s="1" t="s">
        <v>1</v>
      </c>
      <c r="AP5" s="1" t="s">
        <v>0</v>
      </c>
      <c r="AQ5" s="1" t="s">
        <v>32</v>
      </c>
      <c r="AR5" s="1" t="s">
        <v>32</v>
      </c>
    </row>
    <row r="6" spans="1:44" x14ac:dyDescent="0.25">
      <c r="B6" s="2">
        <v>10</v>
      </c>
      <c r="C6" s="2">
        <v>6.3E-2</v>
      </c>
      <c r="D6" s="2">
        <f>((C6)/(26.6*1))</f>
        <v>2.3684210526315787E-3</v>
      </c>
      <c r="E6" s="2">
        <v>10</v>
      </c>
      <c r="F6" s="2">
        <v>0.17599999999999999</v>
      </c>
      <c r="G6" s="2">
        <f t="shared" ref="G6:G11" si="0">((F6)/(26.6*1))</f>
        <v>6.616541353383458E-3</v>
      </c>
      <c r="H6" s="2">
        <v>10</v>
      </c>
      <c r="I6" s="2">
        <v>0.10100000000000001</v>
      </c>
      <c r="J6" s="2">
        <f t="shared" ref="J6:J11" si="1">((I6)/(26.6*1))</f>
        <v>3.7969924812030075E-3</v>
      </c>
      <c r="K6" s="15">
        <f t="shared" ref="K6:K11" si="2">((D6+G6+J6)/(3))</f>
        <v>4.2606516290726809E-3</v>
      </c>
      <c r="M6" s="2">
        <v>10</v>
      </c>
      <c r="N6" s="2">
        <v>0.11899999999999999</v>
      </c>
      <c r="O6" s="2">
        <f t="shared" ref="O6:O11" si="3">((N6)/(26.6*1))</f>
        <v>4.4736842105263155E-3</v>
      </c>
      <c r="P6" s="2">
        <v>10</v>
      </c>
      <c r="Q6" s="2">
        <v>0.06</v>
      </c>
      <c r="R6" s="2">
        <f t="shared" ref="R6:R11" si="4">((Q6)/(26.6*1))</f>
        <v>2.2556390977443606E-3</v>
      </c>
      <c r="S6" s="2">
        <v>10</v>
      </c>
      <c r="T6" s="2">
        <v>4.9000000000000002E-2</v>
      </c>
      <c r="U6" s="2">
        <f t="shared" ref="U6:U11" si="5">((T6)/(26.6*1))</f>
        <v>1.8421052631578947E-3</v>
      </c>
      <c r="V6" s="15">
        <f t="shared" ref="V6:V11" si="6">((O6+R6+U6)/(3))</f>
        <v>2.8571428571428567E-3</v>
      </c>
      <c r="X6" s="2">
        <v>10</v>
      </c>
      <c r="Y6" s="2">
        <v>8.5999999999999993E-2</v>
      </c>
      <c r="Z6" s="2">
        <f t="shared" ref="Z6:Z11" si="7">((Y6)/(26.6*1))</f>
        <v>3.2330827067669167E-3</v>
      </c>
      <c r="AA6" s="2">
        <v>10</v>
      </c>
      <c r="AB6" s="2">
        <v>7.0000000000000007E-2</v>
      </c>
      <c r="AC6" s="2">
        <f t="shared" ref="AC6:AC11" si="8">((AB6)/(26.6*1))</f>
        <v>2.631578947368421E-3</v>
      </c>
      <c r="AD6" s="2">
        <v>10</v>
      </c>
      <c r="AE6" s="2">
        <v>0.10100000000000001</v>
      </c>
      <c r="AF6" s="2">
        <f t="shared" ref="AF6:AF11" si="9">((AE6)/(26.6*1))</f>
        <v>3.7969924812030075E-3</v>
      </c>
      <c r="AG6" s="15">
        <f t="shared" ref="AG6:AG11" si="10">((Z6+AC6+AF6)/(3))</f>
        <v>3.220551378446115E-3</v>
      </c>
      <c r="AI6" s="2">
        <v>10</v>
      </c>
      <c r="AJ6" s="2">
        <v>5.1999999999999998E-2</v>
      </c>
      <c r="AK6" s="2">
        <f t="shared" ref="AK6:AK11" si="11">((AJ6)/(26.6*1))</f>
        <v>1.9548872180451126E-3</v>
      </c>
      <c r="AL6" s="2">
        <v>10</v>
      </c>
      <c r="AM6" s="2">
        <v>2.8000000000000001E-2</v>
      </c>
      <c r="AN6" s="2">
        <f t="shared" ref="AN6:AN11" si="12">((AM6)/(26.6*1))</f>
        <v>1.0526315789473684E-3</v>
      </c>
      <c r="AO6" s="2">
        <v>10</v>
      </c>
      <c r="AP6" s="2">
        <v>0.16200000000000001</v>
      </c>
      <c r="AQ6" s="2">
        <f t="shared" ref="AQ6:AQ11" si="13">((AP6)/(26.6*1))</f>
        <v>6.0902255639097742E-3</v>
      </c>
      <c r="AR6" s="15">
        <f t="shared" ref="AR6:AR11" si="14">((AK6+AN6+AQ6)/(3))</f>
        <v>3.0325814536340851E-3</v>
      </c>
    </row>
    <row r="7" spans="1:44" x14ac:dyDescent="0.25">
      <c r="B7" s="2">
        <v>20</v>
      </c>
      <c r="C7" s="2">
        <v>7.3999999999999996E-2</v>
      </c>
      <c r="D7" s="2">
        <f t="shared" ref="D7:D11" si="15">((C7)/(26.6*1))</f>
        <v>2.7819548872180448E-3</v>
      </c>
      <c r="E7" s="2">
        <v>20</v>
      </c>
      <c r="F7" s="2">
        <v>0.185</v>
      </c>
      <c r="G7" s="2">
        <f t="shared" si="0"/>
        <v>6.9548872180451122E-3</v>
      </c>
      <c r="H7" s="2">
        <v>20</v>
      </c>
      <c r="I7" s="2">
        <v>0.111</v>
      </c>
      <c r="J7" s="2">
        <f t="shared" si="1"/>
        <v>4.1729323308270679E-3</v>
      </c>
      <c r="K7" s="15">
        <f t="shared" si="2"/>
        <v>4.6365914786967418E-3</v>
      </c>
      <c r="M7" s="2">
        <v>20</v>
      </c>
      <c r="N7" s="2">
        <v>0.13200000000000001</v>
      </c>
      <c r="O7" s="2">
        <f t="shared" si="3"/>
        <v>4.9624060150375944E-3</v>
      </c>
      <c r="P7" s="2">
        <v>20</v>
      </c>
      <c r="Q7" s="2">
        <v>6.8000000000000005E-2</v>
      </c>
      <c r="R7" s="2">
        <f t="shared" si="4"/>
        <v>2.5563909774436091E-3</v>
      </c>
      <c r="S7" s="2">
        <v>20</v>
      </c>
      <c r="T7" s="2">
        <v>5.5E-2</v>
      </c>
      <c r="U7" s="2">
        <f t="shared" si="5"/>
        <v>2.0676691729323306E-3</v>
      </c>
      <c r="V7" s="15">
        <f t="shared" si="6"/>
        <v>3.1954887218045114E-3</v>
      </c>
      <c r="X7" s="2">
        <v>20</v>
      </c>
      <c r="Y7" s="2">
        <v>9.8000000000000004E-2</v>
      </c>
      <c r="Z7" s="2">
        <f t="shared" si="7"/>
        <v>3.6842105263157894E-3</v>
      </c>
      <c r="AA7" s="2">
        <v>20</v>
      </c>
      <c r="AB7" s="2">
        <v>8.3000000000000004E-2</v>
      </c>
      <c r="AC7" s="2">
        <f t="shared" si="8"/>
        <v>3.1203007518796995E-3</v>
      </c>
      <c r="AD7" s="2">
        <v>20</v>
      </c>
      <c r="AE7" s="2">
        <v>0.107</v>
      </c>
      <c r="AF7" s="2">
        <f t="shared" si="9"/>
        <v>4.0225563909774432E-3</v>
      </c>
      <c r="AG7" s="15">
        <f t="shared" si="10"/>
        <v>3.6090225563909771E-3</v>
      </c>
      <c r="AI7" s="2">
        <v>20</v>
      </c>
      <c r="AJ7" s="2">
        <v>6.2E-2</v>
      </c>
      <c r="AK7" s="2">
        <f t="shared" si="11"/>
        <v>2.3308270676691729E-3</v>
      </c>
      <c r="AL7" s="2">
        <v>20</v>
      </c>
      <c r="AM7" s="2">
        <v>0.03</v>
      </c>
      <c r="AN7" s="2">
        <f t="shared" si="12"/>
        <v>1.1278195488721803E-3</v>
      </c>
      <c r="AO7" s="2">
        <v>20</v>
      </c>
      <c r="AP7" s="2">
        <v>0.17100000000000001</v>
      </c>
      <c r="AQ7" s="2">
        <f t="shared" si="13"/>
        <v>6.4285714285714285E-3</v>
      </c>
      <c r="AR7" s="15">
        <f t="shared" si="14"/>
        <v>3.2957393483709269E-3</v>
      </c>
    </row>
    <row r="8" spans="1:44" x14ac:dyDescent="0.25">
      <c r="B8" s="2">
        <v>30</v>
      </c>
      <c r="C8" s="2">
        <v>8.6999999999999994E-2</v>
      </c>
      <c r="D8" s="2">
        <f t="shared" si="15"/>
        <v>3.2706766917293228E-3</v>
      </c>
      <c r="E8" s="2">
        <v>30</v>
      </c>
      <c r="F8" s="2">
        <v>0.19800000000000001</v>
      </c>
      <c r="G8" s="2">
        <f t="shared" si="0"/>
        <v>7.4436090225563911E-3</v>
      </c>
      <c r="H8" s="2">
        <v>30</v>
      </c>
      <c r="I8" s="2">
        <v>0.122</v>
      </c>
      <c r="J8" s="2">
        <f t="shared" si="1"/>
        <v>4.5864661654135335E-3</v>
      </c>
      <c r="K8" s="15">
        <f t="shared" si="2"/>
        <v>5.1002506265664166E-3</v>
      </c>
      <c r="M8" s="2">
        <v>30</v>
      </c>
      <c r="N8" s="2">
        <v>0.14499999999999999</v>
      </c>
      <c r="O8" s="2">
        <f t="shared" si="3"/>
        <v>5.4511278195488715E-3</v>
      </c>
      <c r="P8" s="2">
        <v>30</v>
      </c>
      <c r="Q8" s="2">
        <v>7.8E-2</v>
      </c>
      <c r="R8" s="2">
        <f t="shared" si="4"/>
        <v>2.932330827067669E-3</v>
      </c>
      <c r="S8" s="2">
        <v>30</v>
      </c>
      <c r="T8" s="2">
        <v>5.8999999999999997E-2</v>
      </c>
      <c r="U8" s="2">
        <f t="shared" si="5"/>
        <v>2.2180451127819549E-3</v>
      </c>
      <c r="V8" s="15">
        <f t="shared" si="6"/>
        <v>3.5338345864661656E-3</v>
      </c>
      <c r="X8" s="2">
        <v>30</v>
      </c>
      <c r="Y8" s="2">
        <v>0.10100000000000001</v>
      </c>
      <c r="Z8" s="2">
        <f t="shared" si="7"/>
        <v>3.7969924812030075E-3</v>
      </c>
      <c r="AA8" s="2">
        <v>30</v>
      </c>
      <c r="AB8" s="2">
        <v>8.5999999999999993E-2</v>
      </c>
      <c r="AC8" s="2">
        <f t="shared" si="8"/>
        <v>3.2330827067669167E-3</v>
      </c>
      <c r="AD8" s="2">
        <v>30</v>
      </c>
      <c r="AE8" s="2">
        <v>0.112</v>
      </c>
      <c r="AF8" s="2">
        <f t="shared" si="9"/>
        <v>4.2105263157894736E-3</v>
      </c>
      <c r="AG8" s="15">
        <f t="shared" si="10"/>
        <v>3.7468671679197992E-3</v>
      </c>
      <c r="AI8" s="2">
        <v>30</v>
      </c>
      <c r="AJ8" s="2">
        <v>7.1999999999999995E-2</v>
      </c>
      <c r="AK8" s="2">
        <f t="shared" si="11"/>
        <v>2.7067669172932329E-3</v>
      </c>
      <c r="AL8" s="2">
        <v>30</v>
      </c>
      <c r="AM8" s="2">
        <v>3.1E-2</v>
      </c>
      <c r="AN8" s="2">
        <f t="shared" si="12"/>
        <v>1.1654135338345865E-3</v>
      </c>
      <c r="AO8" s="2">
        <v>30</v>
      </c>
      <c r="AP8" s="2">
        <v>0.183</v>
      </c>
      <c r="AQ8" s="2">
        <f t="shared" si="13"/>
        <v>6.8796992481202999E-3</v>
      </c>
      <c r="AR8" s="15">
        <f t="shared" si="14"/>
        <v>3.5839598997493734E-3</v>
      </c>
    </row>
    <row r="9" spans="1:44" x14ac:dyDescent="0.25">
      <c r="B9" s="2">
        <v>40</v>
      </c>
      <c r="C9" s="2">
        <v>0.10100000000000001</v>
      </c>
      <c r="D9" s="2">
        <f t="shared" si="15"/>
        <v>3.7969924812030075E-3</v>
      </c>
      <c r="E9" s="2">
        <v>40</v>
      </c>
      <c r="F9" s="2">
        <v>0.20499999999999999</v>
      </c>
      <c r="G9" s="2">
        <f t="shared" si="0"/>
        <v>7.7067669172932321E-3</v>
      </c>
      <c r="H9" s="2">
        <v>40</v>
      </c>
      <c r="I9" s="2">
        <v>0.13400000000000001</v>
      </c>
      <c r="J9" s="2">
        <f t="shared" si="1"/>
        <v>5.0375939849624058E-3</v>
      </c>
      <c r="K9" s="15">
        <f t="shared" si="2"/>
        <v>5.5137844611528814E-3</v>
      </c>
      <c r="M9" s="2">
        <v>40</v>
      </c>
      <c r="N9" s="2">
        <v>0.157</v>
      </c>
      <c r="O9" s="2">
        <f t="shared" si="3"/>
        <v>5.9022556390977438E-3</v>
      </c>
      <c r="P9" s="2">
        <v>40</v>
      </c>
      <c r="Q9" s="2">
        <v>8.6999999999999994E-2</v>
      </c>
      <c r="R9" s="2">
        <f t="shared" si="4"/>
        <v>3.2706766917293228E-3</v>
      </c>
      <c r="S9" s="2">
        <v>40</v>
      </c>
      <c r="T9" s="2">
        <v>6.4000000000000001E-2</v>
      </c>
      <c r="U9" s="2">
        <f t="shared" si="5"/>
        <v>2.4060150375939848E-3</v>
      </c>
      <c r="V9" s="15">
        <f t="shared" si="6"/>
        <v>3.8596491228070173E-3</v>
      </c>
      <c r="X9" s="2">
        <v>40</v>
      </c>
      <c r="Y9" s="2">
        <v>0.105</v>
      </c>
      <c r="Z9" s="2">
        <f t="shared" si="7"/>
        <v>3.9473684210526308E-3</v>
      </c>
      <c r="AA9" s="2">
        <v>40</v>
      </c>
      <c r="AB9" s="2">
        <v>8.8999999999999996E-2</v>
      </c>
      <c r="AC9" s="2">
        <f t="shared" si="8"/>
        <v>3.3458646616541352E-3</v>
      </c>
      <c r="AD9" s="2">
        <v>40</v>
      </c>
      <c r="AE9" s="2">
        <v>0.11899999999999999</v>
      </c>
      <c r="AF9" s="2">
        <f t="shared" si="9"/>
        <v>4.4736842105263155E-3</v>
      </c>
      <c r="AG9" s="15">
        <f t="shared" si="10"/>
        <v>3.9223057644110276E-3</v>
      </c>
      <c r="AI9" s="2">
        <v>40</v>
      </c>
      <c r="AJ9" s="2">
        <v>7.8E-2</v>
      </c>
      <c r="AK9" s="2">
        <f t="shared" si="11"/>
        <v>2.932330827067669E-3</v>
      </c>
      <c r="AL9" s="2">
        <v>40</v>
      </c>
      <c r="AM9" s="2">
        <v>3.3000000000000002E-2</v>
      </c>
      <c r="AN9" s="2">
        <f t="shared" si="12"/>
        <v>1.2406015037593986E-3</v>
      </c>
      <c r="AO9" s="2">
        <v>40</v>
      </c>
      <c r="AP9" s="2">
        <v>0.19900000000000001</v>
      </c>
      <c r="AQ9" s="2">
        <f t="shared" si="13"/>
        <v>7.4812030075187969E-3</v>
      </c>
      <c r="AR9" s="15">
        <f t="shared" si="14"/>
        <v>3.8847117794486214E-3</v>
      </c>
    </row>
    <row r="10" spans="1:44" x14ac:dyDescent="0.25">
      <c r="B10" s="2">
        <v>50</v>
      </c>
      <c r="C10" s="2">
        <v>0.11899999999999999</v>
      </c>
      <c r="D10" s="2">
        <f t="shared" si="15"/>
        <v>4.4736842105263155E-3</v>
      </c>
      <c r="E10" s="2">
        <v>50</v>
      </c>
      <c r="F10" s="2">
        <v>0.21299999999999999</v>
      </c>
      <c r="G10" s="2">
        <f t="shared" si="0"/>
        <v>8.0075187969924806E-3</v>
      </c>
      <c r="H10" s="2">
        <v>50</v>
      </c>
      <c r="I10" s="2">
        <v>0.14499999999999999</v>
      </c>
      <c r="J10" s="2">
        <f t="shared" si="1"/>
        <v>5.4511278195488715E-3</v>
      </c>
      <c r="K10" s="15">
        <f t="shared" si="2"/>
        <v>5.9774436090225562E-3</v>
      </c>
      <c r="M10" s="2">
        <v>50</v>
      </c>
      <c r="N10" s="2">
        <v>0.17</v>
      </c>
      <c r="O10" s="2">
        <f t="shared" si="3"/>
        <v>6.3909774436090227E-3</v>
      </c>
      <c r="P10" s="2">
        <v>50</v>
      </c>
      <c r="Q10" s="2">
        <v>9.6000000000000002E-2</v>
      </c>
      <c r="R10" s="2">
        <f t="shared" si="4"/>
        <v>3.6090225563909775E-3</v>
      </c>
      <c r="S10" s="2">
        <v>50</v>
      </c>
      <c r="T10" s="2">
        <v>7.0000000000000007E-2</v>
      </c>
      <c r="U10" s="2">
        <f t="shared" si="5"/>
        <v>2.631578947368421E-3</v>
      </c>
      <c r="V10" s="15">
        <f t="shared" si="6"/>
        <v>4.2105263157894736E-3</v>
      </c>
      <c r="X10" s="2">
        <v>50</v>
      </c>
      <c r="Y10" s="2">
        <v>0.108</v>
      </c>
      <c r="Z10" s="2">
        <f t="shared" si="7"/>
        <v>4.0601503759398498E-3</v>
      </c>
      <c r="AA10" s="2">
        <v>50</v>
      </c>
      <c r="AB10" s="2">
        <v>9.5000000000000001E-2</v>
      </c>
      <c r="AC10" s="2">
        <f t="shared" si="8"/>
        <v>3.5714285714285713E-3</v>
      </c>
      <c r="AD10" s="2">
        <v>50</v>
      </c>
      <c r="AE10" s="2">
        <v>0.121</v>
      </c>
      <c r="AF10" s="2">
        <f t="shared" si="9"/>
        <v>4.5488721804511278E-3</v>
      </c>
      <c r="AG10" s="15">
        <f t="shared" si="10"/>
        <v>4.0601503759398498E-3</v>
      </c>
      <c r="AI10" s="2">
        <v>50</v>
      </c>
      <c r="AJ10" s="2">
        <v>8.5000000000000006E-2</v>
      </c>
      <c r="AK10" s="2">
        <f t="shared" si="11"/>
        <v>3.1954887218045114E-3</v>
      </c>
      <c r="AL10" s="2">
        <v>50</v>
      </c>
      <c r="AM10" s="2">
        <v>3.4000000000000002E-2</v>
      </c>
      <c r="AN10" s="2">
        <f t="shared" si="12"/>
        <v>1.2781954887218045E-3</v>
      </c>
      <c r="AO10" s="2">
        <v>50</v>
      </c>
      <c r="AP10" s="2">
        <v>0.215</v>
      </c>
      <c r="AQ10" s="2">
        <f t="shared" si="13"/>
        <v>8.0827067669172921E-3</v>
      </c>
      <c r="AR10" s="15">
        <f t="shared" si="14"/>
        <v>4.1854636591478695E-3</v>
      </c>
    </row>
    <row r="11" spans="1:44" x14ac:dyDescent="0.25">
      <c r="B11" s="2">
        <v>60</v>
      </c>
      <c r="C11" s="2">
        <v>0.13300000000000001</v>
      </c>
      <c r="D11" s="2">
        <f t="shared" si="15"/>
        <v>5.0000000000000001E-3</v>
      </c>
      <c r="E11" s="2">
        <v>60</v>
      </c>
      <c r="F11" s="2">
        <v>0.222</v>
      </c>
      <c r="G11" s="2">
        <f t="shared" si="0"/>
        <v>8.3458646616541357E-3</v>
      </c>
      <c r="H11" s="2">
        <v>60</v>
      </c>
      <c r="I11" s="2">
        <v>0.156</v>
      </c>
      <c r="J11" s="2">
        <f t="shared" si="1"/>
        <v>5.8646616541353381E-3</v>
      </c>
      <c r="K11" s="15">
        <f t="shared" si="2"/>
        <v>6.4035087719298252E-3</v>
      </c>
      <c r="M11" s="2">
        <v>60</v>
      </c>
      <c r="N11" s="2">
        <v>0.18099999999999999</v>
      </c>
      <c r="O11" s="2">
        <f t="shared" si="3"/>
        <v>6.8045112781954884E-3</v>
      </c>
      <c r="P11" s="2">
        <v>60</v>
      </c>
      <c r="Q11" s="2">
        <v>0.106</v>
      </c>
      <c r="R11" s="2">
        <f t="shared" si="4"/>
        <v>3.9849624060150374E-3</v>
      </c>
      <c r="S11" s="2">
        <v>60</v>
      </c>
      <c r="T11" s="2">
        <v>7.8E-2</v>
      </c>
      <c r="U11" s="2">
        <f t="shared" si="5"/>
        <v>2.932330827067669E-3</v>
      </c>
      <c r="V11" s="15">
        <f t="shared" si="6"/>
        <v>4.5739348370927311E-3</v>
      </c>
      <c r="X11" s="2">
        <v>60</v>
      </c>
      <c r="Y11" s="2">
        <v>0.112</v>
      </c>
      <c r="Z11" s="2">
        <f t="shared" si="7"/>
        <v>4.2105263157894736E-3</v>
      </c>
      <c r="AA11" s="2">
        <v>60</v>
      </c>
      <c r="AB11" s="2">
        <v>0.10199999999999999</v>
      </c>
      <c r="AC11" s="2">
        <f t="shared" si="8"/>
        <v>3.8345864661654132E-3</v>
      </c>
      <c r="AD11" s="2">
        <v>60</v>
      </c>
      <c r="AE11" s="2">
        <v>0.128</v>
      </c>
      <c r="AF11" s="2">
        <f t="shared" si="9"/>
        <v>4.8120300751879697E-3</v>
      </c>
      <c r="AG11" s="15">
        <f t="shared" si="10"/>
        <v>4.2857142857142851E-3</v>
      </c>
      <c r="AI11" s="2">
        <v>60</v>
      </c>
      <c r="AJ11" s="2">
        <v>9.8000000000000004E-2</v>
      </c>
      <c r="AK11" s="2">
        <f t="shared" si="11"/>
        <v>3.6842105263157894E-3</v>
      </c>
      <c r="AL11" s="2">
        <v>60</v>
      </c>
      <c r="AM11" s="2">
        <v>3.5999999999999997E-2</v>
      </c>
      <c r="AN11" s="2">
        <f t="shared" si="12"/>
        <v>1.3533834586466164E-3</v>
      </c>
      <c r="AO11" s="2">
        <v>60</v>
      </c>
      <c r="AP11" s="2">
        <v>0.23699999999999999</v>
      </c>
      <c r="AQ11" s="2">
        <f t="shared" si="13"/>
        <v>8.9097744360902252E-3</v>
      </c>
      <c r="AR11" s="15">
        <f t="shared" si="14"/>
        <v>4.6491228070175443E-3</v>
      </c>
    </row>
    <row r="12" spans="1:44" ht="45" x14ac:dyDescent="0.25">
      <c r="B12" s="17" t="s">
        <v>50</v>
      </c>
      <c r="C12" s="4"/>
      <c r="D12" s="4">
        <f>(((10*D11)/(1000))*(1000))</f>
        <v>0.05</v>
      </c>
      <c r="E12" s="1" t="s">
        <v>23</v>
      </c>
      <c r="F12" s="4"/>
      <c r="G12" s="4">
        <f>(((10*G11)/(1000))*(1000))</f>
        <v>8.3458646616541357E-2</v>
      </c>
      <c r="H12" s="1" t="s">
        <v>23</v>
      </c>
      <c r="I12" s="4"/>
      <c r="J12" s="4">
        <f>(((10*J11)/(1000))*(1000))</f>
        <v>5.8646616541353377E-2</v>
      </c>
      <c r="K12" s="4">
        <f>(((10*K11)/(1000))*(1000))</f>
        <v>6.403508771929825E-2</v>
      </c>
      <c r="M12" s="1" t="s">
        <v>23</v>
      </c>
      <c r="N12" s="4"/>
      <c r="O12" s="4">
        <f>(((10*O11)/(1000))*(1000))</f>
        <v>6.8045112781954881E-2</v>
      </c>
      <c r="P12" s="1" t="s">
        <v>23</v>
      </c>
      <c r="Q12" s="4"/>
      <c r="R12" s="4">
        <f>(((10*R11)/(1000))*(1000))</f>
        <v>3.9849624060150371E-2</v>
      </c>
      <c r="S12" s="1" t="s">
        <v>23</v>
      </c>
      <c r="T12" s="4"/>
      <c r="U12" s="4">
        <f>(((10*U11)/(1000))*(1000))</f>
        <v>2.9323308270676689E-2</v>
      </c>
      <c r="V12" s="4">
        <f>(((10*V11)/(1000))*(1000))</f>
        <v>4.5739348370927309E-2</v>
      </c>
      <c r="X12" s="1" t="s">
        <v>23</v>
      </c>
      <c r="Y12" s="4"/>
      <c r="Z12" s="4">
        <f>(((10*Z11)/(1000))*(1000))</f>
        <v>4.2105263157894736E-2</v>
      </c>
      <c r="AA12" s="1" t="s">
        <v>23</v>
      </c>
      <c r="AB12" s="4"/>
      <c r="AC12" s="4">
        <f>(((10*AC11)/(1000))*(1000))</f>
        <v>3.8345864661654135E-2</v>
      </c>
      <c r="AD12" s="1" t="s">
        <v>23</v>
      </c>
      <c r="AE12" s="4"/>
      <c r="AF12" s="4">
        <f>(((10*AF11)/(1000))*(1000))</f>
        <v>4.8120300751879695E-2</v>
      </c>
      <c r="AG12" s="4">
        <f>(((10*AG11)/(1000))*(1000))</f>
        <v>4.2857142857142851E-2</v>
      </c>
      <c r="AI12" s="1" t="s">
        <v>23</v>
      </c>
      <c r="AJ12" s="4"/>
      <c r="AK12" s="4">
        <f>(((10*AK11)/(1000))*(1000))</f>
        <v>3.6842105263157891E-2</v>
      </c>
      <c r="AL12" s="1" t="s">
        <v>23</v>
      </c>
      <c r="AM12" s="4"/>
      <c r="AN12" s="4">
        <f>(((10*AN11)/(1000))*(1000))</f>
        <v>1.3533834586466165E-2</v>
      </c>
      <c r="AO12" s="1" t="s">
        <v>23</v>
      </c>
      <c r="AP12" s="4"/>
      <c r="AQ12" s="4">
        <f>(((10*AQ11)/(1000))*(1000))</f>
        <v>8.9097744360902259E-2</v>
      </c>
      <c r="AR12" s="4">
        <f>(((10*AR11)/(1000))*(1000))</f>
        <v>4.6491228070175444E-2</v>
      </c>
    </row>
    <row r="13" spans="1:44" ht="30" x14ac:dyDescent="0.25">
      <c r="B13" s="17" t="s">
        <v>51</v>
      </c>
      <c r="C13" s="8"/>
      <c r="D13" s="8">
        <f>((D12/0.085)*(100))</f>
        <v>58.82352941176471</v>
      </c>
      <c r="E13" s="8"/>
      <c r="F13" s="8"/>
      <c r="G13" s="8">
        <f>((G12/0.085)*(100))</f>
        <v>98.186643078283936</v>
      </c>
      <c r="H13" s="8"/>
      <c r="I13" s="8"/>
      <c r="J13" s="8">
        <f>((J12/0.085)*(100))</f>
        <v>68.996019460415738</v>
      </c>
      <c r="K13" s="8">
        <f>((K12/0.085)*(100))</f>
        <v>75.335397316821457</v>
      </c>
      <c r="M13" s="17" t="s">
        <v>51</v>
      </c>
      <c r="N13" s="8"/>
      <c r="O13" s="8">
        <f>((O12/0.085)*(100))</f>
        <v>80.05307386112338</v>
      </c>
      <c r="P13" s="8"/>
      <c r="Q13" s="8"/>
      <c r="R13" s="8">
        <f>((R12/0.085)*(100))</f>
        <v>46.881910659000432</v>
      </c>
      <c r="S13" s="8"/>
      <c r="T13" s="8"/>
      <c r="U13" s="8">
        <f>((U12/0.085)*(100))</f>
        <v>34.498009730207869</v>
      </c>
      <c r="V13" s="8">
        <f>((V12/0.085)*(100))</f>
        <v>53.810998083443884</v>
      </c>
      <c r="X13" s="17" t="s">
        <v>51</v>
      </c>
      <c r="Y13" s="8"/>
      <c r="Z13" s="8">
        <f>((Z12/0.085)*(100))</f>
        <v>49.535603715170275</v>
      </c>
      <c r="AA13" s="8"/>
      <c r="AB13" s="8"/>
      <c r="AC13" s="8">
        <f>((AC12/0.085)*(100))</f>
        <v>45.112781954887218</v>
      </c>
      <c r="AD13" s="8"/>
      <c r="AE13" s="8"/>
      <c r="AF13" s="8">
        <f>((AF12/0.085)*(100))</f>
        <v>56.612118531623167</v>
      </c>
      <c r="AG13" s="8">
        <f>((AG12/0.085)*(100))</f>
        <v>50.420168067226875</v>
      </c>
      <c r="AI13" s="17" t="s">
        <v>51</v>
      </c>
      <c r="AJ13" s="8"/>
      <c r="AK13" s="8">
        <f>((AK12/0.085)*(100))</f>
        <v>43.34365325077399</v>
      </c>
      <c r="AL13" s="8"/>
      <c r="AM13" s="8"/>
      <c r="AN13" s="8">
        <f>((AN12/0.085)*(100))</f>
        <v>15.922158337019015</v>
      </c>
      <c r="AO13" s="8"/>
      <c r="AP13" s="8"/>
      <c r="AQ13" s="8">
        <f>((AQ12/0.085)*(100))</f>
        <v>104.82087571870852</v>
      </c>
      <c r="AR13" s="8">
        <f>((AR12/0.085)*(100))</f>
        <v>54.69556243550052</v>
      </c>
    </row>
    <row r="14" spans="1:44" x14ac:dyDescent="0.25">
      <c r="K14" s="3"/>
      <c r="L14" s="3"/>
      <c r="M14" s="3"/>
    </row>
    <row r="15" spans="1:44" x14ac:dyDescent="0.25">
      <c r="K15" s="7"/>
      <c r="L15" s="7"/>
      <c r="M15" s="7"/>
    </row>
    <row r="16" spans="1:44" x14ac:dyDescent="0.25">
      <c r="A16" t="s">
        <v>26</v>
      </c>
      <c r="K16" s="6"/>
      <c r="L16" s="6"/>
      <c r="M16" s="6"/>
    </row>
    <row r="17" spans="1:13" x14ac:dyDescent="0.25">
      <c r="K17" s="6"/>
      <c r="L17" s="6"/>
      <c r="M17" s="6"/>
    </row>
    <row r="18" spans="1:13" x14ac:dyDescent="0.25">
      <c r="A18" t="s">
        <v>27</v>
      </c>
      <c r="K18" s="6"/>
      <c r="L18" s="6"/>
      <c r="M18" s="6"/>
    </row>
    <row r="19" spans="1:13" x14ac:dyDescent="0.25">
      <c r="A19" t="s">
        <v>28</v>
      </c>
      <c r="K19" s="6"/>
      <c r="L19" s="6"/>
      <c r="M19" s="6"/>
    </row>
    <row r="20" spans="1:13" x14ac:dyDescent="0.25">
      <c r="A20" t="s">
        <v>29</v>
      </c>
      <c r="K20" s="6"/>
      <c r="L20" s="6"/>
      <c r="M20" s="6"/>
    </row>
    <row r="21" spans="1:13" x14ac:dyDescent="0.25">
      <c r="A21" t="s">
        <v>30</v>
      </c>
      <c r="K21" s="6"/>
      <c r="L21" s="6"/>
      <c r="M21" s="6"/>
    </row>
    <row r="22" spans="1:13" x14ac:dyDescent="0.25">
      <c r="A22" t="s">
        <v>31</v>
      </c>
    </row>
    <row r="33" spans="1:1" x14ac:dyDescent="0.25">
      <c r="A33" s="3" t="s">
        <v>24</v>
      </c>
    </row>
  </sheetData>
  <mergeCells count="16">
    <mergeCell ref="B3:K3"/>
    <mergeCell ref="M3:V3"/>
    <mergeCell ref="X3:AG3"/>
    <mergeCell ref="AI3:AR3"/>
    <mergeCell ref="AO4:AQ4"/>
    <mergeCell ref="B4:D4"/>
    <mergeCell ref="E4:G4"/>
    <mergeCell ref="H4:J4"/>
    <mergeCell ref="M4:O4"/>
    <mergeCell ref="P4:R4"/>
    <mergeCell ref="S4:U4"/>
    <mergeCell ref="X4:Z4"/>
    <mergeCell ref="AA4:AC4"/>
    <mergeCell ref="AD4:AF4"/>
    <mergeCell ref="AI4:AK4"/>
    <mergeCell ref="AL4:AN4"/>
  </mergeCells>
  <pageMargins left="0.7" right="0.7" top="0.75" bottom="0.75" header="0.3" footer="0.3"/>
  <pageSetup orientation="portrait" horizontalDpi="360" verticalDpi="36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AR33"/>
  <sheetViews>
    <sheetView topLeftCell="AB1" zoomScale="80" zoomScaleNormal="80" workbookViewId="0">
      <selection activeCell="AR6" sqref="AR6:AR11"/>
    </sheetView>
  </sheetViews>
  <sheetFormatPr baseColWidth="10" defaultRowHeight="15" x14ac:dyDescent="0.25"/>
  <cols>
    <col min="2" max="2" width="14.28515625" bestFit="1" customWidth="1"/>
    <col min="5" max="5" width="14.28515625" bestFit="1" customWidth="1"/>
    <col min="8" max="8" width="14.28515625" bestFit="1" customWidth="1"/>
    <col min="9" max="9" width="14.28515625" customWidth="1"/>
    <col min="11" max="11" width="14.42578125" customWidth="1"/>
    <col min="12" max="12" width="13.28515625" customWidth="1"/>
    <col min="13" max="13" width="23" bestFit="1" customWidth="1"/>
    <col min="16" max="16" width="14.28515625" bestFit="1" customWidth="1"/>
    <col min="19" max="19" width="14.28515625" bestFit="1" customWidth="1"/>
    <col min="20" max="20" width="14.28515625" customWidth="1"/>
    <col min="24" max="24" width="14.28515625" bestFit="1" customWidth="1"/>
    <col min="27" max="27" width="14.28515625" bestFit="1" customWidth="1"/>
    <col min="30" max="30" width="14.28515625" bestFit="1" customWidth="1"/>
    <col min="31" max="31" width="14.28515625" customWidth="1"/>
    <col min="35" max="35" width="14.28515625" bestFit="1" customWidth="1"/>
    <col min="38" max="38" width="14.28515625" bestFit="1" customWidth="1"/>
    <col min="41" max="41" width="14.28515625" bestFit="1" customWidth="1"/>
    <col min="42" max="42" width="14.28515625" customWidth="1"/>
  </cols>
  <sheetData>
    <row r="3" spans="1:44" x14ac:dyDescent="0.25">
      <c r="B3" s="28" t="s">
        <v>60</v>
      </c>
      <c r="C3" s="28"/>
      <c r="D3" s="28"/>
      <c r="E3" s="28"/>
      <c r="F3" s="28"/>
      <c r="G3" s="28"/>
      <c r="H3" s="28"/>
      <c r="I3" s="28"/>
      <c r="J3" s="28"/>
      <c r="K3" s="28"/>
      <c r="M3" s="28" t="s">
        <v>61</v>
      </c>
      <c r="N3" s="28"/>
      <c r="O3" s="28"/>
      <c r="P3" s="28"/>
      <c r="Q3" s="28"/>
      <c r="R3" s="28"/>
      <c r="S3" s="28"/>
      <c r="T3" s="28"/>
      <c r="U3" s="28"/>
      <c r="V3" s="28"/>
      <c r="X3" s="28" t="s">
        <v>62</v>
      </c>
      <c r="Y3" s="28"/>
      <c r="Z3" s="28"/>
      <c r="AA3" s="28"/>
      <c r="AB3" s="28"/>
      <c r="AC3" s="28"/>
      <c r="AD3" s="28"/>
      <c r="AE3" s="28"/>
      <c r="AF3" s="28"/>
      <c r="AG3" s="28"/>
      <c r="AI3" s="28" t="s">
        <v>63</v>
      </c>
      <c r="AJ3" s="28"/>
      <c r="AK3" s="28"/>
      <c r="AL3" s="28"/>
      <c r="AM3" s="28"/>
      <c r="AN3" s="28"/>
      <c r="AO3" s="28"/>
      <c r="AP3" s="28"/>
      <c r="AQ3" s="28"/>
      <c r="AR3" s="28"/>
    </row>
    <row r="4" spans="1:44" x14ac:dyDescent="0.25">
      <c r="B4" s="28" t="s">
        <v>2</v>
      </c>
      <c r="C4" s="28"/>
      <c r="D4" s="28"/>
      <c r="E4" s="28" t="s">
        <v>3</v>
      </c>
      <c r="F4" s="28"/>
      <c r="G4" s="28"/>
      <c r="H4" s="28" t="s">
        <v>4</v>
      </c>
      <c r="I4" s="28"/>
      <c r="J4" s="28"/>
      <c r="K4" s="1" t="s">
        <v>33</v>
      </c>
      <c r="M4" s="28" t="s">
        <v>2</v>
      </c>
      <c r="N4" s="28"/>
      <c r="O4" s="28"/>
      <c r="P4" s="28" t="s">
        <v>3</v>
      </c>
      <c r="Q4" s="28"/>
      <c r="R4" s="28"/>
      <c r="S4" s="28" t="s">
        <v>4</v>
      </c>
      <c r="T4" s="28"/>
      <c r="U4" s="28"/>
      <c r="V4" s="9" t="s">
        <v>34</v>
      </c>
      <c r="X4" s="28" t="s">
        <v>2</v>
      </c>
      <c r="Y4" s="28"/>
      <c r="Z4" s="28"/>
      <c r="AA4" s="28" t="s">
        <v>3</v>
      </c>
      <c r="AB4" s="28"/>
      <c r="AC4" s="28"/>
      <c r="AD4" s="28" t="s">
        <v>4</v>
      </c>
      <c r="AE4" s="28"/>
      <c r="AF4" s="28"/>
      <c r="AG4" s="9" t="s">
        <v>34</v>
      </c>
      <c r="AI4" s="28" t="s">
        <v>2</v>
      </c>
      <c r="AJ4" s="28"/>
      <c r="AK4" s="28"/>
      <c r="AL4" s="28" t="s">
        <v>3</v>
      </c>
      <c r="AM4" s="28"/>
      <c r="AN4" s="28"/>
      <c r="AO4" s="28" t="s">
        <v>4</v>
      </c>
      <c r="AP4" s="28"/>
      <c r="AQ4" s="28"/>
      <c r="AR4" s="9" t="s">
        <v>34</v>
      </c>
    </row>
    <row r="5" spans="1:44" x14ac:dyDescent="0.25">
      <c r="B5" s="1" t="s">
        <v>1</v>
      </c>
      <c r="C5" s="1" t="s">
        <v>0</v>
      </c>
      <c r="D5" s="1" t="s">
        <v>32</v>
      </c>
      <c r="E5" s="1" t="s">
        <v>1</v>
      </c>
      <c r="F5" s="1" t="s">
        <v>0</v>
      </c>
      <c r="G5" s="1" t="s">
        <v>32</v>
      </c>
      <c r="H5" s="1" t="s">
        <v>1</v>
      </c>
      <c r="I5" s="1" t="s">
        <v>0</v>
      </c>
      <c r="J5" s="1" t="s">
        <v>32</v>
      </c>
      <c r="K5" s="1" t="s">
        <v>32</v>
      </c>
      <c r="M5" s="1" t="s">
        <v>1</v>
      </c>
      <c r="N5" s="1" t="s">
        <v>0</v>
      </c>
      <c r="O5" s="1" t="s">
        <v>32</v>
      </c>
      <c r="P5" s="1" t="s">
        <v>1</v>
      </c>
      <c r="Q5" s="1" t="s">
        <v>0</v>
      </c>
      <c r="R5" s="1" t="s">
        <v>32</v>
      </c>
      <c r="S5" s="1" t="s">
        <v>1</v>
      </c>
      <c r="T5" s="1" t="s">
        <v>0</v>
      </c>
      <c r="U5" s="1" t="s">
        <v>32</v>
      </c>
      <c r="V5" s="1" t="s">
        <v>32</v>
      </c>
      <c r="X5" s="1" t="s">
        <v>1</v>
      </c>
      <c r="Y5" s="1" t="s">
        <v>0</v>
      </c>
      <c r="Z5" s="1" t="s">
        <v>32</v>
      </c>
      <c r="AA5" s="1" t="s">
        <v>1</v>
      </c>
      <c r="AB5" s="1" t="s">
        <v>0</v>
      </c>
      <c r="AC5" s="1" t="s">
        <v>32</v>
      </c>
      <c r="AD5" s="1" t="s">
        <v>1</v>
      </c>
      <c r="AE5" s="1" t="s">
        <v>0</v>
      </c>
      <c r="AF5" s="1" t="s">
        <v>32</v>
      </c>
      <c r="AG5" s="1" t="s">
        <v>32</v>
      </c>
      <c r="AI5" s="1" t="s">
        <v>1</v>
      </c>
      <c r="AJ5" s="1" t="s">
        <v>0</v>
      </c>
      <c r="AK5" s="1" t="s">
        <v>32</v>
      </c>
      <c r="AL5" s="1" t="s">
        <v>1</v>
      </c>
      <c r="AM5" s="1" t="s">
        <v>0</v>
      </c>
      <c r="AN5" s="1" t="s">
        <v>32</v>
      </c>
      <c r="AO5" s="1" t="s">
        <v>1</v>
      </c>
      <c r="AP5" s="1" t="s">
        <v>0</v>
      </c>
      <c r="AQ5" s="1" t="s">
        <v>32</v>
      </c>
      <c r="AR5" s="1" t="s">
        <v>32</v>
      </c>
    </row>
    <row r="6" spans="1:44" x14ac:dyDescent="0.25">
      <c r="B6" s="2">
        <v>10</v>
      </c>
      <c r="C6" s="2">
        <v>4.8000000000000001E-2</v>
      </c>
      <c r="D6" s="2">
        <f t="shared" ref="D6:D11" si="0">((C6)/(26.6*1))</f>
        <v>1.8045112781954887E-3</v>
      </c>
      <c r="E6" s="2">
        <v>10</v>
      </c>
      <c r="F6" s="2">
        <v>7.8E-2</v>
      </c>
      <c r="G6" s="2">
        <f t="shared" ref="G6:G11" si="1">((F6)/(26.6*1))</f>
        <v>2.932330827067669E-3</v>
      </c>
      <c r="H6" s="2">
        <v>10</v>
      </c>
      <c r="I6" s="2">
        <v>0.02</v>
      </c>
      <c r="J6" s="2">
        <f t="shared" ref="J6:J11" si="2">((I6)/(26.6*1))</f>
        <v>7.5187969924812024E-4</v>
      </c>
      <c r="K6" s="15">
        <f t="shared" ref="K6:K11" si="3">((D6+G6+J6)/(3))</f>
        <v>1.8295739348370924E-3</v>
      </c>
      <c r="M6" s="2">
        <v>10</v>
      </c>
      <c r="N6" s="2">
        <v>6.3E-2</v>
      </c>
      <c r="O6" s="2">
        <f t="shared" ref="O6:O11" si="4">((N6)/(26.6*1))</f>
        <v>2.3684210526315787E-3</v>
      </c>
      <c r="P6" s="2">
        <v>10</v>
      </c>
      <c r="Q6" s="2">
        <v>6.4000000000000001E-2</v>
      </c>
      <c r="R6" s="2">
        <f t="shared" ref="R6:R11" si="5">((Q6)/(26.6*1))</f>
        <v>2.4060150375939848E-3</v>
      </c>
      <c r="S6" s="2">
        <v>10</v>
      </c>
      <c r="T6" s="2">
        <v>0.107</v>
      </c>
      <c r="U6" s="2">
        <f t="shared" ref="U6:U11" si="6">((T6)/(26.6*1))</f>
        <v>4.0225563909774432E-3</v>
      </c>
      <c r="V6" s="15">
        <f t="shared" ref="V6:V11" si="7">((O6+R6+U6)/(3))</f>
        <v>2.9323308270676686E-3</v>
      </c>
      <c r="X6" s="2">
        <v>10</v>
      </c>
      <c r="Y6" s="2">
        <v>5.3999999999999999E-2</v>
      </c>
      <c r="Z6" s="2">
        <f t="shared" ref="Z6:Z11" si="8">((Y6)/(26.6*1))</f>
        <v>2.0300751879699249E-3</v>
      </c>
      <c r="AA6" s="2">
        <v>10</v>
      </c>
      <c r="AB6" s="2">
        <v>4.2000000000000003E-2</v>
      </c>
      <c r="AC6" s="2">
        <f t="shared" ref="AC6:AC11" si="9">((AB6)/(26.6*1))</f>
        <v>1.5789473684210526E-3</v>
      </c>
      <c r="AD6" s="2">
        <v>10</v>
      </c>
      <c r="AE6" s="2">
        <v>3.2000000000000001E-2</v>
      </c>
      <c r="AF6" s="2">
        <f t="shared" ref="AF6:AF11" si="10">((AE6)/(26.6*1))</f>
        <v>1.2030075187969924E-3</v>
      </c>
      <c r="AG6" s="15">
        <f t="shared" ref="AG6:AG11" si="11">((Z6+AC6+AF6)/(3))</f>
        <v>1.6040100250626565E-3</v>
      </c>
      <c r="AI6" s="2">
        <v>10</v>
      </c>
      <c r="AJ6" s="2">
        <v>4.3999999999999997E-2</v>
      </c>
      <c r="AK6" s="2">
        <f t="shared" ref="AK6:AK11" si="12">((AJ6)/(26.6*1))</f>
        <v>1.6541353383458645E-3</v>
      </c>
      <c r="AL6" s="2">
        <v>10</v>
      </c>
      <c r="AM6" s="2">
        <v>6.9000000000000006E-2</v>
      </c>
      <c r="AN6" s="2">
        <f t="shared" ref="AN6:AN11" si="13">((AM6)/(26.6*1))</f>
        <v>2.5939849624060153E-3</v>
      </c>
      <c r="AO6" s="2">
        <v>10</v>
      </c>
      <c r="AP6" s="2">
        <v>4.8000000000000001E-2</v>
      </c>
      <c r="AQ6" s="2">
        <f t="shared" ref="AQ6:AQ11" si="14">((AP6)/(26.6*1))</f>
        <v>1.8045112781954887E-3</v>
      </c>
      <c r="AR6" s="15">
        <f t="shared" ref="AR6:AR11" si="15">((AK6+AN6+AQ6)/(3))</f>
        <v>2.0175438596491228E-3</v>
      </c>
    </row>
    <row r="7" spans="1:44" x14ac:dyDescent="0.25">
      <c r="B7" s="2">
        <v>20</v>
      </c>
      <c r="C7" s="2">
        <v>5.6000000000000001E-2</v>
      </c>
      <c r="D7" s="2">
        <f t="shared" si="0"/>
        <v>2.1052631578947368E-3</v>
      </c>
      <c r="E7" s="2">
        <v>20</v>
      </c>
      <c r="F7" s="2">
        <v>8.5999999999999993E-2</v>
      </c>
      <c r="G7" s="2">
        <f t="shared" si="1"/>
        <v>3.2330827067669167E-3</v>
      </c>
      <c r="H7" s="2">
        <v>20</v>
      </c>
      <c r="I7" s="2">
        <v>2.5000000000000001E-2</v>
      </c>
      <c r="J7" s="2">
        <f t="shared" si="2"/>
        <v>9.3984962406015032E-4</v>
      </c>
      <c r="K7" s="15">
        <f t="shared" si="3"/>
        <v>2.0927318295739347E-3</v>
      </c>
      <c r="M7" s="2">
        <v>20</v>
      </c>
      <c r="N7" s="2">
        <v>7.0999999999999994E-2</v>
      </c>
      <c r="O7" s="2">
        <f t="shared" si="4"/>
        <v>2.6691729323308267E-3</v>
      </c>
      <c r="P7" s="2">
        <v>20</v>
      </c>
      <c r="Q7" s="2">
        <v>7.6999999999999999E-2</v>
      </c>
      <c r="R7" s="2">
        <f t="shared" si="5"/>
        <v>2.8947368421052629E-3</v>
      </c>
      <c r="S7" s="2">
        <v>20</v>
      </c>
      <c r="T7" s="2">
        <v>0.115</v>
      </c>
      <c r="U7" s="2">
        <f t="shared" si="6"/>
        <v>4.3233082706766917E-3</v>
      </c>
      <c r="V7" s="15">
        <f t="shared" si="7"/>
        <v>3.2957393483709269E-3</v>
      </c>
      <c r="X7" s="2">
        <v>20</v>
      </c>
      <c r="Y7" s="2">
        <v>5.7000000000000002E-2</v>
      </c>
      <c r="Z7" s="2">
        <f t="shared" si="8"/>
        <v>2.142857142857143E-3</v>
      </c>
      <c r="AA7" s="2">
        <v>20</v>
      </c>
      <c r="AB7" s="2">
        <v>4.7E-2</v>
      </c>
      <c r="AC7" s="2">
        <f t="shared" si="9"/>
        <v>1.7669172932330826E-3</v>
      </c>
      <c r="AD7" s="2">
        <v>20</v>
      </c>
      <c r="AE7" s="2">
        <v>3.5999999999999997E-2</v>
      </c>
      <c r="AF7" s="2">
        <f t="shared" si="10"/>
        <v>1.3533834586466164E-3</v>
      </c>
      <c r="AG7" s="15">
        <f t="shared" si="11"/>
        <v>1.754385964912281E-3</v>
      </c>
      <c r="AI7" s="2">
        <v>20</v>
      </c>
      <c r="AJ7" s="2">
        <v>4.5999999999999999E-2</v>
      </c>
      <c r="AK7" s="2">
        <f t="shared" si="12"/>
        <v>1.7293233082706766E-3</v>
      </c>
      <c r="AL7" s="2">
        <v>20</v>
      </c>
      <c r="AM7" s="2">
        <v>7.3999999999999996E-2</v>
      </c>
      <c r="AN7" s="2">
        <f t="shared" si="13"/>
        <v>2.7819548872180448E-3</v>
      </c>
      <c r="AO7" s="2">
        <v>20</v>
      </c>
      <c r="AP7" s="2">
        <v>5.8999999999999997E-2</v>
      </c>
      <c r="AQ7" s="2">
        <f t="shared" si="14"/>
        <v>2.2180451127819549E-3</v>
      </c>
      <c r="AR7" s="15">
        <f t="shared" si="15"/>
        <v>2.2431077694235585E-3</v>
      </c>
    </row>
    <row r="8" spans="1:44" x14ac:dyDescent="0.25">
      <c r="B8" s="2">
        <v>30</v>
      </c>
      <c r="C8" s="2">
        <v>6.4000000000000001E-2</v>
      </c>
      <c r="D8" s="2">
        <f t="shared" si="0"/>
        <v>2.4060150375939848E-3</v>
      </c>
      <c r="E8" s="2">
        <v>30</v>
      </c>
      <c r="F8" s="2">
        <v>9.5000000000000001E-2</v>
      </c>
      <c r="G8" s="2">
        <f t="shared" si="1"/>
        <v>3.5714285714285713E-3</v>
      </c>
      <c r="H8" s="2">
        <v>30</v>
      </c>
      <c r="I8" s="2">
        <v>3.1E-2</v>
      </c>
      <c r="J8" s="2">
        <f t="shared" si="2"/>
        <v>1.1654135338345865E-3</v>
      </c>
      <c r="K8" s="15">
        <f t="shared" si="3"/>
        <v>2.3809523809523807E-3</v>
      </c>
      <c r="M8" s="2">
        <v>30</v>
      </c>
      <c r="N8" s="2">
        <v>8.5000000000000006E-2</v>
      </c>
      <c r="O8" s="2">
        <f t="shared" si="4"/>
        <v>3.1954887218045114E-3</v>
      </c>
      <c r="P8" s="2">
        <v>30</v>
      </c>
      <c r="Q8" s="2">
        <v>8.5000000000000006E-2</v>
      </c>
      <c r="R8" s="2">
        <f t="shared" si="5"/>
        <v>3.1954887218045114E-3</v>
      </c>
      <c r="S8" s="2">
        <v>30</v>
      </c>
      <c r="T8" s="2">
        <v>0.12</v>
      </c>
      <c r="U8" s="2">
        <f t="shared" si="6"/>
        <v>4.5112781954887212E-3</v>
      </c>
      <c r="V8" s="15">
        <f t="shared" si="7"/>
        <v>3.6340852130325812E-3</v>
      </c>
      <c r="X8" s="2">
        <v>30</v>
      </c>
      <c r="Y8" s="2">
        <v>5.8999999999999997E-2</v>
      </c>
      <c r="Z8" s="2">
        <f t="shared" si="8"/>
        <v>2.2180451127819549E-3</v>
      </c>
      <c r="AA8" s="2">
        <v>30</v>
      </c>
      <c r="AB8" s="2">
        <v>5.1999999999999998E-2</v>
      </c>
      <c r="AC8" s="2">
        <f t="shared" si="9"/>
        <v>1.9548872180451126E-3</v>
      </c>
      <c r="AD8" s="2">
        <v>30</v>
      </c>
      <c r="AE8" s="2">
        <v>4.1000000000000002E-2</v>
      </c>
      <c r="AF8" s="2">
        <f t="shared" si="10"/>
        <v>1.5413533834586466E-3</v>
      </c>
      <c r="AG8" s="15">
        <f t="shared" si="11"/>
        <v>1.9047619047619048E-3</v>
      </c>
      <c r="AI8" s="2">
        <v>30</v>
      </c>
      <c r="AJ8" s="2">
        <v>4.5999999999999999E-2</v>
      </c>
      <c r="AK8" s="2">
        <f t="shared" si="12"/>
        <v>1.7293233082706766E-3</v>
      </c>
      <c r="AL8" s="2">
        <v>30</v>
      </c>
      <c r="AM8" s="2">
        <v>8.2000000000000003E-2</v>
      </c>
      <c r="AN8" s="2">
        <f t="shared" si="13"/>
        <v>3.0827067669172933E-3</v>
      </c>
      <c r="AO8" s="2">
        <v>30</v>
      </c>
      <c r="AP8" s="2">
        <v>6.6000000000000003E-2</v>
      </c>
      <c r="AQ8" s="2">
        <f t="shared" si="14"/>
        <v>2.4812030075187972E-3</v>
      </c>
      <c r="AR8" s="15">
        <f t="shared" si="15"/>
        <v>2.431077694235589E-3</v>
      </c>
    </row>
    <row r="9" spans="1:44" x14ac:dyDescent="0.25">
      <c r="B9" s="2">
        <v>40</v>
      </c>
      <c r="C9" s="2">
        <v>7.2999999999999995E-2</v>
      </c>
      <c r="D9" s="2">
        <f t="shared" si="0"/>
        <v>2.7443609022556386E-3</v>
      </c>
      <c r="E9" s="2">
        <v>40</v>
      </c>
      <c r="F9" s="2">
        <v>0.104</v>
      </c>
      <c r="G9" s="2">
        <f t="shared" si="1"/>
        <v>3.9097744360902251E-3</v>
      </c>
      <c r="H9" s="2">
        <v>40</v>
      </c>
      <c r="I9" s="2">
        <v>3.7999999999999999E-2</v>
      </c>
      <c r="J9" s="2">
        <f t="shared" si="2"/>
        <v>1.4285714285714284E-3</v>
      </c>
      <c r="K9" s="15">
        <f t="shared" si="3"/>
        <v>2.6942355889724308E-3</v>
      </c>
      <c r="M9" s="2">
        <v>40</v>
      </c>
      <c r="N9" s="2">
        <v>9.8000000000000004E-2</v>
      </c>
      <c r="O9" s="2">
        <f t="shared" si="4"/>
        <v>3.6842105263157894E-3</v>
      </c>
      <c r="P9" s="2">
        <v>40</v>
      </c>
      <c r="Q9" s="2">
        <v>0.09</v>
      </c>
      <c r="R9" s="2">
        <f t="shared" si="5"/>
        <v>3.3834586466165409E-3</v>
      </c>
      <c r="S9" s="2">
        <v>40</v>
      </c>
      <c r="T9" s="2">
        <v>0.125</v>
      </c>
      <c r="U9" s="2">
        <f t="shared" si="6"/>
        <v>4.6992481203007516E-3</v>
      </c>
      <c r="V9" s="15">
        <f t="shared" si="7"/>
        <v>3.9223057644110276E-3</v>
      </c>
      <c r="X9" s="2">
        <v>40</v>
      </c>
      <c r="Y9" s="2">
        <v>6.2E-2</v>
      </c>
      <c r="Z9" s="2">
        <f t="shared" si="8"/>
        <v>2.3308270676691729E-3</v>
      </c>
      <c r="AA9" s="2">
        <v>40</v>
      </c>
      <c r="AB9" s="2">
        <v>5.6000000000000001E-2</v>
      </c>
      <c r="AC9" s="2">
        <f t="shared" si="9"/>
        <v>2.1052631578947368E-3</v>
      </c>
      <c r="AD9" s="2">
        <v>40</v>
      </c>
      <c r="AE9" s="2">
        <v>4.9000000000000002E-2</v>
      </c>
      <c r="AF9" s="2">
        <f t="shared" si="10"/>
        <v>1.8421052631578947E-3</v>
      </c>
      <c r="AG9" s="15">
        <f t="shared" si="11"/>
        <v>2.0927318295739347E-3</v>
      </c>
      <c r="AI9" s="2">
        <v>40</v>
      </c>
      <c r="AJ9" s="2">
        <v>4.8000000000000001E-2</v>
      </c>
      <c r="AK9" s="2">
        <f t="shared" si="12"/>
        <v>1.8045112781954887E-3</v>
      </c>
      <c r="AL9" s="2">
        <v>40</v>
      </c>
      <c r="AM9" s="2">
        <v>8.5999999999999993E-2</v>
      </c>
      <c r="AN9" s="2">
        <f t="shared" si="13"/>
        <v>3.2330827067669167E-3</v>
      </c>
      <c r="AO9" s="2">
        <v>40</v>
      </c>
      <c r="AP9" s="2">
        <v>6.6000000000000003E-2</v>
      </c>
      <c r="AQ9" s="2">
        <f t="shared" si="14"/>
        <v>2.4812030075187972E-3</v>
      </c>
      <c r="AR9" s="15">
        <f t="shared" si="15"/>
        <v>2.5062656641604009E-3</v>
      </c>
    </row>
    <row r="10" spans="1:44" x14ac:dyDescent="0.25">
      <c r="B10" s="2">
        <v>50</v>
      </c>
      <c r="C10" s="2">
        <v>8.3000000000000004E-2</v>
      </c>
      <c r="D10" s="2">
        <f t="shared" si="0"/>
        <v>3.1203007518796995E-3</v>
      </c>
      <c r="E10" s="2">
        <v>50</v>
      </c>
      <c r="F10" s="2">
        <v>0.111</v>
      </c>
      <c r="G10" s="2">
        <f t="shared" si="1"/>
        <v>4.1729323308270679E-3</v>
      </c>
      <c r="H10" s="2">
        <v>50</v>
      </c>
      <c r="I10" s="2">
        <v>4.3999999999999997E-2</v>
      </c>
      <c r="J10" s="2">
        <f t="shared" si="2"/>
        <v>1.6541353383458645E-3</v>
      </c>
      <c r="K10" s="15">
        <f t="shared" si="3"/>
        <v>2.9824561403508768E-3</v>
      </c>
      <c r="M10" s="2">
        <v>50</v>
      </c>
      <c r="N10" s="2">
        <v>0.113</v>
      </c>
      <c r="O10" s="2">
        <f t="shared" si="4"/>
        <v>4.2481203007518793E-3</v>
      </c>
      <c r="P10" s="2">
        <v>50</v>
      </c>
      <c r="Q10" s="2">
        <v>9.0999999999999998E-2</v>
      </c>
      <c r="R10" s="2">
        <f t="shared" si="5"/>
        <v>3.4210526315789471E-3</v>
      </c>
      <c r="S10" s="2">
        <v>50</v>
      </c>
      <c r="T10" s="2">
        <v>0.13100000000000001</v>
      </c>
      <c r="U10" s="2">
        <f t="shared" si="6"/>
        <v>4.9248120300751878E-3</v>
      </c>
      <c r="V10" s="15">
        <f t="shared" si="7"/>
        <v>4.197994987468672E-3</v>
      </c>
      <c r="X10" s="2">
        <v>50</v>
      </c>
      <c r="Y10" s="2">
        <v>6.6000000000000003E-2</v>
      </c>
      <c r="Z10" s="2">
        <f t="shared" si="8"/>
        <v>2.4812030075187972E-3</v>
      </c>
      <c r="AA10" s="2">
        <v>50</v>
      </c>
      <c r="AB10" s="2">
        <v>5.8999999999999997E-2</v>
      </c>
      <c r="AC10" s="2">
        <f t="shared" si="9"/>
        <v>2.2180451127819549E-3</v>
      </c>
      <c r="AD10" s="2">
        <v>50</v>
      </c>
      <c r="AE10" s="2">
        <v>0.06</v>
      </c>
      <c r="AF10" s="2">
        <f t="shared" si="10"/>
        <v>2.2556390977443606E-3</v>
      </c>
      <c r="AG10" s="15">
        <f t="shared" si="11"/>
        <v>2.3182957393483709E-3</v>
      </c>
      <c r="AI10" s="2">
        <v>50</v>
      </c>
      <c r="AJ10" s="2">
        <v>5.0999999999999997E-2</v>
      </c>
      <c r="AK10" s="2">
        <f t="shared" si="12"/>
        <v>1.9172932330827066E-3</v>
      </c>
      <c r="AL10" s="2">
        <v>50</v>
      </c>
      <c r="AM10" s="2">
        <v>8.5999999999999993E-2</v>
      </c>
      <c r="AN10" s="2">
        <f t="shared" si="13"/>
        <v>3.2330827067669167E-3</v>
      </c>
      <c r="AO10" s="2">
        <v>50</v>
      </c>
      <c r="AP10" s="2">
        <v>7.1999999999999995E-2</v>
      </c>
      <c r="AQ10" s="2">
        <f t="shared" si="14"/>
        <v>2.7067669172932329E-3</v>
      </c>
      <c r="AR10" s="15">
        <f t="shared" si="15"/>
        <v>2.6190476190476185E-3</v>
      </c>
    </row>
    <row r="11" spans="1:44" x14ac:dyDescent="0.25">
      <c r="B11" s="2">
        <v>60</v>
      </c>
      <c r="C11" s="2">
        <v>9.4E-2</v>
      </c>
      <c r="D11" s="2">
        <f t="shared" si="0"/>
        <v>3.5338345864661651E-3</v>
      </c>
      <c r="E11" s="2">
        <v>60</v>
      </c>
      <c r="F11" s="2">
        <v>0.11700000000000001</v>
      </c>
      <c r="G11" s="2">
        <f t="shared" si="1"/>
        <v>4.398496240601504E-3</v>
      </c>
      <c r="H11" s="2">
        <v>60</v>
      </c>
      <c r="I11" s="2">
        <v>5.0999999999999997E-2</v>
      </c>
      <c r="J11" s="2">
        <f t="shared" si="2"/>
        <v>1.9172932330827066E-3</v>
      </c>
      <c r="K11" s="15">
        <f t="shared" si="3"/>
        <v>3.2832080200501253E-3</v>
      </c>
      <c r="M11" s="2">
        <v>60</v>
      </c>
      <c r="N11" s="2">
        <v>0.125</v>
      </c>
      <c r="O11" s="2">
        <f t="shared" si="4"/>
        <v>4.6992481203007516E-3</v>
      </c>
      <c r="P11" s="2">
        <v>60</v>
      </c>
      <c r="Q11" s="2">
        <v>9.7000000000000003E-2</v>
      </c>
      <c r="R11" s="2">
        <f t="shared" si="5"/>
        <v>3.6466165413533832E-3</v>
      </c>
      <c r="S11" s="2">
        <v>60</v>
      </c>
      <c r="T11" s="2">
        <v>0.13400000000000001</v>
      </c>
      <c r="U11" s="2">
        <f t="shared" si="6"/>
        <v>5.0375939849624058E-3</v>
      </c>
      <c r="V11" s="15">
        <f t="shared" si="7"/>
        <v>4.4611528822055138E-3</v>
      </c>
      <c r="X11" s="2">
        <v>60</v>
      </c>
      <c r="Y11" s="2">
        <v>7.0000000000000007E-2</v>
      </c>
      <c r="Z11" s="2">
        <f t="shared" si="8"/>
        <v>2.631578947368421E-3</v>
      </c>
      <c r="AA11" s="2">
        <v>60</v>
      </c>
      <c r="AB11" s="2">
        <v>6.3E-2</v>
      </c>
      <c r="AC11" s="2">
        <f t="shared" si="9"/>
        <v>2.3684210526315787E-3</v>
      </c>
      <c r="AD11" s="2">
        <v>60</v>
      </c>
      <c r="AE11" s="2">
        <v>6.8000000000000005E-2</v>
      </c>
      <c r="AF11" s="2">
        <f t="shared" si="10"/>
        <v>2.5563909774436091E-3</v>
      </c>
      <c r="AG11" s="15">
        <f t="shared" si="11"/>
        <v>2.5187969924812029E-3</v>
      </c>
      <c r="AI11" s="2">
        <v>60</v>
      </c>
      <c r="AJ11" s="2">
        <v>5.3999999999999999E-2</v>
      </c>
      <c r="AK11" s="2">
        <f t="shared" si="12"/>
        <v>2.0300751879699249E-3</v>
      </c>
      <c r="AL11" s="2">
        <v>60</v>
      </c>
      <c r="AM11" s="2">
        <v>8.5000000000000006E-2</v>
      </c>
      <c r="AN11" s="2">
        <f t="shared" si="13"/>
        <v>3.1954887218045114E-3</v>
      </c>
      <c r="AO11" s="2">
        <v>60</v>
      </c>
      <c r="AP11" s="2">
        <v>7.3999999999999996E-2</v>
      </c>
      <c r="AQ11" s="2">
        <f t="shared" si="14"/>
        <v>2.7819548872180448E-3</v>
      </c>
      <c r="AR11" s="15">
        <f t="shared" si="15"/>
        <v>2.6691729323308267E-3</v>
      </c>
    </row>
    <row r="12" spans="1:44" ht="60" x14ac:dyDescent="0.25">
      <c r="B12" s="17" t="s">
        <v>50</v>
      </c>
      <c r="C12" s="4"/>
      <c r="D12" s="4">
        <f>(((10*D11)/(1000))*(1000))</f>
        <v>3.5338345864661655E-2</v>
      </c>
      <c r="E12" s="1" t="s">
        <v>23</v>
      </c>
      <c r="F12" s="4"/>
      <c r="G12" s="4">
        <f>(((10*G11)/(1000))*(1000))</f>
        <v>4.3984962406015043E-2</v>
      </c>
      <c r="H12" s="1" t="s">
        <v>23</v>
      </c>
      <c r="I12" s="4"/>
      <c r="J12" s="4">
        <f>(((10*J11)/(1000))*(1000))</f>
        <v>1.9172932330827067E-2</v>
      </c>
      <c r="K12" s="4">
        <f>(((10*K11)/(1000))*(1000))</f>
        <v>3.2832080200501254E-2</v>
      </c>
      <c r="M12" s="1" t="s">
        <v>23</v>
      </c>
      <c r="N12" s="4"/>
      <c r="O12" s="4">
        <f>(((10*O11)/(1000))*(1000))</f>
        <v>4.6992481203007516E-2</v>
      </c>
      <c r="P12" s="1" t="s">
        <v>23</v>
      </c>
      <c r="Q12" s="4"/>
      <c r="R12" s="4">
        <f>(((10*R11)/(1000))*(1000))</f>
        <v>3.6466165413533834E-2</v>
      </c>
      <c r="S12" s="1" t="s">
        <v>23</v>
      </c>
      <c r="T12" s="4"/>
      <c r="U12" s="4">
        <f>(((10*U11)/(1000))*(1000))</f>
        <v>5.037593984962406E-2</v>
      </c>
      <c r="V12" s="4">
        <f>(((10*V11)/(1000))*(1000))</f>
        <v>4.4611528822055137E-2</v>
      </c>
      <c r="X12" s="1" t="s">
        <v>23</v>
      </c>
      <c r="Y12" s="4"/>
      <c r="Z12" s="4">
        <f>(((10*Z11)/(1000))*(1000))</f>
        <v>2.6315789473684209E-2</v>
      </c>
      <c r="AA12" s="1" t="s">
        <v>23</v>
      </c>
      <c r="AB12" s="4"/>
      <c r="AC12" s="4">
        <f>(((10*AC11)/(1000))*(1000))</f>
        <v>2.3684210526315787E-2</v>
      </c>
      <c r="AD12" s="1" t="s">
        <v>23</v>
      </c>
      <c r="AE12" s="4"/>
      <c r="AF12" s="4">
        <f>(((10*AF11)/(1000))*(1000))</f>
        <v>2.5563909774436091E-2</v>
      </c>
      <c r="AG12" s="4">
        <f>(((10*AG11)/(1000))*(1000))</f>
        <v>2.518796992481203E-2</v>
      </c>
      <c r="AI12" s="1" t="s">
        <v>23</v>
      </c>
      <c r="AJ12" s="4"/>
      <c r="AK12" s="4">
        <f>(((10*AK11)/(1000))*(1000))</f>
        <v>2.030075187969925E-2</v>
      </c>
      <c r="AL12" s="1" t="s">
        <v>23</v>
      </c>
      <c r="AM12" s="4"/>
      <c r="AN12" s="4">
        <f>(((10*AN11)/(1000))*(1000))</f>
        <v>3.1954887218045111E-2</v>
      </c>
      <c r="AO12" s="1" t="s">
        <v>23</v>
      </c>
      <c r="AP12" s="4"/>
      <c r="AQ12" s="4">
        <f>(((10*AQ11)/(1000))*(1000))</f>
        <v>2.7819548872180449E-2</v>
      </c>
      <c r="AR12" s="4">
        <f>(((10*AR11)/(1000))*(1000))</f>
        <v>2.6691729323308266E-2</v>
      </c>
    </row>
    <row r="13" spans="1:44" ht="45" x14ac:dyDescent="0.25">
      <c r="B13" s="17" t="s">
        <v>51</v>
      </c>
      <c r="C13" s="8"/>
      <c r="D13" s="8">
        <f>((D12/0.085)*(100))</f>
        <v>41.574524546660768</v>
      </c>
      <c r="E13" s="8"/>
      <c r="F13" s="8"/>
      <c r="G13" s="8">
        <f>((G12/0.085)*(100))</f>
        <v>51.747014595311811</v>
      </c>
      <c r="H13" s="8"/>
      <c r="I13" s="8"/>
      <c r="J13" s="8">
        <f>((J12/0.085)*(100))</f>
        <v>22.556390977443609</v>
      </c>
      <c r="K13" s="8">
        <f>((K12/0.085)*(100))</f>
        <v>38.625976706472059</v>
      </c>
      <c r="M13" s="17" t="s">
        <v>51</v>
      </c>
      <c r="N13" s="8"/>
      <c r="O13" s="8">
        <f>((O12/0.085)*(100))</f>
        <v>55.285272003538253</v>
      </c>
      <c r="P13" s="8"/>
      <c r="Q13" s="8"/>
      <c r="R13" s="8">
        <f>((R12/0.085)*(100))</f>
        <v>42.90137107474569</v>
      </c>
      <c r="S13" s="8"/>
      <c r="T13" s="8"/>
      <c r="U13" s="8">
        <f>((U12/0.085)*(100))</f>
        <v>59.265811587793003</v>
      </c>
      <c r="V13" s="8">
        <f>((V12/0.085)*(100))</f>
        <v>52.484151555358984</v>
      </c>
      <c r="X13" s="17" t="s">
        <v>51</v>
      </c>
      <c r="Y13" s="8"/>
      <c r="Z13" s="8">
        <f>((Z12/0.085)*(100))</f>
        <v>30.959752321981419</v>
      </c>
      <c r="AA13" s="8"/>
      <c r="AB13" s="8"/>
      <c r="AC13" s="8">
        <f>((AC12/0.085)*(100))</f>
        <v>27.863777089783277</v>
      </c>
      <c r="AD13" s="8"/>
      <c r="AE13" s="8"/>
      <c r="AF13" s="8">
        <f>((AF12/0.085)*(100))</f>
        <v>30.075187969924812</v>
      </c>
      <c r="AG13" s="8">
        <f>((AG12/0.085)*(100))</f>
        <v>29.632905793896501</v>
      </c>
      <c r="AI13" s="17" t="s">
        <v>51</v>
      </c>
      <c r="AJ13" s="8"/>
      <c r="AK13" s="8">
        <f>((AK12/0.085)*(100))</f>
        <v>23.883237505528527</v>
      </c>
      <c r="AL13" s="8"/>
      <c r="AM13" s="8"/>
      <c r="AN13" s="8">
        <f>((AN12/0.085)*(100))</f>
        <v>37.593984962406012</v>
      </c>
      <c r="AO13" s="8"/>
      <c r="AP13" s="8"/>
      <c r="AQ13" s="8">
        <f>((AQ12/0.085)*(100))</f>
        <v>32.728881026094641</v>
      </c>
      <c r="AR13" s="8">
        <f>((AR12/0.085)*(100))</f>
        <v>31.402034498009723</v>
      </c>
    </row>
    <row r="14" spans="1:44" x14ac:dyDescent="0.25">
      <c r="K14" s="3"/>
      <c r="L14" s="3"/>
      <c r="M14" s="3"/>
    </row>
    <row r="15" spans="1:44" x14ac:dyDescent="0.25">
      <c r="K15" s="7"/>
      <c r="L15" s="7"/>
      <c r="M15" s="7"/>
    </row>
    <row r="16" spans="1:44" x14ac:dyDescent="0.25">
      <c r="A16" t="s">
        <v>26</v>
      </c>
      <c r="K16" s="6"/>
      <c r="L16" s="6"/>
      <c r="M16" s="6"/>
    </row>
    <row r="17" spans="1:13" x14ac:dyDescent="0.25">
      <c r="K17" s="6"/>
      <c r="L17" s="6"/>
      <c r="M17" s="6"/>
    </row>
    <row r="18" spans="1:13" x14ac:dyDescent="0.25">
      <c r="A18" t="s">
        <v>27</v>
      </c>
      <c r="K18" s="6"/>
      <c r="L18" s="6"/>
      <c r="M18" s="6"/>
    </row>
    <row r="19" spans="1:13" x14ac:dyDescent="0.25">
      <c r="A19" t="s">
        <v>28</v>
      </c>
      <c r="K19" s="6"/>
      <c r="L19" s="6"/>
      <c r="M19" s="6"/>
    </row>
    <row r="20" spans="1:13" x14ac:dyDescent="0.25">
      <c r="A20" t="s">
        <v>29</v>
      </c>
      <c r="K20" s="6"/>
      <c r="L20" s="6"/>
      <c r="M20" s="6"/>
    </row>
    <row r="21" spans="1:13" x14ac:dyDescent="0.25">
      <c r="A21" t="s">
        <v>30</v>
      </c>
      <c r="K21" s="6"/>
      <c r="L21" s="6"/>
      <c r="M21" s="6"/>
    </row>
    <row r="22" spans="1:13" x14ac:dyDescent="0.25">
      <c r="A22" t="s">
        <v>31</v>
      </c>
    </row>
    <row r="33" spans="1:1" x14ac:dyDescent="0.25">
      <c r="A33" s="3" t="s">
        <v>24</v>
      </c>
    </row>
  </sheetData>
  <mergeCells count="16">
    <mergeCell ref="AO4:AQ4"/>
    <mergeCell ref="B3:K3"/>
    <mergeCell ref="M3:V3"/>
    <mergeCell ref="X3:AG3"/>
    <mergeCell ref="AI3:AR3"/>
    <mergeCell ref="B4:D4"/>
    <mergeCell ref="E4:G4"/>
    <mergeCell ref="H4:J4"/>
    <mergeCell ref="M4:O4"/>
    <mergeCell ref="P4:R4"/>
    <mergeCell ref="S4:U4"/>
    <mergeCell ref="X4:Z4"/>
    <mergeCell ref="AA4:AC4"/>
    <mergeCell ref="AD4:AF4"/>
    <mergeCell ref="AI4:AK4"/>
    <mergeCell ref="AL4:AN4"/>
  </mergeCells>
  <pageMargins left="0.7" right="0.7" top="0.75" bottom="0.75" header="0.3" footer="0.3"/>
  <pageSetup orientation="portrait" horizontalDpi="360" verticalDpi="36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3:AR33"/>
  <sheetViews>
    <sheetView topLeftCell="AB13" zoomScale="80" zoomScaleNormal="80" workbookViewId="0">
      <selection activeCell="AG6" sqref="AG6:AG11"/>
    </sheetView>
  </sheetViews>
  <sheetFormatPr baseColWidth="10" defaultRowHeight="15" x14ac:dyDescent="0.25"/>
  <cols>
    <col min="2" max="2" width="14.28515625" bestFit="1" customWidth="1"/>
    <col min="5" max="5" width="14.28515625" bestFit="1" customWidth="1"/>
    <col min="8" max="8" width="14.28515625" bestFit="1" customWidth="1"/>
    <col min="9" max="9" width="14.28515625" customWidth="1"/>
    <col min="11" max="11" width="14.42578125" customWidth="1"/>
    <col min="12" max="12" width="13.28515625" customWidth="1"/>
    <col min="13" max="13" width="23" bestFit="1" customWidth="1"/>
    <col min="16" max="16" width="14.28515625" bestFit="1" customWidth="1"/>
    <col min="19" max="19" width="14.28515625" bestFit="1" customWidth="1"/>
    <col min="20" max="20" width="14.28515625" customWidth="1"/>
    <col min="24" max="24" width="14.28515625" bestFit="1" customWidth="1"/>
    <col min="27" max="27" width="14.28515625" bestFit="1" customWidth="1"/>
    <col min="30" max="30" width="14.28515625" bestFit="1" customWidth="1"/>
    <col min="31" max="31" width="14.28515625" customWidth="1"/>
    <col min="33" max="33" width="13" customWidth="1"/>
    <col min="35" max="35" width="14.28515625" bestFit="1" customWidth="1"/>
    <col min="38" max="38" width="14.28515625" bestFit="1" customWidth="1"/>
    <col min="41" max="41" width="14.28515625" bestFit="1" customWidth="1"/>
    <col min="42" max="42" width="14.28515625" customWidth="1"/>
  </cols>
  <sheetData>
    <row r="3" spans="1:44" x14ac:dyDescent="0.25">
      <c r="B3" s="28" t="s">
        <v>64</v>
      </c>
      <c r="C3" s="28"/>
      <c r="D3" s="28"/>
      <c r="E3" s="28"/>
      <c r="F3" s="28"/>
      <c r="G3" s="28"/>
      <c r="H3" s="28"/>
      <c r="I3" s="28"/>
      <c r="J3" s="28"/>
      <c r="K3" s="28"/>
      <c r="M3" s="28" t="s">
        <v>65</v>
      </c>
      <c r="N3" s="28"/>
      <c r="O3" s="28"/>
      <c r="P3" s="28"/>
      <c r="Q3" s="28"/>
      <c r="R3" s="28"/>
      <c r="S3" s="28"/>
      <c r="T3" s="28"/>
      <c r="U3" s="28"/>
      <c r="V3" s="28"/>
      <c r="X3" s="28" t="s">
        <v>66</v>
      </c>
      <c r="Y3" s="28"/>
      <c r="Z3" s="28"/>
      <c r="AA3" s="28"/>
      <c r="AB3" s="28"/>
      <c r="AC3" s="28"/>
      <c r="AD3" s="28"/>
      <c r="AE3" s="28"/>
      <c r="AF3" s="28"/>
      <c r="AG3" s="28"/>
      <c r="AI3" s="28" t="s">
        <v>67</v>
      </c>
      <c r="AJ3" s="28"/>
      <c r="AK3" s="28"/>
      <c r="AL3" s="28"/>
      <c r="AM3" s="28"/>
      <c r="AN3" s="28"/>
      <c r="AO3" s="28"/>
      <c r="AP3" s="28"/>
      <c r="AQ3" s="28"/>
      <c r="AR3" s="28"/>
    </row>
    <row r="4" spans="1:44" x14ac:dyDescent="0.25">
      <c r="B4" s="28" t="s">
        <v>2</v>
      </c>
      <c r="C4" s="28"/>
      <c r="D4" s="28"/>
      <c r="E4" s="28" t="s">
        <v>3</v>
      </c>
      <c r="F4" s="28"/>
      <c r="G4" s="28"/>
      <c r="H4" s="28" t="s">
        <v>4</v>
      </c>
      <c r="I4" s="28"/>
      <c r="J4" s="28"/>
      <c r="K4" s="1" t="s">
        <v>33</v>
      </c>
      <c r="M4" s="28" t="s">
        <v>2</v>
      </c>
      <c r="N4" s="28"/>
      <c r="O4" s="28"/>
      <c r="P4" s="28" t="s">
        <v>3</v>
      </c>
      <c r="Q4" s="28"/>
      <c r="R4" s="28"/>
      <c r="S4" s="28" t="s">
        <v>4</v>
      </c>
      <c r="T4" s="28"/>
      <c r="U4" s="28"/>
      <c r="V4" s="9" t="s">
        <v>34</v>
      </c>
      <c r="X4" s="28" t="s">
        <v>2</v>
      </c>
      <c r="Y4" s="28"/>
      <c r="Z4" s="28"/>
      <c r="AA4" s="28" t="s">
        <v>3</v>
      </c>
      <c r="AB4" s="28"/>
      <c r="AC4" s="28"/>
      <c r="AD4" s="28" t="s">
        <v>4</v>
      </c>
      <c r="AE4" s="28"/>
      <c r="AF4" s="28"/>
      <c r="AG4" s="9" t="s">
        <v>34</v>
      </c>
      <c r="AI4" s="28" t="s">
        <v>2</v>
      </c>
      <c r="AJ4" s="28"/>
      <c r="AK4" s="28"/>
      <c r="AL4" s="28" t="s">
        <v>3</v>
      </c>
      <c r="AM4" s="28"/>
      <c r="AN4" s="28"/>
      <c r="AO4" s="28" t="s">
        <v>4</v>
      </c>
      <c r="AP4" s="28"/>
      <c r="AQ4" s="28"/>
      <c r="AR4" s="9" t="s">
        <v>34</v>
      </c>
    </row>
    <row r="5" spans="1:44" x14ac:dyDescent="0.25">
      <c r="B5" s="1" t="s">
        <v>1</v>
      </c>
      <c r="C5" s="1" t="s">
        <v>0</v>
      </c>
      <c r="D5" s="1" t="s">
        <v>32</v>
      </c>
      <c r="E5" s="1" t="s">
        <v>1</v>
      </c>
      <c r="F5" s="1" t="s">
        <v>0</v>
      </c>
      <c r="G5" s="1" t="s">
        <v>32</v>
      </c>
      <c r="H5" s="1" t="s">
        <v>1</v>
      </c>
      <c r="I5" s="1" t="s">
        <v>0</v>
      </c>
      <c r="J5" s="1" t="s">
        <v>32</v>
      </c>
      <c r="K5" s="1" t="s">
        <v>32</v>
      </c>
      <c r="M5" s="1" t="s">
        <v>1</v>
      </c>
      <c r="N5" s="1" t="s">
        <v>0</v>
      </c>
      <c r="O5" s="1" t="s">
        <v>32</v>
      </c>
      <c r="P5" s="1" t="s">
        <v>1</v>
      </c>
      <c r="Q5" s="1" t="s">
        <v>0</v>
      </c>
      <c r="R5" s="1" t="s">
        <v>32</v>
      </c>
      <c r="S5" s="1" t="s">
        <v>1</v>
      </c>
      <c r="T5" s="1" t="s">
        <v>0</v>
      </c>
      <c r="U5" s="1" t="s">
        <v>32</v>
      </c>
      <c r="V5" s="1" t="s">
        <v>32</v>
      </c>
      <c r="X5" s="1" t="s">
        <v>1</v>
      </c>
      <c r="Y5" s="1" t="s">
        <v>0</v>
      </c>
      <c r="Z5" s="1" t="s">
        <v>32</v>
      </c>
      <c r="AA5" s="1" t="s">
        <v>1</v>
      </c>
      <c r="AB5" s="1" t="s">
        <v>0</v>
      </c>
      <c r="AC5" s="1" t="s">
        <v>32</v>
      </c>
      <c r="AD5" s="1" t="s">
        <v>1</v>
      </c>
      <c r="AE5" s="1" t="s">
        <v>0</v>
      </c>
      <c r="AF5" s="1" t="s">
        <v>32</v>
      </c>
      <c r="AG5" s="1" t="s">
        <v>32</v>
      </c>
      <c r="AI5" s="1" t="s">
        <v>1</v>
      </c>
      <c r="AJ5" s="1" t="s">
        <v>0</v>
      </c>
      <c r="AK5" s="1" t="s">
        <v>32</v>
      </c>
      <c r="AL5" s="1" t="s">
        <v>1</v>
      </c>
      <c r="AM5" s="1" t="s">
        <v>0</v>
      </c>
      <c r="AN5" s="1" t="s">
        <v>32</v>
      </c>
      <c r="AO5" s="1" t="s">
        <v>1</v>
      </c>
      <c r="AP5" s="1" t="s">
        <v>0</v>
      </c>
      <c r="AQ5" s="1" t="s">
        <v>32</v>
      </c>
      <c r="AR5" s="1" t="s">
        <v>32</v>
      </c>
    </row>
    <row r="6" spans="1:44" x14ac:dyDescent="0.25">
      <c r="B6" s="2">
        <v>10</v>
      </c>
      <c r="C6" s="2">
        <v>5.7000000000000002E-2</v>
      </c>
      <c r="D6" s="2">
        <f t="shared" ref="D6:D11" si="0">((C6)/(26.6*1))</f>
        <v>2.142857142857143E-3</v>
      </c>
      <c r="E6" s="2">
        <v>10</v>
      </c>
      <c r="F6" s="2">
        <v>5.8000000000000003E-2</v>
      </c>
      <c r="G6" s="2">
        <f t="shared" ref="G6:G11" si="1">((F6)/(26.6*1))</f>
        <v>2.1804511278195487E-3</v>
      </c>
      <c r="H6" s="2">
        <v>10</v>
      </c>
      <c r="I6" s="2">
        <v>8.3000000000000004E-2</v>
      </c>
      <c r="J6" s="2">
        <f t="shared" ref="J6:J11" si="2">((I6)/(26.6*1))</f>
        <v>3.1203007518796995E-3</v>
      </c>
      <c r="K6" s="15">
        <f t="shared" ref="K6:K11" si="3">((D6+G6+J6)/(3))</f>
        <v>2.4812030075187972E-3</v>
      </c>
      <c r="M6" s="2">
        <v>10</v>
      </c>
      <c r="N6" s="2">
        <v>6.3E-2</v>
      </c>
      <c r="O6" s="2">
        <f t="shared" ref="O6:O11" si="4">((N6)/(26.6*1))</f>
        <v>2.3684210526315787E-3</v>
      </c>
      <c r="P6" s="2">
        <v>10</v>
      </c>
      <c r="Q6" s="2">
        <v>5.8000000000000003E-2</v>
      </c>
      <c r="R6" s="2">
        <f t="shared" ref="R6:R11" si="5">((Q6)/(26.6*1))</f>
        <v>2.1804511278195487E-3</v>
      </c>
      <c r="S6" s="2">
        <v>10</v>
      </c>
      <c r="T6" s="2">
        <v>0.13100000000000001</v>
      </c>
      <c r="U6" s="2">
        <f t="shared" ref="U6:U11" si="6">((T6)/(26.6*1))</f>
        <v>4.9248120300751878E-3</v>
      </c>
      <c r="V6" s="15">
        <f t="shared" ref="V6:V11" si="7">((O6+R6+U6)/(3))</f>
        <v>3.1578947368421048E-3</v>
      </c>
      <c r="X6" s="2">
        <v>10</v>
      </c>
      <c r="Y6" s="2">
        <v>0.05</v>
      </c>
      <c r="Z6" s="2">
        <f t="shared" ref="Z6:Z11" si="8">((Y6)/(26.6*1))</f>
        <v>1.8796992481203006E-3</v>
      </c>
      <c r="AA6" s="2">
        <v>10</v>
      </c>
      <c r="AB6" s="2">
        <v>1.6E-2</v>
      </c>
      <c r="AC6" s="2">
        <f t="shared" ref="AC6:AC11" si="9">((AB6)/(26.6*1))</f>
        <v>6.0150375939849621E-4</v>
      </c>
      <c r="AD6" s="2">
        <v>10</v>
      </c>
      <c r="AE6" s="2">
        <v>3.5000000000000003E-2</v>
      </c>
      <c r="AF6" s="2">
        <f t="shared" ref="AF6:AF11" si="10">((AE6)/(26.6*1))</f>
        <v>1.3157894736842105E-3</v>
      </c>
      <c r="AG6" s="14">
        <f>((Z6+AC6+AF6)/(3))</f>
        <v>1.2656641604010023E-3</v>
      </c>
      <c r="AI6" s="2">
        <v>10</v>
      </c>
      <c r="AJ6" s="2">
        <v>0</v>
      </c>
      <c r="AK6" s="2">
        <f t="shared" ref="AK6:AK11" si="11">((AJ6)/(26.6*1))</f>
        <v>0</v>
      </c>
      <c r="AL6" s="2">
        <v>10</v>
      </c>
      <c r="AM6" s="2">
        <v>0</v>
      </c>
      <c r="AN6" s="2">
        <f t="shared" ref="AN6:AN11" si="12">((AM6)/(26.6*1))</f>
        <v>0</v>
      </c>
      <c r="AO6" s="2">
        <v>10</v>
      </c>
      <c r="AP6" s="2">
        <v>0</v>
      </c>
      <c r="AQ6" s="2">
        <f t="shared" ref="AQ6:AQ11" si="13">((AP6)/(26.6*1))</f>
        <v>0</v>
      </c>
      <c r="AR6" s="15">
        <f t="shared" ref="AR6:AR11" si="14">((AK6+AN6+AQ6)/(3))</f>
        <v>0</v>
      </c>
    </row>
    <row r="7" spans="1:44" x14ac:dyDescent="0.25">
      <c r="B7" s="2">
        <v>20</v>
      </c>
      <c r="C7" s="2">
        <v>5.8000000000000003E-2</v>
      </c>
      <c r="D7" s="2">
        <f t="shared" si="0"/>
        <v>2.1804511278195487E-3</v>
      </c>
      <c r="E7" s="2">
        <v>20</v>
      </c>
      <c r="F7" s="2">
        <v>6.9000000000000006E-2</v>
      </c>
      <c r="G7" s="2">
        <f t="shared" si="1"/>
        <v>2.5939849624060153E-3</v>
      </c>
      <c r="H7" s="2">
        <v>20</v>
      </c>
      <c r="I7" s="2">
        <v>9.0999999999999998E-2</v>
      </c>
      <c r="J7" s="2">
        <f t="shared" si="2"/>
        <v>3.4210526315789471E-3</v>
      </c>
      <c r="K7" s="15">
        <f t="shared" si="3"/>
        <v>2.731829573934837E-3</v>
      </c>
      <c r="M7" s="2">
        <v>20</v>
      </c>
      <c r="N7" s="2">
        <v>6.9000000000000006E-2</v>
      </c>
      <c r="O7" s="2">
        <f t="shared" si="4"/>
        <v>2.5939849624060153E-3</v>
      </c>
      <c r="P7" s="2">
        <v>20</v>
      </c>
      <c r="Q7" s="2">
        <v>6.6000000000000003E-2</v>
      </c>
      <c r="R7" s="2">
        <f t="shared" si="5"/>
        <v>2.4812030075187972E-3</v>
      </c>
      <c r="S7" s="2">
        <v>20</v>
      </c>
      <c r="T7" s="2">
        <v>0.13900000000000001</v>
      </c>
      <c r="U7" s="2">
        <f t="shared" si="6"/>
        <v>5.2255639097744363E-3</v>
      </c>
      <c r="V7" s="15">
        <f t="shared" si="7"/>
        <v>3.4335839598997491E-3</v>
      </c>
      <c r="X7" s="2">
        <v>20</v>
      </c>
      <c r="Y7" s="2">
        <v>5.0999999999999997E-2</v>
      </c>
      <c r="Z7" s="2">
        <f t="shared" si="8"/>
        <v>1.9172932330827066E-3</v>
      </c>
      <c r="AA7" s="2">
        <v>20</v>
      </c>
      <c r="AB7" s="2">
        <v>1.7000000000000001E-2</v>
      </c>
      <c r="AC7" s="2">
        <f t="shared" si="9"/>
        <v>6.3909774436090227E-4</v>
      </c>
      <c r="AD7" s="2">
        <v>20</v>
      </c>
      <c r="AE7" s="2">
        <v>3.6999999999999998E-2</v>
      </c>
      <c r="AF7" s="2">
        <f t="shared" si="10"/>
        <v>1.3909774436090224E-3</v>
      </c>
      <c r="AG7" s="14">
        <f t="shared" ref="AG7:AG11" si="15">((Z7+AC7+AF7)/(3))</f>
        <v>1.3157894736842105E-3</v>
      </c>
      <c r="AI7" s="2">
        <v>20</v>
      </c>
      <c r="AJ7" s="2">
        <v>0</v>
      </c>
      <c r="AK7" s="2">
        <f t="shared" si="11"/>
        <v>0</v>
      </c>
      <c r="AL7" s="2">
        <v>20</v>
      </c>
      <c r="AM7" s="2">
        <v>0</v>
      </c>
      <c r="AN7" s="2">
        <f t="shared" si="12"/>
        <v>0</v>
      </c>
      <c r="AO7" s="2">
        <v>20</v>
      </c>
      <c r="AP7" s="2">
        <v>0</v>
      </c>
      <c r="AQ7" s="2">
        <f t="shared" si="13"/>
        <v>0</v>
      </c>
      <c r="AR7" s="15">
        <f t="shared" si="14"/>
        <v>0</v>
      </c>
    </row>
    <row r="8" spans="1:44" x14ac:dyDescent="0.25">
      <c r="B8" s="2">
        <v>30</v>
      </c>
      <c r="C8" s="2">
        <v>6.4000000000000001E-2</v>
      </c>
      <c r="D8" s="2">
        <f t="shared" si="0"/>
        <v>2.4060150375939848E-3</v>
      </c>
      <c r="E8" s="2">
        <v>30</v>
      </c>
      <c r="F8" s="2">
        <v>8.3000000000000004E-2</v>
      </c>
      <c r="G8" s="2">
        <f t="shared" si="1"/>
        <v>3.1203007518796995E-3</v>
      </c>
      <c r="H8" s="2">
        <v>30</v>
      </c>
      <c r="I8" s="2">
        <v>0.10299999999999999</v>
      </c>
      <c r="J8" s="2">
        <f t="shared" si="2"/>
        <v>3.8721804511278189E-3</v>
      </c>
      <c r="K8" s="15">
        <f t="shared" si="3"/>
        <v>3.1328320802005011E-3</v>
      </c>
      <c r="M8" s="2">
        <v>30</v>
      </c>
      <c r="N8" s="2">
        <v>7.4999999999999997E-2</v>
      </c>
      <c r="O8" s="2">
        <f t="shared" si="4"/>
        <v>2.819548872180451E-3</v>
      </c>
      <c r="P8" s="2">
        <v>30</v>
      </c>
      <c r="Q8" s="2">
        <v>7.2999999999999995E-2</v>
      </c>
      <c r="R8" s="2">
        <f t="shared" si="5"/>
        <v>2.7443609022556386E-3</v>
      </c>
      <c r="S8" s="2">
        <v>30</v>
      </c>
      <c r="T8" s="2">
        <v>0.14799999999999999</v>
      </c>
      <c r="U8" s="2">
        <f t="shared" si="6"/>
        <v>5.5639097744360896E-3</v>
      </c>
      <c r="V8" s="15">
        <f t="shared" si="7"/>
        <v>3.7092731829573931E-3</v>
      </c>
      <c r="X8" s="2">
        <v>30</v>
      </c>
      <c r="Y8" s="2">
        <v>5.0999999999999997E-2</v>
      </c>
      <c r="Z8" s="2">
        <f t="shared" si="8"/>
        <v>1.9172932330827066E-3</v>
      </c>
      <c r="AA8" s="2">
        <v>30</v>
      </c>
      <c r="AB8" s="2">
        <v>0.02</v>
      </c>
      <c r="AC8" s="2">
        <f t="shared" si="9"/>
        <v>7.5187969924812024E-4</v>
      </c>
      <c r="AD8" s="2">
        <v>30</v>
      </c>
      <c r="AE8" s="2">
        <v>3.7999999999999999E-2</v>
      </c>
      <c r="AF8" s="2">
        <f t="shared" si="10"/>
        <v>1.4285714285714284E-3</v>
      </c>
      <c r="AG8" s="14">
        <f t="shared" si="15"/>
        <v>1.3659147869674183E-3</v>
      </c>
      <c r="AI8" s="2">
        <v>30</v>
      </c>
      <c r="AJ8" s="2">
        <v>0</v>
      </c>
      <c r="AK8" s="2">
        <f t="shared" si="11"/>
        <v>0</v>
      </c>
      <c r="AL8" s="2">
        <v>30</v>
      </c>
      <c r="AM8" s="2">
        <v>0</v>
      </c>
      <c r="AN8" s="2">
        <f t="shared" si="12"/>
        <v>0</v>
      </c>
      <c r="AO8" s="2">
        <v>30</v>
      </c>
      <c r="AP8" s="2">
        <v>0</v>
      </c>
      <c r="AQ8" s="2">
        <f t="shared" si="13"/>
        <v>0</v>
      </c>
      <c r="AR8" s="15">
        <f t="shared" si="14"/>
        <v>0</v>
      </c>
    </row>
    <row r="9" spans="1:44" x14ac:dyDescent="0.25">
      <c r="B9" s="2">
        <v>40</v>
      </c>
      <c r="C9" s="2">
        <v>7.2999999999999995E-2</v>
      </c>
      <c r="D9" s="2">
        <f t="shared" si="0"/>
        <v>2.7443609022556386E-3</v>
      </c>
      <c r="E9" s="2">
        <v>40</v>
      </c>
      <c r="F9" s="2">
        <v>9.8000000000000004E-2</v>
      </c>
      <c r="G9" s="2">
        <f t="shared" si="1"/>
        <v>3.6842105263157894E-3</v>
      </c>
      <c r="H9" s="2">
        <v>40</v>
      </c>
      <c r="I9" s="2">
        <v>0.111</v>
      </c>
      <c r="J9" s="2">
        <f t="shared" si="2"/>
        <v>4.1729323308270679E-3</v>
      </c>
      <c r="K9" s="15">
        <f t="shared" si="3"/>
        <v>3.5338345864661651E-3</v>
      </c>
      <c r="M9" s="2">
        <v>40</v>
      </c>
      <c r="N9" s="2">
        <v>8.1000000000000003E-2</v>
      </c>
      <c r="O9" s="2">
        <f t="shared" si="4"/>
        <v>3.0451127819548871E-3</v>
      </c>
      <c r="P9" s="2">
        <v>40</v>
      </c>
      <c r="Q9" s="2">
        <v>8.4000000000000005E-2</v>
      </c>
      <c r="R9" s="2">
        <f t="shared" si="5"/>
        <v>3.1578947368421052E-3</v>
      </c>
      <c r="S9" s="2">
        <v>40</v>
      </c>
      <c r="T9" s="2">
        <v>0.158</v>
      </c>
      <c r="U9" s="2">
        <f t="shared" si="6"/>
        <v>5.9398496240601504E-3</v>
      </c>
      <c r="V9" s="15">
        <f t="shared" si="7"/>
        <v>4.0476190476190473E-3</v>
      </c>
      <c r="X9" s="2">
        <v>40</v>
      </c>
      <c r="Y9" s="2">
        <v>5.2999999999999999E-2</v>
      </c>
      <c r="Z9" s="2">
        <f t="shared" si="8"/>
        <v>1.9924812030075187E-3</v>
      </c>
      <c r="AA9" s="2">
        <v>40</v>
      </c>
      <c r="AB9" s="2">
        <v>2.1999999999999999E-2</v>
      </c>
      <c r="AC9" s="2">
        <f t="shared" si="9"/>
        <v>8.2706766917293225E-4</v>
      </c>
      <c r="AD9" s="2">
        <v>40</v>
      </c>
      <c r="AE9" s="2">
        <v>0.04</v>
      </c>
      <c r="AF9" s="2">
        <f t="shared" si="10"/>
        <v>1.5037593984962405E-3</v>
      </c>
      <c r="AG9" s="14">
        <f t="shared" si="15"/>
        <v>1.4411027568922306E-3</v>
      </c>
      <c r="AI9" s="2">
        <v>40</v>
      </c>
      <c r="AJ9" s="2">
        <v>0</v>
      </c>
      <c r="AK9" s="2">
        <f t="shared" si="11"/>
        <v>0</v>
      </c>
      <c r="AL9" s="2">
        <v>40</v>
      </c>
      <c r="AM9" s="2">
        <v>0</v>
      </c>
      <c r="AN9" s="2">
        <f t="shared" si="12"/>
        <v>0</v>
      </c>
      <c r="AO9" s="2">
        <v>40</v>
      </c>
      <c r="AP9" s="2">
        <v>0</v>
      </c>
      <c r="AQ9" s="2">
        <f t="shared" si="13"/>
        <v>0</v>
      </c>
      <c r="AR9" s="15">
        <f t="shared" si="14"/>
        <v>0</v>
      </c>
    </row>
    <row r="10" spans="1:44" x14ac:dyDescent="0.25">
      <c r="B10" s="2">
        <v>50</v>
      </c>
      <c r="C10" s="2">
        <v>8.4000000000000005E-2</v>
      </c>
      <c r="D10" s="2">
        <f t="shared" si="0"/>
        <v>3.1578947368421052E-3</v>
      </c>
      <c r="E10" s="2">
        <v>50</v>
      </c>
      <c r="F10" s="2">
        <v>0.114</v>
      </c>
      <c r="G10" s="2">
        <f t="shared" si="1"/>
        <v>4.2857142857142859E-3</v>
      </c>
      <c r="H10" s="2">
        <v>50</v>
      </c>
      <c r="I10" s="2">
        <v>0.11799999999999999</v>
      </c>
      <c r="J10" s="2">
        <f t="shared" si="2"/>
        <v>4.4360902255639097E-3</v>
      </c>
      <c r="K10" s="15">
        <f t="shared" si="3"/>
        <v>3.9598997493734333E-3</v>
      </c>
      <c r="M10" s="2">
        <v>50</v>
      </c>
      <c r="N10" s="2">
        <v>8.6999999999999994E-2</v>
      </c>
      <c r="O10" s="2">
        <f t="shared" si="4"/>
        <v>3.2706766917293228E-3</v>
      </c>
      <c r="P10" s="2">
        <v>50</v>
      </c>
      <c r="Q10" s="2">
        <v>9.2999999999999999E-2</v>
      </c>
      <c r="R10" s="2">
        <f t="shared" si="5"/>
        <v>3.496240601503759E-3</v>
      </c>
      <c r="S10" s="2">
        <v>50</v>
      </c>
      <c r="T10" s="2">
        <v>0.16700000000000001</v>
      </c>
      <c r="U10" s="2">
        <f t="shared" si="6"/>
        <v>6.2781954887218046E-3</v>
      </c>
      <c r="V10" s="15">
        <f t="shared" si="7"/>
        <v>4.3483709273182958E-3</v>
      </c>
      <c r="X10" s="2">
        <v>50</v>
      </c>
      <c r="Y10" s="2">
        <v>5.2999999999999999E-2</v>
      </c>
      <c r="Z10" s="2">
        <f t="shared" si="8"/>
        <v>1.9924812030075187E-3</v>
      </c>
      <c r="AA10" s="2">
        <v>50</v>
      </c>
      <c r="AB10" s="2">
        <v>2.5000000000000001E-2</v>
      </c>
      <c r="AC10" s="2">
        <f t="shared" si="9"/>
        <v>9.3984962406015032E-4</v>
      </c>
      <c r="AD10" s="2">
        <v>50</v>
      </c>
      <c r="AE10" s="2">
        <v>4.1000000000000002E-2</v>
      </c>
      <c r="AF10" s="2">
        <f t="shared" si="10"/>
        <v>1.5413533834586466E-3</v>
      </c>
      <c r="AG10" s="14">
        <f t="shared" si="15"/>
        <v>1.4912280701754384E-3</v>
      </c>
      <c r="AI10" s="2">
        <v>50</v>
      </c>
      <c r="AJ10" s="2">
        <v>0</v>
      </c>
      <c r="AK10" s="2">
        <f t="shared" si="11"/>
        <v>0</v>
      </c>
      <c r="AL10" s="2">
        <v>50</v>
      </c>
      <c r="AM10" s="2">
        <v>0</v>
      </c>
      <c r="AN10" s="2">
        <f t="shared" si="12"/>
        <v>0</v>
      </c>
      <c r="AO10" s="2">
        <v>50</v>
      </c>
      <c r="AP10" s="2">
        <v>0</v>
      </c>
      <c r="AQ10" s="2">
        <f t="shared" si="13"/>
        <v>0</v>
      </c>
      <c r="AR10" s="15">
        <f t="shared" si="14"/>
        <v>0</v>
      </c>
    </row>
    <row r="11" spans="1:44" x14ac:dyDescent="0.25">
      <c r="B11" s="2">
        <v>60</v>
      </c>
      <c r="C11" s="2">
        <v>9.6000000000000002E-2</v>
      </c>
      <c r="D11" s="2">
        <f t="shared" si="0"/>
        <v>3.6090225563909775E-3</v>
      </c>
      <c r="E11" s="2">
        <v>60</v>
      </c>
      <c r="F11" s="2">
        <v>0.127</v>
      </c>
      <c r="G11" s="2">
        <f t="shared" si="1"/>
        <v>4.774436090225564E-3</v>
      </c>
      <c r="H11" s="2">
        <v>60</v>
      </c>
      <c r="I11" s="2">
        <v>0.125</v>
      </c>
      <c r="J11" s="2">
        <f t="shared" si="2"/>
        <v>4.6992481203007516E-3</v>
      </c>
      <c r="K11" s="15">
        <f t="shared" si="3"/>
        <v>4.3609022556390974E-3</v>
      </c>
      <c r="M11" s="2">
        <v>60</v>
      </c>
      <c r="N11" s="2">
        <v>9.2999999999999999E-2</v>
      </c>
      <c r="O11" s="2">
        <f t="shared" si="4"/>
        <v>3.496240601503759E-3</v>
      </c>
      <c r="P11" s="2">
        <v>60</v>
      </c>
      <c r="Q11" s="2">
        <v>0.10299999999999999</v>
      </c>
      <c r="R11" s="2">
        <f t="shared" si="5"/>
        <v>3.8721804511278189E-3</v>
      </c>
      <c r="S11" s="2">
        <v>60</v>
      </c>
      <c r="T11" s="2">
        <v>0.17699999999999999</v>
      </c>
      <c r="U11" s="2">
        <f t="shared" si="6"/>
        <v>6.6541353383458637E-3</v>
      </c>
      <c r="V11" s="15">
        <f t="shared" si="7"/>
        <v>4.6741854636591475E-3</v>
      </c>
      <c r="X11" s="2">
        <v>60</v>
      </c>
      <c r="Y11" s="2">
        <v>5.5E-2</v>
      </c>
      <c r="Z11" s="2">
        <f t="shared" si="8"/>
        <v>2.0676691729323306E-3</v>
      </c>
      <c r="AA11" s="2">
        <v>60</v>
      </c>
      <c r="AB11" s="2">
        <v>2.7E-2</v>
      </c>
      <c r="AC11" s="2">
        <f t="shared" si="9"/>
        <v>1.0150375939849624E-3</v>
      </c>
      <c r="AD11" s="2">
        <v>60</v>
      </c>
      <c r="AE11" s="2">
        <v>4.2999999999999997E-2</v>
      </c>
      <c r="AF11" s="2">
        <f t="shared" si="10"/>
        <v>1.6165413533834583E-3</v>
      </c>
      <c r="AG11" s="14">
        <f t="shared" si="15"/>
        <v>1.5664160401002505E-3</v>
      </c>
      <c r="AI11" s="2">
        <v>60</v>
      </c>
      <c r="AJ11" s="2">
        <v>0</v>
      </c>
      <c r="AK11" s="2">
        <f t="shared" si="11"/>
        <v>0</v>
      </c>
      <c r="AL11" s="2">
        <v>60</v>
      </c>
      <c r="AM11" s="2">
        <v>0</v>
      </c>
      <c r="AN11" s="2">
        <f t="shared" si="12"/>
        <v>0</v>
      </c>
      <c r="AO11" s="2">
        <v>60</v>
      </c>
      <c r="AP11" s="2">
        <v>0</v>
      </c>
      <c r="AQ11" s="2">
        <f t="shared" si="13"/>
        <v>0</v>
      </c>
      <c r="AR11" s="15">
        <f t="shared" si="14"/>
        <v>0</v>
      </c>
    </row>
    <row r="12" spans="1:44" ht="60" x14ac:dyDescent="0.25">
      <c r="B12" s="17" t="s">
        <v>50</v>
      </c>
      <c r="C12" s="4"/>
      <c r="D12" s="4">
        <f>(((10*D11)/(1000))*(1000))</f>
        <v>3.6090225563909777E-2</v>
      </c>
      <c r="E12" s="1" t="s">
        <v>23</v>
      </c>
      <c r="F12" s="4"/>
      <c r="G12" s="4">
        <f>(((10*G11)/(1000))*(1000))</f>
        <v>4.7744360902255638E-2</v>
      </c>
      <c r="H12" s="1" t="s">
        <v>23</v>
      </c>
      <c r="I12" s="4"/>
      <c r="J12" s="4">
        <f>(((10*J11)/(1000))*(1000))</f>
        <v>4.6992481203007516E-2</v>
      </c>
      <c r="K12" s="4">
        <f>(((10*K11)/(1000))*(1000))</f>
        <v>4.3609022556390972E-2</v>
      </c>
      <c r="M12" s="1" t="s">
        <v>23</v>
      </c>
      <c r="N12" s="4"/>
      <c r="O12" s="4">
        <f>(((10*O11)/(1000))*(1000))</f>
        <v>3.4962406015037591E-2</v>
      </c>
      <c r="P12" s="1" t="s">
        <v>23</v>
      </c>
      <c r="Q12" s="4"/>
      <c r="R12" s="4">
        <f>(((10*R11)/(1000))*(1000))</f>
        <v>3.8721804511278192E-2</v>
      </c>
      <c r="S12" s="1" t="s">
        <v>23</v>
      </c>
      <c r="T12" s="4"/>
      <c r="U12" s="4">
        <f>(((10*U11)/(1000))*(1000))</f>
        <v>6.6541353383458637E-2</v>
      </c>
      <c r="V12" s="4">
        <f>(((10*V11)/(1000))*(1000))</f>
        <v>4.6741854636591473E-2</v>
      </c>
      <c r="X12" s="1" t="s">
        <v>23</v>
      </c>
      <c r="Y12" s="4"/>
      <c r="Z12" s="4">
        <f>(((10*Z11)/(1000))*(1000))</f>
        <v>2.0676691729323307E-2</v>
      </c>
      <c r="AA12" s="1" t="s">
        <v>23</v>
      </c>
      <c r="AB12" s="4"/>
      <c r="AC12" s="4">
        <f>(((10*AC11)/(1000))*(1000))</f>
        <v>1.0150375939849625E-2</v>
      </c>
      <c r="AD12" s="1" t="s">
        <v>23</v>
      </c>
      <c r="AE12" s="4"/>
      <c r="AF12" s="4">
        <f>(((10*AF11)/(1000))*(1000))</f>
        <v>1.6165413533834584E-2</v>
      </c>
      <c r="AG12" s="4">
        <f>(((10*AG11)/(1000))*(1000))</f>
        <v>1.5664160401002505E-2</v>
      </c>
      <c r="AI12" s="1" t="s">
        <v>23</v>
      </c>
      <c r="AJ12" s="4"/>
      <c r="AK12" s="4">
        <f>(((10*AK11)/(1000))*(1000))</f>
        <v>0</v>
      </c>
      <c r="AL12" s="1" t="s">
        <v>23</v>
      </c>
      <c r="AM12" s="4"/>
      <c r="AN12" s="4">
        <f>(((10*AN11)/(1000))*(1000))</f>
        <v>0</v>
      </c>
      <c r="AO12" s="1" t="s">
        <v>23</v>
      </c>
      <c r="AP12" s="4"/>
      <c r="AQ12" s="4">
        <f>(((10*AQ11)/(1000))*(1000))</f>
        <v>0</v>
      </c>
      <c r="AR12" s="4">
        <f>(((10*AR11)/(1000))*(1000))</f>
        <v>0</v>
      </c>
    </row>
    <row r="13" spans="1:44" ht="45" x14ac:dyDescent="0.25">
      <c r="B13" s="17" t="s">
        <v>51</v>
      </c>
      <c r="C13" s="8"/>
      <c r="D13" s="8">
        <f>((D12/0.085)*(100))</f>
        <v>42.459088898717376</v>
      </c>
      <c r="E13" s="8"/>
      <c r="F13" s="8"/>
      <c r="G13" s="8">
        <f>((G12/0.085)*(100))</f>
        <v>56.16983635559486</v>
      </c>
      <c r="H13" s="8"/>
      <c r="I13" s="8"/>
      <c r="J13" s="8">
        <f>((J12/0.085)*(100))</f>
        <v>55.285272003538253</v>
      </c>
      <c r="K13" s="8">
        <f>((K12/0.085)*(100))</f>
        <v>51.304732419283496</v>
      </c>
      <c r="M13" s="17" t="s">
        <v>51</v>
      </c>
      <c r="N13" s="8"/>
      <c r="O13" s="8">
        <f>((O12/0.085)*(100))</f>
        <v>41.132242370632454</v>
      </c>
      <c r="P13" s="8"/>
      <c r="Q13" s="8"/>
      <c r="R13" s="8">
        <f>((R12/0.085)*(100))</f>
        <v>45.555064130915518</v>
      </c>
      <c r="S13" s="8"/>
      <c r="T13" s="8"/>
      <c r="U13" s="8">
        <f>((U12/0.085)*(100))</f>
        <v>78.283945157010166</v>
      </c>
      <c r="V13" s="8">
        <f>((V12/0.085)*(100))</f>
        <v>54.990417219519372</v>
      </c>
      <c r="X13" s="17" t="s">
        <v>51</v>
      </c>
      <c r="Y13" s="8"/>
      <c r="Z13" s="8">
        <f>((Z12/0.085)*(100))</f>
        <v>24.32551968155683</v>
      </c>
      <c r="AA13" s="8"/>
      <c r="AB13" s="8"/>
      <c r="AC13" s="8">
        <f>((AC12/0.085)*(100))</f>
        <v>11.941618752764263</v>
      </c>
      <c r="AD13" s="8"/>
      <c r="AE13" s="8"/>
      <c r="AF13" s="8">
        <f>((AF12/0.085)*(100))</f>
        <v>19.018133569217159</v>
      </c>
      <c r="AG13" s="8">
        <f>((AG12/0.085)*(100))</f>
        <v>18.428424001179415</v>
      </c>
      <c r="AI13" s="17" t="s">
        <v>51</v>
      </c>
      <c r="AJ13" s="8"/>
      <c r="AK13" s="8">
        <f>((AK12/0.085)*(100))</f>
        <v>0</v>
      </c>
      <c r="AL13" s="8"/>
      <c r="AM13" s="8"/>
      <c r="AN13" s="8">
        <f>((AN12/0.085)*(100))</f>
        <v>0</v>
      </c>
      <c r="AO13" s="8"/>
      <c r="AP13" s="8"/>
      <c r="AQ13" s="8">
        <f>((AQ12/0.085)*(100))</f>
        <v>0</v>
      </c>
      <c r="AR13" s="8">
        <f>((AR12/0.085)*(100))</f>
        <v>0</v>
      </c>
    </row>
    <row r="14" spans="1:44" x14ac:dyDescent="0.25">
      <c r="K14" s="3"/>
      <c r="L14" s="3"/>
      <c r="M14" s="3"/>
    </row>
    <row r="15" spans="1:44" x14ac:dyDescent="0.25">
      <c r="K15" s="7"/>
      <c r="L15" s="7"/>
      <c r="M15" s="7"/>
    </row>
    <row r="16" spans="1:44" x14ac:dyDescent="0.25">
      <c r="A16" t="s">
        <v>26</v>
      </c>
      <c r="K16" s="6"/>
      <c r="L16" s="6"/>
      <c r="M16" s="6"/>
    </row>
    <row r="17" spans="1:13" x14ac:dyDescent="0.25">
      <c r="K17" s="6"/>
      <c r="L17" s="6"/>
      <c r="M17" s="6"/>
    </row>
    <row r="18" spans="1:13" x14ac:dyDescent="0.25">
      <c r="A18" t="s">
        <v>27</v>
      </c>
      <c r="K18" s="6"/>
      <c r="L18" s="6"/>
      <c r="M18" s="6"/>
    </row>
    <row r="19" spans="1:13" x14ac:dyDescent="0.25">
      <c r="A19" t="s">
        <v>28</v>
      </c>
      <c r="K19" s="6"/>
      <c r="L19" s="6"/>
      <c r="M19" s="6"/>
    </row>
    <row r="20" spans="1:13" x14ac:dyDescent="0.25">
      <c r="A20" t="s">
        <v>29</v>
      </c>
      <c r="K20" s="6"/>
      <c r="L20" s="6"/>
      <c r="M20" s="6"/>
    </row>
    <row r="21" spans="1:13" x14ac:dyDescent="0.25">
      <c r="A21" t="s">
        <v>30</v>
      </c>
      <c r="K21" s="6"/>
      <c r="L21" s="6"/>
      <c r="M21" s="6"/>
    </row>
    <row r="22" spans="1:13" x14ac:dyDescent="0.25">
      <c r="A22" t="s">
        <v>31</v>
      </c>
    </row>
    <row r="33" spans="1:1" x14ac:dyDescent="0.25">
      <c r="A33" s="3" t="s">
        <v>24</v>
      </c>
    </row>
  </sheetData>
  <mergeCells count="16">
    <mergeCell ref="AO4:AQ4"/>
    <mergeCell ref="B3:K3"/>
    <mergeCell ref="M3:V3"/>
    <mergeCell ref="X3:AG3"/>
    <mergeCell ref="AI3:AR3"/>
    <mergeCell ref="B4:D4"/>
    <mergeCell ref="E4:G4"/>
    <mergeCell ref="H4:J4"/>
    <mergeCell ref="M4:O4"/>
    <mergeCell ref="P4:R4"/>
    <mergeCell ref="S4:U4"/>
    <mergeCell ref="X4:Z4"/>
    <mergeCell ref="AA4:AC4"/>
    <mergeCell ref="AD4:AF4"/>
    <mergeCell ref="AI4:AK4"/>
    <mergeCell ref="AL4:AN4"/>
  </mergeCells>
  <pageMargins left="0.7" right="0.7" top="0.75" bottom="0.75" header="0.3" footer="0.3"/>
  <pageSetup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ESCALDADO A TEM AMB </vt:lpstr>
      <vt:lpstr>ESCALDADO A 70 °C </vt:lpstr>
      <vt:lpstr>ESCALDADO A 75 °C </vt:lpstr>
      <vt:lpstr>ESCALDADO A 80 °C  </vt:lpstr>
      <vt:lpstr>ESCALDADO A 85 °C   </vt:lpstr>
      <vt:lpstr>ESCALDADO A 90 °C   </vt:lpstr>
      <vt:lpstr>ESCALDADO A 300W</vt:lpstr>
      <vt:lpstr>ESCALDADO A 600W </vt:lpstr>
      <vt:lpstr>ESCALDADO A 900W  </vt:lpstr>
      <vt:lpstr>ESCALDADO A 1200W   </vt:lpstr>
      <vt:lpstr>datos abs</vt:lpstr>
      <vt:lpstr>datos abs MO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Mineria</dc:creator>
  <cp:lastModifiedBy>Jaime Tigreros</cp:lastModifiedBy>
  <dcterms:created xsi:type="dcterms:W3CDTF">2019-05-23T04:42:16Z</dcterms:created>
  <dcterms:modified xsi:type="dcterms:W3CDTF">2024-03-04T16:57:13Z</dcterms:modified>
</cp:coreProperties>
</file>